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nstraints_counts" sheetId="2" r:id="rId4"/>
    <sheet state="visible" name="Tempo" sheetId="3" r:id="rId5"/>
    <sheet state="visible" name="Silhouette_dynamic" sheetId="4" r:id="rId6"/>
    <sheet state="visible" name="Silhouettes_count_filtered" sheetId="5" r:id="rId7"/>
    <sheet state="visible" name="ATSs_errors" sheetId="6" r:id="rId8"/>
    <sheet state="visible" name="ATSs_errors_dynamic" sheetId="7" r:id="rId9"/>
  </sheets>
  <definedNames>
    <definedName hidden="1" localSheetId="0" name="_xlnm._FilterDatabase">data!$B$1:$N$3791</definedName>
    <definedName hidden="1" localSheetId="5" name="_xlnm._FilterDatabase">ATSs_errors!$A$1:$P$3791</definedName>
  </definedNames>
  <calcPr/>
  <pivotCaches>
    <pivotCache cacheId="0" r:id="rId10"/>
    <pivotCache cacheId="1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Esse cálculo está errado porque refere-se à quantidade de linhas do log e não à quantidade de incidentes :(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Limiar adotado: o máximo alcançado pelos métodos sem interação (kmeans e linkage, k=5 e pra essa representacao - individual, specialist, 
tfidf)</t>
      </text>
    </comment>
  </commentList>
</comments>
</file>

<file path=xl/sharedStrings.xml><?xml version="1.0" encoding="utf-8"?>
<sst xmlns="http://schemas.openxmlformats.org/spreadsheetml/2006/main" count="15792" uniqueCount="4576">
  <si>
    <t>id</t>
  </si>
  <si>
    <t>constrains_type</t>
  </si>
  <si>
    <t>constrains_unique_perc</t>
  </si>
  <si>
    <t>constrains_rep</t>
  </si>
  <si>
    <t>run</t>
  </si>
  <si>
    <t>time_clust</t>
  </si>
  <si>
    <t>time_total</t>
  </si>
  <si>
    <t>cluster id</t>
  </si>
  <si>
    <t>cluster's silhouette_mean</t>
  </si>
  <si>
    <t>cluster's silhouette_std</t>
  </si>
  <si>
    <t>result's silhouette mean</t>
  </si>
  <si>
    <t>elem_qtt</t>
  </si>
  <si>
    <t>std elem qtt</t>
  </si>
  <si>
    <r>
      <rPr>
        <b/>
      </rPr>
      <t>higher silhouette mean</t>
    </r>
    <r>
      <rPr>
        <b/>
        <sz val="6.0"/>
      </rPr>
      <t xml:space="preserve"> - greater than the maximum of kmeans and linkage (0.6521)</t>
    </r>
  </si>
  <si>
    <t>kmeans</t>
  </si>
  <si>
    <t>kmeans-iter</t>
  </si>
  <si>
    <t>individual_specialist_tfidf_5_awaitingsml_0.5_1.0_1</t>
  </si>
  <si>
    <t>awaitingsml</t>
  </si>
  <si>
    <t>individual_specialist_tfidf_5_awaitingsml_0.5_0.1_7</t>
  </si>
  <si>
    <t>individual_specialist_tfidf_5_easycategs_0.1_0.5_4</t>
  </si>
  <si>
    <t>individual_specialist_tfidf_5_easycategs_0.75_0.1_7</t>
  </si>
  <si>
    <t>individual_specialist_tfidf_5_easycategs_0.1_0.5_9</t>
  </si>
  <si>
    <t>individual_specialist_tfidf_5_awaitingsml_0.5_0.1_10</t>
  </si>
  <si>
    <t>individual_specialist_tfidf_5_easycategs_0.1_1.0_9</t>
  </si>
  <si>
    <t>individual_specialist_tfidf_5_awaitingsml_0.1_0.5_9</t>
  </si>
  <si>
    <t>individual_specialist_tfidf_5_easycategs_0.75_0.1_9</t>
  </si>
  <si>
    <t>individual_specialist_tfidf_5_easycategs_0.5_0.25_10</t>
  </si>
  <si>
    <t>individual_specialist_tfidf_5_awaitingsml_0.5_0.5_9</t>
  </si>
  <si>
    <t>individual_specialist_tfidf_5_easycategs_0.1_0.75_3</t>
  </si>
  <si>
    <t>individual_specialist_tfidf_5_easycategs_1.0_0.75_8</t>
  </si>
  <si>
    <t>individual_specialist_tfidf_5_awaitingsml_0.75_0.5_5</t>
  </si>
  <si>
    <t>individual_specialist_tfidf_5_easycategs_0.1_1.0_1</t>
  </si>
  <si>
    <t>individual_specialist_tfidf_5_awaitingsml_0.5_0.25_1</t>
  </si>
  <si>
    <t>individual_specialist_tfidf_5_easycategs_0.1_0.5_6</t>
  </si>
  <si>
    <t>individual_specialist_tfidf_5_awaitingsml_0.5_0.75_7</t>
  </si>
  <si>
    <t>individual_specialist_tfidf_5_easycategs_0.1_0.75_4</t>
  </si>
  <si>
    <t>individual_specialist_tfidf_5_awaitingsml_1.0_0.25_6</t>
  </si>
  <si>
    <t>individual_specialist_tfidf_5_awaitingsml_0.1_0.1_8</t>
  </si>
  <si>
    <t>individual_specialist_tfidf_5_awaitingsml_0.75_0.1_2</t>
  </si>
  <si>
    <t>individual_specialist_tfidf_5_awaitingsml_0.1_1.0_7</t>
  </si>
  <si>
    <t>individual_specialist_tfidf_5_awaitingsml_0.75_1.0_1</t>
  </si>
  <si>
    <t>individual_specialist_tfidf_5_easycategs_0.25_0.5_8</t>
  </si>
  <si>
    <t>individual_specialist_tfidf_5_awaitingsml_0.25_0.75_6</t>
  </si>
  <si>
    <t>individual_specialist_tfidf_5_awaitingsml_0.25_1.0_3</t>
  </si>
  <si>
    <t>individual_specialist_tfidf_5_easycategs_1.0_0.75_3</t>
  </si>
  <si>
    <t>individual_specialist_tfidf_5_awaitingsml_0.75_0.5_3</t>
  </si>
  <si>
    <t>individual_specialist_tfidf_5_easycategs_0.75_0.5_7</t>
  </si>
  <si>
    <t>individual_specialist_tfidf_5_easycategs_0.1_0.25_4</t>
  </si>
  <si>
    <t>individual_specialist_tfidf_5_awaitingsml_0.75_0.5_1</t>
  </si>
  <si>
    <t>individual_specialist_tfidf_5_awaitingsml_0.1_1.0_8</t>
  </si>
  <si>
    <t>individual_specialist_tfidf_5_easycategs_0.1_1.0_8</t>
  </si>
  <si>
    <t>individual_specialist_tfidf_5_awaitingsml_0.25_0.5_9</t>
  </si>
  <si>
    <t>individual_specialist_tfidf_5_easycategs_0.25_0.1_10</t>
  </si>
  <si>
    <t>individual_specialist_tfidf_5_awaitingsml_1.0_0.75_1</t>
  </si>
  <si>
    <t>individual_specialist_tfidf_5_awaitingsml_0.1_0.75_8</t>
  </si>
  <si>
    <t>individual_specialist_tfidf_5_awaitingsml_0.5_1.0_3</t>
  </si>
  <si>
    <t>individual_specialist_tfidf_5_easycategs_0.75_0.75_8</t>
  </si>
  <si>
    <t>individual_specialist_tfidf_5_awaitingsml_1.0_0.1_1</t>
  </si>
  <si>
    <t>individual_specialist_tfidf_5_awaitingsml_0.75_0.1_10</t>
  </si>
  <si>
    <t>individual_specialist_tfidf_5_awaitingsml_0.1_1.0_10</t>
  </si>
  <si>
    <t>individual_specialist_tfidf_5_easycategs_0.5_0.5_9</t>
  </si>
  <si>
    <t>individual_specialist_tfidf_5_awaitingsml_0.1_0.25_1</t>
  </si>
  <si>
    <t>individual_specialist_tfidf_5_easycategs_1.0_0.1_4</t>
  </si>
  <si>
    <t>individual_specialist_tfidf_5_awaitingsml_0.1_0.75_2</t>
  </si>
  <si>
    <t>individual_specialist_tfidf_5_easycategs_0.25_0.5_1</t>
  </si>
  <si>
    <t>individual_specialist_tfidf_5_awaitingsml_0.5_0.1_5</t>
  </si>
  <si>
    <t>individual_specialist_tfidf_5_easycategs_0.1_0.5_8</t>
  </si>
  <si>
    <t>individual_specialist_tfidf_5_easycategs_0.75_0.5_2</t>
  </si>
  <si>
    <t>individual_specialist_tfidf_5_awaitingsml_0.25_0.75_1</t>
  </si>
  <si>
    <t>individual_specialist_tfidf_5_awaitingsml_0.25_0.5_7</t>
  </si>
  <si>
    <t>individual_specialist_tfidf_5_easycategs_0.5_0.5_4</t>
  </si>
  <si>
    <t>individual_specialist_tfidf_5_easycategs_0.75_0.25_8</t>
  </si>
  <si>
    <t>individual_specialist_tfidf_5_awaitingsml_0.25_0.75_4</t>
  </si>
  <si>
    <t>individual_specialist_tfidf_5_awaitingsml_0.5_0.25_6</t>
  </si>
  <si>
    <t>individual_specialist_tfidf_5_awaitingsml_0.1_0.25_9</t>
  </si>
  <si>
    <t>individual_specialist_tfidf_5_easycategs_0.5_0.5_7</t>
  </si>
  <si>
    <t>individual_specialist_tfidf_5_easycategs_0.1_0.25_7</t>
  </si>
  <si>
    <t>individual_specialist_tfidf_5_easycategs_0.1_0.75_7</t>
  </si>
  <si>
    <t>individual_specialist_tfidf_5_easycategs_1.0_1.0_4</t>
  </si>
  <si>
    <t>individual_specialist_tfidf_5_easycategs_0.1_0.1_6</t>
  </si>
  <si>
    <t>individual_specialist_tfidf_5_awaitingsml_0.75_1.0_7</t>
  </si>
  <si>
    <t>individual_specialist_tfidf_5_awaitingsml_0.25_0.1_5</t>
  </si>
  <si>
    <t>individual_specialist_tfidf_5_awaitingsml_0.25_0.1_6</t>
  </si>
  <si>
    <t>individual_specialist_tfidf_5_easycategs_1.0_0.1_6</t>
  </si>
  <si>
    <t>individual_specialist_tfidf_5_easycategs_1.0_0.1_7</t>
  </si>
  <si>
    <t>individual_specialist_tfidf_5_awaitingsml_0.25_0.5_6</t>
  </si>
  <si>
    <t>individual_specialist_tfidf_5_awaitingsml_0.5_0.1_3</t>
  </si>
  <si>
    <t>individual_specialist_tfidf_5_easycategs_0.25_0.75_2</t>
  </si>
  <si>
    <t>individual_specialist_tfidf_5_easycategs_0.25_0.1_1</t>
  </si>
  <si>
    <t>individual_specialist_tfidf_5_easycategs_0.1_0.5_7</t>
  </si>
  <si>
    <t>individual_specialist_tfidf_5_awaitingsml_0.25_0.1_9</t>
  </si>
  <si>
    <t>individual_specialist_tfidf_5_easycategs_1.0_0.75_6</t>
  </si>
  <si>
    <t>individual_specialist_tfidf_5_awaitingsml_1.0_0.75_9</t>
  </si>
  <si>
    <t>individual_specialist_tfidf_5_easycategs_0.25_0.25_4</t>
  </si>
  <si>
    <t>individual_specialist_tfidf_5_easycategs_0.5_0.1_10</t>
  </si>
  <si>
    <t>individual_specialist_tfidf_5_easycategs_0.5_0.1_2</t>
  </si>
  <si>
    <t>individual_specialist_tfidf_5_awaitingsml_0.25_0.75_8</t>
  </si>
  <si>
    <t>individual_specialist_tfidf_5_easycategs_1.0_0.25_7</t>
  </si>
  <si>
    <t>individual_specialist_tfidf_5_awaitingsml_0.5_1.0_7</t>
  </si>
  <si>
    <t>individual_specialist_tfidf_5_easycategs_0.1_0.5_3</t>
  </si>
  <si>
    <t>individual_specialist_tfidf_5_easycategs_0.1_0.75_10</t>
  </si>
  <si>
    <t>individual_specialist_tfidf_5_easycategs_0.75_0.75_1</t>
  </si>
  <si>
    <t>individual_specialist_tfidf_5_awaitingsml_0.25_0.5_10</t>
  </si>
  <si>
    <t>individual_specialist_tfidf_5_awaitingsml_0.5_0.5_8</t>
  </si>
  <si>
    <t>individual_specialist_tfidf_5_awaitingsml_0.75_0.1_5</t>
  </si>
  <si>
    <t>individual_specialist_tfidf_5_easycategs_1.0_0.5_10</t>
  </si>
  <si>
    <t>individual_specialist_tfidf_5_awaitingsml_0.5_0.5_7</t>
  </si>
  <si>
    <t>individual_specialist_tfidf_5_easycategs_0.5_0.25_5</t>
  </si>
  <si>
    <t>individual_specialist_tfidf_5_easycategs_0.1_0.25_5</t>
  </si>
  <si>
    <t>individual_specialist_tfidf_5_awaitingsml_0.1_0.5_10</t>
  </si>
  <si>
    <t>individual_specialist_tfidf_5_easycategs_0.5_1.0_9</t>
  </si>
  <si>
    <t>individual_specialist_tfidf_5_awaitingsml_0.75_0.75_4</t>
  </si>
  <si>
    <t>individual_specialist_tfidf_5_easycategs_0.25_0.75_1</t>
  </si>
  <si>
    <t>individual_specialist_tfidf_5_easycategs_0.25_0.25_1</t>
  </si>
  <si>
    <t>individual_specialist_tfidf_5_awaitingsml_0.75_0.75_1</t>
  </si>
  <si>
    <t>individual_specialist_tfidf_5_easycategs_0.75_0.25_2</t>
  </si>
  <si>
    <t>individual_specialist_tfidf_5_awaitingsml_0.5_0.25_10</t>
  </si>
  <si>
    <t>individual_specialist_tfidf_5_easycategs_0.1_0.25_2</t>
  </si>
  <si>
    <t>individual_specialist_tfidf_5_easycategs_1.0_0.5_5</t>
  </si>
  <si>
    <t>individual_specialist_tfidf_5_awaitingsml_0.1_0.25_8</t>
  </si>
  <si>
    <t>individual_specialist_tfidf_5_easycategs_0.5_0.75_5</t>
  </si>
  <si>
    <t>individual_specialist_tfidf_5_easycategs_1.0_0.75_2</t>
  </si>
  <si>
    <t>individual_specialist_tfidf_5_easycategs_0.1_0.25_6</t>
  </si>
  <si>
    <t>individual_specialist_tfidf_5_easycategs_0.75_0.5_4</t>
  </si>
  <si>
    <t>individual_specialist_tfidf_5_awaitingsml_0.1_0.1_2</t>
  </si>
  <si>
    <t>individual_specialist_tfidf_5_awaitingsml_0.25_0.5_1</t>
  </si>
  <si>
    <t>individual_specialist_tfidf_5_priority12x3x4_0.1_0.1_2</t>
  </si>
  <si>
    <t>individual_specialist_tfidf_5_easycategs_0.25_1.0_3</t>
  </si>
  <si>
    <t>individual_specialist_tfidf_5_awaitingsml_0.1_0.1_10</t>
  </si>
  <si>
    <t>individual_specialist_tfidf_5_easycategs_0.1_0.25_1</t>
  </si>
  <si>
    <t>individual_specialist_tfidf_5_easycategs_1.0_0.1_2</t>
  </si>
  <si>
    <t>individual_specialist_tfidf_5_awaitingsml_0.25_0.75_3</t>
  </si>
  <si>
    <t>individual_specialist_tfidf_5_easycategs_0.75_0.25_4</t>
  </si>
  <si>
    <t>individual_specialist_tfidf_5_easycategs_0.5_1.0_7</t>
  </si>
  <si>
    <t>individual_specialist_tfidf_5_easycategs_0.25_0.1_9</t>
  </si>
  <si>
    <t>individual_specialist_tfidf_5_awaitingsml_1.0_0.5_10</t>
  </si>
  <si>
    <t>individual_specialist_tfidf_5_awaitingsml_0.75_0.75_10</t>
  </si>
  <si>
    <t>individual_specialist_tfidf_5_awaitingsml_0.75_1.0_8</t>
  </si>
  <si>
    <t>individual_specialist_tfidf_5_easycategs_0.5_0.1_5</t>
  </si>
  <si>
    <t>individual_specialist_tfidf_5_awaitingsml_0.1_0.5_7</t>
  </si>
  <si>
    <t>individual_specialist_tfidf_5_awaitingsml_0.75_1.0_10</t>
  </si>
  <si>
    <t>individual_specialist_tfidf_5_easycategs_0.75_0.25_10</t>
  </si>
  <si>
    <t>individual_specialist_tfidf_5_awaitingsml_1.0_0.75_8</t>
  </si>
  <si>
    <t>individual_specialist_tfidf_5_easycategs_0.1_0.75_2</t>
  </si>
  <si>
    <t>individual_specialist_tfidf_5_easycategs_0.1_0.1_9</t>
  </si>
  <si>
    <t>individual_specialist_tfidf_5_easycategs_0.5_1.0_5</t>
  </si>
  <si>
    <t>individual_specialist_tfidf_5_awaitingsml_0.5_0.1_6</t>
  </si>
  <si>
    <t>individual_specialist_tfidf_5_easycategs_0.25_0.25_5</t>
  </si>
  <si>
    <t>individual_specialist_tfidf_5_easycategs_0.1_0.1_4</t>
  </si>
  <si>
    <t>individual_specialist_tfidf_5_easycategs_1.0_0.75_10</t>
  </si>
  <si>
    <t>individual_specialist_tfidf_5_easycategs_0.25_0.1_3</t>
  </si>
  <si>
    <t>individual_specialist_tfidf_5_easycategs_0.5_0.1_4</t>
  </si>
  <si>
    <t>individual_specialist_tfidf_5_easycategs_0.25_1.0_1</t>
  </si>
  <si>
    <t>individual_specialist_tfidf_5_priority12x3x4_0.25_0.1_10</t>
  </si>
  <si>
    <t>individual_specialist_tfidf_5_easycategs_0.1_0.5_5</t>
  </si>
  <si>
    <t>individual_specialist_tfidf_5_awaitingsml_0.5_0.75_4</t>
  </si>
  <si>
    <t>individual_specialist_tfidf_5_awaitingsml_0.5_0.25_3</t>
  </si>
  <si>
    <t>individual_specialist_tfidf_5_easycategs_0.75_1.0_3</t>
  </si>
  <si>
    <t>individual_specialist_tfidf_5_easycategs_0.75_1.0_8</t>
  </si>
  <si>
    <t>individual_specialist_tfidf_5_easycategs_0.25_0.5_3</t>
  </si>
  <si>
    <t>individual_specialist_tfidf_5_easycategs_0.25_0.5_7</t>
  </si>
  <si>
    <t>individual_specialist_tfidf_5_easycategs_0.25_0.5_2</t>
  </si>
  <si>
    <t>individual_specialist_tfidf_5_easycategs_0.5_0.75_3</t>
  </si>
  <si>
    <t>individual_specialist_tfidf_5_awaitingsml_1.0_0.25_2</t>
  </si>
  <si>
    <t>individual_specialist_tfidf_5_priority12x3x4_0.1_0.25_5</t>
  </si>
  <si>
    <t>individual_specialist_tfidf_5_easycategs_0.1_0.1_1</t>
  </si>
  <si>
    <t>individual_specialist_tfidf_5_easycategs_0.25_0.5_4</t>
  </si>
  <si>
    <t>individual_specialist_tfidf_5_easycategs_0.25_0.25_9</t>
  </si>
  <si>
    <t>individual_specialist_tfidf_5_awaitingsml_0.25_0.5_2</t>
  </si>
  <si>
    <t>individual_specialist_tfidf_5_priority12x3x4_0.1_0.1_7</t>
  </si>
  <si>
    <t>individual_specialist_tfidf_5_easycategs_0.1_0.1_7</t>
  </si>
  <si>
    <t>individual_specialist_tfidf_5_easycategs_0.25_0.75_7</t>
  </si>
  <si>
    <t>individual_specialist_tfidf_5_awaitingsml_0.75_0.1_1</t>
  </si>
  <si>
    <t>individual_specialist_tfidf_5_awaitingsml_0.75_0.25_2</t>
  </si>
  <si>
    <t>individual_specialist_tfidf_5_awaitingsml_0.75_0.25_8</t>
  </si>
  <si>
    <t>individual_specialist_tfidf_5_easycategs_0.1_0.75_6</t>
  </si>
  <si>
    <t>individual_specialist_tfidf_5_awaitingsml_0.75_1.0_4</t>
  </si>
  <si>
    <t>individual_specialist_tfidf_5_easycategs_0.25_0.1_2</t>
  </si>
  <si>
    <t>individual_specialist_tfidf_5_awaitingsml_0.75_0.25_6</t>
  </si>
  <si>
    <t>individual_specialist_tfidf_5_awaitingsml_0.75_0.25_5</t>
  </si>
  <si>
    <t>individual_specialist_tfidf_5_awaitingsml_1.0_0.5_9</t>
  </si>
  <si>
    <t>individual_specialist_tfidf_5_easycategs_0.5_0.25_8</t>
  </si>
  <si>
    <t>individual_specialist_tfidf_5_easycategs_0.25_1.0_7</t>
  </si>
  <si>
    <t>individual_specialist_tfidf_5_easycategs_0.75_1.0_4</t>
  </si>
  <si>
    <t>individual_specialist_tfidf_5_priority12x3x4_1.0_0.1_4</t>
  </si>
  <si>
    <t>individual_specialist_tfidf_5_easycategs_0.5_0.5_6</t>
  </si>
  <si>
    <t>individual_specialist_tfidf_5_awaitingsml_0.75_0.75_8</t>
  </si>
  <si>
    <t>individual_specialist_tfidf_5_easycategs_0.25_1.0_8</t>
  </si>
  <si>
    <t>individual_specialist_tfidf_5_easycategs_1.0_0.25_2</t>
  </si>
  <si>
    <t>individual_specialist_tfidf_5_awaitingsml_0.75_0.1_8</t>
  </si>
  <si>
    <t>individual_specialist_tfidf_5_easycategs_0.75_0.1_3</t>
  </si>
  <si>
    <t>individual_specialist_tfidf_5_awaitingsml_1.0_0.5_7</t>
  </si>
  <si>
    <t>individual_specialist_tfidf_5_awaitingsml_0.25_0.1_1</t>
  </si>
  <si>
    <t>individual_specialist_tfidf_5_easycategs_1.0_0.5_4</t>
  </si>
  <si>
    <t>individual_specialist_tfidf_5_awaitingsml_0.1_0.1_1</t>
  </si>
  <si>
    <t>individual_specialist_tfidf_5_easycategs_1.0_0.1_10</t>
  </si>
  <si>
    <t>individual_specialist_tfidf_5_awaitingsml_0.5_0.25_8</t>
  </si>
  <si>
    <t>individual_specialist_tfidf_5_easycategs_0.25_1.0_2</t>
  </si>
  <si>
    <t>individual_specialist_tfidf_5_easycategs_0.5_0.25_6</t>
  </si>
  <si>
    <t>individual_specialist_tfidf_5_awaitingsml_1.0_0.25_10</t>
  </si>
  <si>
    <t>individual_specialist_tfidf_5_easycategs_0.75_0.75_2</t>
  </si>
  <si>
    <t>individual_specialist_tfidf_5_awaitingsml_1.0_1.0_1</t>
  </si>
  <si>
    <t>individual_specialist_tfidf_5_awaitingsml_0.5_0.75_3</t>
  </si>
  <si>
    <t>individual_specialist_tfidf_5_easycategs_1.0_0.1_8</t>
  </si>
  <si>
    <t>individual_specialist_tfidf_5_priority12x3x4_0.5_0.25_2</t>
  </si>
  <si>
    <t>individual_specialist_tfidf_5_awaitingsml_1.0_0.75_3</t>
  </si>
  <si>
    <t>individual_specialist_tfidf_5_easycategs_0.1_0.75_8</t>
  </si>
  <si>
    <t>individual_specialist_tfidf_5_easycategs_1.0_0.25_3</t>
  </si>
  <si>
    <t>individual_specialist_tfidf_5_easycategs_0.75_0.25_3</t>
  </si>
  <si>
    <t>individual_specialist_tfidf_5_easycategs_0.25_0.75_6</t>
  </si>
  <si>
    <t>individual_specialist_tfidf_5_easycategs_0.25_0.25_10</t>
  </si>
  <si>
    <t>individual_specialist_tfidf_5_awaitingsml_0.1_0.5_4</t>
  </si>
  <si>
    <t>individual_specialist_tfidf_5_easycategs_1.0_0.5_9</t>
  </si>
  <si>
    <t>individual_specialist_tfidf_5_easycategs_0.75_1.0_5</t>
  </si>
  <si>
    <t>individual_specialist_tfidf_5_awaitingsml_1.0_0.75_4</t>
  </si>
  <si>
    <t>individual_specialist_tfidf_5_priority12x3x4_0.25_0.25_7</t>
  </si>
  <si>
    <t>individual_specialist_tfidf_5_priority12x3x4_0.5_0.1_5</t>
  </si>
  <si>
    <t>individual_specialist_tfidf_5_awaitingsml_0.75_0.25_3</t>
  </si>
  <si>
    <t>individual_specialist_tfidf_5_awaitingsml_0.1_0.75_1</t>
  </si>
  <si>
    <t>individual_specialist_tfidf_5_easycategs_0.75_0.75_9</t>
  </si>
  <si>
    <t>individual_specialist_tfidf_5_awaitingsml_0.5_0.75_1</t>
  </si>
  <si>
    <t>individual_specialist_tfidf_5_easycategs_0.25_1.0_5</t>
  </si>
  <si>
    <t>individual_specialist_tfidf_5_awaitingsml_1.0_1.0_3</t>
  </si>
  <si>
    <t>individual_specialist_tfidf_5_awaitingsml_0.1_0.25_4</t>
  </si>
  <si>
    <t>individual_specialist_tfidf_5_easycategs_1.0_0.25_5</t>
  </si>
  <si>
    <t>individual_specialist_tfidf_5_priority12x3x4_0.75_0.25_9</t>
  </si>
  <si>
    <t>individual_specialist_tfidf_5_easycategs_1.0_1.0_3</t>
  </si>
  <si>
    <t>individual_specialist_tfidf_5_easycategs_0.75_0.75_3</t>
  </si>
  <si>
    <t>individual_specialist_tfidf_5_awaitingsml_0.1_0.1_7</t>
  </si>
  <si>
    <t>individual_specialist_tfidf_5_easycategs_0.75_0.1_2</t>
  </si>
  <si>
    <t>individual_specialist_tfidf_5_awaitingsml_0.25_0.1_2</t>
  </si>
  <si>
    <t>individual_specialist_tfidf_5_easycategs_0.1_0.75_9</t>
  </si>
  <si>
    <t>individual_specialist_tfidf_5_awaitingsml_0.25_0.25_9</t>
  </si>
  <si>
    <t>individual_specialist_tfidf_5_easycategs_0.75_0.1_5</t>
  </si>
  <si>
    <t>individual_specialist_tfidf_5_easycategs_0.75_0.1_4</t>
  </si>
  <si>
    <t>individual_specialist_tfidf_5_awaitingsml_0.5_0.1_9</t>
  </si>
  <si>
    <t>individual_specialist_tfidf_5_easycategs_0.75_1.0_1</t>
  </si>
  <si>
    <t>individual_specialist_tfidf_5_easycategs_0.75_0.75_6</t>
  </si>
  <si>
    <t>individual_specialist_tfidf_5_awaitingsml_0.5_0.5_2</t>
  </si>
  <si>
    <t>individual_specialist_tfidf_5_easycategs_1.0_1.0_2</t>
  </si>
  <si>
    <t>individual_specialist_tfidf_5_easycategs_0.75_0.1_8</t>
  </si>
  <si>
    <t>individual_specialist_tfidf_5_easycategs_0.25_0.25_8</t>
  </si>
  <si>
    <t>individual_specialist_tfidf_5_awaitingsml_0.1_0.25_2</t>
  </si>
  <si>
    <t>individual_specialist_tfidf_5_awaitingsml_0.5_0.5_3</t>
  </si>
  <si>
    <t>individual_specialist_tfidf_5_priority12x3x4_0.25_0.1_4</t>
  </si>
  <si>
    <t>individual_specialist_tfidf_5_easycategs_1.0_0.5_1</t>
  </si>
  <si>
    <t>individual_specialist_tfidf_5_priority12x3x4_0.25_0.1_2</t>
  </si>
  <si>
    <t>individual_specialist_tfidf_5_easycategs_0.5_1.0_6</t>
  </si>
  <si>
    <t>individual_specialist_tfidf_5_awaitingsml_0.1_0.25_3</t>
  </si>
  <si>
    <t>individual_specialist_tfidf_5_easycategs_0.25_0.75_8</t>
  </si>
  <si>
    <t>individual_specialist_tfidf_5_awaitingsml_0.1_0.5_3</t>
  </si>
  <si>
    <t>individual_specialist_tfidf_5_awaitingsml_1.0_0.25_9</t>
  </si>
  <si>
    <t>individual_specialist_tfidf_5_priority12x3x4_1.0_0.25_9</t>
  </si>
  <si>
    <t>individual_specialist_tfidf_5_priority12x3x4_1.0_0.25_6</t>
  </si>
  <si>
    <t>individual_specialist_tfidf_5_easycategs_1.0_0.25_9</t>
  </si>
  <si>
    <t>individual_specialist_tfidf_5_easycategs_0.25_0.75_4</t>
  </si>
  <si>
    <t>individual_specialist_tfidf_5_easycategs_0.75_0.5_1</t>
  </si>
  <si>
    <t>individual_specialist_tfidf_5_awaitingsml_1.0_0.1_10</t>
  </si>
  <si>
    <t>individual_specialist_tfidf_5_easycategs_1.0_0.5_7</t>
  </si>
  <si>
    <t>individual_specialist_tfidf_5_awaitingsml_0.1_0.75_9</t>
  </si>
  <si>
    <t>individual_specialist_tfidf_5_awaitingsml_0.75_0.1_6</t>
  </si>
  <si>
    <t>individual_specialist_tfidf_5_awaitingsml_0.1_1.0_1</t>
  </si>
  <si>
    <t>individual_specialist_tfidf_5_easycategs_0.75_1.0_2</t>
  </si>
  <si>
    <t>individual_specialist_tfidf_5_awaitingsml_0.25_1.0_2</t>
  </si>
  <si>
    <t>individual_specialist_tfidf_5_awaitingsml_1.0_0.75_2</t>
  </si>
  <si>
    <t>individual_specialist_tfidf_5_easycategs_1.0_0.1_3</t>
  </si>
  <si>
    <t>individual_specialist_tfidf_5_easycategs_1.0_0.5_3</t>
  </si>
  <si>
    <t>individual_specialist_tfidf_5_awaitingsml_0.1_0.25_6</t>
  </si>
  <si>
    <t>easycategs</t>
  </si>
  <si>
    <t>individual_specialist_tfidf_5_awaitingsml_0.1_1.0_5</t>
  </si>
  <si>
    <t>individual_specialist_tfidf_5_easycategs_0.75_0.5_6</t>
  </si>
  <si>
    <t>individual_specialist_tfidf_5_awaitingsml_1.0_0.5_5</t>
  </si>
  <si>
    <t>individual_specialist_tfidf_5_priority12x3x4_0.5_0.5_8</t>
  </si>
  <si>
    <t>individual_specialist_tfidf_5_awaitingsml_0.25_0.1_3</t>
  </si>
  <si>
    <t>individual_specialist_tfidf_5_priority12x3x4_0.25_0.5_9</t>
  </si>
  <si>
    <t>individual_specialist_tfidf_5_easycategs_0.1_1.0_4</t>
  </si>
  <si>
    <t>individual_specialist_tfidf_5_awaitingsml_0.25_0.1_4</t>
  </si>
  <si>
    <t>individual_specialist_tfidf_5_easycategs_0.1_1.0_3</t>
  </si>
  <si>
    <t>individual_specialist_tfidf_5_easycategs_1.0_0.1_1</t>
  </si>
  <si>
    <t>individual_specialist_tfidf_5_easycategs_0.75_0.75_5</t>
  </si>
  <si>
    <t>individual_specialist_tfidf_5_awaitingsml_1.0_1.0_7</t>
  </si>
  <si>
    <t>individual_specialist_tfidf_5_easycategs_1.0_0.25_1</t>
  </si>
  <si>
    <t>individual_specialist_tfidf_5_easycategs_0.75_0.5_8</t>
  </si>
  <si>
    <t>individual_specialist_tfidf_5_awaitingsml_1.0_0.5_3</t>
  </si>
  <si>
    <t>individual_specialist_tfidf_5_priority12x3x4_0.1_0.75_2</t>
  </si>
  <si>
    <t>individual_specialist_tfidf_5_easycategs_0.5_0.5_10</t>
  </si>
  <si>
    <t>individual_specialist_tfidf_5_awaitingsml_0.25_0.75_10</t>
  </si>
  <si>
    <t>individual_specialist_tfidf_5_easycategs_0.75_1.0_6</t>
  </si>
  <si>
    <t>individual_specialist_tfidf_5_awaitingsml_0.75_0.1_4</t>
  </si>
  <si>
    <t>individual_specialist_tfidf_5_easycategs_0.25_0.25_2</t>
  </si>
  <si>
    <t>individual_specialist_tfidf_5_priority12x3x4_0.1_1.0_6</t>
  </si>
  <si>
    <t>individual_specialist_tfidf_5_easycategs_0.1_1.0_7</t>
  </si>
  <si>
    <t>individual_specialist_tfidf_5_awaitingsml_1.0_0.25_3</t>
  </si>
  <si>
    <t>individual_specialist_tfidf_5_priority12x3x4_0.1_0.25_8</t>
  </si>
  <si>
    <t>individual_specialist_tfidf_5_awaitingsml_0.1_0.75_4</t>
  </si>
  <si>
    <t>individual_specialist_tfidf_5_awaitingsml_1.0_0.1_6</t>
  </si>
  <si>
    <t>individual_specialist_tfidf_5_awaitingsml_0.25_0.25_5</t>
  </si>
  <si>
    <t>individual_specialist_tfidf_5_easycategs_0.5_1.0_1</t>
  </si>
  <si>
    <t>individual_specialist_tfidf_5_awaitingsml_0.1_0.1_6</t>
  </si>
  <si>
    <t>individual_specialist_tfidf_5_easycategs_1.0_0.75_4</t>
  </si>
  <si>
    <t>individual_specialist_tfidf_5_awaitingsml_0.5_0.75_6</t>
  </si>
  <si>
    <t>individual_specialist_tfidf_5_awaitingsml_0.1_0.5_6</t>
  </si>
  <si>
    <t>individual_specialist_tfidf_5_easycategs_0.1_0.5_2</t>
  </si>
  <si>
    <t>individual_specialist_tfidf_5_priority12x3x4_1.0_0.1_2</t>
  </si>
  <si>
    <t>individual_specialist_tfidf_5_easycategs_0.5_1.0_10</t>
  </si>
  <si>
    <t>individual_specialist_tfidf_5_easycategs_0.75_1.0_9</t>
  </si>
  <si>
    <t>individual_specialist_tfidf_5_priority12x3x4_0.1_0.1_4</t>
  </si>
  <si>
    <t>individual_specialist_tfidf_5_easycategs_0.5_0.25_4</t>
  </si>
  <si>
    <t>individual_specialist_tfidf_5_awaitingsml_0.1_0.1_4</t>
  </si>
  <si>
    <t>individual_specialist_tfidf_5_easycategs_0.75_0.5_5</t>
  </si>
  <si>
    <t>individual_specialist_tfidf_5_priority12x3x4_1.0_0.25_2</t>
  </si>
  <si>
    <t>individual_specialist_tfidf_5_awaitingsml_0.1_0.5_1</t>
  </si>
  <si>
    <t>individual_specialist_tfidf_5_easycategs_0.1_0.1_10</t>
  </si>
  <si>
    <t>individual_specialist_tfidf_5_easycategs_0.75_0.25_6</t>
  </si>
  <si>
    <t>individual_specialist_tfidf_5_awaitingsml_1.0_0.5_6</t>
  </si>
  <si>
    <t>individual_specialist_tfidf_5_easycategs_0.1_0.1_2</t>
  </si>
  <si>
    <t>individual_specialist_tfidf_5_priority12x3x4_0.5_0.5_3</t>
  </si>
  <si>
    <t>individual_specialist_tfidf_5_awaitingsml_0.5_1.0_5</t>
  </si>
  <si>
    <t>individual_specialist_tfidf_5_awaitingsml_1.0_1.0_8</t>
  </si>
  <si>
    <t>individual_specialist_tfidf_5_easycategs_0.75_0.5_9</t>
  </si>
  <si>
    <t>individual_specialist_tfidf_5_easycategs_0.1_1.0_6</t>
  </si>
  <si>
    <t>individual_specialist_tfidf_5_awaitingsml_0.5_0.25_5</t>
  </si>
  <si>
    <t>individual_specialist_tfidf_5_priority12x3x4_0.1_0.1_9</t>
  </si>
  <si>
    <t>individual_specialist_tfidf_5_priority12x3x4_0.25_1.0_1</t>
  </si>
  <si>
    <t>individual_specialist_tfidf_5_easycategs_0.1_1.0_10</t>
  </si>
  <si>
    <t>individual_specialist_tfidf_5_priority12x3x4_0.75_0.1_7</t>
  </si>
  <si>
    <t>individual_specialist_tfidf_5_easycategs_0.5_0.25_1</t>
  </si>
  <si>
    <t>individual_specialist_tfidf_5_awaitingsml_0.1_1.0_4</t>
  </si>
  <si>
    <t>individual_specialist_tfidf_5_priority12x3x4_0.5_0.25_6</t>
  </si>
  <si>
    <t>individual_specialist_tfidf_5_awaitingsml_0.25_0.25_6</t>
  </si>
  <si>
    <t>individual_specialist_tfidf_5_awaitingsml_0.5_0.25_7</t>
  </si>
  <si>
    <t>individual_specialist_tfidf_5_easycategs_1.0_1.0_6</t>
  </si>
  <si>
    <t>individual_specialist_tfidf_5_awaitingsml_0.5_0.25_4</t>
  </si>
  <si>
    <t>individual_specialist_tfidf_5_easycategs_0.25_0.1_4</t>
  </si>
  <si>
    <t>individual_specialist_tfidf_5_priority12x3x4_0.1_1.0_1</t>
  </si>
  <si>
    <t>individual_specialist_tfidf_5_easycategs_1.0_1.0_7</t>
  </si>
  <si>
    <t>individual_specialist_tfidf_5_awaitingsml_0.75_0.25_4</t>
  </si>
  <si>
    <t>individual_specialist_tfidf_5_easycategs_0.1_0.75_1</t>
  </si>
  <si>
    <t>individual_specialist_tfidf_5_awaitingsml_0.25_0.75_5</t>
  </si>
  <si>
    <t>individual_specialist_tfidf_5_awaitingsml_0.1_0.75_6</t>
  </si>
  <si>
    <t>individual_specialist_tfidf_5_priority12x3x4_0.1_0.25_6</t>
  </si>
  <si>
    <t>individual_specialist_tfidf_5_awaitingsml_0.5_0.1_1</t>
  </si>
  <si>
    <t>individual_specialist_tfidf_5_awaitingsml_1.0_0.1_9</t>
  </si>
  <si>
    <t>individual_specialist_tfidf_5_easycategs_0.25_0.75_3</t>
  </si>
  <si>
    <t>individual_specialist_tfidf_5_awaitingsml_0.1_1.0_9</t>
  </si>
  <si>
    <t>individual_specialist_tfidf_5_awaitingsml_0.25_0.25_7</t>
  </si>
  <si>
    <t>individual_specialist_tfidf_5_priority12x3x4_0.75_0.1_2</t>
  </si>
  <si>
    <t>individual_specialist_tfidf_5_easycategs_0.1_0.25_10</t>
  </si>
  <si>
    <t>individual_specialist_tfidf_5_awaitingsml_1.0_1.0_4</t>
  </si>
  <si>
    <t>individual_specialist_tfidf_5_awaitingsml_0.25_1.0_8</t>
  </si>
  <si>
    <t>individual_specialist_tfidf_5_priority12x3x4_1.0_0.25_10</t>
  </si>
  <si>
    <t>individual_specialist_tfidf_5_awaitingsml_0.5_0.5_4</t>
  </si>
  <si>
    <t>individual_specialist_tfidf_5_awaitingsml_1.0_0.25_4</t>
  </si>
  <si>
    <t>individual_specialist_tfidf_5_priority12x3x4_0.1_0.25_9</t>
  </si>
  <si>
    <t>individual_specialist_tfidf_5_priority12x3x4_0.1_0.5_10</t>
  </si>
  <si>
    <t>individual_specialist_tfidf_5_priority12x3x4_0.1_0.1_1</t>
  </si>
  <si>
    <t>individual_specialist_tfidf_5_priority12x3x4_0.1_0.5_8</t>
  </si>
  <si>
    <t>individual_specialist_tfidf_5_awaitingsml_0.25_0.25_1</t>
  </si>
  <si>
    <t>individual_specialist_tfidf_5_priority12x3x4_0.1_0.75_9</t>
  </si>
  <si>
    <t>individual_specialist_tfidf_5_priority12x3x4_0.1_0.5_6</t>
  </si>
  <si>
    <t>individual_specialist_tfidf_5_easycategs_0.75_0.1_1</t>
  </si>
  <si>
    <t>individual_specialist_tfidf_5_easycategs_0.25_0.25_6</t>
  </si>
  <si>
    <t>individual_specialist_tfidf_5_easycategs_0.75_0.75_4</t>
  </si>
  <si>
    <t>individual_specialist_tfidf_5_priority12x3x4_1.0_0.25_4</t>
  </si>
  <si>
    <t>individual_specialist_tfidf_5_awaitingsml_0.25_0.5_3</t>
  </si>
  <si>
    <t>individual_specialist_tfidf_5_easycategs_0.1_0.5_10</t>
  </si>
  <si>
    <t>individual_specialist_tfidf_5_easycategs_0.75_1.0_10</t>
  </si>
  <si>
    <t>individual_specialist_tfidf_5_priority12x3x4_0.25_1.0_10</t>
  </si>
  <si>
    <t>individual_specialist_tfidf_5_awaitingsml_0.5_0.1_4</t>
  </si>
  <si>
    <t>individual_specialist_tfidf_5_awaitingsml_1.0_1.0_6</t>
  </si>
  <si>
    <t>individual_specialist_tfidf_5_awaitingsml_0.75_1.0_9</t>
  </si>
  <si>
    <t>individual_specialist_tfidf_5_priority12x3x4_0.75_0.25_1</t>
  </si>
  <si>
    <t>individual_specialist_tfidf_5_awaitingsml_1.0_1.0_9</t>
  </si>
  <si>
    <t>individual_specialist_tfidf_5_awaitingsml_0.25_0.25_8</t>
  </si>
  <si>
    <t>individual_specialist_tfidf_5_easycategs_1.0_0.5_6</t>
  </si>
  <si>
    <t>individual_specialist_tfidf_5_awaitingsml_0.25_0.25_2</t>
  </si>
  <si>
    <t>individual_specialist_tfidf_5_priority12x3x4_1.0_0.1_7</t>
  </si>
  <si>
    <t>individual_specialist_tfidf_5_easycategs_0.25_0.1_7</t>
  </si>
  <si>
    <t>individual_specialist_tfidf_5_priority12x3x4_0.5_0.5_4</t>
  </si>
  <si>
    <t>individual_specialist_tfidf_5_priority12x3x4_0.25_0.1_9</t>
  </si>
  <si>
    <t>individual_specialist_tfidf_5_easycategs_1.0_0.1_9</t>
  </si>
  <si>
    <t>individual_specialist_tfidf_5_easycategs_0.25_0.1_8</t>
  </si>
  <si>
    <t>individual_specialist_tfidf_5_easycategs_0.25_0.5_6</t>
  </si>
  <si>
    <t>individual_specialist_tfidf_5_priority12x3x4_0.25_0.25_3</t>
  </si>
  <si>
    <t>individual_specialist_tfidf_5_priority12x3x4_0.1_1.0_4</t>
  </si>
  <si>
    <t>individual_specialist_tfidf_5_priority12x3x4_0.75_0.75_2</t>
  </si>
  <si>
    <t>individual_specialist_tfidf_5_awaitingsml_0.1_0.75_5</t>
  </si>
  <si>
    <t>individual_specialist_tfidf_5_priority12x3x4_0.25_0.25_5</t>
  </si>
  <si>
    <t>individual_specialist_tfidf_5_priority12x3x4_0.25_0.25_4</t>
  </si>
  <si>
    <t>individual_specialist_tfidf_5_priority12x3x4_0.1_0.1_10</t>
  </si>
  <si>
    <t>individual_specialist_tfidf_5_priority12x3x4_1.0_0.25_7</t>
  </si>
  <si>
    <t>individual_specialist_tfidf_5_easycategs_0.1_0.75_5</t>
  </si>
  <si>
    <t>individual_specialist_tfidf_5_awaitingsml_0.1_1.0_3</t>
  </si>
  <si>
    <t>individual_specialist_tfidf_5_awaitingsml_0.75_0.1_9</t>
  </si>
  <si>
    <t>individual_specialist_tfidf_5_easycategs_0.5_0.25_3</t>
  </si>
  <si>
    <t>individual_specialist_tfidf_5_priority12x3x4_0.1_1.0_8</t>
  </si>
  <si>
    <t>individual_specialist_tfidf_5_priority12x3x4_0.25_0.75_9</t>
  </si>
  <si>
    <t>individual_specialist_tfidf_5_easycategs_0.5_0.5_1</t>
  </si>
  <si>
    <t>individual_specialist_tfidf_5_priority12x3x4_0.1_0.1_6</t>
  </si>
  <si>
    <t>individual_specialist_tfidf_5_awaitingsml_0.25_1.0_10</t>
  </si>
  <si>
    <t>individual_specialist_tfidf_5_awaitingsml_0.25_0.5_4</t>
  </si>
  <si>
    <t>individual_specialist_tfidf_5_priority12x3x4_0.25_0.5_2</t>
  </si>
  <si>
    <t>individual_specialist_tfidf_5_priority12x3x4_0.25_1.0_3</t>
  </si>
  <si>
    <t>individual_specialist_tfidf_5_priority12x3x4_0.1_0.25_7</t>
  </si>
  <si>
    <t>individual_specialist_tfidf_5_priority12x3x4_0.25_0.1_7</t>
  </si>
  <si>
    <t>individual_specialist_tfidf_5_awaitingsml_0.75_0.75_7</t>
  </si>
  <si>
    <t>individual_specialist_tfidf_5_awaitingsml_0.5_0.75_2</t>
  </si>
  <si>
    <t>individual_specialist_tfidf_5_easycategs_0.5_1.0_2</t>
  </si>
  <si>
    <t>individual_specialist_tfidf_5_awaitingsml_0.1_0.1_9</t>
  </si>
  <si>
    <t>individual_specialist_tfidf_5_priority12x3x4_0.1_0.1_5</t>
  </si>
  <si>
    <t>individual_specialist_tfidf_5_easycategs_0.25_1.0_4</t>
  </si>
  <si>
    <t>individual_specialist_tfidf_5_priority12x3x4_0.5_0.25_7</t>
  </si>
  <si>
    <t>individual_specialist_tfidf_5_priority12x3x4_0.5_0.25_9</t>
  </si>
  <si>
    <t>individual_specialist_tfidf_5_priority12x3x4_0.5_0.5_1</t>
  </si>
  <si>
    <t>individual_specialist_tfidf_5_easycategs_0.5_0.1_3</t>
  </si>
  <si>
    <t>individual_specialist_tfidf_5_awaitingsml_0.75_0.5_6</t>
  </si>
  <si>
    <t>individual_specialist_tfidf_5_awaitingsml_0.25_0.25_4</t>
  </si>
  <si>
    <t>individual_specialist_tfidf_5_priority12x3x4_0.25_0.75_7</t>
  </si>
  <si>
    <t>individual_specialist_tfidf_5_awaitingsml_0.5_0.75_10</t>
  </si>
  <si>
    <t>individual_specialist_tfidf_5_priority12x3x4_0.1_0.25_4</t>
  </si>
  <si>
    <t>individual_specialist_tfidf_5_priority12x3x4_0.25_1.0_7</t>
  </si>
  <si>
    <t>individual_specialist_tfidf_5_priority12x3x4_0.25_0.25_9</t>
  </si>
  <si>
    <t>individual_specialist_tfidf_5_priority12x3x4_0.75_0.5_5</t>
  </si>
  <si>
    <t>individual_specialist_tfidf_5_easycategs_1.0_0.75_1</t>
  </si>
  <si>
    <t>individual_specialist_tfidf_5_easycategs_0.5_0.1_7</t>
  </si>
  <si>
    <t>individual_specialist_tfidf_5_priority12x3x4_0.1_1.0_7</t>
  </si>
  <si>
    <t>individual_specialist_tfidf_5_priority12x3x4_1.0_0.25_5</t>
  </si>
  <si>
    <t>individual_specialist_tfidf_5_easycategs_0.75_0.1_6</t>
  </si>
  <si>
    <t>individual_specialist_tfidf_5_awaitingsml_0.75_0.5_8</t>
  </si>
  <si>
    <t>individual_specialist_tfidf_5_easycategs_0.25_0.5_10</t>
  </si>
  <si>
    <t>individual_specialist_tfidf_5_priority12x3x4_0.5_0.1_10</t>
  </si>
  <si>
    <t>individual_specialist_tfidf_5_easycategs_0.25_0.75_5</t>
  </si>
  <si>
    <t>individual_specialist_tfidf_5_easycategs_1.0_0.75_7</t>
  </si>
  <si>
    <t>individual_specialist_tfidf_5_awaitingsml_1.0_0.1_3</t>
  </si>
  <si>
    <t>individual_specialist_tfidf_5_awaitingsml_0.5_0.5_1</t>
  </si>
  <si>
    <t>individual_specialist_tfidf_5_easycategs_0.25_0.75_10</t>
  </si>
  <si>
    <t>individual_specialist_tfidf_5_easycategs_0.5_0.1_9</t>
  </si>
  <si>
    <t>individual_specialist_tfidf_5_awaitingsml_0.5_1.0_2</t>
  </si>
  <si>
    <t>individual_specialist_tfidf_5_easycategs_0.75_0.75_10</t>
  </si>
  <si>
    <t>individual_specialist_tfidf_5_easycategs_1.0_0.25_6</t>
  </si>
  <si>
    <t>individual_specialist_tfidf_5_awaitingsml_1.0_0.75_6</t>
  </si>
  <si>
    <t>individual_specialist_tfidf_5_easycategs_0.5_0.5_5</t>
  </si>
  <si>
    <t>individual_specialist_tfidf_5_priority12x3x4_0.5_1.0_5</t>
  </si>
  <si>
    <t>individual_specialist_tfidf_5_easycategs_0.75_0.25_7</t>
  </si>
  <si>
    <t>individual_specialist_tfidf_5_easycategs_0.25_0.1_5</t>
  </si>
  <si>
    <t>individual_specialist_tfidf_5_priority12x3x4_0.5_1.0_1</t>
  </si>
  <si>
    <t>individual_specialist_tfidf_5_awaitingsml_0.25_0.75_7</t>
  </si>
  <si>
    <t>individual_specialist_tfidf_5_easycategs_0.75_0.75_7</t>
  </si>
  <si>
    <t>individual_specialist_tfidf_5_easycategs_0.25_0.5_9</t>
  </si>
  <si>
    <t>individual_specialist_tfidf_5_awaitingsml_1.0_0.25_1</t>
  </si>
  <si>
    <t>individual_specialist_tfidf_5_easycategs_1.0_1.0_8</t>
  </si>
  <si>
    <t>individual_specialist_tfidf_5_easycategs_1.0_0.1_5</t>
  </si>
  <si>
    <t>individual_specialist_tfidf_5_easycategs_1.0_0.25_8</t>
  </si>
  <si>
    <t>individual_specialist_tfidf_5_easycategs_0.5_0.1_1</t>
  </si>
  <si>
    <t>individual_specialist_tfidf_5_easycategs_1.0_0.75_5</t>
  </si>
  <si>
    <t>individual_specialist_tfidf_5_priority12x3x4_1.0_0.1_9</t>
  </si>
  <si>
    <t>individual_specialist_tfidf_5_awaitingsml_0.1_0.75_3</t>
  </si>
  <si>
    <t>individual_specialist_tfidf_5_awaitingsml_0.25_0.1_8</t>
  </si>
  <si>
    <t>individual_specialist_tfidf_5_priority12x3x4_1.0_0.5_9</t>
  </si>
  <si>
    <t>individual_specialist_tfidf_5_awaitingsml_1.0_1.0_2</t>
  </si>
  <si>
    <t>individual_specialist_tfidf_5_priority12x3x4_0.1_0.75_8</t>
  </si>
  <si>
    <t>individual_specialist_tfidf_5_priority12x3x4_0.25_0.75_3</t>
  </si>
  <si>
    <t>individual_specialist_tfidf_5_priority12x3x4_0.25_1.0_4</t>
  </si>
  <si>
    <t>individual_specialist_tfidf_5_priority12x3x4_0.1_0.25_1</t>
  </si>
  <si>
    <t>individual_specialist_tfidf_5_awaitingsml_0.75_0.5_7</t>
  </si>
  <si>
    <t>individual_specialist_tfidf_5_priority12x3x4_0.75_0.1_6</t>
  </si>
  <si>
    <t>individual_specialist_tfidf_5_priority12x3x4_0.75_0.1_9</t>
  </si>
  <si>
    <t>individual_specialist_tfidf_5_priority12x3x4_0.1_0.1_8</t>
  </si>
  <si>
    <t>individual_specialist_tfidf_5_priority12x3x4_0.25_0.25_2</t>
  </si>
  <si>
    <t>individual_specialist_tfidf_5_awaitingsml_0.25_1.0_5</t>
  </si>
  <si>
    <t>individual_specialist_tfidf_5_priority12x3x4_0.25_0.1_5</t>
  </si>
  <si>
    <t>individual_specialist_tfidf_5_easycategs_1.0_0.5_8</t>
  </si>
  <si>
    <t>individual_specialist_tfidf_5_priority12x3x4_0.1_0.75_7</t>
  </si>
  <si>
    <t>individual_specialist_tfidf_5_easycategs_1.0_1.0_5</t>
  </si>
  <si>
    <t>individual_specialist_tfidf_5_awaitingsml_0.25_1.0_1</t>
  </si>
  <si>
    <t>individual_specialist_tfidf_5_easycategs_0.5_0.75_1</t>
  </si>
  <si>
    <t>individual_specialist_tfidf_5_priority12x3x4_0.1_0.5_4</t>
  </si>
  <si>
    <t>individual_specialist_tfidf_5_awaitingsml_0.25_1.0_6</t>
  </si>
  <si>
    <t>individual_specialist_tfidf_5_awaitingsml_1.0_0.1_7</t>
  </si>
  <si>
    <t>individual_specialist_tfidf_5_easycategs_1.0_0.75_9</t>
  </si>
  <si>
    <t>individual_specialist_tfidf_5_easycategs_0.25_1.0_9</t>
  </si>
  <si>
    <t>individual_specialist_tfidf_5_easycategs_0.5_0.75_2</t>
  </si>
  <si>
    <t>individual_specialist_tfidf_5_priority12x3x4_0.5_0.5_2</t>
  </si>
  <si>
    <t>individual_specialist_tfidf_5_awaitingsml_0.25_0.25_3</t>
  </si>
  <si>
    <t>individual_specialist_tfidf_5_easycategs_0.25_0.25_7</t>
  </si>
  <si>
    <t>individual_specialist_tfidf_5_easycategs_0.25_0.5_5</t>
  </si>
  <si>
    <t>individual_specialist_tfidf_5_awaitingsml_0.1_0.1_3</t>
  </si>
  <si>
    <t>individual_specialist_tfidf_5_easycategs_0.1_0.25_3</t>
  </si>
  <si>
    <t>individual_specialist_tfidf_5_easycategs_1.0_1.0_10</t>
  </si>
  <si>
    <t>individual_specialist_tfidf_5_easycategs_0.75_0.25_9</t>
  </si>
  <si>
    <t>individual_specialist_tfidf_5_priority12x3x4_0.75_0.1_1</t>
  </si>
  <si>
    <t>individual_specialist_tfidf_5_priority12x3x4_0.75_0.1_8</t>
  </si>
  <si>
    <t>individual_specialist_tfidf_5_awaitingsml_1.0_1.0_5</t>
  </si>
  <si>
    <t>individual_specialist_tfidf_5_priority12x3x4_0.25_0.5_10</t>
  </si>
  <si>
    <t>individual_specialist_tfidf_5_priority12x3x4_0.75_1.0_7</t>
  </si>
  <si>
    <t>individual_specialist_tfidf_5_priority12x3x4_0.75_1.0_9</t>
  </si>
  <si>
    <t>individual_specialist_tfidf_5_priority12x3x4_0.75_1.0_10</t>
  </si>
  <si>
    <t>individual_specialist_tfidf_5_priority12x3x4_0.75_1.0_1</t>
  </si>
  <si>
    <t>individual_specialist_tfidf_5_easycategs_0.5_0.75_7</t>
  </si>
  <si>
    <t>individual_specialist_tfidf_5_priority12x3x4_1.0_0.1_1</t>
  </si>
  <si>
    <t>individual_specialist_tfidf_5_easycategs_0.75_0.1_10</t>
  </si>
  <si>
    <t>individual_specialist_tfidf_5_awaitingsml_0.5_1.0_10</t>
  </si>
  <si>
    <t>individual_specialist_tfidf_5_priority12x3x4_0.5_0.5_6</t>
  </si>
  <si>
    <t>individual_specialist_tfidf_5_awaitingsml_0.5_0.75_5</t>
  </si>
  <si>
    <t>individual_specialist_tfidf_5_priority12x3x4_0.25_0.25_1</t>
  </si>
  <si>
    <t>individual_specialist_tfidf_5_awaitingsml_0.5_0.25_9</t>
  </si>
  <si>
    <t>individual_specialist_tfidf_5_awaitingsml_0.5_0.75_8</t>
  </si>
  <si>
    <t>individual_specialist_tfidf_5_awaitingsml_0.75_1.0_6</t>
  </si>
  <si>
    <t>individual_specialist_tfidf_5_easycategs_0.75_0.5_3</t>
  </si>
  <si>
    <t>individual_specialist_tfidf_5_easycategs_0.1_0.5_1</t>
  </si>
  <si>
    <t>individual_specialist_tfidf_5_priority12x3x4_0.75_1.0_5</t>
  </si>
  <si>
    <t>individual_specialist_tfidf_5_awaitingsml_0.75_0.75_2</t>
  </si>
  <si>
    <t>individual_specialist_tfidf_5_priority12x3x4_0.5_0.5_10</t>
  </si>
  <si>
    <t>individual_specialist_tfidf_5_easycategs_0.1_0.1_8</t>
  </si>
  <si>
    <t>individual_specialist_tfidf_5_priority12x3x4_1.0_0.1_3</t>
  </si>
  <si>
    <t>individual_specialist_tfidf_5_priority12x3x4_0.25_0.75_5</t>
  </si>
  <si>
    <t>individual_specialist_tfidf_5_easycategs_0.25_1.0_6</t>
  </si>
  <si>
    <t>individual_specialist_tfidf_5_priority12x3x4_0.25_0.1_1</t>
  </si>
  <si>
    <t>individual_specialist_tfidf_5_priority12x3x4_0.75_0.5_3</t>
  </si>
  <si>
    <t>priority12x3x4</t>
  </si>
  <si>
    <t>individual_specialist_tfidf_5_awaitingsml_0.75_1.0_2</t>
  </si>
  <si>
    <t>individual_specialist_tfidf_5_priority12x3x4_0.25_0.75_1</t>
  </si>
  <si>
    <t>individual_specialist_tfidf_5_awaitingsml_0.75_0.25_10</t>
  </si>
  <si>
    <t>individual_specialist_tfidf_5_easycategs_0.1_0.25_9</t>
  </si>
  <si>
    <t>individual_specialist_tfidf_5_awaitingsml_0.1_0.75_7</t>
  </si>
  <si>
    <t>individual_specialist_tfidf_5_easycategs_0.1_0.1_3</t>
  </si>
  <si>
    <t>individual_specialist_tfidf_5_priority12x3x4_0.1_0.75_4</t>
  </si>
  <si>
    <t>individual_specialist_tfidf_5_awaitingsml_0.5_0.25_2</t>
  </si>
  <si>
    <t>individual_specialist_tfidf_5_awaitingsml_0.75_0.5_4</t>
  </si>
  <si>
    <t>individual_specialist_tfidf_5_easycategs_1.0_1.0_9</t>
  </si>
  <si>
    <t>individual_specialist_tfidf_5_priority12x3x4_0.25_0.25_6</t>
  </si>
  <si>
    <t>individual_specialist_tfidf_5_priority12x3x4_0.1_0.5_9</t>
  </si>
  <si>
    <t>individual_specialist_tfidf_5_priority12x3x4_0.25_1.0_6</t>
  </si>
  <si>
    <t>individual_specialist_tfidf_5_easycategs_0.5_0.75_10</t>
  </si>
  <si>
    <t>individual_specialist_tfidf_5_priority12x3x4_0.1_0.25_3</t>
  </si>
  <si>
    <t>individual_specialist_tfidf_5_easycategs_0.5_0.25_2</t>
  </si>
  <si>
    <t>individual_specialist_tfidf_5_priority12x3x4_0.25_0.5_8</t>
  </si>
  <si>
    <t>individual_specialist_tfidf_5_priority12x3x4_1.0_0.5_5</t>
  </si>
  <si>
    <t>individual_specialist_tfidf_5_priority12x3x4_0.1_1.0_3</t>
  </si>
  <si>
    <t>individual_specialist_tfidf_5_awaitingsml_1.0_0.75_5</t>
  </si>
  <si>
    <t>individual_specialist_tfidf_5_easycategs_0.75_0.5_10</t>
  </si>
  <si>
    <t>individual_specialist_tfidf_5_easycategs_0.5_0.75_4</t>
  </si>
  <si>
    <t>individual_specialist_tfidf_5_priority12x3x4_0.25_0.75_10</t>
  </si>
  <si>
    <t>individual_specialist_tfidf_5_easycategs_0.5_1.0_8</t>
  </si>
  <si>
    <t>individual_specialist_tfidf_5_awaitingsml_0.1_0.75_10</t>
  </si>
  <si>
    <t>individual_specialist_tfidf_5_awaitingsml_1.0_0.1_4</t>
  </si>
  <si>
    <t>individual_specialist_tfidf_5_priority12x3x4_0.1_0.25_10</t>
  </si>
  <si>
    <t>individual_specialist_tfidf_5_priority12x3x4_0.25_0.25_10</t>
  </si>
  <si>
    <t>individual_specialist_tfidf_5_priority12x3x4_1.0_0.1_10</t>
  </si>
  <si>
    <t>individual_specialist_tfidf_5_easycategs_0.5_0.1_6</t>
  </si>
  <si>
    <t>individual_specialist_tfidf_5_priority12x3x4_0.25_0.5_5</t>
  </si>
  <si>
    <t>individual_specialist_tfidf_5_easycategs_0.75_0.25_5</t>
  </si>
  <si>
    <t>individual_specialist_tfidf_5_easycategs_0.5_1.0_3</t>
  </si>
  <si>
    <t>individual_specialist_tfidf_5_priority12x3x4_1.0_0.25_3</t>
  </si>
  <si>
    <t>individual_specialist_tfidf_5_priority12x3x4_0.1_0.75_3</t>
  </si>
  <si>
    <t>individual_specialist_tfidf_5_awaitingsml_0.75_0.75_9</t>
  </si>
  <si>
    <t>individual_specialist_tfidf_5_priority12x3x4_0.1_0.75_1</t>
  </si>
  <si>
    <t>individual_specialist_tfidf_5_easycategs_1.0_1.0_1</t>
  </si>
  <si>
    <t>individual_specialist_tfidf_5_easycategs_0.5_0.1_8</t>
  </si>
  <si>
    <t>individual_specialist_tfidf_5_awaitingsml_0.75_0.1_3</t>
  </si>
  <si>
    <t>individual_specialist_tfidf_5_awaitingsml_0.1_0.5_5</t>
  </si>
  <si>
    <t>individual_specialist_tfidf_5_priority12x3x4_0.5_1.0_8</t>
  </si>
  <si>
    <t>individual_specialist_tfidf_5_easycategs_0.75_1.0_7</t>
  </si>
  <si>
    <t>individual_specialist_tfidf_5_easycategs_0.5_0.75_9</t>
  </si>
  <si>
    <t>individual_specialist_tfidf_5_easycategs_0.25_0.1_6</t>
  </si>
  <si>
    <t>individual_specialist_tfidf_5_easycategs_0.5_0.25_9</t>
  </si>
  <si>
    <t>individual_specialist_tfidf_5_awaitingsml_0.25_1.0_9</t>
  </si>
  <si>
    <t>individual_specialist_tfidf_5_priority12x3x4_0.25_0.75_6</t>
  </si>
  <si>
    <t>individual_specialist_tfidf_5_priority12x3x4_0.1_1.0_9</t>
  </si>
  <si>
    <t>individual_specialist_tfidf_5_awaitingsml_0.75_1.0_5</t>
  </si>
  <si>
    <t>individual_specialist_tfidf_5_awaitingsml_0.1_1.0_6</t>
  </si>
  <si>
    <t>individual_specialist_tfidf_5_priority12x3x4_1.0_0.75_6</t>
  </si>
  <si>
    <t>individual_specialist_tfidf_5_easycategs_1.0_0.5_2</t>
  </si>
  <si>
    <t>individual_specialist_tfidf_5_priority12x3x4_0.75_1.0_6</t>
  </si>
  <si>
    <t>individual_specialist_tfidf_5_awaitingsml_0.25_0.5_8</t>
  </si>
  <si>
    <t>individual_specialist_tfidf_5_awaitingsml_0.75_0.25_7</t>
  </si>
  <si>
    <t>individual_specialist_tfidf_5_easycategs_0.5_0.75_6</t>
  </si>
  <si>
    <t>individual_specialist_tfidf_5_priority12x3x4_0.5_0.1_1</t>
  </si>
  <si>
    <t>individual_specialist_tfidf_5_easycategs_0.75_0.25_1</t>
  </si>
  <si>
    <t>individual_specialist_tfidf_5_awaitingsml_1.0_0.1_5</t>
  </si>
  <si>
    <t>individual_specialist_tfidf_5_priority12x3x4_0.75_0.25_3</t>
  </si>
  <si>
    <t>individual_specialist_tfidf_5_easycategs_0.5_0.5_3</t>
  </si>
  <si>
    <t>individual_specialist_tfidf_5_easycategs_0.5_0.75_8</t>
  </si>
  <si>
    <t>individual_specialist_tfidf_5_priority12x3x4_0.75_0.5_9</t>
  </si>
  <si>
    <t>individual_specialist_tfidf_5_priority12x3x4_0.5_0.1_9</t>
  </si>
  <si>
    <t>individual_specialist_tfidf_5_priority12x3x4_0.5_0.1_6</t>
  </si>
  <si>
    <t>individual_specialist_tfidf_5_awaitingsml_0.1_1.0_2</t>
  </si>
  <si>
    <t>individual_specialist_tfidf_5_priority12x3x4_0.5_0.5_7</t>
  </si>
  <si>
    <t>individual_specialist_tfidf_5_easycategs_0.5_0.25_7</t>
  </si>
  <si>
    <t>individual_specialist_tfidf_5_awaitingsml_0.5_0.75_9</t>
  </si>
  <si>
    <t>individual_specialist_tfidf_5_easycategs_0.5_0.5_2</t>
  </si>
  <si>
    <t>individual_specialist_tfidf_5_awaitingsml_0.75_0.5_10</t>
  </si>
  <si>
    <t>individual_specialist_tfidf_5_awaitingsml_0.75_0.25_9</t>
  </si>
  <si>
    <t>individual_specialist_tfidf_5_awaitingsml_0.75_0.75_3</t>
  </si>
  <si>
    <t>individual_specialist_tfidf_5_awaitingsml_0.5_1.0_6</t>
  </si>
  <si>
    <t>individual_specialist_tfidf_5_awaitingsml_0.25_0.1_10</t>
  </si>
  <si>
    <t>individual_specialist_tfidf_5_priority12x3x4_0.1_1.0_5</t>
  </si>
  <si>
    <t>individual_specialist_tfidf_5_priority12x3x4_0.75_0.25_8</t>
  </si>
  <si>
    <t>individual_specialist_tfidf_5_priority12x3x4_0.1_0.75_10</t>
  </si>
  <si>
    <t>individual_specialist_tfidf_5_priority12x3x4_1.0_0.1_5</t>
  </si>
  <si>
    <t>individual_specialist_tfidf_5_priority12x3x4_0.25_0.75_8</t>
  </si>
  <si>
    <t>individual_specialist_tfidf_5_easycategs_0.25_1.0_10</t>
  </si>
  <si>
    <t>individual_specialist_tfidf_5_priority12x3x4_0.5_0.75_4</t>
  </si>
  <si>
    <t>individual_specialist_tfidf_5_priority12x3x4_1.0_0.25_8</t>
  </si>
  <si>
    <t>individual_specialist_tfidf_5_awaitingsml_1.0_0.25_8</t>
  </si>
  <si>
    <t>individual_specialist_tfidf_5_easycategs_0.5_0.5_8</t>
  </si>
  <si>
    <t>individual_specialist_tfidf_5_awaitingsml_1.0_1.0_10</t>
  </si>
  <si>
    <t>individual_specialist_tfidf_5_awaitingsml_0.75_0.25_1</t>
  </si>
  <si>
    <t>individual_specialist_tfidf_5_priority12x3x4_0.1_0.5_2</t>
  </si>
  <si>
    <t>individual_specialist_tfidf_5_awaitingsml_1.0_0.25_5</t>
  </si>
  <si>
    <t>individual_specialist_tfidf_5_awaitingsml_1.0_0.5_1</t>
  </si>
  <si>
    <t>individual_specialist_tfidf_5_priority12x3x4_1.0_0.25_1</t>
  </si>
  <si>
    <t>individual_specialist_tfidf_5_priority12x3x4_0.5_1.0_7</t>
  </si>
  <si>
    <t>individual_specialist_tfidf_5_priority12x3x4_0.5_1.0_10</t>
  </si>
  <si>
    <t>individual_specialist_tfidf_5_awaitingsml_0.1_0.1_5</t>
  </si>
  <si>
    <t>individual_specialist_tfidf_5_priority12x3x4_0.1_0.5_1</t>
  </si>
  <si>
    <t>individual_specialist_tfidf_5_priority12x3x4_0.5_0.5_5</t>
  </si>
  <si>
    <t>individual_specialist_tfidf_5_priority12x3x4_0.75_0.1_5</t>
  </si>
  <si>
    <t>individual_specialist_tfidf_5_easycategs_0.5_1.0_4</t>
  </si>
  <si>
    <t>individual_specialist_tfidf_5_priority12x3x4_0.5_0.75_3</t>
  </si>
  <si>
    <t>individual_specialist_tfidf_5_priority12x3x4_1.0_0.75_5</t>
  </si>
  <si>
    <t>individual_specialist_tfidf_5_awaitingsml_0.25_1.0_4</t>
  </si>
  <si>
    <t>individual_specialist_tfidf_5_awaitingsml_0.5_0.5_10</t>
  </si>
  <si>
    <t>individual_specialist_tfidf_5_awaitingsml_0.25_0.75_9</t>
  </si>
  <si>
    <t>individual_specialist_tfidf_5_awaitingsml_0.25_0.25_10</t>
  </si>
  <si>
    <t>individual_specialist_tfidf_5_awaitingsml_1.0_0.5_4</t>
  </si>
  <si>
    <t>individual_specialist_tfidf_5_priority12x3x4_0.75_0.5_4</t>
  </si>
  <si>
    <t>individual_specialist_tfidf_5_priority12x3x4_1.0_0.75_3</t>
  </si>
  <si>
    <t>individual_specialist_tfidf_5_awaitingsml_0.25_0.75_2</t>
  </si>
  <si>
    <t>individual_specialist_tfidf_5_awaitingsml_1.0_0.25_7</t>
  </si>
  <si>
    <t>individual_specialist_tfidf_5_priority12x3x4_0.75_0.25_5</t>
  </si>
  <si>
    <t>individual_specialist_tfidf_5_awaitingsml_0.25_0.1_7</t>
  </si>
  <si>
    <t>individual_specialist_tfidf_5_awaitingsml_1.0_0.1_2</t>
  </si>
  <si>
    <t>individual_specialist_tfidf_5_priority12x3x4_0.25_0.75_2</t>
  </si>
  <si>
    <t>individual_specialist_tfidf_5_awaitingsml_0.75_0.1_7</t>
  </si>
  <si>
    <t>individual_specialist_tfidf_5_priority12x3x4_0.75_0.5_1</t>
  </si>
  <si>
    <t>individual_specialist_tfidf_5_awaitingsml_0.5_1.0_8</t>
  </si>
  <si>
    <t>individual_specialist_tfidf_5_awaitingsml_0.5_0.1_2</t>
  </si>
  <si>
    <t>individual_specialist_tfidf_5_easycategs_1.0_0.25_10</t>
  </si>
  <si>
    <t>individual_specialist_tfidf_5_priority12x3x4_0.1_1.0_10</t>
  </si>
  <si>
    <t>individual_specialist_tfidf_5_priority12x3x4_0.25_1.0_2</t>
  </si>
  <si>
    <t>individual_specialist_tfidf_5_priority12x3x4_0.75_0.75_3</t>
  </si>
  <si>
    <t>individual_specialist_tfidf_5_awaitingsml_0.5_1.0_9</t>
  </si>
  <si>
    <t>individual_specialist_tfidf_5_easycategs_0.1_0.25_8</t>
  </si>
  <si>
    <t>individual_specialist_tfidf_5_priority12x3x4_1.0_0.5_10</t>
  </si>
  <si>
    <t>individual_specialist_tfidf_5_awaitingsml_0.75_1.0_3</t>
  </si>
  <si>
    <t>individual_specialist_tfidf_5_priority12x3x4_0.5_0.75_6</t>
  </si>
  <si>
    <t>individual_specialist_tfidf_5_priority12x3x4_0.25_0.5_1</t>
  </si>
  <si>
    <t>individual_specialist_tfidf_5_priority12x3x4_0.75_0.5_2</t>
  </si>
  <si>
    <t>individual_specialist_tfidf_5_priority12x3x4_0.75_0.5_6</t>
  </si>
  <si>
    <t>individual_specialist_tfidf_5_priority12x3x4_0.5_0.25_4</t>
  </si>
  <si>
    <t>individual_specialist_tfidf_5_awaitingsml_1.0_0.75_10</t>
  </si>
  <si>
    <t>individual_specialist_tfidf_5_priority12x3x4_0.75_0.1_4</t>
  </si>
  <si>
    <t>individual_specialist_tfidf_5_priority12x3x4_0.75_0.75_1</t>
  </si>
  <si>
    <t>individual_specialist_tfidf_5_priority12x3x4_0.25_0.1_8</t>
  </si>
  <si>
    <t>individual_specialist_tfidf_5_priority12x3x4_0.1_0.5_5</t>
  </si>
  <si>
    <t>individual_specialist_tfidf_5_priority12x3x4_0.1_0.25_2</t>
  </si>
  <si>
    <t>individual_specialist_tfidf_5_awaitingsml_0.1_0.25_7</t>
  </si>
  <si>
    <t>individual_specialist_tfidf_5_easycategs_0.25_0.75_9</t>
  </si>
  <si>
    <t>individual_specialist_tfidf_5_priority12x3x4_0.75_0.25_2</t>
  </si>
  <si>
    <t>individual_specialist_tfidf_5_awaitingsml_1.0_0.1_8</t>
  </si>
  <si>
    <t>individual_specialist_tfidf_5_awaitingsml_0.5_0.5_6</t>
  </si>
  <si>
    <t>individual_specialist_tfidf_5_priority12x3x4_0.1_0.5_7</t>
  </si>
  <si>
    <t>individual_specialist_tfidf_5_awaitingsml_0.75_0.5_9</t>
  </si>
  <si>
    <t>individual_specialist_tfidf_5_priority12x3x4_1.0_1.0_2</t>
  </si>
  <si>
    <t>individual_specialist_tfidf_5_awaitingsml_0.5_1.0_4</t>
  </si>
  <si>
    <t>individual_specialist_tfidf_5_awaitingsml_0.1_0.5_8</t>
  </si>
  <si>
    <t>individual_specialist_tfidf_5_priority12x3x4_0.25_1.0_5</t>
  </si>
  <si>
    <t>individual_specialist_tfidf_5_priority12x3x4_0.5_0.25_5</t>
  </si>
  <si>
    <t>individual_specialist_tfidf_5_awaitingsml_0.1_0.25_5</t>
  </si>
  <si>
    <t>individual_specialist_tfidf_5_priority12x3x4_0.75_0.75_9</t>
  </si>
  <si>
    <t>individual_specialist_tfidf_5_priority12x3x4_0.75_0.75_5</t>
  </si>
  <si>
    <t>individual_specialist_tfidf_5_priority12x3x4_0.75_1.0_3</t>
  </si>
  <si>
    <t>individual_specialist_tfidf_5_priority12x3x4_0.25_0.25_8</t>
  </si>
  <si>
    <t>individual_specialist_tfidf_5_priority12x3x4_1.0_0.75_10</t>
  </si>
  <si>
    <t>individual_specialist_tfidf_5_priority12x3x4_1.0_0.75_9</t>
  </si>
  <si>
    <t>individual_specialist_tfidf_5_easycategs_0.1_1.0_5</t>
  </si>
  <si>
    <t>individual_specialist_tfidf_5_priority12x3x4_0.5_0.25_1</t>
  </si>
  <si>
    <t>individual_specialist_tfidf_5_priority12x3x4_0.75_0.1_3</t>
  </si>
  <si>
    <t>individual_specialist_tfidf_5_awaitingsml_1.0_0.5_2</t>
  </si>
  <si>
    <t>individual_specialist_tfidf_5_priority12x3x4_0.1_0.75_6</t>
  </si>
  <si>
    <t>individual_specialist_tfidf_5_awaitingsml_0.5_0.1_8</t>
  </si>
  <si>
    <t>individual_specialist_tfidf_5_priority12x3x4_0.75_0.25_4</t>
  </si>
  <si>
    <t>individual_specialist_tfidf_5_priority12x3x4_0.5_1.0_2</t>
  </si>
  <si>
    <t>individual_specialist_tfidf_5_priority12x3x4_0.75_0.5_10</t>
  </si>
  <si>
    <t>individual_specialist_tfidf_5_priority12x3x4_0.25_0.1_6</t>
  </si>
  <si>
    <t>individual_specialist_tfidf_5_priority12x3x4_0.75_0.1_10</t>
  </si>
  <si>
    <t>individual_specialist_tfidf_5_awaitingsml_0.1_0.25_10</t>
  </si>
  <si>
    <t>individual_specialist_tfidf_5_priority12x3x4_0.1_1.0_2</t>
  </si>
  <si>
    <t>individual_specialist_tfidf_5_priority12x3x4_1.0_0.1_6</t>
  </si>
  <si>
    <t>individual_specialist_tfidf_5_priority12x3x4_0.1_0.5_3</t>
  </si>
  <si>
    <t>individual_specialist_tfidf_5_easycategs_1.0_0.25_4</t>
  </si>
  <si>
    <t>individual_specialist_tfidf_5_easycategs_0.25_0.25_3</t>
  </si>
  <si>
    <t>individual_specialist_tfidf_5_awaitingsml_0.5_0.5_5</t>
  </si>
  <si>
    <t>individual_specialist_tfidf_5_priority12x3x4_0.25_0.5_3</t>
  </si>
  <si>
    <t>individual_specialist_tfidf_5_priority12x3x4_0.5_0.1_2</t>
  </si>
  <si>
    <t>individual_specialist_tfidf_5_easycategs_0.1_0.1_5</t>
  </si>
  <si>
    <t>individual_specialist_tfidf_5_priority12x3x4_1.0_0.75_4</t>
  </si>
  <si>
    <t>individual_specialist_tfidf_5_awaitingsml_1.0_0.75_7</t>
  </si>
  <si>
    <t>individual_specialist_tfidf_5_awaitingsml_0.25_0.5_5</t>
  </si>
  <si>
    <t>individual_specialist_tfidf_5_priority12x3x4_0.75_0.75_7</t>
  </si>
  <si>
    <t>individual_specialist_tfidf_5_priority12x3x4_0.5_1.0_9</t>
  </si>
  <si>
    <t>individual_specialist_tfidf_5_priority12x3x4_0.25_0.1_3</t>
  </si>
  <si>
    <t>individual_specialist_tfidf_5_priority12x3x4_0.5_0.1_4</t>
  </si>
  <si>
    <t>individual_specialist_tfidf_5_priority12x3x4_0.5_0.75_1</t>
  </si>
  <si>
    <t>individual_specialist_tfidf_5_priority12x3x4_0.75_0.5_7</t>
  </si>
  <si>
    <t>individual_specialist_tfidf_5_priority12x3x4_0.5_1.0_4</t>
  </si>
  <si>
    <t>individual_specialist_tfidf_5_priority12x3x4_0.75_0.75_8</t>
  </si>
  <si>
    <t>individual_specialist_tfidf_5_priority12x3x4_0.5_0.75_10</t>
  </si>
  <si>
    <t>individual_specialist_tfidf_5_priority12x3x4_1.0_0.75_2</t>
  </si>
  <si>
    <t>individual_specialist_tfidf_5_priority12x3x4_0.75_0.5_8</t>
  </si>
  <si>
    <t>individual_specialist_tfidf_5_priority12x3x4_0.5_0.75_7</t>
  </si>
  <si>
    <t>individual_specialist_tfidf_5_priority12x3x4_0.5_1.0_6</t>
  </si>
  <si>
    <t>individual_specialist_tfidf_5_awaitingsml_0.75_0.5_2</t>
  </si>
  <si>
    <t>individual_specialist_tfidf_5_awaitingsml_0.75_0.75_5</t>
  </si>
  <si>
    <t>individual_specialist_tfidf_5_priority12x3x4_0.5_0.75_5</t>
  </si>
  <si>
    <t>individual_specialist_tfidf_5_priority12x3x4_1.0_0.75_7</t>
  </si>
  <si>
    <t>individual_specialist_tfidf_5_priority12x3x4_0.5_0.1_3</t>
  </si>
  <si>
    <t>individual_specialist_tfidf_5_awaitingsml_0.1_0.5_2</t>
  </si>
  <si>
    <t>individual_specialist_tfidf_5_priority12x3x4_0.75_0.75_6</t>
  </si>
  <si>
    <t>individual_specialist_tfidf_5_priority12x3x4_0.1_0.1_3</t>
  </si>
  <si>
    <t>individual_specialist_tfidf_5_awaitingsml_0.75_0.75_6</t>
  </si>
  <si>
    <t>individual_specialist_tfidf_5_priority12x3x4_0.5_0.75_9</t>
  </si>
  <si>
    <t>individual_specialist_tfidf_5_priority12x3x4_0.5_0.75_8</t>
  </si>
  <si>
    <t>individual_specialist_tfidf_5_priority12x3x4_0.5_0.25_10</t>
  </si>
  <si>
    <t>individual_specialist_tfidf_5_priority12x3x4_1.0_0.1_8</t>
  </si>
  <si>
    <t>individual_specialist_tfidf_5_priority12x3x4_1.0_0.75_8</t>
  </si>
  <si>
    <t>individual_specialist_tfidf_5_priority12x3x4_1.0_0.75_1</t>
  </si>
  <si>
    <t>individual_specialist_tfidf_5_priority12x3x4_0.25_0.5_4</t>
  </si>
  <si>
    <t>individual_specialist_tfidf_5_priority12x3x4_0.75_0.25_6</t>
  </si>
  <si>
    <t>individual_specialist_tfidf_5_awaitingsml_0.25_1.0_7</t>
  </si>
  <si>
    <t>individual_specialist_tfidf_5_priority12x3x4_1.0_1.0_5</t>
  </si>
  <si>
    <t>individual_specialist_tfidf_5_priority12x3x4_0.25_0.5_7</t>
  </si>
  <si>
    <t>individual_specialist_tfidf_5_priority12x3x4_1.0_0.5_4</t>
  </si>
  <si>
    <t>individual_specialist_tfidf_5_priority12x3x4_0.5_0.1_7</t>
  </si>
  <si>
    <t>individual_specialist_tfidf_5_priority12x3x4_1.0_0.5_2</t>
  </si>
  <si>
    <t>individual_specialist_tfidf_5_awaitingsml_1.0_0.5_8</t>
  </si>
  <si>
    <t>individual_specialist_tfidf_5_priority12x3x4_1.0_1.0_4</t>
  </si>
  <si>
    <t>individual_specialist_tfidf_5_priority12x3x4_0.75_0.75_4</t>
  </si>
  <si>
    <t>individual_specialist_tfidf_5_priority12x3x4_1.0_0.5_1</t>
  </si>
  <si>
    <t>individual_specialist_tfidf_5_easycategs_0.1_1.0_2</t>
  </si>
  <si>
    <t>individual_specialist_tfidf_5_priority12x3x4_1.0_0.5_8</t>
  </si>
  <si>
    <t>individual_specialist_tfidf_5_priority12x3x4_0.5_0.5_9</t>
  </si>
  <si>
    <t>individual_specialist_tfidf_5_priority12x3x4_0.5_0.25_3</t>
  </si>
  <si>
    <t>individual_specialist_tfidf_5_priority12x3x4_1.0_1.0_3</t>
  </si>
  <si>
    <t>individual_specialist_tfidf_5_priority12x3x4_0.75_1.0_4</t>
  </si>
  <si>
    <t>individual_specialist_tfidf_5_priority12x3x4_1.0_0.5_7</t>
  </si>
  <si>
    <t>individual_specialist_tfidf_5_priority12x3x4_0.5_0.75_2</t>
  </si>
  <si>
    <t>individual_specialist_tfidf_5_priority12x3x4_0.25_0.5_6</t>
  </si>
  <si>
    <t>individual_specialist_tfidf_5_priority12x3x4_1.0_1.0_1</t>
  </si>
  <si>
    <t>individual_specialist_tfidf_5_priority12x3x4_0.75_1.0_2</t>
  </si>
  <si>
    <t>individual_specialist_tfidf_5_priority12x3x4_0.5_1.0_3</t>
  </si>
  <si>
    <t>individual_specialist_tfidf_5_priority12x3x4_0.25_0.75_4</t>
  </si>
  <si>
    <t>individual_specialist_tfidf_5_priority12x3x4_0.75_0.75_10</t>
  </si>
  <si>
    <t>individual_specialist_tfidf_5_priority12x3x4_0.75_0.25_10</t>
  </si>
  <si>
    <t>individual_specialist_tfidf_5_priority12x3x4_0.75_0.25_7</t>
  </si>
  <si>
    <t>individual_specialist_tfidf_5_priority12x3x4_0.5_0.1_8</t>
  </si>
  <si>
    <t>individual_specialist_tfidf_5_priority12x3x4_1.0_1.0_10</t>
  </si>
  <si>
    <t>individual_specialist_tfidf_5_priority12x3x4_1.0_1.0_6</t>
  </si>
  <si>
    <t>individual_specialist_tfidf_5_priority12x3x4_0.25_1.0_8</t>
  </si>
  <si>
    <t>individual_specialist_tfidf_5_priority12x3x4_1.0_1.0_9</t>
  </si>
  <si>
    <t>individual_specialist_tfidf_5_priority12x3x4_1.0_1.0_8</t>
  </si>
  <si>
    <t>individual_specialist_tfidf_5_priority12x3x4_1.0_1.0_7</t>
  </si>
  <si>
    <t>individual_specialist_tfidf_5_priority12x3x4_0.25_1.0_9</t>
  </si>
  <si>
    <t>individual_specialist_tfidf_5_priority12x3x4_0.5_0.25_8</t>
  </si>
  <si>
    <t>individual_specialist_tfidf_5_priority12x3x4_0.75_1.0_8</t>
  </si>
  <si>
    <t>individual_specialist_tfidf_5_priority12x3x4_0.1_0.75_5</t>
  </si>
  <si>
    <t>constraint_type</t>
  </si>
  <si>
    <t>constraint_kind</t>
  </si>
  <si>
    <t>unique_perc</t>
  </si>
  <si>
    <t>rep_perc</t>
  </si>
  <si>
    <t>count_datapoints</t>
  </si>
  <si>
    <t>count_constraints</t>
  </si>
  <si>
    <t>ml</t>
  </si>
  <si>
    <t>cl</t>
  </si>
  <si>
    <t>Time data</t>
  </si>
  <si>
    <t>Time data grouped runs</t>
  </si>
  <si>
    <t>constraints_attribute</t>
  </si>
  <si>
    <t>constraints_type</t>
  </si>
  <si>
    <t>unique%</t>
  </si>
  <si>
    <t>rep%</t>
  </si>
  <si>
    <t>count_involved_datapoints</t>
  </si>
  <si>
    <t>Constraints Type</t>
  </si>
  <si>
    <t>Unique %</t>
  </si>
  <si>
    <t>Rep %</t>
  </si>
  <si>
    <t>%s</t>
  </si>
  <si>
    <t>Median</t>
  </si>
  <si>
    <t>Std</t>
  </si>
  <si>
    <t>MAX of cluster's silhouette_mean</t>
  </si>
  <si>
    <t>Data to bar graph and boxplot</t>
  </si>
  <si>
    <t>constrains_type_attrib</t>
  </si>
  <si>
    <t>COUNT</t>
  </si>
  <si>
    <t>AVG</t>
  </si>
  <si>
    <t>MIN</t>
  </si>
  <si>
    <t>MAX</t>
  </si>
  <si>
    <t>Q1</t>
  </si>
  <si>
    <t>Q3</t>
  </si>
  <si>
    <t>THRESHOLD SILHOUETTE MEAN</t>
  </si>
  <si>
    <t>Acima do limiar</t>
  </si>
  <si>
    <t>Acima do limiar com desvio baixo</t>
  </si>
  <si>
    <t>Acima do limiar com desvio alto</t>
  </si>
  <si>
    <t>Abaixo do limiar</t>
  </si>
  <si>
    <t>group</t>
  </si>
  <si>
    <t>MAPE_SET</t>
  </si>
  <si>
    <t>RMSPE_SET</t>
  </si>
  <si>
    <t>start</t>
  </si>
  <si>
    <t>end</t>
  </si>
  <si>
    <t>Mean</t>
  </si>
  <si>
    <t>RMSPE_MSET</t>
  </si>
  <si>
    <t>RMSPE_SEQ</t>
  </si>
  <si>
    <t>MAPE_MSET</t>
  </si>
  <si>
    <t>MAPE_SEQ</t>
  </si>
  <si>
    <t>run1_awaitingsml_0.1unique_0.1rep-group_0</t>
  </si>
  <si>
    <t>run1_awaitingsml_0.1unique_0.1rep-group_1</t>
  </si>
  <si>
    <t>run1_awaitingsml_0.1unique_0.1rep-group_2</t>
  </si>
  <si>
    <t>run1_awaitingsml_0.1unique_0.1rep-group_3</t>
  </si>
  <si>
    <t>run1_awaitingsml_0.1unique_0.1rep-group_4</t>
  </si>
  <si>
    <t>run1_awaitingsml_0.1unique_0.25rep-group_0</t>
  </si>
  <si>
    <t>run1_awaitingsml_0.1unique_0.25rep-group_1</t>
  </si>
  <si>
    <t>run1_awaitingsml_0.1unique_0.25rep-group_2</t>
  </si>
  <si>
    <t>run1_awaitingsml_0.1unique_0.25rep-group_3</t>
  </si>
  <si>
    <t>run1_awaitingsml_0.1unique_0.25rep-group_4</t>
  </si>
  <si>
    <t>run1_awaitingsml_0.1unique_0.5rep-group_0</t>
  </si>
  <si>
    <t>run1_awaitingsml_0.1unique_0.5rep-group_1</t>
  </si>
  <si>
    <t>run1_awaitingsml_0.1unique_0.5rep-group_2</t>
  </si>
  <si>
    <t>run1_awaitingsml_0.1unique_0.5rep-group_3</t>
  </si>
  <si>
    <t>run1_awaitingsml_0.1unique_0.5rep-group_4</t>
  </si>
  <si>
    <t>run1_awaitingsml_0.1unique_0.75rep-group_0</t>
  </si>
  <si>
    <t>run1_awaitingsml_0.1unique_0.75rep-group_1</t>
  </si>
  <si>
    <t>run1_awaitingsml_0.1unique_0.75rep-group_2</t>
  </si>
  <si>
    <t>run1_awaitingsml_0.1unique_0.75rep-group_3</t>
  </si>
  <si>
    <t>run1_awaitingsml_0.1unique_0.75rep-group_4</t>
  </si>
  <si>
    <t>run1_awaitingsml_0.1unique_1.0rep-group_0</t>
  </si>
  <si>
    <t>run1_awaitingsml_0.1unique_1.0rep-group_1</t>
  </si>
  <si>
    <t>run1_awaitingsml_0.1unique_1.0rep-group_2</t>
  </si>
  <si>
    <t>run1_awaitingsml_0.1unique_1.0rep-group_3</t>
  </si>
  <si>
    <t>run1_awaitingsml_0.1unique_1.0rep-group_4</t>
  </si>
  <si>
    <t>run1_awaitingsml_0.25unique_0.1rep-group_0</t>
  </si>
  <si>
    <t>run1_awaitingsml_0.25unique_0.1rep-group_1</t>
  </si>
  <si>
    <t>run1_awaitingsml_0.25unique_0.1rep-group_2</t>
  </si>
  <si>
    <t>run1_awaitingsml_0.25unique_0.1rep-group_3</t>
  </si>
  <si>
    <t>run1_awaitingsml_0.25unique_0.1rep-group_4</t>
  </si>
  <si>
    <t>run1_awaitingsml_0.25unique_0.25rep-group_0</t>
  </si>
  <si>
    <t>run1_awaitingsml_0.25unique_0.25rep-group_1</t>
  </si>
  <si>
    <t>run1_awaitingsml_0.25unique_0.25rep-group_2</t>
  </si>
  <si>
    <t>run1_awaitingsml_0.25unique_0.25rep-group_3</t>
  </si>
  <si>
    <t>run1_awaitingsml_0.25unique_0.25rep-group_4</t>
  </si>
  <si>
    <t>run1_awaitingsml_0.25unique_0.5rep-group_0</t>
  </si>
  <si>
    <t>run1_awaitingsml_0.25unique_0.5rep-group_1</t>
  </si>
  <si>
    <t>run1_awaitingsml_0.25unique_0.5rep-group_2</t>
  </si>
  <si>
    <t>run1_awaitingsml_0.25unique_0.5rep-group_3</t>
  </si>
  <si>
    <t>run1_awaitingsml_0.25unique_0.5rep-group_4</t>
  </si>
  <si>
    <t>run1_awaitingsml_0.25unique_0.75rep-group_0</t>
  </si>
  <si>
    <t>run1_awaitingsml_0.25unique_0.75rep-group_1</t>
  </si>
  <si>
    <t>run1_awaitingsml_0.25unique_0.75rep-group_2</t>
  </si>
  <si>
    <t>run1_awaitingsml_0.25unique_0.75rep-group_3</t>
  </si>
  <si>
    <t>run1_awaitingsml_0.25unique_0.75rep-group_4</t>
  </si>
  <si>
    <t>run1_awaitingsml_0.25unique_1.0rep-group_0</t>
  </si>
  <si>
    <t>run1_awaitingsml_0.25unique_1.0rep-group_1</t>
  </si>
  <si>
    <t>run1_awaitingsml_0.25unique_1.0rep-group_2</t>
  </si>
  <si>
    <t>run1_awaitingsml_0.25unique_1.0rep-group_3</t>
  </si>
  <si>
    <t>run1_awaitingsml_0.25unique_1.0rep-group_4</t>
  </si>
  <si>
    <t>run1_awaitingsml_0.5unique_0.1rep-group_0</t>
  </si>
  <si>
    <t>run1_awaitingsml_0.5unique_0.1rep-group_1</t>
  </si>
  <si>
    <t>run1_awaitingsml_0.5unique_0.1rep-group_2</t>
  </si>
  <si>
    <t>run1_awaitingsml_0.5unique_0.1rep-group_3</t>
  </si>
  <si>
    <t>run1_awaitingsml_0.5unique_0.1rep-group_4</t>
  </si>
  <si>
    <t>run1_awaitingsml_0.5unique_0.25rep-group_0</t>
  </si>
  <si>
    <t>run1_awaitingsml_0.5unique_0.25rep-group_1</t>
  </si>
  <si>
    <t>run1_awaitingsml_0.5unique_0.25rep-group_2</t>
  </si>
  <si>
    <t>run1_awaitingsml_0.5unique_0.25rep-group_3</t>
  </si>
  <si>
    <t>run1_awaitingsml_0.5unique_0.25rep-group_4</t>
  </si>
  <si>
    <t>run1_awaitingsml_0.5unique_0.5rep-group_0</t>
  </si>
  <si>
    <t>run1_awaitingsml_0.5unique_0.5rep-group_1</t>
  </si>
  <si>
    <t>run1_awaitingsml_0.5unique_0.5rep-group_2</t>
  </si>
  <si>
    <t>run1_awaitingsml_0.5unique_0.5rep-group_3</t>
  </si>
  <si>
    <t>run1_awaitingsml_0.5unique_0.5rep-group_4</t>
  </si>
  <si>
    <t>run1_awaitingsml_0.5unique_0.75rep-group_0</t>
  </si>
  <si>
    <t>run1_awaitingsml_0.5unique_0.75rep-group_1</t>
  </si>
  <si>
    <t>run1_awaitingsml_0.5unique_0.75rep-group_2</t>
  </si>
  <si>
    <t>run1_awaitingsml_0.5unique_0.75rep-group_3</t>
  </si>
  <si>
    <t>run1_awaitingsml_0.5unique_0.75rep-group_4</t>
  </si>
  <si>
    <t>run1_awaitingsml_0.5unique_1.0rep-group_0</t>
  </si>
  <si>
    <t>run1_awaitingsml_0.5unique_1.0rep-group_1</t>
  </si>
  <si>
    <t>run1_awaitingsml_0.5unique_1.0rep-group_2</t>
  </si>
  <si>
    <t>run1_awaitingsml_0.5unique_1.0rep-group_3</t>
  </si>
  <si>
    <t>run1_awaitingsml_0.5unique_1.0rep-group_4</t>
  </si>
  <si>
    <t>run1_awaitingsml_0.75unique_0.1rep-group_0</t>
  </si>
  <si>
    <t>run1_awaitingsml_0.75unique_0.1rep-group_1</t>
  </si>
  <si>
    <t>run1_awaitingsml_0.75unique_0.1rep-group_2</t>
  </si>
  <si>
    <t>run1_awaitingsml_0.75unique_0.1rep-group_3</t>
  </si>
  <si>
    <t>run1_awaitingsml_0.75unique_0.1rep-group_4</t>
  </si>
  <si>
    <t>run1_awaitingsml_0.75unique_0.25rep-group_0</t>
  </si>
  <si>
    <t>run1_awaitingsml_0.75unique_0.25rep-group_1</t>
  </si>
  <si>
    <t>run1_awaitingsml_0.75unique_0.25rep-group_2</t>
  </si>
  <si>
    <t>run1_awaitingsml_0.75unique_0.25rep-group_3</t>
  </si>
  <si>
    <t>run1_awaitingsml_0.75unique_0.25rep-group_4</t>
  </si>
  <si>
    <t>run1_awaitingsml_0.75unique_0.5rep-group_0</t>
  </si>
  <si>
    <t>run1_awaitingsml_0.75unique_0.5rep-group_1</t>
  </si>
  <si>
    <t>run1_awaitingsml_0.75unique_0.5rep-group_2</t>
  </si>
  <si>
    <t>run1_awaitingsml_0.75unique_0.5rep-group_3</t>
  </si>
  <si>
    <t>run1_awaitingsml_0.75unique_0.5rep-group_4</t>
  </si>
  <si>
    <t>run1_awaitingsml_0.75unique_0.75rep-group_0</t>
  </si>
  <si>
    <t>run1_awaitingsml_0.75unique_0.75rep-group_1</t>
  </si>
  <si>
    <t>run1_awaitingsml_0.75unique_0.75rep-group_2</t>
  </si>
  <si>
    <t>run1_awaitingsml_0.75unique_0.75rep-group_3</t>
  </si>
  <si>
    <t>run1_awaitingsml_0.75unique_0.75rep-group_4</t>
  </si>
  <si>
    <t>run1_awaitingsml_0.75unique_1.0rep-group_0</t>
  </si>
  <si>
    <t>run1_awaitingsml_0.75unique_1.0rep-group_1</t>
  </si>
  <si>
    <t>run1_awaitingsml_0.75unique_1.0rep-group_2</t>
  </si>
  <si>
    <t>run1_awaitingsml_0.75unique_1.0rep-group_3</t>
  </si>
  <si>
    <t>run1_awaitingsml_0.75unique_1.0rep-group_4</t>
  </si>
  <si>
    <t>run1_awaitingsml_1.0unique_0.1rep-group_0</t>
  </si>
  <si>
    <t>run1_awaitingsml_1.0unique_0.1rep-group_1</t>
  </si>
  <si>
    <t>run1_awaitingsml_1.0unique_0.1rep-group_2</t>
  </si>
  <si>
    <t>run1_awaitingsml_1.0unique_0.1rep-group_3</t>
  </si>
  <si>
    <t>run1_awaitingsml_1.0unique_0.1rep-group_4</t>
  </si>
  <si>
    <t>run1_awaitingsml_1.0unique_0.25rep-group_0</t>
  </si>
  <si>
    <t>run1_awaitingsml_1.0unique_0.25rep-group_1</t>
  </si>
  <si>
    <t>run1_awaitingsml_1.0unique_0.25rep-group_2</t>
  </si>
  <si>
    <t>run1_awaitingsml_1.0unique_0.25rep-group_3</t>
  </si>
  <si>
    <t>run1_awaitingsml_1.0unique_0.25rep-group_4</t>
  </si>
  <si>
    <t>run1_awaitingsml_1.0unique_0.5rep-group_0</t>
  </si>
  <si>
    <t>run1_awaitingsml_1.0unique_0.5rep-group_1</t>
  </si>
  <si>
    <t>run1_awaitingsml_1.0unique_0.5rep-group_2</t>
  </si>
  <si>
    <t>run1_awaitingsml_1.0unique_0.5rep-group_3</t>
  </si>
  <si>
    <t>run1_awaitingsml_1.0unique_0.5rep-group_4</t>
  </si>
  <si>
    <t>run1_awaitingsml_1.0unique_0.75rep-group_0</t>
  </si>
  <si>
    <t>run1_awaitingsml_1.0unique_0.75rep-group_1</t>
  </si>
  <si>
    <t>run1_awaitingsml_1.0unique_0.75rep-group_2</t>
  </si>
  <si>
    <t>run1_awaitingsml_1.0unique_0.75rep-group_3</t>
  </si>
  <si>
    <t>run1_awaitingsml_1.0unique_0.75rep-group_4</t>
  </si>
  <si>
    <t>run1_awaitingsml_1.0unique_1.0rep-group_0</t>
  </si>
  <si>
    <t>run1_awaitingsml_1.0unique_1.0rep-group_1</t>
  </si>
  <si>
    <t>run1_awaitingsml_1.0unique_1.0rep-group_2</t>
  </si>
  <si>
    <t>run1_awaitingsml_1.0unique_1.0rep-group_3</t>
  </si>
  <si>
    <t>run1_awaitingsml_1.0unique_1.0rep-group_4</t>
  </si>
  <si>
    <t>run1_easycategs_0.1unique_0.1rep-group_0</t>
  </si>
  <si>
    <t>run1_easycategs_0.1unique_0.1rep-group_1</t>
  </si>
  <si>
    <t>run1_easycategs_0.1unique_0.1rep-group_2</t>
  </si>
  <si>
    <t>run1_easycategs_0.1unique_0.1rep-group_3</t>
  </si>
  <si>
    <t>run1_easycategs_0.1unique_0.1rep-group_4</t>
  </si>
  <si>
    <t>run1_easycategs_0.1unique_0.25rep-group_0</t>
  </si>
  <si>
    <t>run1_easycategs_0.1unique_0.25rep-group_1</t>
  </si>
  <si>
    <t>run1_easycategs_0.1unique_0.25rep-group_2</t>
  </si>
  <si>
    <t>run1_easycategs_0.1unique_0.25rep-group_3</t>
  </si>
  <si>
    <t>run1_easycategs_0.1unique_0.25rep-group_4</t>
  </si>
  <si>
    <t>run1_easycategs_0.1unique_0.5rep-group_0</t>
  </si>
  <si>
    <t>run1_easycategs_0.1unique_0.5rep-group_1</t>
  </si>
  <si>
    <t>run1_easycategs_0.1unique_0.5rep-group_2</t>
  </si>
  <si>
    <t>run1_easycategs_0.1unique_0.5rep-group_3</t>
  </si>
  <si>
    <t>run1_easycategs_0.1unique_0.5rep-group_4</t>
  </si>
  <si>
    <t>run1_easycategs_0.1unique_0.75rep-group_0</t>
  </si>
  <si>
    <t>run1_easycategs_0.1unique_0.75rep-group_1</t>
  </si>
  <si>
    <t>run1_easycategs_0.1unique_0.75rep-group_2</t>
  </si>
  <si>
    <t>run1_easycategs_0.1unique_0.75rep-group_3</t>
  </si>
  <si>
    <t>run1_easycategs_0.1unique_0.75rep-group_4</t>
  </si>
  <si>
    <t>run1_easycategs_0.1unique_1.0rep-group_0</t>
  </si>
  <si>
    <t>run1_easycategs_0.1unique_1.0rep-group_1</t>
  </si>
  <si>
    <t>run1_easycategs_0.1unique_1.0rep-group_2</t>
  </si>
  <si>
    <t>run1_easycategs_0.1unique_1.0rep-group_3</t>
  </si>
  <si>
    <t>run1_easycategs_0.1unique_1.0rep-group_4</t>
  </si>
  <si>
    <t>run1_easycategs_0.25unique_0.1rep-group_0</t>
  </si>
  <si>
    <t>run1_easycategs_0.25unique_0.1rep-group_1</t>
  </si>
  <si>
    <t>run1_easycategs_0.25unique_0.1rep-group_2</t>
  </si>
  <si>
    <t>run1_easycategs_0.25unique_0.1rep-group_3</t>
  </si>
  <si>
    <t>run1_easycategs_0.25unique_0.1rep-group_4</t>
  </si>
  <si>
    <t>run1_easycategs_0.25unique_0.25rep-group_0</t>
  </si>
  <si>
    <t>run1_easycategs_0.25unique_0.25rep-group_1</t>
  </si>
  <si>
    <t>run1_easycategs_0.25unique_0.25rep-group_2</t>
  </si>
  <si>
    <t>run1_easycategs_0.25unique_0.25rep-group_3</t>
  </si>
  <si>
    <t>run1_easycategs_0.25unique_0.25rep-group_4</t>
  </si>
  <si>
    <t>run1_easycategs_0.25unique_0.5rep-group_0</t>
  </si>
  <si>
    <t>run1_easycategs_0.25unique_0.5rep-group_1</t>
  </si>
  <si>
    <t>run1_easycategs_0.25unique_0.5rep-group_2</t>
  </si>
  <si>
    <t>run1_easycategs_0.25unique_0.5rep-group_3</t>
  </si>
  <si>
    <t>run1_easycategs_0.25unique_0.5rep-group_4</t>
  </si>
  <si>
    <t>run1_easycategs_0.25unique_0.75rep-group_0</t>
  </si>
  <si>
    <t>run1_easycategs_0.25unique_0.75rep-group_1</t>
  </si>
  <si>
    <t>run1_easycategs_0.25unique_0.75rep-group_2</t>
  </si>
  <si>
    <t>run1_easycategs_0.25unique_0.75rep-group_3</t>
  </si>
  <si>
    <t>run1_easycategs_0.25unique_0.75rep-group_4</t>
  </si>
  <si>
    <t>run1_easycategs_0.25unique_1.0rep-group_0</t>
  </si>
  <si>
    <t>run1_easycategs_0.25unique_1.0rep-group_1</t>
  </si>
  <si>
    <t>run1_easycategs_0.25unique_1.0rep-group_2</t>
  </si>
  <si>
    <t>run1_easycategs_0.25unique_1.0rep-group_3</t>
  </si>
  <si>
    <t>run1_easycategs_0.25unique_1.0rep-group_4</t>
  </si>
  <si>
    <t>run1_easycategs_0.5unique_0.1rep-group_0</t>
  </si>
  <si>
    <t>run1_easycategs_0.5unique_0.1rep-group_1</t>
  </si>
  <si>
    <t>run1_easycategs_0.5unique_0.1rep-group_2</t>
  </si>
  <si>
    <t>run1_easycategs_0.5unique_0.1rep-group_3</t>
  </si>
  <si>
    <t>run1_easycategs_0.5unique_0.1rep-group_4</t>
  </si>
  <si>
    <t>run1_easycategs_0.5unique_0.25rep-group_0</t>
  </si>
  <si>
    <t>run1_easycategs_0.5unique_0.25rep-group_1</t>
  </si>
  <si>
    <t>run1_easycategs_0.5unique_0.25rep-group_2</t>
  </si>
  <si>
    <t>run1_easycategs_0.5unique_0.25rep-group_3</t>
  </si>
  <si>
    <t>run1_easycategs_0.5unique_0.25rep-group_4</t>
  </si>
  <si>
    <t>run1_easycategs_0.5unique_0.5rep-group_0</t>
  </si>
  <si>
    <t>run1_easycategs_0.5unique_0.5rep-group_1</t>
  </si>
  <si>
    <t>run1_easycategs_0.5unique_0.5rep-group_2</t>
  </si>
  <si>
    <t>run1_easycategs_0.5unique_0.5rep-group_3</t>
  </si>
  <si>
    <t>run1_easycategs_0.5unique_0.5rep-group_4</t>
  </si>
  <si>
    <t>run1_easycategs_0.5unique_0.75rep-group_0</t>
  </si>
  <si>
    <t>run1_easycategs_0.5unique_0.75rep-group_1</t>
  </si>
  <si>
    <t>run1_easycategs_0.5unique_0.75rep-group_2</t>
  </si>
  <si>
    <t>run1_easycategs_0.5unique_0.75rep-group_3</t>
  </si>
  <si>
    <t>run1_easycategs_0.5unique_0.75rep-group_4</t>
  </si>
  <si>
    <t>run1_easycategs_0.5unique_1.0rep-group_0</t>
  </si>
  <si>
    <t>run1_easycategs_0.5unique_1.0rep-group_1</t>
  </si>
  <si>
    <t>run1_easycategs_0.5unique_1.0rep-group_2</t>
  </si>
  <si>
    <t>run1_easycategs_0.5unique_1.0rep-group_3</t>
  </si>
  <si>
    <t>run1_easycategs_0.5unique_1.0rep-group_4</t>
  </si>
  <si>
    <t>run1_easycategs_0.75unique_0.1rep-group_0</t>
  </si>
  <si>
    <t>run1_easycategs_0.75unique_0.1rep-group_1</t>
  </si>
  <si>
    <t>run1_easycategs_0.75unique_0.1rep-group_2</t>
  </si>
  <si>
    <t>run1_easycategs_0.75unique_0.1rep-group_3</t>
  </si>
  <si>
    <t>run1_easycategs_0.75unique_0.1rep-group_4</t>
  </si>
  <si>
    <t>run1_easycategs_0.75unique_0.25rep-group_0</t>
  </si>
  <si>
    <t>run1_easycategs_0.75unique_0.25rep-group_1</t>
  </si>
  <si>
    <t>run1_easycategs_0.75unique_0.25rep-group_2</t>
  </si>
  <si>
    <t>run1_easycategs_0.75unique_0.25rep-group_3</t>
  </si>
  <si>
    <t>run1_easycategs_0.75unique_0.25rep-group_4</t>
  </si>
  <si>
    <t>run1_easycategs_0.75unique_0.5rep-group_0</t>
  </si>
  <si>
    <t>run1_easycategs_0.75unique_0.5rep-group_1</t>
  </si>
  <si>
    <t>run1_easycategs_0.75unique_0.5rep-group_2</t>
  </si>
  <si>
    <t>run1_easycategs_0.75unique_0.5rep-group_3</t>
  </si>
  <si>
    <t>run1_easycategs_0.75unique_0.5rep-group_4</t>
  </si>
  <si>
    <t>run1_easycategs_0.75unique_0.75rep-group_0</t>
  </si>
  <si>
    <t>run1_easycategs_0.75unique_0.75rep-group_1</t>
  </si>
  <si>
    <t>run1_easycategs_0.75unique_0.75rep-group_2</t>
  </si>
  <si>
    <t>run1_easycategs_0.75unique_0.75rep-group_3</t>
  </si>
  <si>
    <t>run1_easycategs_0.75unique_0.75rep-group_4</t>
  </si>
  <si>
    <t>run1_easycategs_0.75unique_1.0rep-group_0</t>
  </si>
  <si>
    <t>run1_easycategs_0.75unique_1.0rep-group_1</t>
  </si>
  <si>
    <t>run1_easycategs_0.75unique_1.0rep-group_2</t>
  </si>
  <si>
    <t>run1_easycategs_0.75unique_1.0rep-group_3</t>
  </si>
  <si>
    <t>run1_easycategs_0.75unique_1.0rep-group_4</t>
  </si>
  <si>
    <t>run1_easycategs_1.0unique_0.1rep-group_0</t>
  </si>
  <si>
    <t>run1_easycategs_1.0unique_0.1rep-group_1</t>
  </si>
  <si>
    <t>run1_easycategs_1.0unique_0.1rep-group_2</t>
  </si>
  <si>
    <t>run1_easycategs_1.0unique_0.1rep-group_3</t>
  </si>
  <si>
    <t>run1_easycategs_1.0unique_0.1rep-group_4</t>
  </si>
  <si>
    <t>run1_easycategs_1.0unique_0.25rep-group_0</t>
  </si>
  <si>
    <t>run1_easycategs_1.0unique_0.25rep-group_1</t>
  </si>
  <si>
    <t>run1_easycategs_1.0unique_0.25rep-group_2</t>
  </si>
  <si>
    <t>run1_easycategs_1.0unique_0.25rep-group_3</t>
  </si>
  <si>
    <t>run1_easycategs_1.0unique_0.25rep-group_4</t>
  </si>
  <si>
    <t>run1_easycategs_1.0unique_0.5rep-group_0</t>
  </si>
  <si>
    <t>run1_easycategs_1.0unique_0.5rep-group_1</t>
  </si>
  <si>
    <t>run1_easycategs_1.0unique_0.5rep-group_2</t>
  </si>
  <si>
    <t>run1_easycategs_1.0unique_0.5rep-group_3</t>
  </si>
  <si>
    <t>run1_easycategs_1.0unique_0.5rep-group_4</t>
  </si>
  <si>
    <t>run1_easycategs_1.0unique_0.75rep-group_0</t>
  </si>
  <si>
    <t>run1_easycategs_1.0unique_0.75rep-group_1</t>
  </si>
  <si>
    <t>run1_easycategs_1.0unique_0.75rep-group_2</t>
  </si>
  <si>
    <t>run1_easycategs_1.0unique_0.75rep-group_3</t>
  </si>
  <si>
    <t>run1_easycategs_1.0unique_0.75rep-group_4</t>
  </si>
  <si>
    <t>run1_easycategs_1.0unique_1.0rep-group_0</t>
  </si>
  <si>
    <t>run1_easycategs_1.0unique_1.0rep-group_1</t>
  </si>
  <si>
    <t>run1_easycategs_1.0unique_1.0rep-group_2</t>
  </si>
  <si>
    <t>run1_easycategs_1.0unique_1.0rep-group_3</t>
  </si>
  <si>
    <t>run1_easycategs_1.0unique_1.0rep-group_4</t>
  </si>
  <si>
    <t>run1_priority12x3x4_0.1unique_0.1rep-group_0</t>
  </si>
  <si>
    <t>run1_priority12x3x4_0.1unique_0.1rep-group_1</t>
  </si>
  <si>
    <t>run1_priority12x3x4_0.1unique_0.1rep-group_2</t>
  </si>
  <si>
    <t>run1_priority12x3x4_0.1unique_0.1rep-group_3</t>
  </si>
  <si>
    <t>run1_priority12x3x4_0.1unique_0.1rep-group_4</t>
  </si>
  <si>
    <t>run1_priority12x3x4_0.1unique_0.25rep-group_0</t>
  </si>
  <si>
    <t>run1_priority12x3x4_0.1unique_0.25rep-group_1</t>
  </si>
  <si>
    <t>run1_priority12x3x4_0.1unique_0.25rep-group_2</t>
  </si>
  <si>
    <t>run1_priority12x3x4_0.1unique_0.25rep-group_3</t>
  </si>
  <si>
    <t>run1_priority12x3x4_0.1unique_0.25rep-group_4</t>
  </si>
  <si>
    <t>run1_priority12x3x4_0.1unique_0.5rep-group_0</t>
  </si>
  <si>
    <t>run1_priority12x3x4_0.1unique_0.5rep-group_1</t>
  </si>
  <si>
    <t>run1_priority12x3x4_0.1unique_0.5rep-group_2</t>
  </si>
  <si>
    <t>run1_priority12x3x4_0.1unique_0.5rep-group_3</t>
  </si>
  <si>
    <t>run1_priority12x3x4_0.1unique_0.5rep-group_4</t>
  </si>
  <si>
    <t>run1_priority12x3x4_0.1unique_0.75rep-group_0</t>
  </si>
  <si>
    <t>run1_priority12x3x4_0.1unique_0.75rep-group_1</t>
  </si>
  <si>
    <t>run1_priority12x3x4_0.1unique_0.75rep-group_2</t>
  </si>
  <si>
    <t>run1_priority12x3x4_0.1unique_0.75rep-group_3</t>
  </si>
  <si>
    <t>run1_priority12x3x4_0.1unique_0.75rep-group_4</t>
  </si>
  <si>
    <t>run1_priority12x3x4_0.1unique_1.0rep-group_0</t>
  </si>
  <si>
    <t>run1_priority12x3x4_0.1unique_1.0rep-group_1</t>
  </si>
  <si>
    <t>run1_priority12x3x4_0.1unique_1.0rep-group_2</t>
  </si>
  <si>
    <t>run1_priority12x3x4_0.1unique_1.0rep-group_3</t>
  </si>
  <si>
    <t>run1_priority12x3x4_0.1unique_1.0rep-group_4</t>
  </si>
  <si>
    <t>run1_priority12x3x4_0.25unique_0.1rep-group_0</t>
  </si>
  <si>
    <t>run1_priority12x3x4_0.25unique_0.1rep-group_1</t>
  </si>
  <si>
    <t>run1_priority12x3x4_0.25unique_0.1rep-group_2</t>
  </si>
  <si>
    <t>run1_priority12x3x4_0.25unique_0.1rep-group_3</t>
  </si>
  <si>
    <t>run1_priority12x3x4_0.25unique_0.1rep-group_4</t>
  </si>
  <si>
    <t>run1_priority12x3x4_0.25unique_0.25rep-group_0</t>
  </si>
  <si>
    <t>run1_priority12x3x4_0.25unique_0.25rep-group_1</t>
  </si>
  <si>
    <t>run1_priority12x3x4_0.25unique_0.25rep-group_2</t>
  </si>
  <si>
    <t>run1_priority12x3x4_0.25unique_0.25rep-group_3</t>
  </si>
  <si>
    <t>run1_priority12x3x4_0.25unique_0.25rep-group_4</t>
  </si>
  <si>
    <t>run1_priority12x3x4_0.25unique_0.5rep-group_0</t>
  </si>
  <si>
    <t>run1_priority12x3x4_0.25unique_0.5rep-group_1</t>
  </si>
  <si>
    <t>run1_priority12x3x4_0.25unique_0.5rep-group_2</t>
  </si>
  <si>
    <t>run1_priority12x3x4_0.25unique_0.5rep-group_3</t>
  </si>
  <si>
    <t>run1_priority12x3x4_0.25unique_0.5rep-group_4</t>
  </si>
  <si>
    <t>run1_priority12x3x4_0.25unique_0.75rep-group_0</t>
  </si>
  <si>
    <t>run1_priority12x3x4_0.25unique_0.75rep-group_1</t>
  </si>
  <si>
    <t>run1_priority12x3x4_0.25unique_0.75rep-group_2</t>
  </si>
  <si>
    <t>run1_priority12x3x4_0.25unique_0.75rep-group_3</t>
  </si>
  <si>
    <t>run1_priority12x3x4_0.25unique_0.75rep-group_4</t>
  </si>
  <si>
    <t>run1_priority12x3x4_0.25unique_1.0rep-group_0</t>
  </si>
  <si>
    <t>run1_priority12x3x4_0.25unique_1.0rep-group_1</t>
  </si>
  <si>
    <t>run1_priority12x3x4_0.25unique_1.0rep-group_2</t>
  </si>
  <si>
    <t>run1_priority12x3x4_0.25unique_1.0rep-group_3</t>
  </si>
  <si>
    <t>run1_priority12x3x4_0.25unique_1.0rep-group_4</t>
  </si>
  <si>
    <t>run1_priority12x3x4_0.5unique_0.1rep-group_0</t>
  </si>
  <si>
    <t>run1_priority12x3x4_0.5unique_0.1rep-group_1</t>
  </si>
  <si>
    <t>run1_priority12x3x4_0.5unique_0.1rep-group_2</t>
  </si>
  <si>
    <t>run1_priority12x3x4_0.5unique_0.1rep-group_3</t>
  </si>
  <si>
    <t>run1_priority12x3x4_0.5unique_0.1rep-group_4</t>
  </si>
  <si>
    <t>run1_priority12x3x4_0.5unique_0.25rep-group_0</t>
  </si>
  <si>
    <t>run1_priority12x3x4_0.5unique_0.25rep-group_1</t>
  </si>
  <si>
    <t>run1_priority12x3x4_0.5unique_0.25rep-group_2</t>
  </si>
  <si>
    <t>run1_priority12x3x4_0.5unique_0.25rep-group_3</t>
  </si>
  <si>
    <t>run1_priority12x3x4_0.5unique_0.25rep-group_4</t>
  </si>
  <si>
    <t>run1_priority12x3x4_0.5unique_0.5rep-group_0</t>
  </si>
  <si>
    <t>run1_priority12x3x4_0.5unique_0.5rep-group_1</t>
  </si>
  <si>
    <t>run1_priority12x3x4_0.5unique_0.5rep-group_2</t>
  </si>
  <si>
    <t>run1_priority12x3x4_0.5unique_0.5rep-group_3</t>
  </si>
  <si>
    <t>run1_priority12x3x4_0.5unique_0.5rep-group_4</t>
  </si>
  <si>
    <t>run1_priority12x3x4_0.5unique_0.75rep-group_0</t>
  </si>
  <si>
    <t>run1_priority12x3x4_0.5unique_0.75rep-group_1</t>
  </si>
  <si>
    <t>run1_priority12x3x4_0.5unique_0.75rep-group_2</t>
  </si>
  <si>
    <t>run1_priority12x3x4_0.5unique_0.75rep-group_3</t>
  </si>
  <si>
    <t>run1_priority12x3x4_0.5unique_0.75rep-group_4</t>
  </si>
  <si>
    <t>run1_priority12x3x4_0.5unique_1.0rep-group_0</t>
  </si>
  <si>
    <t>run1_priority12x3x4_0.5unique_1.0rep-group_1</t>
  </si>
  <si>
    <t>run1_priority12x3x4_0.5unique_1.0rep-group_2</t>
  </si>
  <si>
    <t>run1_priority12x3x4_0.5unique_1.0rep-group_3</t>
  </si>
  <si>
    <t>run1_priority12x3x4_0.5unique_1.0rep-group_4</t>
  </si>
  <si>
    <t>run1_priority12x3x4_0.75unique_0.1rep-group_0</t>
  </si>
  <si>
    <t>run1_priority12x3x4_0.75unique_0.1rep-group_1</t>
  </si>
  <si>
    <t>run1_priority12x3x4_0.75unique_0.1rep-group_2</t>
  </si>
  <si>
    <t>run1_priority12x3x4_0.75unique_0.1rep-group_3</t>
  </si>
  <si>
    <t>run1_priority12x3x4_0.75unique_0.1rep-group_4</t>
  </si>
  <si>
    <t>run1_priority12x3x4_0.75unique_0.25rep-group_0</t>
  </si>
  <si>
    <t>run1_priority12x3x4_0.75unique_0.25rep-group_1</t>
  </si>
  <si>
    <t>run1_priority12x3x4_0.75unique_0.25rep-group_2</t>
  </si>
  <si>
    <t>run1_priority12x3x4_0.75unique_0.25rep-group_3</t>
  </si>
  <si>
    <t>run1_priority12x3x4_0.75unique_0.25rep-group_4</t>
  </si>
  <si>
    <t>run1_priority12x3x4_0.75unique_0.5rep-group_0</t>
  </si>
  <si>
    <t>run1_priority12x3x4_0.75unique_0.5rep-group_1</t>
  </si>
  <si>
    <t>run1_priority12x3x4_0.75unique_0.5rep-group_2</t>
  </si>
  <si>
    <t>run1_priority12x3x4_0.75unique_0.5rep-group_3</t>
  </si>
  <si>
    <t>run1_priority12x3x4_0.75unique_0.5rep-group_4</t>
  </si>
  <si>
    <t>run1_priority12x3x4_0.75unique_0.75rep-group_0</t>
  </si>
  <si>
    <t>run1_priority12x3x4_0.75unique_0.75rep-group_1</t>
  </si>
  <si>
    <t>run1_priority12x3x4_0.75unique_0.75rep-group_2</t>
  </si>
  <si>
    <t>run1_priority12x3x4_0.75unique_0.75rep-group_3</t>
  </si>
  <si>
    <t>run1_priority12x3x4_0.75unique_0.75rep-group_4</t>
  </si>
  <si>
    <t>run1_priority12x3x4_0.75unique_1.0rep-group_0</t>
  </si>
  <si>
    <t>run1_priority12x3x4_0.75unique_1.0rep-group_1</t>
  </si>
  <si>
    <t>run1_priority12x3x4_0.75unique_1.0rep-group_2</t>
  </si>
  <si>
    <t>run1_priority12x3x4_0.75unique_1.0rep-group_3</t>
  </si>
  <si>
    <t>run1_priority12x3x4_0.75unique_1.0rep-group_4</t>
  </si>
  <si>
    <t>run1_priority12x3x4_1.0unique_0.1rep-group_0</t>
  </si>
  <si>
    <t>run1_priority12x3x4_1.0unique_0.1rep-group_1</t>
  </si>
  <si>
    <t>run1_priority12x3x4_1.0unique_0.1rep-group_2</t>
  </si>
  <si>
    <t>run1_priority12x3x4_1.0unique_0.1rep-group_3</t>
  </si>
  <si>
    <t>run1_priority12x3x4_1.0unique_0.1rep-group_4</t>
  </si>
  <si>
    <t>run1_priority12x3x4_1.0unique_0.25rep-group_0</t>
  </si>
  <si>
    <t>run1_priority12x3x4_1.0unique_0.25rep-group_1</t>
  </si>
  <si>
    <t>run1_priority12x3x4_1.0unique_0.25rep-group_2</t>
  </si>
  <si>
    <t>run1_priority12x3x4_1.0unique_0.25rep-group_3</t>
  </si>
  <si>
    <t>run1_priority12x3x4_1.0unique_0.25rep-group_4</t>
  </si>
  <si>
    <t>run1_priority12x3x4_1.0unique_0.5rep-group_0</t>
  </si>
  <si>
    <t>run1_priority12x3x4_1.0unique_0.5rep-group_1</t>
  </si>
  <si>
    <t>run1_priority12x3x4_1.0unique_0.5rep-group_2</t>
  </si>
  <si>
    <t>run1_priority12x3x4_1.0unique_0.5rep-group_3</t>
  </si>
  <si>
    <t>run1_priority12x3x4_1.0unique_0.5rep-group_4</t>
  </si>
  <si>
    <t>run1_priority12x3x4_1.0unique_0.75rep-group_0</t>
  </si>
  <si>
    <t>run1_priority12x3x4_1.0unique_0.75rep-group_1</t>
  </si>
  <si>
    <t>run1_priority12x3x4_1.0unique_0.75rep-group_2</t>
  </si>
  <si>
    <t>run1_priority12x3x4_1.0unique_0.75rep-group_3</t>
  </si>
  <si>
    <t>run1_priority12x3x4_1.0unique_0.75rep-group_4</t>
  </si>
  <si>
    <t>run1_priority12x3x4_1.0unique_1.0rep-group_0</t>
  </si>
  <si>
    <t>run1_priority12x3x4_1.0unique_1.0rep-group_1</t>
  </si>
  <si>
    <t>run1_priority12x3x4_1.0unique_1.0rep-group_2</t>
  </si>
  <si>
    <t>run1_priority12x3x4_1.0unique_1.0rep-group_3</t>
  </si>
  <si>
    <t>run1_priority12x3x4_1.0unique_1.0rep-group_4</t>
  </si>
  <si>
    <t>run10_awaitingsml_0.1unique_0.1rep-group_0</t>
  </si>
  <si>
    <t>run10_awaitingsml_0.1unique_0.1rep-group_1</t>
  </si>
  <si>
    <t>run10_awaitingsml_0.1unique_0.1rep-group_2</t>
  </si>
  <si>
    <t>run10_awaitingsml_0.1unique_0.1rep-group_3</t>
  </si>
  <si>
    <t>run10_awaitingsml_0.1unique_0.1rep-group_4</t>
  </si>
  <si>
    <t>run10_awaitingsml_0.1unique_0.25rep-group_0</t>
  </si>
  <si>
    <t>run10_awaitingsml_0.1unique_0.25rep-group_1</t>
  </si>
  <si>
    <t>run10_awaitingsml_0.1unique_0.25rep-group_2</t>
  </si>
  <si>
    <t>run10_awaitingsml_0.1unique_0.25rep-group_3</t>
  </si>
  <si>
    <t>run10_awaitingsml_0.1unique_0.25rep-group_4</t>
  </si>
  <si>
    <t>run10_awaitingsml_0.1unique_0.5rep-group_0</t>
  </si>
  <si>
    <t>run10_awaitingsml_0.1unique_0.5rep-group_1</t>
  </si>
  <si>
    <t>run10_awaitingsml_0.1unique_0.5rep-group_2</t>
  </si>
  <si>
    <t>run10_awaitingsml_0.1unique_0.5rep-group_3</t>
  </si>
  <si>
    <t>run10_awaitingsml_0.1unique_0.5rep-group_4</t>
  </si>
  <si>
    <t>run10_awaitingsml_0.1unique_0.75rep-group_0</t>
  </si>
  <si>
    <t>run10_awaitingsml_0.1unique_0.75rep-group_1</t>
  </si>
  <si>
    <t>run10_awaitingsml_0.1unique_0.75rep-group_2</t>
  </si>
  <si>
    <t>run10_awaitingsml_0.1unique_0.75rep-group_3</t>
  </si>
  <si>
    <t>run10_awaitingsml_0.1unique_0.75rep-group_4</t>
  </si>
  <si>
    <t>run10_awaitingsml_0.1unique_1.0rep-group_0</t>
  </si>
  <si>
    <t>run10_awaitingsml_0.1unique_1.0rep-group_1</t>
  </si>
  <si>
    <t>run10_awaitingsml_0.1unique_1.0rep-group_2</t>
  </si>
  <si>
    <t>run10_awaitingsml_0.1unique_1.0rep-group_3</t>
  </si>
  <si>
    <t>run10_awaitingsml_0.1unique_1.0rep-group_4</t>
  </si>
  <si>
    <t>run10_awaitingsml_0.25unique_0.1rep-group_0</t>
  </si>
  <si>
    <t>run10_awaitingsml_0.25unique_0.1rep-group_1</t>
  </si>
  <si>
    <t>run10_awaitingsml_0.25unique_0.1rep-group_2</t>
  </si>
  <si>
    <t>run10_awaitingsml_0.25unique_0.1rep-group_3</t>
  </si>
  <si>
    <t>run10_awaitingsml_0.25unique_0.1rep-group_4</t>
  </si>
  <si>
    <t>run10_awaitingsml_0.25unique_0.25rep-group_0</t>
  </si>
  <si>
    <t>run10_awaitingsml_0.25unique_0.25rep-group_1</t>
  </si>
  <si>
    <t>run10_awaitingsml_0.25unique_0.25rep-group_2</t>
  </si>
  <si>
    <t>run10_awaitingsml_0.25unique_0.25rep-group_3</t>
  </si>
  <si>
    <t>run10_awaitingsml_0.25unique_0.25rep-group_4</t>
  </si>
  <si>
    <t>run10_awaitingsml_0.25unique_0.5rep-group_0</t>
  </si>
  <si>
    <t>run10_awaitingsml_0.25unique_0.5rep-group_1</t>
  </si>
  <si>
    <t>run10_awaitingsml_0.25unique_0.5rep-group_2</t>
  </si>
  <si>
    <t>run10_awaitingsml_0.25unique_0.5rep-group_3</t>
  </si>
  <si>
    <t>run10_awaitingsml_0.25unique_0.5rep-group_4</t>
  </si>
  <si>
    <t>run10_awaitingsml_0.25unique_0.75rep-group_0</t>
  </si>
  <si>
    <t>run10_awaitingsml_0.25unique_0.75rep-group_1</t>
  </si>
  <si>
    <t>run10_awaitingsml_0.25unique_0.75rep-group_2</t>
  </si>
  <si>
    <t>run10_awaitingsml_0.25unique_0.75rep-group_3</t>
  </si>
  <si>
    <t>run10_awaitingsml_0.25unique_0.75rep-group_4</t>
  </si>
  <si>
    <t>run10_awaitingsml_0.25unique_1.0rep-group_0</t>
  </si>
  <si>
    <t>run10_awaitingsml_0.25unique_1.0rep-group_1</t>
  </si>
  <si>
    <t>run10_awaitingsml_0.25unique_1.0rep-group_2</t>
  </si>
  <si>
    <t>run10_awaitingsml_0.25unique_1.0rep-group_3</t>
  </si>
  <si>
    <t>run10_awaitingsml_0.25unique_1.0rep-group_4</t>
  </si>
  <si>
    <t>run10_awaitingsml_0.5unique_0.1rep-group_0</t>
  </si>
  <si>
    <t>run10_awaitingsml_0.5unique_0.1rep-group_1</t>
  </si>
  <si>
    <t>run10_awaitingsml_0.5unique_0.1rep-group_2</t>
  </si>
  <si>
    <t>run10_awaitingsml_0.5unique_0.1rep-group_3</t>
  </si>
  <si>
    <t>run10_awaitingsml_0.5unique_0.1rep-group_4</t>
  </si>
  <si>
    <t>run10_awaitingsml_0.5unique_0.25rep-group_0</t>
  </si>
  <si>
    <t>run10_awaitingsml_0.5unique_0.25rep-group_1</t>
  </si>
  <si>
    <t>run10_awaitingsml_0.5unique_0.25rep-group_2</t>
  </si>
  <si>
    <t>run10_awaitingsml_0.5unique_0.25rep-group_3</t>
  </si>
  <si>
    <t>run10_awaitingsml_0.5unique_0.25rep-group_4</t>
  </si>
  <si>
    <t>run10_awaitingsml_0.5unique_0.5rep-group_0</t>
  </si>
  <si>
    <t>run10_awaitingsml_0.5unique_0.5rep-group_1</t>
  </si>
  <si>
    <t>run10_awaitingsml_0.5unique_0.5rep-group_2</t>
  </si>
  <si>
    <t>run10_awaitingsml_0.5unique_0.5rep-group_3</t>
  </si>
  <si>
    <t>run10_awaitingsml_0.5unique_0.5rep-group_4</t>
  </si>
  <si>
    <t>run10_awaitingsml_0.5unique_0.75rep-group_0</t>
  </si>
  <si>
    <t>run10_awaitingsml_0.5unique_0.75rep-group_1</t>
  </si>
  <si>
    <t>run10_awaitingsml_0.5unique_0.75rep-group_2</t>
  </si>
  <si>
    <t>run10_awaitingsml_0.5unique_0.75rep-group_3</t>
  </si>
  <si>
    <t>run10_awaitingsml_0.5unique_0.75rep-group_4</t>
  </si>
  <si>
    <t>run10_awaitingsml_0.5unique_1.0rep-group_0</t>
  </si>
  <si>
    <t>run10_awaitingsml_0.5unique_1.0rep-group_1</t>
  </si>
  <si>
    <t>run10_awaitingsml_0.5unique_1.0rep-group_2</t>
  </si>
  <si>
    <t>run10_awaitingsml_0.5unique_1.0rep-group_3</t>
  </si>
  <si>
    <t>run10_awaitingsml_0.5unique_1.0rep-group_4</t>
  </si>
  <si>
    <t>run10_awaitingsml_0.75unique_0.1rep-group_0</t>
  </si>
  <si>
    <t>run10_awaitingsml_0.75unique_0.1rep-group_1</t>
  </si>
  <si>
    <t>run10_awaitingsml_0.75unique_0.1rep-group_2</t>
  </si>
  <si>
    <t>run10_awaitingsml_0.75unique_0.1rep-group_3</t>
  </si>
  <si>
    <t>run10_awaitingsml_0.75unique_0.1rep-group_4</t>
  </si>
  <si>
    <t>run10_awaitingsml_0.75unique_0.25rep-group_0</t>
  </si>
  <si>
    <t>run10_awaitingsml_0.75unique_0.25rep-group_1</t>
  </si>
  <si>
    <t>run10_awaitingsml_0.75unique_0.25rep-group_2</t>
  </si>
  <si>
    <t>run10_awaitingsml_0.75unique_0.25rep-group_3</t>
  </si>
  <si>
    <t>run10_awaitingsml_0.75unique_0.25rep-group_4</t>
  </si>
  <si>
    <t>run10_awaitingsml_0.75unique_0.5rep-group_0</t>
  </si>
  <si>
    <t>run10_awaitingsml_0.75unique_0.5rep-group_1</t>
  </si>
  <si>
    <t>run10_awaitingsml_0.75unique_0.5rep-group_2</t>
  </si>
  <si>
    <t>run10_awaitingsml_0.75unique_0.5rep-group_3</t>
  </si>
  <si>
    <t>run10_awaitingsml_0.75unique_0.5rep-group_4</t>
  </si>
  <si>
    <t>run10_awaitingsml_0.75unique_0.75rep-group_0</t>
  </si>
  <si>
    <t>run10_awaitingsml_0.75unique_0.75rep-group_1</t>
  </si>
  <si>
    <t>run10_awaitingsml_0.75unique_0.75rep-group_2</t>
  </si>
  <si>
    <t>run10_awaitingsml_0.75unique_0.75rep-group_3</t>
  </si>
  <si>
    <t>run10_awaitingsml_0.75unique_0.75rep-group_4</t>
  </si>
  <si>
    <t>run10_awaitingsml_0.75unique_1.0rep-group_0</t>
  </si>
  <si>
    <t>run10_awaitingsml_0.75unique_1.0rep-group_1</t>
  </si>
  <si>
    <t>run10_awaitingsml_0.75unique_1.0rep-group_2</t>
  </si>
  <si>
    <t>run10_awaitingsml_0.75unique_1.0rep-group_3</t>
  </si>
  <si>
    <t>run10_awaitingsml_0.75unique_1.0rep-group_4</t>
  </si>
  <si>
    <t>run10_awaitingsml_1.0unique_0.1rep-group_0</t>
  </si>
  <si>
    <t>run10_awaitingsml_1.0unique_0.1rep-group_1</t>
  </si>
  <si>
    <t>run10_awaitingsml_1.0unique_0.1rep-group_2</t>
  </si>
  <si>
    <t>run10_awaitingsml_1.0unique_0.1rep-group_3</t>
  </si>
  <si>
    <t>run10_awaitingsml_1.0unique_0.1rep-group_4</t>
  </si>
  <si>
    <t>run10_awaitingsml_1.0unique_0.25rep-group_0</t>
  </si>
  <si>
    <t>run10_awaitingsml_1.0unique_0.25rep-group_1</t>
  </si>
  <si>
    <t>run10_awaitingsml_1.0unique_0.25rep-group_2</t>
  </si>
  <si>
    <t>run10_awaitingsml_1.0unique_0.25rep-group_3</t>
  </si>
  <si>
    <t>run10_awaitingsml_1.0unique_0.25rep-group_4</t>
  </si>
  <si>
    <t>run10_awaitingsml_1.0unique_0.5rep-group_0</t>
  </si>
  <si>
    <t>run10_awaitingsml_1.0unique_0.5rep-group_1</t>
  </si>
  <si>
    <t>run10_awaitingsml_1.0unique_0.5rep-group_2</t>
  </si>
  <si>
    <t>run10_awaitingsml_1.0unique_0.5rep-group_3</t>
  </si>
  <si>
    <t>run10_awaitingsml_1.0unique_0.5rep-group_4</t>
  </si>
  <si>
    <t>run10_awaitingsml_1.0unique_0.75rep-group_0</t>
  </si>
  <si>
    <t>run10_awaitingsml_1.0unique_0.75rep-group_1</t>
  </si>
  <si>
    <t>run10_awaitingsml_1.0unique_0.75rep-group_2</t>
  </si>
  <si>
    <t>run10_awaitingsml_1.0unique_0.75rep-group_3</t>
  </si>
  <si>
    <t>run10_awaitingsml_1.0unique_0.75rep-group_4</t>
  </si>
  <si>
    <t>run10_awaitingsml_1.0unique_1.0rep-group_0</t>
  </si>
  <si>
    <t>run10_awaitingsml_1.0unique_1.0rep-group_1</t>
  </si>
  <si>
    <t>run10_awaitingsml_1.0unique_1.0rep-group_2</t>
  </si>
  <si>
    <t>run10_awaitingsml_1.0unique_1.0rep-group_3</t>
  </si>
  <si>
    <t>run10_awaitingsml_1.0unique_1.0rep-group_4</t>
  </si>
  <si>
    <t>run10_easycategs_0.1unique_0.1rep-group_0</t>
  </si>
  <si>
    <t>run10_easycategs_0.1unique_0.1rep-group_1</t>
  </si>
  <si>
    <t>run10_easycategs_0.1unique_0.1rep-group_2</t>
  </si>
  <si>
    <t>run10_easycategs_0.1unique_0.1rep-group_3</t>
  </si>
  <si>
    <t>run10_easycategs_0.1unique_0.1rep-group_4</t>
  </si>
  <si>
    <t>run10_easycategs_0.1unique_0.25rep-group_0</t>
  </si>
  <si>
    <t>run10_easycategs_0.1unique_0.25rep-group_1</t>
  </si>
  <si>
    <t>run10_easycategs_0.1unique_0.25rep-group_2</t>
  </si>
  <si>
    <t>run10_easycategs_0.1unique_0.25rep-group_3</t>
  </si>
  <si>
    <t>run10_easycategs_0.1unique_0.25rep-group_4</t>
  </si>
  <si>
    <t>run10_easycategs_0.1unique_0.5rep-group_0</t>
  </si>
  <si>
    <t>run10_easycategs_0.1unique_0.5rep-group_1</t>
  </si>
  <si>
    <t>run10_easycategs_0.1unique_0.5rep-group_2</t>
  </si>
  <si>
    <t>run10_easycategs_0.1unique_0.5rep-group_3</t>
  </si>
  <si>
    <t>run10_easycategs_0.1unique_0.5rep-group_4</t>
  </si>
  <si>
    <t>run10_easycategs_0.1unique_0.75rep-group_0</t>
  </si>
  <si>
    <t>run10_easycategs_0.1unique_0.75rep-group_1</t>
  </si>
  <si>
    <t>run10_easycategs_0.1unique_0.75rep-group_2</t>
  </si>
  <si>
    <t>run10_easycategs_0.1unique_0.75rep-group_3</t>
  </si>
  <si>
    <t>run10_easycategs_0.1unique_0.75rep-group_4</t>
  </si>
  <si>
    <t>run10_easycategs_0.1unique_1.0rep-group_0</t>
  </si>
  <si>
    <t>run10_easycategs_0.1unique_1.0rep-group_1</t>
  </si>
  <si>
    <t>run10_easycategs_0.1unique_1.0rep-group_2</t>
  </si>
  <si>
    <t>run10_easycategs_0.1unique_1.0rep-group_3</t>
  </si>
  <si>
    <t>run10_easycategs_0.1unique_1.0rep-group_4</t>
  </si>
  <si>
    <t>run10_easycategs_0.25unique_0.1rep-group_0</t>
  </si>
  <si>
    <t>run10_easycategs_0.25unique_0.1rep-group_1</t>
  </si>
  <si>
    <t>run10_easycategs_0.25unique_0.1rep-group_2</t>
  </si>
  <si>
    <t>run10_easycategs_0.25unique_0.1rep-group_3</t>
  </si>
  <si>
    <t>run10_easycategs_0.25unique_0.1rep-group_4</t>
  </si>
  <si>
    <t>run10_easycategs_0.25unique_0.25rep-group_0</t>
  </si>
  <si>
    <t>run10_easycategs_0.25unique_0.25rep-group_1</t>
  </si>
  <si>
    <t>run10_easycategs_0.25unique_0.25rep-group_2</t>
  </si>
  <si>
    <t>run10_easycategs_0.25unique_0.25rep-group_3</t>
  </si>
  <si>
    <t>run10_easycategs_0.25unique_0.25rep-group_4</t>
  </si>
  <si>
    <t>run10_easycategs_0.25unique_0.5rep-group_0</t>
  </si>
  <si>
    <t>run10_easycategs_0.25unique_0.5rep-group_1</t>
  </si>
  <si>
    <t>run10_easycategs_0.25unique_0.5rep-group_2</t>
  </si>
  <si>
    <t>run10_easycategs_0.25unique_0.5rep-group_3</t>
  </si>
  <si>
    <t>run10_easycategs_0.25unique_0.5rep-group_4</t>
  </si>
  <si>
    <t>run10_easycategs_0.25unique_0.75rep-group_0</t>
  </si>
  <si>
    <t>run10_easycategs_0.25unique_0.75rep-group_1</t>
  </si>
  <si>
    <t>run10_easycategs_0.25unique_0.75rep-group_2</t>
  </si>
  <si>
    <t>run10_easycategs_0.25unique_0.75rep-group_3</t>
  </si>
  <si>
    <t>run10_easycategs_0.25unique_0.75rep-group_4</t>
  </si>
  <si>
    <t>run10_easycategs_0.25unique_1.0rep-group_0</t>
  </si>
  <si>
    <t>run10_easycategs_0.25unique_1.0rep-group_1</t>
  </si>
  <si>
    <t>run10_easycategs_0.25unique_1.0rep-group_2</t>
  </si>
  <si>
    <t>run10_easycategs_0.25unique_1.0rep-group_3</t>
  </si>
  <si>
    <t>run10_easycategs_0.25unique_1.0rep-group_4</t>
  </si>
  <si>
    <t>run10_easycategs_0.5unique_0.1rep-group_0</t>
  </si>
  <si>
    <t>run10_easycategs_0.5unique_0.1rep-group_1</t>
  </si>
  <si>
    <t>run10_easycategs_0.5unique_0.1rep-group_2</t>
  </si>
  <si>
    <t>run10_easycategs_0.5unique_0.1rep-group_3</t>
  </si>
  <si>
    <t>run10_easycategs_0.5unique_0.1rep-group_4</t>
  </si>
  <si>
    <t>run10_easycategs_0.5unique_0.25rep-group_0</t>
  </si>
  <si>
    <t>run10_easycategs_0.5unique_0.25rep-group_1</t>
  </si>
  <si>
    <t>run10_easycategs_0.5unique_0.25rep-group_2</t>
  </si>
  <si>
    <t>run10_easycategs_0.5unique_0.25rep-group_3</t>
  </si>
  <si>
    <t>run10_easycategs_0.5unique_0.25rep-group_4</t>
  </si>
  <si>
    <t>run10_easycategs_0.5unique_0.5rep-group_0</t>
  </si>
  <si>
    <t>run10_easycategs_0.5unique_0.5rep-group_1</t>
  </si>
  <si>
    <t>run10_easycategs_0.5unique_0.5rep-group_2</t>
  </si>
  <si>
    <t>run10_easycategs_0.5unique_0.5rep-group_3</t>
  </si>
  <si>
    <t>run10_easycategs_0.5unique_0.5rep-group_4</t>
  </si>
  <si>
    <t>run10_easycategs_0.5unique_0.75rep-group_0</t>
  </si>
  <si>
    <t>run10_easycategs_0.5unique_0.75rep-group_1</t>
  </si>
  <si>
    <t>run10_easycategs_0.5unique_0.75rep-group_2</t>
  </si>
  <si>
    <t>run10_easycategs_0.5unique_0.75rep-group_3</t>
  </si>
  <si>
    <t>run10_easycategs_0.5unique_0.75rep-group_4</t>
  </si>
  <si>
    <t>run10_easycategs_0.5unique_1.0rep-group_0</t>
  </si>
  <si>
    <t>run10_easycategs_0.5unique_1.0rep-group_1</t>
  </si>
  <si>
    <t>run10_easycategs_0.5unique_1.0rep-group_2</t>
  </si>
  <si>
    <t>run10_easycategs_0.5unique_1.0rep-group_3</t>
  </si>
  <si>
    <t>run10_easycategs_0.5unique_1.0rep-group_4</t>
  </si>
  <si>
    <t>run10_easycategs_0.75unique_0.1rep-group_0</t>
  </si>
  <si>
    <t>run10_easycategs_0.75unique_0.1rep-group_1</t>
  </si>
  <si>
    <t>run10_easycategs_0.75unique_0.1rep-group_2</t>
  </si>
  <si>
    <t>run10_easycategs_0.75unique_0.1rep-group_3</t>
  </si>
  <si>
    <t>run10_easycategs_0.75unique_0.1rep-group_4</t>
  </si>
  <si>
    <t>run10_easycategs_0.75unique_0.25rep-group_0</t>
  </si>
  <si>
    <t>run10_easycategs_0.75unique_0.25rep-group_1</t>
  </si>
  <si>
    <t>run10_easycategs_0.75unique_0.25rep-group_2</t>
  </si>
  <si>
    <t>run10_easycategs_0.75unique_0.25rep-group_3</t>
  </si>
  <si>
    <t>run10_easycategs_0.75unique_0.25rep-group_4</t>
  </si>
  <si>
    <t>run10_easycategs_0.75unique_0.5rep-group_0</t>
  </si>
  <si>
    <t>run10_easycategs_0.75unique_0.5rep-group_1</t>
  </si>
  <si>
    <t>run10_easycategs_0.75unique_0.5rep-group_2</t>
  </si>
  <si>
    <t>run10_easycategs_0.75unique_0.5rep-group_3</t>
  </si>
  <si>
    <t>run10_easycategs_0.75unique_0.5rep-group_4</t>
  </si>
  <si>
    <t>run10_easycategs_0.75unique_0.75rep-group_0</t>
  </si>
  <si>
    <t>run10_easycategs_0.75unique_0.75rep-group_1</t>
  </si>
  <si>
    <t>run10_easycategs_0.75unique_0.75rep-group_2</t>
  </si>
  <si>
    <t>run10_easycategs_0.75unique_0.75rep-group_3</t>
  </si>
  <si>
    <t>run10_easycategs_0.75unique_0.75rep-group_4</t>
  </si>
  <si>
    <t>run10_easycategs_0.75unique_1.0rep-group_0</t>
  </si>
  <si>
    <t>run10_easycategs_0.75unique_1.0rep-group_1</t>
  </si>
  <si>
    <t>run10_easycategs_0.75unique_1.0rep-group_2</t>
  </si>
  <si>
    <t>run10_easycategs_0.75unique_1.0rep-group_3</t>
  </si>
  <si>
    <t>run10_easycategs_0.75unique_1.0rep-group_4</t>
  </si>
  <si>
    <t>run10_easycategs_1.0unique_0.1rep-group_0</t>
  </si>
  <si>
    <t>run10_easycategs_1.0unique_0.1rep-group_1</t>
  </si>
  <si>
    <t>run10_easycategs_1.0unique_0.1rep-group_2</t>
  </si>
  <si>
    <t>run10_easycategs_1.0unique_0.1rep-group_3</t>
  </si>
  <si>
    <t>run10_easycategs_1.0unique_0.1rep-group_4</t>
  </si>
  <si>
    <t>run10_easycategs_1.0unique_0.25rep-group_0</t>
  </si>
  <si>
    <t>run10_easycategs_1.0unique_0.25rep-group_1</t>
  </si>
  <si>
    <t>run10_easycategs_1.0unique_0.25rep-group_2</t>
  </si>
  <si>
    <t>run10_easycategs_1.0unique_0.25rep-group_3</t>
  </si>
  <si>
    <t>run10_easycategs_1.0unique_0.25rep-group_4</t>
  </si>
  <si>
    <t>run10_easycategs_1.0unique_0.5rep-group_0</t>
  </si>
  <si>
    <t>run10_easycategs_1.0unique_0.5rep-group_1</t>
  </si>
  <si>
    <t>run10_easycategs_1.0unique_0.5rep-group_2</t>
  </si>
  <si>
    <t>run10_easycategs_1.0unique_0.5rep-group_3</t>
  </si>
  <si>
    <t>run10_easycategs_1.0unique_0.5rep-group_4</t>
  </si>
  <si>
    <t>run10_easycategs_1.0unique_0.75rep-group_0</t>
  </si>
  <si>
    <t>run10_easycategs_1.0unique_0.75rep-group_1</t>
  </si>
  <si>
    <t>run10_easycategs_1.0unique_0.75rep-group_2</t>
  </si>
  <si>
    <t>run10_easycategs_1.0unique_0.75rep-group_3</t>
  </si>
  <si>
    <t>run10_easycategs_1.0unique_0.75rep-group_4</t>
  </si>
  <si>
    <t>run10_easycategs_1.0unique_1.0rep-group_0</t>
  </si>
  <si>
    <t>run10_easycategs_1.0unique_1.0rep-group_1</t>
  </si>
  <si>
    <t>run10_easycategs_1.0unique_1.0rep-group_2</t>
  </si>
  <si>
    <t>run10_easycategs_1.0unique_1.0rep-group_3</t>
  </si>
  <si>
    <t>run10_easycategs_1.0unique_1.0rep-group_4</t>
  </si>
  <si>
    <t>run10_priority12x3x4_0.1unique_0.1rep-group_0</t>
  </si>
  <si>
    <t>run10_priority12x3x4_0.1unique_0.1rep-group_1</t>
  </si>
  <si>
    <t>run10_priority12x3x4_0.1unique_0.1rep-group_2</t>
  </si>
  <si>
    <t>run10_priority12x3x4_0.1unique_0.1rep-group_3</t>
  </si>
  <si>
    <t>run10_priority12x3x4_0.1unique_0.1rep-group_4</t>
  </si>
  <si>
    <t>run10_priority12x3x4_0.1unique_0.25rep-group_0</t>
  </si>
  <si>
    <t>run10_priority12x3x4_0.1unique_0.25rep-group_1</t>
  </si>
  <si>
    <t>run10_priority12x3x4_0.1unique_0.25rep-group_2</t>
  </si>
  <si>
    <t>run10_priority12x3x4_0.1unique_0.25rep-group_3</t>
  </si>
  <si>
    <t>run10_priority12x3x4_0.1unique_0.25rep-group_4</t>
  </si>
  <si>
    <t>run10_priority12x3x4_0.1unique_0.5rep-group_0</t>
  </si>
  <si>
    <t>run10_priority12x3x4_0.1unique_0.5rep-group_1</t>
  </si>
  <si>
    <t>run10_priority12x3x4_0.1unique_0.5rep-group_2</t>
  </si>
  <si>
    <t>run10_priority12x3x4_0.1unique_0.5rep-group_3</t>
  </si>
  <si>
    <t>run10_priority12x3x4_0.1unique_0.5rep-group_4</t>
  </si>
  <si>
    <t>run10_priority12x3x4_0.1unique_0.75rep-group_0</t>
  </si>
  <si>
    <t>run10_priority12x3x4_0.1unique_0.75rep-group_1</t>
  </si>
  <si>
    <t>run10_priority12x3x4_0.1unique_0.75rep-group_2</t>
  </si>
  <si>
    <t>run10_priority12x3x4_0.1unique_0.75rep-group_3</t>
  </si>
  <si>
    <t>run10_priority12x3x4_0.1unique_0.75rep-group_4</t>
  </si>
  <si>
    <t>run10_priority12x3x4_0.1unique_1.0rep-group_0</t>
  </si>
  <si>
    <t>run10_priority12x3x4_0.1unique_1.0rep-group_1</t>
  </si>
  <si>
    <t>run10_priority12x3x4_0.1unique_1.0rep-group_2</t>
  </si>
  <si>
    <t>run10_priority12x3x4_0.1unique_1.0rep-group_3</t>
  </si>
  <si>
    <t>run10_priority12x3x4_0.1unique_1.0rep-group_4</t>
  </si>
  <si>
    <t>run10_priority12x3x4_0.25unique_0.1rep-group_0</t>
  </si>
  <si>
    <t>run10_priority12x3x4_0.25unique_0.1rep-group_1</t>
  </si>
  <si>
    <t>run10_priority12x3x4_0.25unique_0.1rep-group_2</t>
  </si>
  <si>
    <t>run10_priority12x3x4_0.25unique_0.1rep-group_3</t>
  </si>
  <si>
    <t>run10_priority12x3x4_0.25unique_0.1rep-group_4</t>
  </si>
  <si>
    <t>run10_priority12x3x4_0.25unique_0.25rep-group_0</t>
  </si>
  <si>
    <t>run10_priority12x3x4_0.25unique_0.25rep-group_1</t>
  </si>
  <si>
    <t>run10_priority12x3x4_0.25unique_0.25rep-group_2</t>
  </si>
  <si>
    <t>run10_priority12x3x4_0.25unique_0.25rep-group_3</t>
  </si>
  <si>
    <t>run10_priority12x3x4_0.25unique_0.25rep-group_4</t>
  </si>
  <si>
    <t>run10_priority12x3x4_0.25unique_0.5rep-group_0</t>
  </si>
  <si>
    <t>run10_priority12x3x4_0.25unique_0.5rep-group_1</t>
  </si>
  <si>
    <t>run10_priority12x3x4_0.25unique_0.5rep-group_2</t>
  </si>
  <si>
    <t>run10_priority12x3x4_0.25unique_0.5rep-group_3</t>
  </si>
  <si>
    <t>run10_priority12x3x4_0.25unique_0.5rep-group_4</t>
  </si>
  <si>
    <t>run10_priority12x3x4_0.25unique_0.75rep-group_0</t>
  </si>
  <si>
    <t>run10_priority12x3x4_0.25unique_0.75rep-group_1</t>
  </si>
  <si>
    <t>run10_priority12x3x4_0.25unique_0.75rep-group_2</t>
  </si>
  <si>
    <t>run10_priority12x3x4_0.25unique_0.75rep-group_3</t>
  </si>
  <si>
    <t>run10_priority12x3x4_0.25unique_0.75rep-group_4</t>
  </si>
  <si>
    <t>run10_priority12x3x4_0.25unique_1.0rep-group_0</t>
  </si>
  <si>
    <t>run10_priority12x3x4_0.25unique_1.0rep-group_1</t>
  </si>
  <si>
    <t>run10_priority12x3x4_0.25unique_1.0rep-group_2</t>
  </si>
  <si>
    <t>run10_priority12x3x4_0.25unique_1.0rep-group_3</t>
  </si>
  <si>
    <t>run10_priority12x3x4_0.25unique_1.0rep-group_4</t>
  </si>
  <si>
    <t>run10_priority12x3x4_0.5unique_0.1rep-group_0</t>
  </si>
  <si>
    <t>run10_priority12x3x4_0.5unique_0.1rep-group_1</t>
  </si>
  <si>
    <t>run10_priority12x3x4_0.5unique_0.1rep-group_2</t>
  </si>
  <si>
    <t>run10_priority12x3x4_0.5unique_0.1rep-group_3</t>
  </si>
  <si>
    <t>run10_priority12x3x4_0.5unique_0.1rep-group_4</t>
  </si>
  <si>
    <t>run10_priority12x3x4_0.5unique_0.25rep-group_0</t>
  </si>
  <si>
    <t>run10_priority12x3x4_0.5unique_0.25rep-group_1</t>
  </si>
  <si>
    <t>run10_priority12x3x4_0.5unique_0.25rep-group_2</t>
  </si>
  <si>
    <t>run10_priority12x3x4_0.5unique_0.25rep-group_3</t>
  </si>
  <si>
    <t>run10_priority12x3x4_0.5unique_0.25rep-group_4</t>
  </si>
  <si>
    <t>run10_priority12x3x4_0.5unique_0.5rep-group_0</t>
  </si>
  <si>
    <t>run10_priority12x3x4_0.5unique_0.5rep-group_1</t>
  </si>
  <si>
    <t>run10_priority12x3x4_0.5unique_0.5rep-group_2</t>
  </si>
  <si>
    <t>run10_priority12x3x4_0.5unique_0.5rep-group_3</t>
  </si>
  <si>
    <t>run10_priority12x3x4_0.5unique_0.5rep-group_4</t>
  </si>
  <si>
    <t>run10_priority12x3x4_0.5unique_0.75rep-group_0</t>
  </si>
  <si>
    <t>run10_priority12x3x4_0.5unique_0.75rep-group_1</t>
  </si>
  <si>
    <t>run10_priority12x3x4_0.5unique_0.75rep-group_2</t>
  </si>
  <si>
    <t>run10_priority12x3x4_0.5unique_0.75rep-group_3</t>
  </si>
  <si>
    <t>run10_priority12x3x4_0.5unique_0.75rep-group_4</t>
  </si>
  <si>
    <t>run10_priority12x3x4_0.5unique_1.0rep-group_0</t>
  </si>
  <si>
    <t>run10_priority12x3x4_0.5unique_1.0rep-group_1</t>
  </si>
  <si>
    <t>run10_priority12x3x4_0.5unique_1.0rep-group_2</t>
  </si>
  <si>
    <t>run10_priority12x3x4_0.5unique_1.0rep-group_3</t>
  </si>
  <si>
    <t>run10_priority12x3x4_0.5unique_1.0rep-group_4</t>
  </si>
  <si>
    <t>run10_priority12x3x4_0.75unique_0.1rep-group_0</t>
  </si>
  <si>
    <t>run10_priority12x3x4_0.75unique_0.1rep-group_1</t>
  </si>
  <si>
    <t>run10_priority12x3x4_0.75unique_0.1rep-group_2</t>
  </si>
  <si>
    <t>run10_priority12x3x4_0.75unique_0.1rep-group_3</t>
  </si>
  <si>
    <t>run10_priority12x3x4_0.75unique_0.1rep-group_4</t>
  </si>
  <si>
    <t>run10_priority12x3x4_0.75unique_0.25rep-group_0</t>
  </si>
  <si>
    <t>run10_priority12x3x4_0.75unique_0.25rep-group_1</t>
  </si>
  <si>
    <t>run10_priority12x3x4_0.75unique_0.25rep-group_2</t>
  </si>
  <si>
    <t>run10_priority12x3x4_0.75unique_0.25rep-group_3</t>
  </si>
  <si>
    <t>run10_priority12x3x4_0.75unique_0.25rep-group_4</t>
  </si>
  <si>
    <t>run10_priority12x3x4_0.75unique_0.5rep-group_0</t>
  </si>
  <si>
    <t>run10_priority12x3x4_0.75unique_0.5rep-group_1</t>
  </si>
  <si>
    <t>run10_priority12x3x4_0.75unique_0.5rep-group_2</t>
  </si>
  <si>
    <t>run10_priority12x3x4_0.75unique_0.5rep-group_3</t>
  </si>
  <si>
    <t>run10_priority12x3x4_0.75unique_0.5rep-group_4</t>
  </si>
  <si>
    <t>run10_priority12x3x4_0.75unique_0.75rep-group_0</t>
  </si>
  <si>
    <t>run10_priority12x3x4_0.75unique_0.75rep-group_1</t>
  </si>
  <si>
    <t>run10_priority12x3x4_0.75unique_0.75rep-group_2</t>
  </si>
  <si>
    <t>run10_priority12x3x4_0.75unique_0.75rep-group_3</t>
  </si>
  <si>
    <t>run10_priority12x3x4_0.75unique_0.75rep-group_4</t>
  </si>
  <si>
    <t>run10_priority12x3x4_0.75unique_1.0rep-group_0</t>
  </si>
  <si>
    <t>run10_priority12x3x4_0.75unique_1.0rep-group_1</t>
  </si>
  <si>
    <t>run10_priority12x3x4_0.75unique_1.0rep-group_2</t>
  </si>
  <si>
    <t>run10_priority12x3x4_0.75unique_1.0rep-group_3</t>
  </si>
  <si>
    <t>run10_priority12x3x4_0.75unique_1.0rep-group_4</t>
  </si>
  <si>
    <t>run10_priority12x3x4_1.0unique_0.1rep-group_0</t>
  </si>
  <si>
    <t>run10_priority12x3x4_1.0unique_0.1rep-group_1</t>
  </si>
  <si>
    <t>run10_priority12x3x4_1.0unique_0.1rep-group_2</t>
  </si>
  <si>
    <t>run10_priority12x3x4_1.0unique_0.1rep-group_3</t>
  </si>
  <si>
    <t>run10_priority12x3x4_1.0unique_0.1rep-group_4</t>
  </si>
  <si>
    <t>run10_priority12x3x4_1.0unique_0.25rep-group_0</t>
  </si>
  <si>
    <t>run10_priority12x3x4_1.0unique_0.25rep-group_1</t>
  </si>
  <si>
    <t>run10_priority12x3x4_1.0unique_0.25rep-group_2</t>
  </si>
  <si>
    <t>run10_priority12x3x4_1.0unique_0.25rep-group_3</t>
  </si>
  <si>
    <t>run10_priority12x3x4_1.0unique_0.25rep-group_4</t>
  </si>
  <si>
    <t>run10_priority12x3x4_1.0unique_0.5rep-group_0</t>
  </si>
  <si>
    <t>run10_priority12x3x4_1.0unique_0.5rep-group_1</t>
  </si>
  <si>
    <t>run10_priority12x3x4_1.0unique_0.5rep-group_2</t>
  </si>
  <si>
    <t>run10_priority12x3x4_1.0unique_0.5rep-group_3</t>
  </si>
  <si>
    <t>run10_priority12x3x4_1.0unique_0.5rep-group_4</t>
  </si>
  <si>
    <t>run10_priority12x3x4_1.0unique_0.75rep-group_0</t>
  </si>
  <si>
    <t>run10_priority12x3x4_1.0unique_0.75rep-group_1</t>
  </si>
  <si>
    <t>run10_priority12x3x4_1.0unique_0.75rep-group_2</t>
  </si>
  <si>
    <t>run10_priority12x3x4_1.0unique_0.75rep-group_3</t>
  </si>
  <si>
    <t>run10_priority12x3x4_1.0unique_0.75rep-group_4</t>
  </si>
  <si>
    <t>run10_priority12x3x4_1.0unique_1.0rep-group_0</t>
  </si>
  <si>
    <t>run10_priority12x3x4_1.0unique_1.0rep-group_1</t>
  </si>
  <si>
    <t>run10_priority12x3x4_1.0unique_1.0rep-group_2</t>
  </si>
  <si>
    <t>run10_priority12x3x4_1.0unique_1.0rep-group_3</t>
  </si>
  <si>
    <t>run10_priority12x3x4_1.0unique_1.0rep-group_4</t>
  </si>
  <si>
    <t>run2_awaitingsml_0.1unique_0.1rep-group_0</t>
  </si>
  <si>
    <t>run2_awaitingsml_0.1unique_0.1rep-group_1</t>
  </si>
  <si>
    <t>run2_awaitingsml_0.1unique_0.1rep-group_2</t>
  </si>
  <si>
    <t>run2_awaitingsml_0.1unique_0.1rep-group_3</t>
  </si>
  <si>
    <t>run2_awaitingsml_0.1unique_0.1rep-group_4</t>
  </si>
  <si>
    <t>run2_awaitingsml_0.1unique_0.25rep-group_0</t>
  </si>
  <si>
    <t>run2_awaitingsml_0.1unique_0.25rep-group_1</t>
  </si>
  <si>
    <t>run2_awaitingsml_0.1unique_0.25rep-group_2</t>
  </si>
  <si>
    <t>run2_awaitingsml_0.1unique_0.25rep-group_3</t>
  </si>
  <si>
    <t>run2_awaitingsml_0.1unique_0.25rep-group_4</t>
  </si>
  <si>
    <t>run2_awaitingsml_0.1unique_0.5rep-group_0</t>
  </si>
  <si>
    <t>run2_awaitingsml_0.1unique_0.5rep-group_1</t>
  </si>
  <si>
    <t>run2_awaitingsml_0.1unique_0.5rep-group_2</t>
  </si>
  <si>
    <t>run2_awaitingsml_0.1unique_0.5rep-group_3</t>
  </si>
  <si>
    <t>run2_awaitingsml_0.1unique_0.5rep-group_4</t>
  </si>
  <si>
    <t>run2_awaitingsml_0.1unique_0.75rep-group_0</t>
  </si>
  <si>
    <t>run2_awaitingsml_0.1unique_0.75rep-group_1</t>
  </si>
  <si>
    <t>run2_awaitingsml_0.1unique_0.75rep-group_2</t>
  </si>
  <si>
    <t>run2_awaitingsml_0.1unique_0.75rep-group_3</t>
  </si>
  <si>
    <t>run2_awaitingsml_0.1unique_0.75rep-group_4</t>
  </si>
  <si>
    <t>run2_awaitingsml_0.1unique_1.0rep-group_0</t>
  </si>
  <si>
    <t>run2_awaitingsml_0.1unique_1.0rep-group_1</t>
  </si>
  <si>
    <t>run2_awaitingsml_0.1unique_1.0rep-group_2</t>
  </si>
  <si>
    <t>run2_awaitingsml_0.1unique_1.0rep-group_3</t>
  </si>
  <si>
    <t>run2_awaitingsml_0.1unique_1.0rep-group_4</t>
  </si>
  <si>
    <t>run2_awaitingsml_0.25unique_0.1rep-group_0</t>
  </si>
  <si>
    <t>run2_awaitingsml_0.25unique_0.1rep-group_1</t>
  </si>
  <si>
    <t>run2_awaitingsml_0.25unique_0.1rep-group_2</t>
  </si>
  <si>
    <t>run2_awaitingsml_0.25unique_0.1rep-group_3</t>
  </si>
  <si>
    <t>run2_awaitingsml_0.25unique_0.1rep-group_4</t>
  </si>
  <si>
    <t>run2_awaitingsml_0.25unique_0.25rep-group_0</t>
  </si>
  <si>
    <t>run2_awaitingsml_0.25unique_0.25rep-group_1</t>
  </si>
  <si>
    <t>run2_awaitingsml_0.25unique_0.25rep-group_2</t>
  </si>
  <si>
    <t>run2_awaitingsml_0.25unique_0.25rep-group_3</t>
  </si>
  <si>
    <t>run2_awaitingsml_0.25unique_0.25rep-group_4</t>
  </si>
  <si>
    <t>run2_awaitingsml_0.25unique_0.5rep-group_0</t>
  </si>
  <si>
    <t>run2_awaitingsml_0.25unique_0.5rep-group_1</t>
  </si>
  <si>
    <t>run2_awaitingsml_0.25unique_0.5rep-group_2</t>
  </si>
  <si>
    <t>run2_awaitingsml_0.25unique_0.5rep-group_3</t>
  </si>
  <si>
    <t>run2_awaitingsml_0.25unique_0.5rep-group_4</t>
  </si>
  <si>
    <t>run2_awaitingsml_0.25unique_0.75rep-group_0</t>
  </si>
  <si>
    <t>run2_awaitingsml_0.25unique_0.75rep-group_1</t>
  </si>
  <si>
    <t>run2_awaitingsml_0.25unique_0.75rep-group_2</t>
  </si>
  <si>
    <t>run2_awaitingsml_0.25unique_0.75rep-group_3</t>
  </si>
  <si>
    <t>run2_awaitingsml_0.25unique_0.75rep-group_4</t>
  </si>
  <si>
    <t>run2_awaitingsml_0.25unique_1.0rep-group_0</t>
  </si>
  <si>
    <t>run2_awaitingsml_0.25unique_1.0rep-group_1</t>
  </si>
  <si>
    <t>run2_awaitingsml_0.25unique_1.0rep-group_2</t>
  </si>
  <si>
    <t>run2_awaitingsml_0.25unique_1.0rep-group_3</t>
  </si>
  <si>
    <t>run2_awaitingsml_0.25unique_1.0rep-group_4</t>
  </si>
  <si>
    <t>run2_awaitingsml_0.5unique_0.1rep-group_0</t>
  </si>
  <si>
    <t>run2_awaitingsml_0.5unique_0.1rep-group_1</t>
  </si>
  <si>
    <t>run2_awaitingsml_0.5unique_0.1rep-group_2</t>
  </si>
  <si>
    <t>run2_awaitingsml_0.5unique_0.1rep-group_3</t>
  </si>
  <si>
    <t>run2_awaitingsml_0.5unique_0.1rep-group_4</t>
  </si>
  <si>
    <t>run2_awaitingsml_0.5unique_0.25rep-group_0</t>
  </si>
  <si>
    <t>run2_awaitingsml_0.5unique_0.25rep-group_1</t>
  </si>
  <si>
    <t>run2_awaitingsml_0.5unique_0.25rep-group_2</t>
  </si>
  <si>
    <t>run2_awaitingsml_0.5unique_0.25rep-group_3</t>
  </si>
  <si>
    <t>run2_awaitingsml_0.5unique_0.25rep-group_4</t>
  </si>
  <si>
    <t>run2_awaitingsml_0.5unique_0.5rep-group_0</t>
  </si>
  <si>
    <t>run2_awaitingsml_0.5unique_0.5rep-group_1</t>
  </si>
  <si>
    <t>run2_awaitingsml_0.5unique_0.5rep-group_2</t>
  </si>
  <si>
    <t>run2_awaitingsml_0.5unique_0.5rep-group_3</t>
  </si>
  <si>
    <t>run2_awaitingsml_0.5unique_0.5rep-group_4</t>
  </si>
  <si>
    <t>run2_awaitingsml_0.5unique_0.75rep-group_0</t>
  </si>
  <si>
    <t>run2_awaitingsml_0.5unique_0.75rep-group_1</t>
  </si>
  <si>
    <t>run2_awaitingsml_0.5unique_0.75rep-group_2</t>
  </si>
  <si>
    <t>run2_awaitingsml_0.5unique_0.75rep-group_3</t>
  </si>
  <si>
    <t>run2_awaitingsml_0.5unique_0.75rep-group_4</t>
  </si>
  <si>
    <t>run2_awaitingsml_0.5unique_1.0rep-group_0</t>
  </si>
  <si>
    <t>run2_awaitingsml_0.5unique_1.0rep-group_1</t>
  </si>
  <si>
    <t>run2_awaitingsml_0.5unique_1.0rep-group_2</t>
  </si>
  <si>
    <t>run2_awaitingsml_0.5unique_1.0rep-group_3</t>
  </si>
  <si>
    <t>run2_awaitingsml_0.5unique_1.0rep-group_4</t>
  </si>
  <si>
    <t>run2_awaitingsml_0.75unique_0.1rep-group_0</t>
  </si>
  <si>
    <t>run2_awaitingsml_0.75unique_0.1rep-group_1</t>
  </si>
  <si>
    <t>run2_awaitingsml_0.75unique_0.1rep-group_2</t>
  </si>
  <si>
    <t>run2_awaitingsml_0.75unique_0.1rep-group_3</t>
  </si>
  <si>
    <t>run2_awaitingsml_0.75unique_0.1rep-group_4</t>
  </si>
  <si>
    <t>run2_awaitingsml_0.75unique_0.25rep-group_0</t>
  </si>
  <si>
    <t>run2_awaitingsml_0.75unique_0.25rep-group_1</t>
  </si>
  <si>
    <t>run2_awaitingsml_0.75unique_0.25rep-group_2</t>
  </si>
  <si>
    <t>run2_awaitingsml_0.75unique_0.25rep-group_3</t>
  </si>
  <si>
    <t>run2_awaitingsml_0.75unique_0.25rep-group_4</t>
  </si>
  <si>
    <t>run2_awaitingsml_0.75unique_0.5rep-group_0</t>
  </si>
  <si>
    <t>run2_awaitingsml_0.75unique_0.5rep-group_1</t>
  </si>
  <si>
    <t>run2_awaitingsml_0.75unique_0.5rep-group_2</t>
  </si>
  <si>
    <t>run2_awaitingsml_0.75unique_0.5rep-group_3</t>
  </si>
  <si>
    <t>run2_awaitingsml_0.75unique_0.5rep-group_4</t>
  </si>
  <si>
    <t>run2_awaitingsml_0.75unique_0.75rep-group_0</t>
  </si>
  <si>
    <t>run2_awaitingsml_0.75unique_0.75rep-group_1</t>
  </si>
  <si>
    <t>run2_awaitingsml_0.75unique_0.75rep-group_2</t>
  </si>
  <si>
    <t>run2_awaitingsml_0.75unique_0.75rep-group_3</t>
  </si>
  <si>
    <t>run2_awaitingsml_0.75unique_0.75rep-group_4</t>
  </si>
  <si>
    <t>run2_awaitingsml_0.75unique_1.0rep-group_0</t>
  </si>
  <si>
    <t>run2_awaitingsml_0.75unique_1.0rep-group_1</t>
  </si>
  <si>
    <t>run2_awaitingsml_0.75unique_1.0rep-group_2</t>
  </si>
  <si>
    <t>run2_awaitingsml_0.75unique_1.0rep-group_3</t>
  </si>
  <si>
    <t>run2_awaitingsml_0.75unique_1.0rep-group_4</t>
  </si>
  <si>
    <t>run2_awaitingsml_1.0unique_0.1rep-group_0</t>
  </si>
  <si>
    <t>run2_awaitingsml_1.0unique_0.1rep-group_1</t>
  </si>
  <si>
    <t>run2_awaitingsml_1.0unique_0.1rep-group_2</t>
  </si>
  <si>
    <t>run2_awaitingsml_1.0unique_0.1rep-group_3</t>
  </si>
  <si>
    <t>run2_awaitingsml_1.0unique_0.1rep-group_4</t>
  </si>
  <si>
    <t>run2_awaitingsml_1.0unique_0.25rep-group_0</t>
  </si>
  <si>
    <t>run2_awaitingsml_1.0unique_0.25rep-group_1</t>
  </si>
  <si>
    <t>run2_awaitingsml_1.0unique_0.25rep-group_2</t>
  </si>
  <si>
    <t>run2_awaitingsml_1.0unique_0.25rep-group_3</t>
  </si>
  <si>
    <t>run2_awaitingsml_1.0unique_0.25rep-group_4</t>
  </si>
  <si>
    <t>run2_awaitingsml_1.0unique_0.5rep-group_0</t>
  </si>
  <si>
    <t>run2_awaitingsml_1.0unique_0.5rep-group_1</t>
  </si>
  <si>
    <t>run2_awaitingsml_1.0unique_0.5rep-group_2</t>
  </si>
  <si>
    <t>run2_awaitingsml_1.0unique_0.5rep-group_3</t>
  </si>
  <si>
    <t>run2_awaitingsml_1.0unique_0.5rep-group_4</t>
  </si>
  <si>
    <t>run2_awaitingsml_1.0unique_0.75rep-group_0</t>
  </si>
  <si>
    <t>run2_awaitingsml_1.0unique_0.75rep-group_1</t>
  </si>
  <si>
    <t>run2_awaitingsml_1.0unique_0.75rep-group_2</t>
  </si>
  <si>
    <t>run2_awaitingsml_1.0unique_0.75rep-group_3</t>
  </si>
  <si>
    <t>run2_awaitingsml_1.0unique_0.75rep-group_4</t>
  </si>
  <si>
    <t>run2_awaitingsml_1.0unique_1.0rep-group_0</t>
  </si>
  <si>
    <t>run2_awaitingsml_1.0unique_1.0rep-group_1</t>
  </si>
  <si>
    <t>run2_awaitingsml_1.0unique_1.0rep-group_2</t>
  </si>
  <si>
    <t>run2_awaitingsml_1.0unique_1.0rep-group_3</t>
  </si>
  <si>
    <t>run2_awaitingsml_1.0unique_1.0rep-group_4</t>
  </si>
  <si>
    <t>run2_easycategs_0.1unique_0.1rep-group_0</t>
  </si>
  <si>
    <t>run2_easycategs_0.1unique_0.1rep-group_1</t>
  </si>
  <si>
    <t>run2_easycategs_0.1unique_0.1rep-group_2</t>
  </si>
  <si>
    <t>run2_easycategs_0.1unique_0.1rep-group_3</t>
  </si>
  <si>
    <t>run2_easycategs_0.1unique_0.1rep-group_4</t>
  </si>
  <si>
    <t>run2_easycategs_0.1unique_0.25rep-group_0</t>
  </si>
  <si>
    <t>run2_easycategs_0.1unique_0.25rep-group_1</t>
  </si>
  <si>
    <t>run2_easycategs_0.1unique_0.25rep-group_2</t>
  </si>
  <si>
    <t>run2_easycategs_0.1unique_0.25rep-group_3</t>
  </si>
  <si>
    <t>run2_easycategs_0.1unique_0.25rep-group_4</t>
  </si>
  <si>
    <t>run2_easycategs_0.1unique_0.5rep-group_0</t>
  </si>
  <si>
    <t>run2_easycategs_0.1unique_0.5rep-group_1</t>
  </si>
  <si>
    <t>run2_easycategs_0.1unique_0.5rep-group_2</t>
  </si>
  <si>
    <t>run2_easycategs_0.1unique_0.5rep-group_3</t>
  </si>
  <si>
    <t>run2_easycategs_0.1unique_0.5rep-group_4</t>
  </si>
  <si>
    <t>run2_easycategs_0.1unique_0.75rep-group_0</t>
  </si>
  <si>
    <t>run2_easycategs_0.1unique_0.75rep-group_1</t>
  </si>
  <si>
    <t>run2_easycategs_0.1unique_0.75rep-group_2</t>
  </si>
  <si>
    <t>run2_easycategs_0.1unique_0.75rep-group_3</t>
  </si>
  <si>
    <t>run2_easycategs_0.1unique_0.75rep-group_4</t>
  </si>
  <si>
    <t>run2_easycategs_0.1unique_1.0rep-group_0</t>
  </si>
  <si>
    <t>run2_easycategs_0.1unique_1.0rep-group_1</t>
  </si>
  <si>
    <t>run2_easycategs_0.1unique_1.0rep-group_2</t>
  </si>
  <si>
    <t>run2_easycategs_0.1unique_1.0rep-group_3</t>
  </si>
  <si>
    <t>run2_easycategs_0.1unique_1.0rep-group_4</t>
  </si>
  <si>
    <t>run2_easycategs_0.25unique_0.1rep-group_0</t>
  </si>
  <si>
    <t>run2_easycategs_0.25unique_0.1rep-group_1</t>
  </si>
  <si>
    <t>run2_easycategs_0.25unique_0.1rep-group_2</t>
  </si>
  <si>
    <t>run2_easycategs_0.25unique_0.1rep-group_3</t>
  </si>
  <si>
    <t>run2_easycategs_0.25unique_0.1rep-group_4</t>
  </si>
  <si>
    <t>run2_easycategs_0.25unique_0.25rep-group_0</t>
  </si>
  <si>
    <t>run2_easycategs_0.25unique_0.25rep-group_1</t>
  </si>
  <si>
    <t>run2_easycategs_0.25unique_0.25rep-group_2</t>
  </si>
  <si>
    <t>run2_easycategs_0.25unique_0.25rep-group_3</t>
  </si>
  <si>
    <t>run2_easycategs_0.25unique_0.25rep-group_4</t>
  </si>
  <si>
    <t>run2_easycategs_0.25unique_0.5rep-group_0</t>
  </si>
  <si>
    <t>run2_easycategs_0.25unique_0.5rep-group_1</t>
  </si>
  <si>
    <t>run2_easycategs_0.25unique_0.5rep-group_2</t>
  </si>
  <si>
    <t>run2_easycategs_0.25unique_0.5rep-group_3</t>
  </si>
  <si>
    <t>run2_easycategs_0.25unique_0.5rep-group_4</t>
  </si>
  <si>
    <t>run2_easycategs_0.25unique_0.75rep-group_0</t>
  </si>
  <si>
    <t>run2_easycategs_0.25unique_0.75rep-group_1</t>
  </si>
  <si>
    <t>run2_easycategs_0.25unique_0.75rep-group_2</t>
  </si>
  <si>
    <t>run2_easycategs_0.25unique_0.75rep-group_3</t>
  </si>
  <si>
    <t>run2_easycategs_0.25unique_0.75rep-group_4</t>
  </si>
  <si>
    <t>run2_easycategs_0.25unique_1.0rep-group_0</t>
  </si>
  <si>
    <t>run2_easycategs_0.25unique_1.0rep-group_1</t>
  </si>
  <si>
    <t>run2_easycategs_0.25unique_1.0rep-group_2</t>
  </si>
  <si>
    <t>run2_easycategs_0.25unique_1.0rep-group_3</t>
  </si>
  <si>
    <t>run2_easycategs_0.25unique_1.0rep-group_4</t>
  </si>
  <si>
    <t>run2_easycategs_0.5unique_0.1rep-group_0</t>
  </si>
  <si>
    <t>run2_easycategs_0.5unique_0.1rep-group_1</t>
  </si>
  <si>
    <t>run2_easycategs_0.5unique_0.1rep-group_2</t>
  </si>
  <si>
    <t>run2_easycategs_0.5unique_0.1rep-group_3</t>
  </si>
  <si>
    <t>run2_easycategs_0.5unique_0.1rep-group_4</t>
  </si>
  <si>
    <t>run2_easycategs_0.5unique_0.25rep-group_0</t>
  </si>
  <si>
    <t>run2_easycategs_0.5unique_0.25rep-group_1</t>
  </si>
  <si>
    <t>run2_easycategs_0.5unique_0.25rep-group_2</t>
  </si>
  <si>
    <t>run2_easycategs_0.5unique_0.25rep-group_3</t>
  </si>
  <si>
    <t>run2_easycategs_0.5unique_0.25rep-group_4</t>
  </si>
  <si>
    <t>run2_easycategs_0.5unique_0.5rep-group_0</t>
  </si>
  <si>
    <t>run2_easycategs_0.5unique_0.5rep-group_1</t>
  </si>
  <si>
    <t>run2_easycategs_0.5unique_0.5rep-group_2</t>
  </si>
  <si>
    <t>run2_easycategs_0.5unique_0.5rep-group_3</t>
  </si>
  <si>
    <t>run2_easycategs_0.5unique_0.5rep-group_4</t>
  </si>
  <si>
    <t>run2_easycategs_0.5unique_0.75rep-group_0</t>
  </si>
  <si>
    <t>run2_easycategs_0.5unique_0.75rep-group_1</t>
  </si>
  <si>
    <t>run2_easycategs_0.5unique_0.75rep-group_2</t>
  </si>
  <si>
    <t>run2_easycategs_0.5unique_0.75rep-group_3</t>
  </si>
  <si>
    <t>run2_easycategs_0.5unique_0.75rep-group_4</t>
  </si>
  <si>
    <t>run2_easycategs_0.5unique_1.0rep-group_0</t>
  </si>
  <si>
    <t>run2_easycategs_0.5unique_1.0rep-group_1</t>
  </si>
  <si>
    <t>run2_easycategs_0.5unique_1.0rep-group_2</t>
  </si>
  <si>
    <t>run2_easycategs_0.5unique_1.0rep-group_3</t>
  </si>
  <si>
    <t>run2_easycategs_0.5unique_1.0rep-group_4</t>
  </si>
  <si>
    <t>run2_easycategs_0.75unique_0.1rep-group_0</t>
  </si>
  <si>
    <t>run2_easycategs_0.75unique_0.1rep-group_1</t>
  </si>
  <si>
    <t>run2_easycategs_0.75unique_0.1rep-group_2</t>
  </si>
  <si>
    <t>run2_easycategs_0.75unique_0.1rep-group_3</t>
  </si>
  <si>
    <t>run2_easycategs_0.75unique_0.1rep-group_4</t>
  </si>
  <si>
    <t>run2_easycategs_0.75unique_0.25rep-group_0</t>
  </si>
  <si>
    <t>run2_easycategs_0.75unique_0.25rep-group_1</t>
  </si>
  <si>
    <t>run2_easycategs_0.75unique_0.25rep-group_2</t>
  </si>
  <si>
    <t>run2_easycategs_0.75unique_0.25rep-group_3</t>
  </si>
  <si>
    <t>run2_easycategs_0.75unique_0.25rep-group_4</t>
  </si>
  <si>
    <t>run2_easycategs_0.75unique_0.5rep-group_0</t>
  </si>
  <si>
    <t>run2_easycategs_0.75unique_0.5rep-group_1</t>
  </si>
  <si>
    <t>run2_easycategs_0.75unique_0.5rep-group_2</t>
  </si>
  <si>
    <t>run2_easycategs_0.75unique_0.5rep-group_3</t>
  </si>
  <si>
    <t>run2_easycategs_0.75unique_0.5rep-group_4</t>
  </si>
  <si>
    <t>run2_easycategs_0.75unique_0.75rep-group_0</t>
  </si>
  <si>
    <t>run2_easycategs_0.75unique_0.75rep-group_1</t>
  </si>
  <si>
    <t>run2_easycategs_0.75unique_0.75rep-group_2</t>
  </si>
  <si>
    <t>run2_easycategs_0.75unique_0.75rep-group_3</t>
  </si>
  <si>
    <t>run2_easycategs_0.75unique_0.75rep-group_4</t>
  </si>
  <si>
    <t>run2_easycategs_0.75unique_1.0rep-group_0</t>
  </si>
  <si>
    <t>run2_easycategs_0.75unique_1.0rep-group_1</t>
  </si>
  <si>
    <t>run2_easycategs_0.75unique_1.0rep-group_2</t>
  </si>
  <si>
    <t>run2_easycategs_0.75unique_1.0rep-group_3</t>
  </si>
  <si>
    <t>run2_easycategs_0.75unique_1.0rep-group_4</t>
  </si>
  <si>
    <t>run2_easycategs_1.0unique_0.1rep-group_0</t>
  </si>
  <si>
    <t>run2_easycategs_1.0unique_0.1rep-group_1</t>
  </si>
  <si>
    <t>run2_easycategs_1.0unique_0.1rep-group_2</t>
  </si>
  <si>
    <t>run2_easycategs_1.0unique_0.1rep-group_3</t>
  </si>
  <si>
    <t>run2_easycategs_1.0unique_0.1rep-group_4</t>
  </si>
  <si>
    <t>run2_easycategs_1.0unique_0.25rep-group_0</t>
  </si>
  <si>
    <t>run2_easycategs_1.0unique_0.25rep-group_1</t>
  </si>
  <si>
    <t>run2_easycategs_1.0unique_0.25rep-group_2</t>
  </si>
  <si>
    <t>run2_easycategs_1.0unique_0.25rep-group_3</t>
  </si>
  <si>
    <t>run2_easycategs_1.0unique_0.25rep-group_4</t>
  </si>
  <si>
    <t>run2_easycategs_1.0unique_0.5rep-group_0</t>
  </si>
  <si>
    <t>run2_easycategs_1.0unique_0.5rep-group_1</t>
  </si>
  <si>
    <t>run2_easycategs_1.0unique_0.5rep-group_2</t>
  </si>
  <si>
    <t>run2_easycategs_1.0unique_0.5rep-group_3</t>
  </si>
  <si>
    <t>run2_easycategs_1.0unique_0.5rep-group_4</t>
  </si>
  <si>
    <t>run2_easycategs_1.0unique_0.75rep-group_0</t>
  </si>
  <si>
    <t>run2_easycategs_1.0unique_0.75rep-group_1</t>
  </si>
  <si>
    <t>run2_easycategs_1.0unique_0.75rep-group_2</t>
  </si>
  <si>
    <t>run2_easycategs_1.0unique_0.75rep-group_3</t>
  </si>
  <si>
    <t>run2_easycategs_1.0unique_0.75rep-group_4</t>
  </si>
  <si>
    <t>run2_easycategs_1.0unique_1.0rep-group_0</t>
  </si>
  <si>
    <t>run2_easycategs_1.0unique_1.0rep-group_1</t>
  </si>
  <si>
    <t>run2_easycategs_1.0unique_1.0rep-group_2</t>
  </si>
  <si>
    <t>run2_easycategs_1.0unique_1.0rep-group_3</t>
  </si>
  <si>
    <t>run2_easycategs_1.0unique_1.0rep-group_4</t>
  </si>
  <si>
    <t>run2_priority12x3x4_0.1unique_0.1rep-group_0</t>
  </si>
  <si>
    <t>run2_priority12x3x4_0.1unique_0.1rep-group_1</t>
  </si>
  <si>
    <t>run2_priority12x3x4_0.1unique_0.1rep-group_2</t>
  </si>
  <si>
    <t>run2_priority12x3x4_0.1unique_0.1rep-group_3</t>
  </si>
  <si>
    <t>run2_priority12x3x4_0.1unique_0.1rep-group_4</t>
  </si>
  <si>
    <t>run2_priority12x3x4_0.1unique_0.25rep-group_0</t>
  </si>
  <si>
    <t>run2_priority12x3x4_0.1unique_0.25rep-group_1</t>
  </si>
  <si>
    <t>run2_priority12x3x4_0.1unique_0.25rep-group_2</t>
  </si>
  <si>
    <t>run2_priority12x3x4_0.1unique_0.25rep-group_3</t>
  </si>
  <si>
    <t>run2_priority12x3x4_0.1unique_0.25rep-group_4</t>
  </si>
  <si>
    <t>run2_priority12x3x4_0.1unique_0.5rep-group_0</t>
  </si>
  <si>
    <t>run2_priority12x3x4_0.1unique_0.5rep-group_1</t>
  </si>
  <si>
    <t>run2_priority12x3x4_0.1unique_0.5rep-group_2</t>
  </si>
  <si>
    <t>run2_priority12x3x4_0.1unique_0.5rep-group_3</t>
  </si>
  <si>
    <t>run2_priority12x3x4_0.1unique_0.5rep-group_4</t>
  </si>
  <si>
    <t>run2_priority12x3x4_0.1unique_0.75rep-group_0</t>
  </si>
  <si>
    <t>run2_priority12x3x4_0.1unique_0.75rep-group_1</t>
  </si>
  <si>
    <t>run2_priority12x3x4_0.1unique_0.75rep-group_2</t>
  </si>
  <si>
    <t>run2_priority12x3x4_0.1unique_0.75rep-group_3</t>
  </si>
  <si>
    <t>run2_priority12x3x4_0.1unique_0.75rep-group_4</t>
  </si>
  <si>
    <t>run2_priority12x3x4_0.1unique_1.0rep-group_0</t>
  </si>
  <si>
    <t>run2_priority12x3x4_0.1unique_1.0rep-group_1</t>
  </si>
  <si>
    <t>run2_priority12x3x4_0.1unique_1.0rep-group_2</t>
  </si>
  <si>
    <t>run2_priority12x3x4_0.1unique_1.0rep-group_3</t>
  </si>
  <si>
    <t>run2_priority12x3x4_0.1unique_1.0rep-group_4</t>
  </si>
  <si>
    <t>run2_priority12x3x4_0.25unique_0.1rep-group_0</t>
  </si>
  <si>
    <t>run2_priority12x3x4_0.25unique_0.1rep-group_1</t>
  </si>
  <si>
    <t>run2_priority12x3x4_0.25unique_0.1rep-group_2</t>
  </si>
  <si>
    <t>run2_priority12x3x4_0.25unique_0.1rep-group_3</t>
  </si>
  <si>
    <t>run2_priority12x3x4_0.25unique_0.1rep-group_4</t>
  </si>
  <si>
    <t>run2_priority12x3x4_0.25unique_0.25rep-group_0</t>
  </si>
  <si>
    <t>run2_priority12x3x4_0.25unique_0.25rep-group_1</t>
  </si>
  <si>
    <t>run2_priority12x3x4_0.25unique_0.25rep-group_2</t>
  </si>
  <si>
    <t>run2_priority12x3x4_0.25unique_0.25rep-group_3</t>
  </si>
  <si>
    <t>run2_priority12x3x4_0.25unique_0.25rep-group_4</t>
  </si>
  <si>
    <t>run2_priority12x3x4_0.25unique_0.5rep-group_0</t>
  </si>
  <si>
    <t>run2_priority12x3x4_0.25unique_0.5rep-group_1</t>
  </si>
  <si>
    <t>run2_priority12x3x4_0.25unique_0.5rep-group_2</t>
  </si>
  <si>
    <t>run2_priority12x3x4_0.25unique_0.5rep-group_3</t>
  </si>
  <si>
    <t>run2_priority12x3x4_0.25unique_0.5rep-group_4</t>
  </si>
  <si>
    <t>run2_priority12x3x4_0.25unique_0.75rep-group_0</t>
  </si>
  <si>
    <t>run2_priority12x3x4_0.25unique_0.75rep-group_1</t>
  </si>
  <si>
    <t>run2_priority12x3x4_0.25unique_0.75rep-group_2</t>
  </si>
  <si>
    <t>run2_priority12x3x4_0.25unique_0.75rep-group_3</t>
  </si>
  <si>
    <t>run2_priority12x3x4_0.25unique_0.75rep-group_4</t>
  </si>
  <si>
    <t>run2_priority12x3x4_0.25unique_1.0rep-group_0</t>
  </si>
  <si>
    <t>run2_priority12x3x4_0.25unique_1.0rep-group_1</t>
  </si>
  <si>
    <t>run2_priority12x3x4_0.25unique_1.0rep-group_2</t>
  </si>
  <si>
    <t>run2_priority12x3x4_0.25unique_1.0rep-group_3</t>
  </si>
  <si>
    <t>run2_priority12x3x4_0.25unique_1.0rep-group_4</t>
  </si>
  <si>
    <t>run2_priority12x3x4_0.5unique_0.1rep-group_0</t>
  </si>
  <si>
    <t>run2_priority12x3x4_0.5unique_0.1rep-group_1</t>
  </si>
  <si>
    <t>run2_priority12x3x4_0.5unique_0.1rep-group_2</t>
  </si>
  <si>
    <t>run2_priority12x3x4_0.5unique_0.1rep-group_3</t>
  </si>
  <si>
    <t>run2_priority12x3x4_0.5unique_0.1rep-group_4</t>
  </si>
  <si>
    <t>run2_priority12x3x4_0.5unique_0.25rep-group_0</t>
  </si>
  <si>
    <t>run2_priority12x3x4_0.5unique_0.25rep-group_1</t>
  </si>
  <si>
    <t>run2_priority12x3x4_0.5unique_0.25rep-group_2</t>
  </si>
  <si>
    <t>run2_priority12x3x4_0.5unique_0.25rep-group_3</t>
  </si>
  <si>
    <t>run2_priority12x3x4_0.5unique_0.25rep-group_4</t>
  </si>
  <si>
    <t>run2_priority12x3x4_0.5unique_0.5rep-group_0</t>
  </si>
  <si>
    <t>run2_priority12x3x4_0.5unique_0.5rep-group_1</t>
  </si>
  <si>
    <t>run2_priority12x3x4_0.5unique_0.5rep-group_2</t>
  </si>
  <si>
    <t>run2_priority12x3x4_0.5unique_0.5rep-group_3</t>
  </si>
  <si>
    <t>run2_priority12x3x4_0.5unique_0.5rep-group_4</t>
  </si>
  <si>
    <t>run2_priority12x3x4_0.5unique_0.75rep-group_0</t>
  </si>
  <si>
    <t>run2_priority12x3x4_0.5unique_0.75rep-group_1</t>
  </si>
  <si>
    <t>run2_priority12x3x4_0.5unique_0.75rep-group_2</t>
  </si>
  <si>
    <t>run2_priority12x3x4_0.5unique_0.75rep-group_3</t>
  </si>
  <si>
    <t>run2_priority12x3x4_0.5unique_0.75rep-group_4</t>
  </si>
  <si>
    <t>run2_priority12x3x4_0.5unique_1.0rep-group_0</t>
  </si>
  <si>
    <t>run2_priority12x3x4_0.5unique_1.0rep-group_1</t>
  </si>
  <si>
    <t>run2_priority12x3x4_0.5unique_1.0rep-group_2</t>
  </si>
  <si>
    <t>run2_priority12x3x4_0.5unique_1.0rep-group_3</t>
  </si>
  <si>
    <t>run2_priority12x3x4_0.5unique_1.0rep-group_4</t>
  </si>
  <si>
    <t>run2_priority12x3x4_0.75unique_0.1rep-group_0</t>
  </si>
  <si>
    <t>run2_priority12x3x4_0.75unique_0.1rep-group_1</t>
  </si>
  <si>
    <t>run2_priority12x3x4_0.75unique_0.1rep-group_2</t>
  </si>
  <si>
    <t>run2_priority12x3x4_0.75unique_0.1rep-group_3</t>
  </si>
  <si>
    <t>run2_priority12x3x4_0.75unique_0.1rep-group_4</t>
  </si>
  <si>
    <t>run2_priority12x3x4_0.75unique_0.25rep-group_0</t>
  </si>
  <si>
    <t>run2_priority12x3x4_0.75unique_0.25rep-group_1</t>
  </si>
  <si>
    <t>run2_priority12x3x4_0.75unique_0.25rep-group_2</t>
  </si>
  <si>
    <t>run2_priority12x3x4_0.75unique_0.25rep-group_3</t>
  </si>
  <si>
    <t>run2_priority12x3x4_0.75unique_0.25rep-group_4</t>
  </si>
  <si>
    <t>run2_priority12x3x4_0.75unique_0.5rep-group_0</t>
  </si>
  <si>
    <t>run2_priority12x3x4_0.75unique_0.5rep-group_1</t>
  </si>
  <si>
    <t>run2_priority12x3x4_0.75unique_0.5rep-group_2</t>
  </si>
  <si>
    <t>run2_priority12x3x4_0.75unique_0.5rep-group_3</t>
  </si>
  <si>
    <t>run2_priority12x3x4_0.75unique_0.5rep-group_4</t>
  </si>
  <si>
    <t>run2_priority12x3x4_0.75unique_0.75rep-group_0</t>
  </si>
  <si>
    <t>run2_priority12x3x4_0.75unique_0.75rep-group_1</t>
  </si>
  <si>
    <t>run2_priority12x3x4_0.75unique_0.75rep-group_2</t>
  </si>
  <si>
    <t>run2_priority12x3x4_0.75unique_0.75rep-group_3</t>
  </si>
  <si>
    <t>run2_priority12x3x4_0.75unique_0.75rep-group_4</t>
  </si>
  <si>
    <t>run2_priority12x3x4_0.75unique_1.0rep-group_0</t>
  </si>
  <si>
    <t>run2_priority12x3x4_0.75unique_1.0rep-group_1</t>
  </si>
  <si>
    <t>run2_priority12x3x4_0.75unique_1.0rep-group_2</t>
  </si>
  <si>
    <t>run2_priority12x3x4_0.75unique_1.0rep-group_3</t>
  </si>
  <si>
    <t>run2_priority12x3x4_0.75unique_1.0rep-group_4</t>
  </si>
  <si>
    <t>run2_priority12x3x4_1.0unique_0.1rep-group_0</t>
  </si>
  <si>
    <t>run2_priority12x3x4_1.0unique_0.1rep-group_1</t>
  </si>
  <si>
    <t>run2_priority12x3x4_1.0unique_0.1rep-group_2</t>
  </si>
  <si>
    <t>run2_priority12x3x4_1.0unique_0.1rep-group_3</t>
  </si>
  <si>
    <t>run2_priority12x3x4_1.0unique_0.1rep-group_4</t>
  </si>
  <si>
    <t>run2_priority12x3x4_1.0unique_0.25rep-group_0</t>
  </si>
  <si>
    <t>run2_priority12x3x4_1.0unique_0.25rep-group_1</t>
  </si>
  <si>
    <t>run2_priority12x3x4_1.0unique_0.25rep-group_2</t>
  </si>
  <si>
    <t>run2_priority12x3x4_1.0unique_0.25rep-group_3</t>
  </si>
  <si>
    <t>run2_priority12x3x4_1.0unique_0.25rep-group_4</t>
  </si>
  <si>
    <t>run2_priority12x3x4_1.0unique_0.5rep-group_0</t>
  </si>
  <si>
    <t>run2_priority12x3x4_1.0unique_0.5rep-group_1</t>
  </si>
  <si>
    <t>run2_priority12x3x4_1.0unique_0.5rep-group_2</t>
  </si>
  <si>
    <t>run2_priority12x3x4_1.0unique_0.5rep-group_3</t>
  </si>
  <si>
    <t>run2_priority12x3x4_1.0unique_0.5rep-group_4</t>
  </si>
  <si>
    <t>run2_priority12x3x4_1.0unique_0.75rep-group_0</t>
  </si>
  <si>
    <t>run2_priority12x3x4_1.0unique_0.75rep-group_1</t>
  </si>
  <si>
    <t>run2_priority12x3x4_1.0unique_0.75rep-group_2</t>
  </si>
  <si>
    <t>run2_priority12x3x4_1.0unique_0.75rep-group_3</t>
  </si>
  <si>
    <t>run2_priority12x3x4_1.0unique_0.75rep-group_4</t>
  </si>
  <si>
    <t>run2_priority12x3x4_1.0unique_1.0rep-group_0</t>
  </si>
  <si>
    <t>run2_priority12x3x4_1.0unique_1.0rep-group_1</t>
  </si>
  <si>
    <t>run2_priority12x3x4_1.0unique_1.0rep-group_2</t>
  </si>
  <si>
    <t>run2_priority12x3x4_1.0unique_1.0rep-group_3</t>
  </si>
  <si>
    <t>run2_priority12x3x4_1.0unique_1.0rep-group_4</t>
  </si>
  <si>
    <t>run3_awaitingsml_0.1unique_0.1rep-group_0</t>
  </si>
  <si>
    <t>run3_awaitingsml_0.1unique_0.1rep-group_1</t>
  </si>
  <si>
    <t>run3_awaitingsml_0.1unique_0.1rep-group_2</t>
  </si>
  <si>
    <t>run3_awaitingsml_0.1unique_0.1rep-group_3</t>
  </si>
  <si>
    <t>run3_awaitingsml_0.1unique_0.1rep-group_4</t>
  </si>
  <si>
    <t>run3_awaitingsml_0.1unique_0.25rep-group_0</t>
  </si>
  <si>
    <t>run3_awaitingsml_0.1unique_0.25rep-group_1</t>
  </si>
  <si>
    <t>run3_awaitingsml_0.1unique_0.25rep-group_2</t>
  </si>
  <si>
    <t>run3_awaitingsml_0.1unique_0.25rep-group_3</t>
  </si>
  <si>
    <t>run3_awaitingsml_0.1unique_0.25rep-group_4</t>
  </si>
  <si>
    <t>run3_awaitingsml_0.1unique_0.5rep-group_0</t>
  </si>
  <si>
    <t>run3_awaitingsml_0.1unique_0.5rep-group_1</t>
  </si>
  <si>
    <t>run3_awaitingsml_0.1unique_0.5rep-group_2</t>
  </si>
  <si>
    <t>run3_awaitingsml_0.1unique_0.5rep-group_3</t>
  </si>
  <si>
    <t>run3_awaitingsml_0.1unique_0.5rep-group_4</t>
  </si>
  <si>
    <t>run3_awaitingsml_0.1unique_0.75rep-group_0</t>
  </si>
  <si>
    <t>run3_awaitingsml_0.1unique_0.75rep-group_1</t>
  </si>
  <si>
    <t>run3_awaitingsml_0.1unique_0.75rep-group_2</t>
  </si>
  <si>
    <t>run3_awaitingsml_0.1unique_0.75rep-group_3</t>
  </si>
  <si>
    <t>run3_awaitingsml_0.1unique_0.75rep-group_4</t>
  </si>
  <si>
    <t>run3_awaitingsml_0.1unique_1.0rep-group_0</t>
  </si>
  <si>
    <t>run3_awaitingsml_0.1unique_1.0rep-group_1</t>
  </si>
  <si>
    <t>run3_awaitingsml_0.1unique_1.0rep-group_2</t>
  </si>
  <si>
    <t>run3_awaitingsml_0.1unique_1.0rep-group_3</t>
  </si>
  <si>
    <t>run3_awaitingsml_0.1unique_1.0rep-group_4</t>
  </si>
  <si>
    <t>run3_awaitingsml_0.25unique_0.1rep-group_0</t>
  </si>
  <si>
    <t>run3_awaitingsml_0.25unique_0.1rep-group_1</t>
  </si>
  <si>
    <t>run3_awaitingsml_0.25unique_0.1rep-group_2</t>
  </si>
  <si>
    <t>run3_awaitingsml_0.25unique_0.1rep-group_3</t>
  </si>
  <si>
    <t>run3_awaitingsml_0.25unique_0.1rep-group_4</t>
  </si>
  <si>
    <t>run3_awaitingsml_0.25unique_0.25rep-group_0</t>
  </si>
  <si>
    <t>run3_awaitingsml_0.25unique_0.25rep-group_1</t>
  </si>
  <si>
    <t>run3_awaitingsml_0.25unique_0.25rep-group_2</t>
  </si>
  <si>
    <t>run3_awaitingsml_0.25unique_0.25rep-group_3</t>
  </si>
  <si>
    <t>run3_awaitingsml_0.25unique_0.25rep-group_4</t>
  </si>
  <si>
    <t>run3_awaitingsml_0.25unique_0.5rep-group_0</t>
  </si>
  <si>
    <t>run3_awaitingsml_0.25unique_0.5rep-group_1</t>
  </si>
  <si>
    <t>run3_awaitingsml_0.25unique_0.5rep-group_2</t>
  </si>
  <si>
    <t>run3_awaitingsml_0.25unique_0.5rep-group_3</t>
  </si>
  <si>
    <t>run3_awaitingsml_0.25unique_0.5rep-group_4</t>
  </si>
  <si>
    <t>run3_awaitingsml_0.25unique_0.75rep-group_0</t>
  </si>
  <si>
    <t>run3_awaitingsml_0.25unique_0.75rep-group_1</t>
  </si>
  <si>
    <t>run3_awaitingsml_0.25unique_0.75rep-group_2</t>
  </si>
  <si>
    <t>run3_awaitingsml_0.25unique_0.75rep-group_3</t>
  </si>
  <si>
    <t>run3_awaitingsml_0.25unique_0.75rep-group_4</t>
  </si>
  <si>
    <t>run3_awaitingsml_0.25unique_1.0rep-group_0</t>
  </si>
  <si>
    <t>run3_awaitingsml_0.25unique_1.0rep-group_1</t>
  </si>
  <si>
    <t>run3_awaitingsml_0.25unique_1.0rep-group_2</t>
  </si>
  <si>
    <t>run3_awaitingsml_0.25unique_1.0rep-group_3</t>
  </si>
  <si>
    <t>run3_awaitingsml_0.25unique_1.0rep-group_4</t>
  </si>
  <si>
    <t>run3_awaitingsml_0.5unique_0.1rep-group_0</t>
  </si>
  <si>
    <t>run3_awaitingsml_0.5unique_0.1rep-group_1</t>
  </si>
  <si>
    <t>run3_awaitingsml_0.5unique_0.1rep-group_2</t>
  </si>
  <si>
    <t>run3_awaitingsml_0.5unique_0.1rep-group_3</t>
  </si>
  <si>
    <t>run3_awaitingsml_0.5unique_0.1rep-group_4</t>
  </si>
  <si>
    <t>run3_awaitingsml_0.5unique_0.25rep-group_0</t>
  </si>
  <si>
    <t>run3_awaitingsml_0.5unique_0.25rep-group_1</t>
  </si>
  <si>
    <t>run3_awaitingsml_0.5unique_0.25rep-group_2</t>
  </si>
  <si>
    <t>run3_awaitingsml_0.5unique_0.25rep-group_3</t>
  </si>
  <si>
    <t>run3_awaitingsml_0.5unique_0.25rep-group_4</t>
  </si>
  <si>
    <t>run3_awaitingsml_0.5unique_0.5rep-group_0</t>
  </si>
  <si>
    <t>run3_awaitingsml_0.5unique_0.5rep-group_1</t>
  </si>
  <si>
    <t>run3_awaitingsml_0.5unique_0.5rep-group_2</t>
  </si>
  <si>
    <t>run3_awaitingsml_0.5unique_0.5rep-group_3</t>
  </si>
  <si>
    <t>run3_awaitingsml_0.5unique_0.5rep-group_4</t>
  </si>
  <si>
    <t>run3_awaitingsml_0.5unique_0.75rep-group_0</t>
  </si>
  <si>
    <t>run3_awaitingsml_0.5unique_0.75rep-group_1</t>
  </si>
  <si>
    <t>run3_awaitingsml_0.5unique_0.75rep-group_2</t>
  </si>
  <si>
    <t>run3_awaitingsml_0.5unique_0.75rep-group_3</t>
  </si>
  <si>
    <t>run3_awaitingsml_0.5unique_0.75rep-group_4</t>
  </si>
  <si>
    <t>run3_awaitingsml_0.5unique_1.0rep-group_0</t>
  </si>
  <si>
    <t>run3_awaitingsml_0.5unique_1.0rep-group_1</t>
  </si>
  <si>
    <t>run3_awaitingsml_0.5unique_1.0rep-group_2</t>
  </si>
  <si>
    <t>run3_awaitingsml_0.5unique_1.0rep-group_3</t>
  </si>
  <si>
    <t>run3_awaitingsml_0.5unique_1.0rep-group_4</t>
  </si>
  <si>
    <t>run3_awaitingsml_0.75unique_0.1rep-group_0</t>
  </si>
  <si>
    <t>run3_awaitingsml_0.75unique_0.1rep-group_1</t>
  </si>
  <si>
    <t>run3_awaitingsml_0.75unique_0.1rep-group_2</t>
  </si>
  <si>
    <t>run3_awaitingsml_0.75unique_0.1rep-group_3</t>
  </si>
  <si>
    <t>run3_awaitingsml_0.75unique_0.1rep-group_4</t>
  </si>
  <si>
    <t>run3_awaitingsml_0.75unique_0.25rep-group_0</t>
  </si>
  <si>
    <t>run3_awaitingsml_0.75unique_0.25rep-group_1</t>
  </si>
  <si>
    <t>run3_awaitingsml_0.75unique_0.25rep-group_2</t>
  </si>
  <si>
    <t>run3_awaitingsml_0.75unique_0.25rep-group_3</t>
  </si>
  <si>
    <t>run3_awaitingsml_0.75unique_0.25rep-group_4</t>
  </si>
  <si>
    <t>run3_awaitingsml_0.75unique_0.5rep-group_0</t>
  </si>
  <si>
    <t>run3_awaitingsml_0.75unique_0.5rep-group_1</t>
  </si>
  <si>
    <t>run3_awaitingsml_0.75unique_0.5rep-group_2</t>
  </si>
  <si>
    <t>run3_awaitingsml_0.75unique_0.5rep-group_3</t>
  </si>
  <si>
    <t>run3_awaitingsml_0.75unique_0.5rep-group_4</t>
  </si>
  <si>
    <t>run3_awaitingsml_0.75unique_0.75rep-group_0</t>
  </si>
  <si>
    <t>run3_awaitingsml_0.75unique_0.75rep-group_1</t>
  </si>
  <si>
    <t>run3_awaitingsml_0.75unique_0.75rep-group_2</t>
  </si>
  <si>
    <t>run3_awaitingsml_0.75unique_0.75rep-group_3</t>
  </si>
  <si>
    <t>run3_awaitingsml_0.75unique_0.75rep-group_4</t>
  </si>
  <si>
    <t>run3_awaitingsml_0.75unique_1.0rep-group_0</t>
  </si>
  <si>
    <t>run3_awaitingsml_0.75unique_1.0rep-group_1</t>
  </si>
  <si>
    <t>run3_awaitingsml_0.75unique_1.0rep-group_2</t>
  </si>
  <si>
    <t>run3_awaitingsml_0.75unique_1.0rep-group_3</t>
  </si>
  <si>
    <t>run3_awaitingsml_0.75unique_1.0rep-group_4</t>
  </si>
  <si>
    <t>run3_awaitingsml_1.0unique_0.1rep-group_0</t>
  </si>
  <si>
    <t>run3_awaitingsml_1.0unique_0.1rep-group_1</t>
  </si>
  <si>
    <t>run3_awaitingsml_1.0unique_0.1rep-group_2</t>
  </si>
  <si>
    <t>run3_awaitingsml_1.0unique_0.1rep-group_3</t>
  </si>
  <si>
    <t>run3_awaitingsml_1.0unique_0.1rep-group_4</t>
  </si>
  <si>
    <t>run3_awaitingsml_1.0unique_0.25rep-group_0</t>
  </si>
  <si>
    <t>run3_awaitingsml_1.0unique_0.25rep-group_1</t>
  </si>
  <si>
    <t>run3_awaitingsml_1.0unique_0.25rep-group_2</t>
  </si>
  <si>
    <t>run3_awaitingsml_1.0unique_0.25rep-group_3</t>
  </si>
  <si>
    <t>run3_awaitingsml_1.0unique_0.25rep-group_4</t>
  </si>
  <si>
    <t>run3_awaitingsml_1.0unique_0.5rep-group_0</t>
  </si>
  <si>
    <t>run3_awaitingsml_1.0unique_0.5rep-group_1</t>
  </si>
  <si>
    <t>run3_awaitingsml_1.0unique_0.5rep-group_2</t>
  </si>
  <si>
    <t>run3_awaitingsml_1.0unique_0.5rep-group_3</t>
  </si>
  <si>
    <t>run3_awaitingsml_1.0unique_0.5rep-group_4</t>
  </si>
  <si>
    <t>run3_awaitingsml_1.0unique_0.75rep-group_0</t>
  </si>
  <si>
    <t>run3_awaitingsml_1.0unique_0.75rep-group_1</t>
  </si>
  <si>
    <t>run3_awaitingsml_1.0unique_0.75rep-group_2</t>
  </si>
  <si>
    <t>run3_awaitingsml_1.0unique_0.75rep-group_3</t>
  </si>
  <si>
    <t>run3_awaitingsml_1.0unique_0.75rep-group_4</t>
  </si>
  <si>
    <t>run3_awaitingsml_1.0unique_1.0rep-group_0</t>
  </si>
  <si>
    <t>run3_awaitingsml_1.0unique_1.0rep-group_1</t>
  </si>
  <si>
    <t>run3_awaitingsml_1.0unique_1.0rep-group_2</t>
  </si>
  <si>
    <t>run3_awaitingsml_1.0unique_1.0rep-group_3</t>
  </si>
  <si>
    <t>run3_awaitingsml_1.0unique_1.0rep-group_4</t>
  </si>
  <si>
    <t>run3_easycategs_0.1unique_0.1rep-group_0</t>
  </si>
  <si>
    <t>run3_easycategs_0.1unique_0.1rep-group_1</t>
  </si>
  <si>
    <t>run3_easycategs_0.1unique_0.1rep-group_2</t>
  </si>
  <si>
    <t>run3_easycategs_0.1unique_0.1rep-group_3</t>
  </si>
  <si>
    <t>run3_easycategs_0.1unique_0.1rep-group_4</t>
  </si>
  <si>
    <t>run3_easycategs_0.1unique_0.25rep-group_0</t>
  </si>
  <si>
    <t>run3_easycategs_0.1unique_0.25rep-group_1</t>
  </si>
  <si>
    <t>run3_easycategs_0.1unique_0.25rep-group_2</t>
  </si>
  <si>
    <t>run3_easycategs_0.1unique_0.25rep-group_3</t>
  </si>
  <si>
    <t>run3_easycategs_0.1unique_0.25rep-group_4</t>
  </si>
  <si>
    <t>run3_easycategs_0.1unique_0.5rep-group_0</t>
  </si>
  <si>
    <t>run3_easycategs_0.1unique_0.5rep-group_1</t>
  </si>
  <si>
    <t>run3_easycategs_0.1unique_0.5rep-group_2</t>
  </si>
  <si>
    <t>run3_easycategs_0.1unique_0.5rep-group_3</t>
  </si>
  <si>
    <t>run3_easycategs_0.1unique_0.5rep-group_4</t>
  </si>
  <si>
    <t>run3_easycategs_0.1unique_0.75rep-group_0</t>
  </si>
  <si>
    <t>run3_easycategs_0.1unique_0.75rep-group_1</t>
  </si>
  <si>
    <t>run3_easycategs_0.1unique_0.75rep-group_2</t>
  </si>
  <si>
    <t>run3_easycategs_0.1unique_0.75rep-group_3</t>
  </si>
  <si>
    <t>run3_easycategs_0.1unique_0.75rep-group_4</t>
  </si>
  <si>
    <t>run3_easycategs_0.1unique_1.0rep-group_0</t>
  </si>
  <si>
    <t>run3_easycategs_0.1unique_1.0rep-group_1</t>
  </si>
  <si>
    <t>run3_easycategs_0.1unique_1.0rep-group_2</t>
  </si>
  <si>
    <t>run3_easycategs_0.1unique_1.0rep-group_3</t>
  </si>
  <si>
    <t>run3_easycategs_0.1unique_1.0rep-group_4</t>
  </si>
  <si>
    <t>run3_easycategs_0.25unique_0.1rep-group_0</t>
  </si>
  <si>
    <t>run3_easycategs_0.25unique_0.1rep-group_1</t>
  </si>
  <si>
    <t>run3_easycategs_0.25unique_0.1rep-group_2</t>
  </si>
  <si>
    <t>run3_easycategs_0.25unique_0.1rep-group_3</t>
  </si>
  <si>
    <t>run3_easycategs_0.25unique_0.1rep-group_4</t>
  </si>
  <si>
    <t>run3_easycategs_0.25unique_0.25rep-group_0</t>
  </si>
  <si>
    <t>run3_easycategs_0.25unique_0.25rep-group_1</t>
  </si>
  <si>
    <t>run3_easycategs_0.25unique_0.25rep-group_2</t>
  </si>
  <si>
    <t>run3_easycategs_0.25unique_0.25rep-group_3</t>
  </si>
  <si>
    <t>run3_easycategs_0.25unique_0.25rep-group_4</t>
  </si>
  <si>
    <t>run3_easycategs_0.25unique_0.5rep-group_0</t>
  </si>
  <si>
    <t>run3_easycategs_0.25unique_0.5rep-group_1</t>
  </si>
  <si>
    <t>run3_easycategs_0.25unique_0.5rep-group_2</t>
  </si>
  <si>
    <t>run3_easycategs_0.25unique_0.5rep-group_3</t>
  </si>
  <si>
    <t>run3_easycategs_0.25unique_0.5rep-group_4</t>
  </si>
  <si>
    <t>run3_easycategs_0.25unique_0.75rep-group_0</t>
  </si>
  <si>
    <t>run3_easycategs_0.25unique_0.75rep-group_1</t>
  </si>
  <si>
    <t>run3_easycategs_0.25unique_0.75rep-group_2</t>
  </si>
  <si>
    <t>run3_easycategs_0.25unique_0.75rep-group_3</t>
  </si>
  <si>
    <t>run3_easycategs_0.25unique_0.75rep-group_4</t>
  </si>
  <si>
    <t>run3_easycategs_0.25unique_1.0rep-group_0</t>
  </si>
  <si>
    <t>run3_easycategs_0.25unique_1.0rep-group_1</t>
  </si>
  <si>
    <t>run3_easycategs_0.25unique_1.0rep-group_2</t>
  </si>
  <si>
    <t>run3_easycategs_0.25unique_1.0rep-group_3</t>
  </si>
  <si>
    <t>run3_easycategs_0.25unique_1.0rep-group_4</t>
  </si>
  <si>
    <t>run3_easycategs_0.5unique_0.1rep-group_0</t>
  </si>
  <si>
    <t>run3_easycategs_0.5unique_0.1rep-group_1</t>
  </si>
  <si>
    <t>run3_easycategs_0.5unique_0.1rep-group_2</t>
  </si>
  <si>
    <t>run3_easycategs_0.5unique_0.1rep-group_3</t>
  </si>
  <si>
    <t>run3_easycategs_0.5unique_0.1rep-group_4</t>
  </si>
  <si>
    <t>run3_easycategs_0.5unique_0.25rep-group_0</t>
  </si>
  <si>
    <t>run3_easycategs_0.5unique_0.25rep-group_1</t>
  </si>
  <si>
    <t>run3_easycategs_0.5unique_0.25rep-group_2</t>
  </si>
  <si>
    <t>run3_easycategs_0.5unique_0.25rep-group_3</t>
  </si>
  <si>
    <t>run3_easycategs_0.5unique_0.25rep-group_4</t>
  </si>
  <si>
    <t>run3_easycategs_0.5unique_0.5rep-group_0</t>
  </si>
  <si>
    <t>run3_easycategs_0.5unique_0.5rep-group_1</t>
  </si>
  <si>
    <t>run3_easycategs_0.5unique_0.5rep-group_2</t>
  </si>
  <si>
    <t>run3_easycategs_0.5unique_0.5rep-group_3</t>
  </si>
  <si>
    <t>run3_easycategs_0.5unique_0.5rep-group_4</t>
  </si>
  <si>
    <t>run3_easycategs_0.5unique_0.75rep-group_0</t>
  </si>
  <si>
    <t>run3_easycategs_0.5unique_0.75rep-group_1</t>
  </si>
  <si>
    <t>run3_easycategs_0.5unique_0.75rep-group_2</t>
  </si>
  <si>
    <t>run3_easycategs_0.5unique_0.75rep-group_3</t>
  </si>
  <si>
    <t>run3_easycategs_0.5unique_0.75rep-group_4</t>
  </si>
  <si>
    <t>run3_easycategs_0.5unique_1.0rep-group_0</t>
  </si>
  <si>
    <t>run3_easycategs_0.5unique_1.0rep-group_1</t>
  </si>
  <si>
    <t>run3_easycategs_0.5unique_1.0rep-group_2</t>
  </si>
  <si>
    <t>run3_easycategs_0.5unique_1.0rep-group_3</t>
  </si>
  <si>
    <t>run3_easycategs_0.5unique_1.0rep-group_4</t>
  </si>
  <si>
    <t>run3_easycategs_0.75unique_0.1rep-group_0</t>
  </si>
  <si>
    <t>run3_easycategs_0.75unique_0.1rep-group_1</t>
  </si>
  <si>
    <t>run3_easycategs_0.75unique_0.1rep-group_2</t>
  </si>
  <si>
    <t>run3_easycategs_0.75unique_0.1rep-group_3</t>
  </si>
  <si>
    <t>run3_easycategs_0.75unique_0.1rep-group_4</t>
  </si>
  <si>
    <t>run3_easycategs_0.75unique_0.25rep-group_0</t>
  </si>
  <si>
    <t>run3_easycategs_0.75unique_0.25rep-group_1</t>
  </si>
  <si>
    <t>run3_easycategs_0.75unique_0.25rep-group_2</t>
  </si>
  <si>
    <t>run3_easycategs_0.75unique_0.25rep-group_3</t>
  </si>
  <si>
    <t>run3_easycategs_0.75unique_0.25rep-group_4</t>
  </si>
  <si>
    <t>run3_easycategs_0.75unique_0.5rep-group_0</t>
  </si>
  <si>
    <t>run3_easycategs_0.75unique_0.5rep-group_1</t>
  </si>
  <si>
    <t>run3_easycategs_0.75unique_0.5rep-group_2</t>
  </si>
  <si>
    <t>run3_easycategs_0.75unique_0.5rep-group_3</t>
  </si>
  <si>
    <t>run3_easycategs_0.75unique_0.5rep-group_4</t>
  </si>
  <si>
    <t>run3_easycategs_0.75unique_0.75rep-group_0</t>
  </si>
  <si>
    <t>run3_easycategs_0.75unique_0.75rep-group_1</t>
  </si>
  <si>
    <t>run3_easycategs_0.75unique_0.75rep-group_2</t>
  </si>
  <si>
    <t>run3_easycategs_0.75unique_0.75rep-group_3</t>
  </si>
  <si>
    <t>run3_easycategs_0.75unique_0.75rep-group_4</t>
  </si>
  <si>
    <t>run3_easycategs_0.75unique_1.0rep-group_0</t>
  </si>
  <si>
    <t>run3_easycategs_0.75unique_1.0rep-group_1</t>
  </si>
  <si>
    <t>run3_easycategs_0.75unique_1.0rep-group_2</t>
  </si>
  <si>
    <t>run3_easycategs_0.75unique_1.0rep-group_3</t>
  </si>
  <si>
    <t>run3_easycategs_0.75unique_1.0rep-group_4</t>
  </si>
  <si>
    <t>run3_easycategs_1.0unique_0.1rep-group_0</t>
  </si>
  <si>
    <t>run3_easycategs_1.0unique_0.1rep-group_1</t>
  </si>
  <si>
    <t>run3_easycategs_1.0unique_0.1rep-group_2</t>
  </si>
  <si>
    <t>run3_easycategs_1.0unique_0.1rep-group_3</t>
  </si>
  <si>
    <t>run3_easycategs_1.0unique_0.1rep-group_4</t>
  </si>
  <si>
    <t>run3_easycategs_1.0unique_0.25rep-group_0</t>
  </si>
  <si>
    <t>run3_easycategs_1.0unique_0.25rep-group_1</t>
  </si>
  <si>
    <t>run3_easycategs_1.0unique_0.25rep-group_2</t>
  </si>
  <si>
    <t>run3_easycategs_1.0unique_0.25rep-group_3</t>
  </si>
  <si>
    <t>run3_easycategs_1.0unique_0.25rep-group_4</t>
  </si>
  <si>
    <t>run3_easycategs_1.0unique_0.5rep-group_0</t>
  </si>
  <si>
    <t>run3_easycategs_1.0unique_0.5rep-group_1</t>
  </si>
  <si>
    <t>run3_easycategs_1.0unique_0.5rep-group_2</t>
  </si>
  <si>
    <t>run3_easycategs_1.0unique_0.5rep-group_3</t>
  </si>
  <si>
    <t>run3_easycategs_1.0unique_0.5rep-group_4</t>
  </si>
  <si>
    <t>run3_easycategs_1.0unique_0.75rep-group_0</t>
  </si>
  <si>
    <t>run3_easycategs_1.0unique_0.75rep-group_1</t>
  </si>
  <si>
    <t>run3_easycategs_1.0unique_0.75rep-group_2</t>
  </si>
  <si>
    <t>run3_easycategs_1.0unique_0.75rep-group_3</t>
  </si>
  <si>
    <t>run3_easycategs_1.0unique_0.75rep-group_4</t>
  </si>
  <si>
    <t>run3_easycategs_1.0unique_1.0rep-group_0</t>
  </si>
  <si>
    <t>run3_easycategs_1.0unique_1.0rep-group_1</t>
  </si>
  <si>
    <t>run3_easycategs_1.0unique_1.0rep-group_2</t>
  </si>
  <si>
    <t>run3_easycategs_1.0unique_1.0rep-group_3</t>
  </si>
  <si>
    <t>run3_easycategs_1.0unique_1.0rep-group_4</t>
  </si>
  <si>
    <t>run3_priority12x3x4_0.1unique_0.1rep-group_0</t>
  </si>
  <si>
    <t>run3_priority12x3x4_0.1unique_0.1rep-group_1</t>
  </si>
  <si>
    <t>run3_priority12x3x4_0.1unique_0.1rep-group_2</t>
  </si>
  <si>
    <t>run3_priority12x3x4_0.1unique_0.1rep-group_3</t>
  </si>
  <si>
    <t>run3_priority12x3x4_0.1unique_0.1rep-group_4</t>
  </si>
  <si>
    <t>run3_priority12x3x4_0.1unique_0.25rep-group_0</t>
  </si>
  <si>
    <t>run3_priority12x3x4_0.1unique_0.25rep-group_1</t>
  </si>
  <si>
    <t>run3_priority12x3x4_0.1unique_0.25rep-group_2</t>
  </si>
  <si>
    <t>run3_priority12x3x4_0.1unique_0.25rep-group_3</t>
  </si>
  <si>
    <t>run3_priority12x3x4_0.1unique_0.25rep-group_4</t>
  </si>
  <si>
    <t>run3_priority12x3x4_0.1unique_0.5rep-group_0</t>
  </si>
  <si>
    <t>run3_priority12x3x4_0.1unique_0.5rep-group_1</t>
  </si>
  <si>
    <t>run3_priority12x3x4_0.1unique_0.5rep-group_2</t>
  </si>
  <si>
    <t>run3_priority12x3x4_0.1unique_0.5rep-group_3</t>
  </si>
  <si>
    <t>run3_priority12x3x4_0.1unique_0.5rep-group_4</t>
  </si>
  <si>
    <t>run3_priority12x3x4_0.1unique_0.75rep-group_0</t>
  </si>
  <si>
    <t>run3_priority12x3x4_0.1unique_0.75rep-group_1</t>
  </si>
  <si>
    <t>run3_priority12x3x4_0.1unique_0.75rep-group_2</t>
  </si>
  <si>
    <t>run3_priority12x3x4_0.1unique_0.75rep-group_3</t>
  </si>
  <si>
    <t>run3_priority12x3x4_0.1unique_0.75rep-group_4</t>
  </si>
  <si>
    <t>run3_priority12x3x4_0.1unique_1.0rep-group_0</t>
  </si>
  <si>
    <t>run3_priority12x3x4_0.1unique_1.0rep-group_1</t>
  </si>
  <si>
    <t>run3_priority12x3x4_0.1unique_1.0rep-group_2</t>
  </si>
  <si>
    <t>run3_priority12x3x4_0.1unique_1.0rep-group_3</t>
  </si>
  <si>
    <t>run3_priority12x3x4_0.1unique_1.0rep-group_4</t>
  </si>
  <si>
    <t>run3_priority12x3x4_0.25unique_0.1rep-group_0</t>
  </si>
  <si>
    <t>run3_priority12x3x4_0.25unique_0.1rep-group_1</t>
  </si>
  <si>
    <t>run3_priority12x3x4_0.25unique_0.1rep-group_2</t>
  </si>
  <si>
    <t>run3_priority12x3x4_0.25unique_0.1rep-group_3</t>
  </si>
  <si>
    <t>run3_priority12x3x4_0.25unique_0.1rep-group_4</t>
  </si>
  <si>
    <t>run3_priority12x3x4_0.25unique_0.25rep-group_0</t>
  </si>
  <si>
    <t>run3_priority12x3x4_0.25unique_0.25rep-group_1</t>
  </si>
  <si>
    <t>run3_priority12x3x4_0.25unique_0.25rep-group_2</t>
  </si>
  <si>
    <t>run3_priority12x3x4_0.25unique_0.25rep-group_3</t>
  </si>
  <si>
    <t>run3_priority12x3x4_0.25unique_0.25rep-group_4</t>
  </si>
  <si>
    <t>run3_priority12x3x4_0.25unique_0.5rep-group_0</t>
  </si>
  <si>
    <t>run3_priority12x3x4_0.25unique_0.5rep-group_1</t>
  </si>
  <si>
    <t>run3_priority12x3x4_0.25unique_0.5rep-group_2</t>
  </si>
  <si>
    <t>run3_priority12x3x4_0.25unique_0.5rep-group_3</t>
  </si>
  <si>
    <t>run3_priority12x3x4_0.25unique_0.5rep-group_4</t>
  </si>
  <si>
    <t>run3_priority12x3x4_0.25unique_0.75rep-group_0</t>
  </si>
  <si>
    <t>run3_priority12x3x4_0.25unique_0.75rep-group_1</t>
  </si>
  <si>
    <t>run3_priority12x3x4_0.25unique_0.75rep-group_2</t>
  </si>
  <si>
    <t>run3_priority12x3x4_0.25unique_0.75rep-group_3</t>
  </si>
  <si>
    <t>run3_priority12x3x4_0.25unique_0.75rep-group_4</t>
  </si>
  <si>
    <t>run3_priority12x3x4_0.25unique_1.0rep-group_0</t>
  </si>
  <si>
    <t>run3_priority12x3x4_0.25unique_1.0rep-group_1</t>
  </si>
  <si>
    <t>run3_priority12x3x4_0.25unique_1.0rep-group_2</t>
  </si>
  <si>
    <t>run3_priority12x3x4_0.25unique_1.0rep-group_3</t>
  </si>
  <si>
    <t>run3_priority12x3x4_0.25unique_1.0rep-group_4</t>
  </si>
  <si>
    <t>run3_priority12x3x4_0.5unique_0.1rep-group_0</t>
  </si>
  <si>
    <t>run3_priority12x3x4_0.5unique_0.1rep-group_1</t>
  </si>
  <si>
    <t>run3_priority12x3x4_0.5unique_0.1rep-group_2</t>
  </si>
  <si>
    <t>run3_priority12x3x4_0.5unique_0.1rep-group_3</t>
  </si>
  <si>
    <t>run3_priority12x3x4_0.5unique_0.1rep-group_4</t>
  </si>
  <si>
    <t>run3_priority12x3x4_0.5unique_0.25rep-group_0</t>
  </si>
  <si>
    <t>run3_priority12x3x4_0.5unique_0.25rep-group_1</t>
  </si>
  <si>
    <t>run3_priority12x3x4_0.5unique_0.25rep-group_2</t>
  </si>
  <si>
    <t>run3_priority12x3x4_0.5unique_0.25rep-group_3</t>
  </si>
  <si>
    <t>run3_priority12x3x4_0.5unique_0.25rep-group_4</t>
  </si>
  <si>
    <t>run3_priority12x3x4_0.5unique_0.5rep-group_0</t>
  </si>
  <si>
    <t>run3_priority12x3x4_0.5unique_0.5rep-group_1</t>
  </si>
  <si>
    <t>run3_priority12x3x4_0.5unique_0.5rep-group_2</t>
  </si>
  <si>
    <t>run3_priority12x3x4_0.5unique_0.5rep-group_3</t>
  </si>
  <si>
    <t>run3_priority12x3x4_0.5unique_0.5rep-group_4</t>
  </si>
  <si>
    <t>run3_priority12x3x4_0.5unique_0.75rep-group_0</t>
  </si>
  <si>
    <t>run3_priority12x3x4_0.5unique_0.75rep-group_1</t>
  </si>
  <si>
    <t>run3_priority12x3x4_0.5unique_0.75rep-group_2</t>
  </si>
  <si>
    <t>run3_priority12x3x4_0.5unique_0.75rep-group_3</t>
  </si>
  <si>
    <t>run3_priority12x3x4_0.5unique_0.75rep-group_4</t>
  </si>
  <si>
    <t>run3_priority12x3x4_0.5unique_1.0rep-group_0</t>
  </si>
  <si>
    <t>run3_priority12x3x4_0.5unique_1.0rep-group_1</t>
  </si>
  <si>
    <t>run3_priority12x3x4_0.5unique_1.0rep-group_2</t>
  </si>
  <si>
    <t>run3_priority12x3x4_0.5unique_1.0rep-group_3</t>
  </si>
  <si>
    <t>run3_priority12x3x4_0.5unique_1.0rep-group_4</t>
  </si>
  <si>
    <t>run3_priority12x3x4_0.75unique_0.1rep-group_0</t>
  </si>
  <si>
    <t>run3_priority12x3x4_0.75unique_0.1rep-group_1</t>
  </si>
  <si>
    <t>run3_priority12x3x4_0.75unique_0.1rep-group_2</t>
  </si>
  <si>
    <t>run3_priority12x3x4_0.75unique_0.1rep-group_3</t>
  </si>
  <si>
    <t>run3_priority12x3x4_0.75unique_0.1rep-group_4</t>
  </si>
  <si>
    <t>run3_priority12x3x4_0.75unique_0.25rep-group_0</t>
  </si>
  <si>
    <t>run3_priority12x3x4_0.75unique_0.25rep-group_1</t>
  </si>
  <si>
    <t>run3_priority12x3x4_0.75unique_0.25rep-group_2</t>
  </si>
  <si>
    <t>run3_priority12x3x4_0.75unique_0.25rep-group_3</t>
  </si>
  <si>
    <t>run3_priority12x3x4_0.75unique_0.25rep-group_4</t>
  </si>
  <si>
    <t>run3_priority12x3x4_0.75unique_0.5rep-group_0</t>
  </si>
  <si>
    <t>run3_priority12x3x4_0.75unique_0.5rep-group_1</t>
  </si>
  <si>
    <t>run3_priority12x3x4_0.75unique_0.5rep-group_2</t>
  </si>
  <si>
    <t>run3_priority12x3x4_0.75unique_0.5rep-group_3</t>
  </si>
  <si>
    <t>run3_priority12x3x4_0.75unique_0.5rep-group_4</t>
  </si>
  <si>
    <t>run3_priority12x3x4_0.75unique_0.75rep-group_0</t>
  </si>
  <si>
    <t>run3_priority12x3x4_0.75unique_0.75rep-group_1</t>
  </si>
  <si>
    <t>run3_priority12x3x4_0.75unique_0.75rep-group_2</t>
  </si>
  <si>
    <t>run3_priority12x3x4_0.75unique_0.75rep-group_3</t>
  </si>
  <si>
    <t>run3_priority12x3x4_0.75unique_0.75rep-group_4</t>
  </si>
  <si>
    <t>run3_priority12x3x4_0.75unique_1.0rep-group_0</t>
  </si>
  <si>
    <t>run3_priority12x3x4_0.75unique_1.0rep-group_1</t>
  </si>
  <si>
    <t>run3_priority12x3x4_0.75unique_1.0rep-group_2</t>
  </si>
  <si>
    <t>run3_priority12x3x4_0.75unique_1.0rep-group_3</t>
  </si>
  <si>
    <t>run3_priority12x3x4_0.75unique_1.0rep-group_4</t>
  </si>
  <si>
    <t>run3_priority12x3x4_1.0unique_0.1rep-group_0</t>
  </si>
  <si>
    <t>run3_priority12x3x4_1.0unique_0.1rep-group_1</t>
  </si>
  <si>
    <t>run3_priority12x3x4_1.0unique_0.1rep-group_2</t>
  </si>
  <si>
    <t>run3_priority12x3x4_1.0unique_0.1rep-group_3</t>
  </si>
  <si>
    <t>run3_priority12x3x4_1.0unique_0.1rep-group_4</t>
  </si>
  <si>
    <t>run3_priority12x3x4_1.0unique_0.25rep-group_0</t>
  </si>
  <si>
    <t>run3_priority12x3x4_1.0unique_0.25rep-group_1</t>
  </si>
  <si>
    <t>run3_priority12x3x4_1.0unique_0.25rep-group_2</t>
  </si>
  <si>
    <t>run3_priority12x3x4_1.0unique_0.25rep-group_3</t>
  </si>
  <si>
    <t>run3_priority12x3x4_1.0unique_0.25rep-group_4</t>
  </si>
  <si>
    <t>run3_priority12x3x4_1.0unique_0.75rep-group_0</t>
  </si>
  <si>
    <t>run3_priority12x3x4_1.0unique_0.75rep-group_1</t>
  </si>
  <si>
    <t>run3_priority12x3x4_1.0unique_0.75rep-group_2</t>
  </si>
  <si>
    <t>run3_priority12x3x4_1.0unique_0.75rep-group_3</t>
  </si>
  <si>
    <t>run3_priority12x3x4_1.0unique_0.75rep-group_4</t>
  </si>
  <si>
    <t>run3_priority12x3x4_1.0unique_1.0rep-group_0</t>
  </si>
  <si>
    <t>run3_priority12x3x4_1.0unique_1.0rep-group_1</t>
  </si>
  <si>
    <t>run3_priority12x3x4_1.0unique_1.0rep-group_2</t>
  </si>
  <si>
    <t>run3_priority12x3x4_1.0unique_1.0rep-group_3</t>
  </si>
  <si>
    <t>run3_priority12x3x4_1.0unique_1.0rep-group_4</t>
  </si>
  <si>
    <t>run4_awaitingsml_0.1unique_0.1rep-group_0</t>
  </si>
  <si>
    <t>run4_awaitingsml_0.1unique_0.1rep-group_1</t>
  </si>
  <si>
    <t>run4_awaitingsml_0.1unique_0.1rep-group_2</t>
  </si>
  <si>
    <t>run4_awaitingsml_0.1unique_0.1rep-group_3</t>
  </si>
  <si>
    <t>run4_awaitingsml_0.1unique_0.1rep-group_4</t>
  </si>
  <si>
    <t>run4_awaitingsml_0.1unique_0.25rep-group_0</t>
  </si>
  <si>
    <t>run4_awaitingsml_0.1unique_0.25rep-group_1</t>
  </si>
  <si>
    <t>run4_awaitingsml_0.1unique_0.25rep-group_2</t>
  </si>
  <si>
    <t>run4_awaitingsml_0.1unique_0.25rep-group_3</t>
  </si>
  <si>
    <t>run4_awaitingsml_0.1unique_0.25rep-group_4</t>
  </si>
  <si>
    <t>run4_awaitingsml_0.1unique_0.5rep-group_0</t>
  </si>
  <si>
    <t>run4_awaitingsml_0.1unique_0.5rep-group_1</t>
  </si>
  <si>
    <t>run4_awaitingsml_0.1unique_0.5rep-group_2</t>
  </si>
  <si>
    <t>run4_awaitingsml_0.1unique_0.5rep-group_3</t>
  </si>
  <si>
    <t>run4_awaitingsml_0.1unique_0.5rep-group_4</t>
  </si>
  <si>
    <t>run4_awaitingsml_0.1unique_0.75rep-group_0</t>
  </si>
  <si>
    <t>run4_awaitingsml_0.1unique_0.75rep-group_1</t>
  </si>
  <si>
    <t>run4_awaitingsml_0.1unique_0.75rep-group_2</t>
  </si>
  <si>
    <t>run4_awaitingsml_0.1unique_0.75rep-group_3</t>
  </si>
  <si>
    <t>run4_awaitingsml_0.1unique_0.75rep-group_4</t>
  </si>
  <si>
    <t>run4_awaitingsml_0.1unique_1.0rep-group_0</t>
  </si>
  <si>
    <t>run4_awaitingsml_0.1unique_1.0rep-group_1</t>
  </si>
  <si>
    <t>run4_awaitingsml_0.1unique_1.0rep-group_2</t>
  </si>
  <si>
    <t>run4_awaitingsml_0.1unique_1.0rep-group_3</t>
  </si>
  <si>
    <t>run4_awaitingsml_0.1unique_1.0rep-group_4</t>
  </si>
  <si>
    <t>run4_awaitingsml_0.25unique_0.1rep-group_0</t>
  </si>
  <si>
    <t>run4_awaitingsml_0.25unique_0.1rep-group_1</t>
  </si>
  <si>
    <t>run4_awaitingsml_0.25unique_0.1rep-group_2</t>
  </si>
  <si>
    <t>run4_awaitingsml_0.25unique_0.1rep-group_3</t>
  </si>
  <si>
    <t>run4_awaitingsml_0.25unique_0.1rep-group_4</t>
  </si>
  <si>
    <t>run4_awaitingsml_0.25unique_0.25rep-group_0</t>
  </si>
  <si>
    <t>run4_awaitingsml_0.25unique_0.25rep-group_1</t>
  </si>
  <si>
    <t>run4_awaitingsml_0.25unique_0.25rep-group_2</t>
  </si>
  <si>
    <t>run4_awaitingsml_0.25unique_0.25rep-group_3</t>
  </si>
  <si>
    <t>run4_awaitingsml_0.25unique_0.25rep-group_4</t>
  </si>
  <si>
    <t>run4_awaitingsml_0.25unique_0.5rep-group_0</t>
  </si>
  <si>
    <t>run4_awaitingsml_0.25unique_0.5rep-group_1</t>
  </si>
  <si>
    <t>run4_awaitingsml_0.25unique_0.5rep-group_2</t>
  </si>
  <si>
    <t>run4_awaitingsml_0.25unique_0.5rep-group_3</t>
  </si>
  <si>
    <t>run4_awaitingsml_0.25unique_0.5rep-group_4</t>
  </si>
  <si>
    <t>run4_awaitingsml_0.25unique_0.75rep-group_0</t>
  </si>
  <si>
    <t>run4_awaitingsml_0.25unique_0.75rep-group_1</t>
  </si>
  <si>
    <t>run4_awaitingsml_0.25unique_0.75rep-group_2</t>
  </si>
  <si>
    <t>run4_awaitingsml_0.25unique_0.75rep-group_3</t>
  </si>
  <si>
    <t>run4_awaitingsml_0.25unique_0.75rep-group_4</t>
  </si>
  <si>
    <t>run4_awaitingsml_0.25unique_1.0rep-group_0</t>
  </si>
  <si>
    <t>run4_awaitingsml_0.25unique_1.0rep-group_1</t>
  </si>
  <si>
    <t>run4_awaitingsml_0.25unique_1.0rep-group_2</t>
  </si>
  <si>
    <t>run4_awaitingsml_0.25unique_1.0rep-group_3</t>
  </si>
  <si>
    <t>run4_awaitingsml_0.25unique_1.0rep-group_4</t>
  </si>
  <si>
    <t>run4_awaitingsml_0.5unique_0.1rep-group_0</t>
  </si>
  <si>
    <t>run4_awaitingsml_0.5unique_0.1rep-group_1</t>
  </si>
  <si>
    <t>run4_awaitingsml_0.5unique_0.1rep-group_2</t>
  </si>
  <si>
    <t>run4_awaitingsml_0.5unique_0.1rep-group_3</t>
  </si>
  <si>
    <t>run4_awaitingsml_0.5unique_0.1rep-group_4</t>
  </si>
  <si>
    <t>run4_awaitingsml_0.5unique_0.25rep-group_0</t>
  </si>
  <si>
    <t>run4_awaitingsml_0.5unique_0.25rep-group_1</t>
  </si>
  <si>
    <t>run4_awaitingsml_0.5unique_0.25rep-group_2</t>
  </si>
  <si>
    <t>run4_awaitingsml_0.5unique_0.25rep-group_3</t>
  </si>
  <si>
    <t>run4_awaitingsml_0.5unique_0.25rep-group_4</t>
  </si>
  <si>
    <t>run4_awaitingsml_0.5unique_0.5rep-group_0</t>
  </si>
  <si>
    <t>run4_awaitingsml_0.5unique_0.5rep-group_1</t>
  </si>
  <si>
    <t>run4_awaitingsml_0.5unique_0.5rep-group_2</t>
  </si>
  <si>
    <t>run4_awaitingsml_0.5unique_0.5rep-group_3</t>
  </si>
  <si>
    <t>run4_awaitingsml_0.5unique_0.5rep-group_4</t>
  </si>
  <si>
    <t>run4_awaitingsml_0.5unique_0.75rep-group_0</t>
  </si>
  <si>
    <t>run4_awaitingsml_0.5unique_0.75rep-group_1</t>
  </si>
  <si>
    <t>run4_awaitingsml_0.5unique_0.75rep-group_2</t>
  </si>
  <si>
    <t>run4_awaitingsml_0.5unique_0.75rep-group_3</t>
  </si>
  <si>
    <t>run4_awaitingsml_0.5unique_0.75rep-group_4</t>
  </si>
  <si>
    <t>run4_awaitingsml_0.5unique_1.0rep-group_0</t>
  </si>
  <si>
    <t>run4_awaitingsml_0.5unique_1.0rep-group_1</t>
  </si>
  <si>
    <t>run4_awaitingsml_0.5unique_1.0rep-group_2</t>
  </si>
  <si>
    <t>run4_awaitingsml_0.5unique_1.0rep-group_3</t>
  </si>
  <si>
    <t>run4_awaitingsml_0.5unique_1.0rep-group_4</t>
  </si>
  <si>
    <t>run4_awaitingsml_0.75unique_0.1rep-group_0</t>
  </si>
  <si>
    <t>run4_awaitingsml_0.75unique_0.1rep-group_1</t>
  </si>
  <si>
    <t>run4_awaitingsml_0.75unique_0.1rep-group_2</t>
  </si>
  <si>
    <t>run4_awaitingsml_0.75unique_0.1rep-group_3</t>
  </si>
  <si>
    <t>run4_awaitingsml_0.75unique_0.1rep-group_4</t>
  </si>
  <si>
    <t>run4_awaitingsml_0.75unique_0.25rep-group_0</t>
  </si>
  <si>
    <t>run4_awaitingsml_0.75unique_0.25rep-group_1</t>
  </si>
  <si>
    <t>run4_awaitingsml_0.75unique_0.25rep-group_2</t>
  </si>
  <si>
    <t>run4_awaitingsml_0.75unique_0.25rep-group_3</t>
  </si>
  <si>
    <t>run4_awaitingsml_0.75unique_0.25rep-group_4</t>
  </si>
  <si>
    <t>run4_awaitingsml_0.75unique_0.5rep-group_0</t>
  </si>
  <si>
    <t>run4_awaitingsml_0.75unique_0.5rep-group_1</t>
  </si>
  <si>
    <t>run4_awaitingsml_0.75unique_0.5rep-group_2</t>
  </si>
  <si>
    <t>run4_awaitingsml_0.75unique_0.5rep-group_3</t>
  </si>
  <si>
    <t>run4_awaitingsml_0.75unique_0.5rep-group_4</t>
  </si>
  <si>
    <t>run4_awaitingsml_0.75unique_0.75rep-group_0</t>
  </si>
  <si>
    <t>run4_awaitingsml_0.75unique_0.75rep-group_1</t>
  </si>
  <si>
    <t>run4_awaitingsml_0.75unique_0.75rep-group_2</t>
  </si>
  <si>
    <t>run4_awaitingsml_0.75unique_0.75rep-group_3</t>
  </si>
  <si>
    <t>run4_awaitingsml_0.75unique_0.75rep-group_4</t>
  </si>
  <si>
    <t>run4_awaitingsml_0.75unique_1.0rep-group_0</t>
  </si>
  <si>
    <t>run4_awaitingsml_0.75unique_1.0rep-group_1</t>
  </si>
  <si>
    <t>run4_awaitingsml_0.75unique_1.0rep-group_2</t>
  </si>
  <si>
    <t>run4_awaitingsml_0.75unique_1.0rep-group_3</t>
  </si>
  <si>
    <t>run4_awaitingsml_0.75unique_1.0rep-group_4</t>
  </si>
  <si>
    <t>run4_awaitingsml_1.0unique_0.1rep-group_0</t>
  </si>
  <si>
    <t>run4_awaitingsml_1.0unique_0.1rep-group_1</t>
  </si>
  <si>
    <t>run4_awaitingsml_1.0unique_0.1rep-group_2</t>
  </si>
  <si>
    <t>run4_awaitingsml_1.0unique_0.1rep-group_3</t>
  </si>
  <si>
    <t>run4_awaitingsml_1.0unique_0.1rep-group_4</t>
  </si>
  <si>
    <t>run4_awaitingsml_1.0unique_0.25rep-group_0</t>
  </si>
  <si>
    <t>run4_awaitingsml_1.0unique_0.25rep-group_1</t>
  </si>
  <si>
    <t>run4_awaitingsml_1.0unique_0.25rep-group_2</t>
  </si>
  <si>
    <t>run4_awaitingsml_1.0unique_0.25rep-group_3</t>
  </si>
  <si>
    <t>run4_awaitingsml_1.0unique_0.25rep-group_4</t>
  </si>
  <si>
    <t>run4_awaitingsml_1.0unique_0.5rep-group_0</t>
  </si>
  <si>
    <t>run4_awaitingsml_1.0unique_0.5rep-group_1</t>
  </si>
  <si>
    <t>run4_awaitingsml_1.0unique_0.5rep-group_2</t>
  </si>
  <si>
    <t>run4_awaitingsml_1.0unique_0.5rep-group_3</t>
  </si>
  <si>
    <t>run4_awaitingsml_1.0unique_0.5rep-group_4</t>
  </si>
  <si>
    <t>run4_awaitingsml_1.0unique_0.75rep-group_0</t>
  </si>
  <si>
    <t>run4_awaitingsml_1.0unique_0.75rep-group_1</t>
  </si>
  <si>
    <t>run4_awaitingsml_1.0unique_0.75rep-group_2</t>
  </si>
  <si>
    <t>run4_awaitingsml_1.0unique_0.75rep-group_3</t>
  </si>
  <si>
    <t>run4_awaitingsml_1.0unique_0.75rep-group_4</t>
  </si>
  <si>
    <t>run4_awaitingsml_1.0unique_1.0rep-group_0</t>
  </si>
  <si>
    <t>run4_awaitingsml_1.0unique_1.0rep-group_1</t>
  </si>
  <si>
    <t>run4_awaitingsml_1.0unique_1.0rep-group_2</t>
  </si>
  <si>
    <t>run4_awaitingsml_1.0unique_1.0rep-group_3</t>
  </si>
  <si>
    <t>run4_awaitingsml_1.0unique_1.0rep-group_4</t>
  </si>
  <si>
    <t>run4_easycategs_0.1unique_0.1rep-group_0</t>
  </si>
  <si>
    <t>run4_easycategs_0.1unique_0.1rep-group_1</t>
  </si>
  <si>
    <t>run4_easycategs_0.1unique_0.1rep-group_2</t>
  </si>
  <si>
    <t>run4_easycategs_0.1unique_0.1rep-group_3</t>
  </si>
  <si>
    <t>run4_easycategs_0.1unique_0.1rep-group_4</t>
  </si>
  <si>
    <t>run4_easycategs_0.1unique_0.25rep-group_0</t>
  </si>
  <si>
    <t>run4_easycategs_0.1unique_0.25rep-group_1</t>
  </si>
  <si>
    <t>run4_easycategs_0.1unique_0.25rep-group_2</t>
  </si>
  <si>
    <t>run4_easycategs_0.1unique_0.25rep-group_3</t>
  </si>
  <si>
    <t>run4_easycategs_0.1unique_0.25rep-group_4</t>
  </si>
  <si>
    <t>run4_easycategs_0.1unique_0.5rep-group_0</t>
  </si>
  <si>
    <t>run4_easycategs_0.1unique_0.5rep-group_1</t>
  </si>
  <si>
    <t>run4_easycategs_0.1unique_0.5rep-group_2</t>
  </si>
  <si>
    <t>run4_easycategs_0.1unique_0.5rep-group_3</t>
  </si>
  <si>
    <t>run4_easycategs_0.1unique_0.5rep-group_4</t>
  </si>
  <si>
    <t>run4_easycategs_0.1unique_0.75rep-group_0</t>
  </si>
  <si>
    <t>run4_easycategs_0.1unique_0.75rep-group_1</t>
  </si>
  <si>
    <t>run4_easycategs_0.1unique_0.75rep-group_2</t>
  </si>
  <si>
    <t>run4_easycategs_0.1unique_0.75rep-group_3</t>
  </si>
  <si>
    <t>run4_easycategs_0.1unique_0.75rep-group_4</t>
  </si>
  <si>
    <t>run4_easycategs_0.1unique_1.0rep-group_0</t>
  </si>
  <si>
    <t>run4_easycategs_0.1unique_1.0rep-group_1</t>
  </si>
  <si>
    <t>run4_easycategs_0.1unique_1.0rep-group_2</t>
  </si>
  <si>
    <t>run4_easycategs_0.1unique_1.0rep-group_3</t>
  </si>
  <si>
    <t>run4_easycategs_0.1unique_1.0rep-group_4</t>
  </si>
  <si>
    <t>run4_easycategs_0.25unique_0.1rep-group_0</t>
  </si>
  <si>
    <t>run4_easycategs_0.25unique_0.1rep-group_1</t>
  </si>
  <si>
    <t>run4_easycategs_0.25unique_0.1rep-group_2</t>
  </si>
  <si>
    <t>run4_easycategs_0.25unique_0.1rep-group_3</t>
  </si>
  <si>
    <t>run4_easycategs_0.25unique_0.1rep-group_4</t>
  </si>
  <si>
    <t>run4_easycategs_0.25unique_0.25rep-group_0</t>
  </si>
  <si>
    <t>run4_easycategs_0.25unique_0.25rep-group_1</t>
  </si>
  <si>
    <t>run4_easycategs_0.25unique_0.25rep-group_2</t>
  </si>
  <si>
    <t>run4_easycategs_0.25unique_0.25rep-group_3</t>
  </si>
  <si>
    <t>run4_easycategs_0.25unique_0.25rep-group_4</t>
  </si>
  <si>
    <t>run4_easycategs_0.25unique_0.5rep-group_0</t>
  </si>
  <si>
    <t>run4_easycategs_0.25unique_0.5rep-group_1</t>
  </si>
  <si>
    <t>run4_easycategs_0.25unique_0.5rep-group_2</t>
  </si>
  <si>
    <t>run4_easycategs_0.25unique_0.5rep-group_3</t>
  </si>
  <si>
    <t>run4_easycategs_0.25unique_0.5rep-group_4</t>
  </si>
  <si>
    <t>run4_easycategs_0.25unique_0.75rep-group_0</t>
  </si>
  <si>
    <t>run4_easycategs_0.25unique_0.75rep-group_1</t>
  </si>
  <si>
    <t>run4_easycategs_0.25unique_0.75rep-group_2</t>
  </si>
  <si>
    <t>run4_easycategs_0.25unique_0.75rep-group_3</t>
  </si>
  <si>
    <t>run4_easycategs_0.25unique_0.75rep-group_4</t>
  </si>
  <si>
    <t>run4_easycategs_0.25unique_1.0rep-group_0</t>
  </si>
  <si>
    <t>run4_easycategs_0.25unique_1.0rep-group_1</t>
  </si>
  <si>
    <t>run4_easycategs_0.25unique_1.0rep-group_2</t>
  </si>
  <si>
    <t>run4_easycategs_0.25unique_1.0rep-group_3</t>
  </si>
  <si>
    <t>run4_easycategs_0.25unique_1.0rep-group_4</t>
  </si>
  <si>
    <t>run4_easycategs_0.5unique_0.1rep-group_0</t>
  </si>
  <si>
    <t>run4_easycategs_0.5unique_0.1rep-group_1</t>
  </si>
  <si>
    <t>run4_easycategs_0.5unique_0.1rep-group_2</t>
  </si>
  <si>
    <t>run4_easycategs_0.5unique_0.1rep-group_3</t>
  </si>
  <si>
    <t>run4_easycategs_0.5unique_0.1rep-group_4</t>
  </si>
  <si>
    <t>run4_easycategs_0.5unique_0.25rep-group_0</t>
  </si>
  <si>
    <t>run4_easycategs_0.5unique_0.25rep-group_1</t>
  </si>
  <si>
    <t>run4_easycategs_0.5unique_0.25rep-group_2</t>
  </si>
  <si>
    <t>run4_easycategs_0.5unique_0.25rep-group_3</t>
  </si>
  <si>
    <t>run4_easycategs_0.5unique_0.25rep-group_4</t>
  </si>
  <si>
    <t>run4_easycategs_0.5unique_0.5rep-group_0</t>
  </si>
  <si>
    <t>run4_easycategs_0.5unique_0.5rep-group_1</t>
  </si>
  <si>
    <t>run4_easycategs_0.5unique_0.5rep-group_2</t>
  </si>
  <si>
    <t>run4_easycategs_0.5unique_0.5rep-group_3</t>
  </si>
  <si>
    <t>run4_easycategs_0.5unique_0.5rep-group_4</t>
  </si>
  <si>
    <t>run4_easycategs_0.5unique_0.75rep-group_0</t>
  </si>
  <si>
    <t>run4_easycategs_0.5unique_0.75rep-group_1</t>
  </si>
  <si>
    <t>run4_easycategs_0.5unique_0.75rep-group_2</t>
  </si>
  <si>
    <t>run4_easycategs_0.5unique_0.75rep-group_3</t>
  </si>
  <si>
    <t>run4_easycategs_0.5unique_0.75rep-group_4</t>
  </si>
  <si>
    <t>run4_easycategs_0.5unique_1.0rep-group_0</t>
  </si>
  <si>
    <t>run4_easycategs_0.5unique_1.0rep-group_1</t>
  </si>
  <si>
    <t>run4_easycategs_0.5unique_1.0rep-group_2</t>
  </si>
  <si>
    <t>run4_easycategs_0.5unique_1.0rep-group_3</t>
  </si>
  <si>
    <t>run4_easycategs_0.5unique_1.0rep-group_4</t>
  </si>
  <si>
    <t>run4_easycategs_0.75unique_0.1rep-group_0</t>
  </si>
  <si>
    <t>run4_easycategs_0.75unique_0.1rep-group_1</t>
  </si>
  <si>
    <t>run4_easycategs_0.75unique_0.1rep-group_2</t>
  </si>
  <si>
    <t>run4_easycategs_0.75unique_0.1rep-group_3</t>
  </si>
  <si>
    <t>run4_easycategs_0.75unique_0.1rep-group_4</t>
  </si>
  <si>
    <t>run4_easycategs_0.75unique_0.25rep-group_0</t>
  </si>
  <si>
    <t>run4_easycategs_0.75unique_0.25rep-group_1</t>
  </si>
  <si>
    <t>run4_easycategs_0.75unique_0.25rep-group_2</t>
  </si>
  <si>
    <t>run4_easycategs_0.75unique_0.25rep-group_3</t>
  </si>
  <si>
    <t>run4_easycategs_0.75unique_0.25rep-group_4</t>
  </si>
  <si>
    <t>run4_easycategs_0.75unique_0.5rep-group_0</t>
  </si>
  <si>
    <t>run4_easycategs_0.75unique_0.5rep-group_1</t>
  </si>
  <si>
    <t>run4_easycategs_0.75unique_0.5rep-group_2</t>
  </si>
  <si>
    <t>run4_easycategs_0.75unique_0.5rep-group_3</t>
  </si>
  <si>
    <t>run4_easycategs_0.75unique_0.5rep-group_4</t>
  </si>
  <si>
    <t>run4_easycategs_0.75unique_0.75rep-group_0</t>
  </si>
  <si>
    <t>run4_easycategs_0.75unique_0.75rep-group_1</t>
  </si>
  <si>
    <t>run4_easycategs_0.75unique_0.75rep-group_2</t>
  </si>
  <si>
    <t>run4_easycategs_0.75unique_0.75rep-group_3</t>
  </si>
  <si>
    <t>run4_easycategs_0.75unique_0.75rep-group_4</t>
  </si>
  <si>
    <t>run4_easycategs_0.75unique_1.0rep-group_0</t>
  </si>
  <si>
    <t>run4_easycategs_0.75unique_1.0rep-group_1</t>
  </si>
  <si>
    <t>run4_easycategs_0.75unique_1.0rep-group_2</t>
  </si>
  <si>
    <t>run4_easycategs_0.75unique_1.0rep-group_3</t>
  </si>
  <si>
    <t>run4_easycategs_0.75unique_1.0rep-group_4</t>
  </si>
  <si>
    <t>run4_easycategs_1.0unique_0.1rep-group_0</t>
  </si>
  <si>
    <t>run4_easycategs_1.0unique_0.1rep-group_1</t>
  </si>
  <si>
    <t>run4_easycategs_1.0unique_0.1rep-group_2</t>
  </si>
  <si>
    <t>run4_easycategs_1.0unique_0.1rep-group_3</t>
  </si>
  <si>
    <t>run4_easycategs_1.0unique_0.1rep-group_4</t>
  </si>
  <si>
    <t>run4_easycategs_1.0unique_0.25rep-group_0</t>
  </si>
  <si>
    <t>run4_easycategs_1.0unique_0.25rep-group_1</t>
  </si>
  <si>
    <t>run4_easycategs_1.0unique_0.25rep-group_2</t>
  </si>
  <si>
    <t>run4_easycategs_1.0unique_0.25rep-group_3</t>
  </si>
  <si>
    <t>run4_easycategs_1.0unique_0.25rep-group_4</t>
  </si>
  <si>
    <t>run4_easycategs_1.0unique_0.5rep-group_0</t>
  </si>
  <si>
    <t>run4_easycategs_1.0unique_0.5rep-group_1</t>
  </si>
  <si>
    <t>run4_easycategs_1.0unique_0.5rep-group_2</t>
  </si>
  <si>
    <t>run4_easycategs_1.0unique_0.5rep-group_3</t>
  </si>
  <si>
    <t>run4_easycategs_1.0unique_0.5rep-group_4</t>
  </si>
  <si>
    <t>run4_easycategs_1.0unique_0.75rep-group_0</t>
  </si>
  <si>
    <t>run4_easycategs_1.0unique_0.75rep-group_1</t>
  </si>
  <si>
    <t>run4_easycategs_1.0unique_0.75rep-group_2</t>
  </si>
  <si>
    <t>run4_easycategs_1.0unique_0.75rep-group_3</t>
  </si>
  <si>
    <t>run4_easycategs_1.0unique_0.75rep-group_4</t>
  </si>
  <si>
    <t>run4_easycategs_1.0unique_1.0rep-group_0</t>
  </si>
  <si>
    <t>run4_easycategs_1.0unique_1.0rep-group_1</t>
  </si>
  <si>
    <t>run4_easycategs_1.0unique_1.0rep-group_2</t>
  </si>
  <si>
    <t>run4_easycategs_1.0unique_1.0rep-group_3</t>
  </si>
  <si>
    <t>run4_easycategs_1.0unique_1.0rep-group_4</t>
  </si>
  <si>
    <t>run4_priority12x3x4_0.1unique_0.1rep-group_0</t>
  </si>
  <si>
    <t>run4_priority12x3x4_0.1unique_0.1rep-group_1</t>
  </si>
  <si>
    <t>run4_priority12x3x4_0.1unique_0.1rep-group_2</t>
  </si>
  <si>
    <t>run4_priority12x3x4_0.1unique_0.1rep-group_3</t>
  </si>
  <si>
    <t>run4_priority12x3x4_0.1unique_0.1rep-group_4</t>
  </si>
  <si>
    <t>run4_priority12x3x4_0.1unique_0.25rep-group_0</t>
  </si>
  <si>
    <t>run4_priority12x3x4_0.1unique_0.25rep-group_1</t>
  </si>
  <si>
    <t>run4_priority12x3x4_0.1unique_0.25rep-group_2</t>
  </si>
  <si>
    <t>run4_priority12x3x4_0.1unique_0.25rep-group_3</t>
  </si>
  <si>
    <t>run4_priority12x3x4_0.1unique_0.25rep-group_4</t>
  </si>
  <si>
    <t>run4_priority12x3x4_0.1unique_0.5rep-group_0</t>
  </si>
  <si>
    <t>run4_priority12x3x4_0.1unique_0.5rep-group_1</t>
  </si>
  <si>
    <t>run4_priority12x3x4_0.1unique_0.5rep-group_2</t>
  </si>
  <si>
    <t>run4_priority12x3x4_0.1unique_0.5rep-group_3</t>
  </si>
  <si>
    <t>run4_priority12x3x4_0.1unique_0.5rep-group_4</t>
  </si>
  <si>
    <t>run4_priority12x3x4_0.1unique_0.75rep-group_0</t>
  </si>
  <si>
    <t>run4_priority12x3x4_0.1unique_0.75rep-group_1</t>
  </si>
  <si>
    <t>run4_priority12x3x4_0.1unique_0.75rep-group_2</t>
  </si>
  <si>
    <t>run4_priority12x3x4_0.1unique_0.75rep-group_3</t>
  </si>
  <si>
    <t>run4_priority12x3x4_0.1unique_0.75rep-group_4</t>
  </si>
  <si>
    <t>run4_priority12x3x4_0.1unique_1.0rep-group_0</t>
  </si>
  <si>
    <t>run4_priority12x3x4_0.1unique_1.0rep-group_1</t>
  </si>
  <si>
    <t>run4_priority12x3x4_0.1unique_1.0rep-group_2</t>
  </si>
  <si>
    <t>run4_priority12x3x4_0.1unique_1.0rep-group_3</t>
  </si>
  <si>
    <t>run4_priority12x3x4_0.1unique_1.0rep-group_4</t>
  </si>
  <si>
    <t>run4_priority12x3x4_0.25unique_0.1rep-group_0</t>
  </si>
  <si>
    <t>run4_priority12x3x4_0.25unique_0.1rep-group_1</t>
  </si>
  <si>
    <t>run4_priority12x3x4_0.25unique_0.1rep-group_2</t>
  </si>
  <si>
    <t>run4_priority12x3x4_0.25unique_0.1rep-group_3</t>
  </si>
  <si>
    <t>run4_priority12x3x4_0.25unique_0.1rep-group_4</t>
  </si>
  <si>
    <t>run4_priority12x3x4_0.25unique_0.25rep-group_0</t>
  </si>
  <si>
    <t>run4_priority12x3x4_0.25unique_0.25rep-group_1</t>
  </si>
  <si>
    <t>run4_priority12x3x4_0.25unique_0.25rep-group_2</t>
  </si>
  <si>
    <t>run4_priority12x3x4_0.25unique_0.25rep-group_3</t>
  </si>
  <si>
    <t>run4_priority12x3x4_0.25unique_0.25rep-group_4</t>
  </si>
  <si>
    <t>run4_priority12x3x4_0.25unique_0.5rep-group_0</t>
  </si>
  <si>
    <t>run4_priority12x3x4_0.25unique_0.5rep-group_1</t>
  </si>
  <si>
    <t>run4_priority12x3x4_0.25unique_0.5rep-group_2</t>
  </si>
  <si>
    <t>run4_priority12x3x4_0.25unique_0.5rep-group_3</t>
  </si>
  <si>
    <t>run4_priority12x3x4_0.25unique_0.5rep-group_4</t>
  </si>
  <si>
    <t>run4_priority12x3x4_0.25unique_0.75rep-group_0</t>
  </si>
  <si>
    <t>run4_priority12x3x4_0.25unique_0.75rep-group_1</t>
  </si>
  <si>
    <t>run4_priority12x3x4_0.25unique_0.75rep-group_2</t>
  </si>
  <si>
    <t>run4_priority12x3x4_0.25unique_0.75rep-group_3</t>
  </si>
  <si>
    <t>run4_priority12x3x4_0.25unique_0.75rep-group_4</t>
  </si>
  <si>
    <t>run4_priority12x3x4_0.25unique_1.0rep-group_0</t>
  </si>
  <si>
    <t>run4_priority12x3x4_0.25unique_1.0rep-group_1</t>
  </si>
  <si>
    <t>run4_priority12x3x4_0.25unique_1.0rep-group_2</t>
  </si>
  <si>
    <t>run4_priority12x3x4_0.25unique_1.0rep-group_3</t>
  </si>
  <si>
    <t>run4_priority12x3x4_0.25unique_1.0rep-group_4</t>
  </si>
  <si>
    <t>run4_priority12x3x4_0.5unique_0.1rep-group_0</t>
  </si>
  <si>
    <t>run4_priority12x3x4_0.5unique_0.1rep-group_1</t>
  </si>
  <si>
    <t>run4_priority12x3x4_0.5unique_0.1rep-group_2</t>
  </si>
  <si>
    <t>run4_priority12x3x4_0.5unique_0.1rep-group_3</t>
  </si>
  <si>
    <t>run4_priority12x3x4_0.5unique_0.1rep-group_4</t>
  </si>
  <si>
    <t>run4_priority12x3x4_0.5unique_0.25rep-group_0</t>
  </si>
  <si>
    <t>run4_priority12x3x4_0.5unique_0.25rep-group_1</t>
  </si>
  <si>
    <t>run4_priority12x3x4_0.5unique_0.25rep-group_2</t>
  </si>
  <si>
    <t>run4_priority12x3x4_0.5unique_0.25rep-group_3</t>
  </si>
  <si>
    <t>run4_priority12x3x4_0.5unique_0.25rep-group_4</t>
  </si>
  <si>
    <t>run4_priority12x3x4_0.5unique_0.5rep-group_0</t>
  </si>
  <si>
    <t>run4_priority12x3x4_0.5unique_0.5rep-group_1</t>
  </si>
  <si>
    <t>run4_priority12x3x4_0.5unique_0.5rep-group_2</t>
  </si>
  <si>
    <t>run4_priority12x3x4_0.5unique_0.5rep-group_3</t>
  </si>
  <si>
    <t>run4_priority12x3x4_0.5unique_0.5rep-group_4</t>
  </si>
  <si>
    <t>run4_priority12x3x4_0.5unique_0.75rep-group_0</t>
  </si>
  <si>
    <t>run4_priority12x3x4_0.5unique_0.75rep-group_1</t>
  </si>
  <si>
    <t>run4_priority12x3x4_0.5unique_0.75rep-group_2</t>
  </si>
  <si>
    <t>run4_priority12x3x4_0.5unique_0.75rep-group_3</t>
  </si>
  <si>
    <t>run4_priority12x3x4_0.5unique_0.75rep-group_4</t>
  </si>
  <si>
    <t>run4_priority12x3x4_0.5unique_1.0rep-group_0</t>
  </si>
  <si>
    <t>run4_priority12x3x4_0.5unique_1.0rep-group_1</t>
  </si>
  <si>
    <t>run4_priority12x3x4_0.5unique_1.0rep-group_2</t>
  </si>
  <si>
    <t>run4_priority12x3x4_0.5unique_1.0rep-group_3</t>
  </si>
  <si>
    <t>run4_priority12x3x4_0.5unique_1.0rep-group_4</t>
  </si>
  <si>
    <t>run4_priority12x3x4_0.75unique_0.1rep-group_0</t>
  </si>
  <si>
    <t>run4_priority12x3x4_0.75unique_0.1rep-group_1</t>
  </si>
  <si>
    <t>run4_priority12x3x4_0.75unique_0.1rep-group_2</t>
  </si>
  <si>
    <t>run4_priority12x3x4_0.75unique_0.1rep-group_3</t>
  </si>
  <si>
    <t>run4_priority12x3x4_0.75unique_0.1rep-group_4</t>
  </si>
  <si>
    <t>run4_priority12x3x4_0.75unique_0.25rep-group_0</t>
  </si>
  <si>
    <t>run4_priority12x3x4_0.75unique_0.25rep-group_1</t>
  </si>
  <si>
    <t>run4_priority12x3x4_0.75unique_0.25rep-group_2</t>
  </si>
  <si>
    <t>run4_priority12x3x4_0.75unique_0.25rep-group_3</t>
  </si>
  <si>
    <t>run4_priority12x3x4_0.75unique_0.25rep-group_4</t>
  </si>
  <si>
    <t>run4_priority12x3x4_0.75unique_0.5rep-group_0</t>
  </si>
  <si>
    <t>run4_priority12x3x4_0.75unique_0.5rep-group_1</t>
  </si>
  <si>
    <t>run4_priority12x3x4_0.75unique_0.5rep-group_2</t>
  </si>
  <si>
    <t>run4_priority12x3x4_0.75unique_0.5rep-group_3</t>
  </si>
  <si>
    <t>run4_priority12x3x4_0.75unique_0.5rep-group_4</t>
  </si>
  <si>
    <t>run4_priority12x3x4_0.75unique_0.75rep-group_0</t>
  </si>
  <si>
    <t>run4_priority12x3x4_0.75unique_0.75rep-group_1</t>
  </si>
  <si>
    <t>run4_priority12x3x4_0.75unique_0.75rep-group_2</t>
  </si>
  <si>
    <t>run4_priority12x3x4_0.75unique_0.75rep-group_3</t>
  </si>
  <si>
    <t>run4_priority12x3x4_0.75unique_0.75rep-group_4</t>
  </si>
  <si>
    <t>run4_priority12x3x4_0.75unique_1.0rep-group_0</t>
  </si>
  <si>
    <t>run4_priority12x3x4_0.75unique_1.0rep-group_1</t>
  </si>
  <si>
    <t>run4_priority12x3x4_0.75unique_1.0rep-group_2</t>
  </si>
  <si>
    <t>run4_priority12x3x4_0.75unique_1.0rep-group_3</t>
  </si>
  <si>
    <t>run4_priority12x3x4_0.75unique_1.0rep-group_4</t>
  </si>
  <si>
    <t>run4_priority12x3x4_1.0unique_0.1rep-group_0</t>
  </si>
  <si>
    <t>run4_priority12x3x4_1.0unique_0.1rep-group_1</t>
  </si>
  <si>
    <t>run4_priority12x3x4_1.0unique_0.1rep-group_2</t>
  </si>
  <si>
    <t>run4_priority12x3x4_1.0unique_0.1rep-group_3</t>
  </si>
  <si>
    <t>run4_priority12x3x4_1.0unique_0.1rep-group_4</t>
  </si>
  <si>
    <t>run4_priority12x3x4_1.0unique_0.25rep-group_0</t>
  </si>
  <si>
    <t>run4_priority12x3x4_1.0unique_0.25rep-group_1</t>
  </si>
  <si>
    <t>run4_priority12x3x4_1.0unique_0.25rep-group_2</t>
  </si>
  <si>
    <t>run4_priority12x3x4_1.0unique_0.25rep-group_3</t>
  </si>
  <si>
    <t>run4_priority12x3x4_1.0unique_0.25rep-group_4</t>
  </si>
  <si>
    <t>run4_priority12x3x4_1.0unique_0.5rep-group_0</t>
  </si>
  <si>
    <t>run4_priority12x3x4_1.0unique_0.5rep-group_1</t>
  </si>
  <si>
    <t>run4_priority12x3x4_1.0unique_0.5rep-group_2</t>
  </si>
  <si>
    <t>run4_priority12x3x4_1.0unique_0.5rep-group_3</t>
  </si>
  <si>
    <t>run4_priority12x3x4_1.0unique_0.5rep-group_4</t>
  </si>
  <si>
    <t>run4_priority12x3x4_1.0unique_0.75rep-group_0</t>
  </si>
  <si>
    <t>run4_priority12x3x4_1.0unique_0.75rep-group_1</t>
  </si>
  <si>
    <t>run4_priority12x3x4_1.0unique_0.75rep-group_2</t>
  </si>
  <si>
    <t>run4_priority12x3x4_1.0unique_0.75rep-group_3</t>
  </si>
  <si>
    <t>run4_priority12x3x4_1.0unique_0.75rep-group_4</t>
  </si>
  <si>
    <t>run4_priority12x3x4_1.0unique_1.0rep-group_0</t>
  </si>
  <si>
    <t>run4_priority12x3x4_1.0unique_1.0rep-group_1</t>
  </si>
  <si>
    <t>run4_priority12x3x4_1.0unique_1.0rep-group_2</t>
  </si>
  <si>
    <t>run4_priority12x3x4_1.0unique_1.0rep-group_3</t>
  </si>
  <si>
    <t>run4_priority12x3x4_1.0unique_1.0rep-group_4</t>
  </si>
  <si>
    <t>run5_awaitingsml_0.1unique_0.1rep-group_0</t>
  </si>
  <si>
    <t>run5_awaitingsml_0.1unique_0.1rep-group_1</t>
  </si>
  <si>
    <t>run5_awaitingsml_0.1unique_0.1rep-group_2</t>
  </si>
  <si>
    <t>run5_awaitingsml_0.1unique_0.1rep-group_3</t>
  </si>
  <si>
    <t>run5_awaitingsml_0.1unique_0.1rep-group_4</t>
  </si>
  <si>
    <t>run5_awaitingsml_0.1unique_0.25rep-group_0</t>
  </si>
  <si>
    <t>run5_awaitingsml_0.1unique_0.25rep-group_1</t>
  </si>
  <si>
    <t>run5_awaitingsml_0.1unique_0.25rep-group_2</t>
  </si>
  <si>
    <t>run5_awaitingsml_0.1unique_0.25rep-group_3</t>
  </si>
  <si>
    <t>run5_awaitingsml_0.1unique_0.25rep-group_4</t>
  </si>
  <si>
    <t>run5_awaitingsml_0.1unique_0.5rep-group_0</t>
  </si>
  <si>
    <t>run5_awaitingsml_0.1unique_0.5rep-group_1</t>
  </si>
  <si>
    <t>run5_awaitingsml_0.1unique_0.5rep-group_2</t>
  </si>
  <si>
    <t>run5_awaitingsml_0.1unique_0.5rep-group_3</t>
  </si>
  <si>
    <t>run5_awaitingsml_0.1unique_0.5rep-group_4</t>
  </si>
  <si>
    <t>run5_awaitingsml_0.1unique_0.75rep-group_0</t>
  </si>
  <si>
    <t>run5_awaitingsml_0.1unique_0.75rep-group_1</t>
  </si>
  <si>
    <t>run5_awaitingsml_0.1unique_0.75rep-group_2</t>
  </si>
  <si>
    <t>run5_awaitingsml_0.1unique_0.75rep-group_3</t>
  </si>
  <si>
    <t>run5_awaitingsml_0.1unique_0.75rep-group_4</t>
  </si>
  <si>
    <t>run5_awaitingsml_0.1unique_1.0rep-group_0</t>
  </si>
  <si>
    <t>run5_awaitingsml_0.1unique_1.0rep-group_1</t>
  </si>
  <si>
    <t>run5_awaitingsml_0.1unique_1.0rep-group_2</t>
  </si>
  <si>
    <t>run5_awaitingsml_0.1unique_1.0rep-group_3</t>
  </si>
  <si>
    <t>run5_awaitingsml_0.1unique_1.0rep-group_4</t>
  </si>
  <si>
    <t>run5_awaitingsml_0.25unique_0.1rep-group_0</t>
  </si>
  <si>
    <t>run5_awaitingsml_0.25unique_0.1rep-group_1</t>
  </si>
  <si>
    <t>run5_awaitingsml_0.25unique_0.1rep-group_2</t>
  </si>
  <si>
    <t>run5_awaitingsml_0.25unique_0.1rep-group_3</t>
  </si>
  <si>
    <t>run5_awaitingsml_0.25unique_0.1rep-group_4</t>
  </si>
  <si>
    <t>run5_awaitingsml_0.25unique_0.25rep-group_0</t>
  </si>
  <si>
    <t>run5_awaitingsml_0.25unique_0.25rep-group_1</t>
  </si>
  <si>
    <t>run5_awaitingsml_0.25unique_0.25rep-group_2</t>
  </si>
  <si>
    <t>run5_awaitingsml_0.25unique_0.25rep-group_3</t>
  </si>
  <si>
    <t>run5_awaitingsml_0.25unique_0.25rep-group_4</t>
  </si>
  <si>
    <t>run5_awaitingsml_0.25unique_0.5rep-group_0</t>
  </si>
  <si>
    <t>run5_awaitingsml_0.25unique_0.5rep-group_1</t>
  </si>
  <si>
    <t>run5_awaitingsml_0.25unique_0.5rep-group_2</t>
  </si>
  <si>
    <t>run5_awaitingsml_0.25unique_0.5rep-group_3</t>
  </si>
  <si>
    <t>run5_awaitingsml_0.25unique_0.5rep-group_4</t>
  </si>
  <si>
    <t>run5_awaitingsml_0.25unique_0.75rep-group_0</t>
  </si>
  <si>
    <t>run5_awaitingsml_0.25unique_0.75rep-group_1</t>
  </si>
  <si>
    <t>run5_awaitingsml_0.25unique_0.75rep-group_2</t>
  </si>
  <si>
    <t>run5_awaitingsml_0.25unique_0.75rep-group_3</t>
  </si>
  <si>
    <t>run5_awaitingsml_0.25unique_0.75rep-group_4</t>
  </si>
  <si>
    <t>run5_awaitingsml_0.25unique_1.0rep-group_0</t>
  </si>
  <si>
    <t>run5_awaitingsml_0.25unique_1.0rep-group_1</t>
  </si>
  <si>
    <t>run5_awaitingsml_0.25unique_1.0rep-group_2</t>
  </si>
  <si>
    <t>run5_awaitingsml_0.25unique_1.0rep-group_3</t>
  </si>
  <si>
    <t>run5_awaitingsml_0.25unique_1.0rep-group_4</t>
  </si>
  <si>
    <t>run5_awaitingsml_0.5unique_0.1rep-group_0</t>
  </si>
  <si>
    <t>run5_awaitingsml_0.5unique_0.1rep-group_1</t>
  </si>
  <si>
    <t>run5_awaitingsml_0.5unique_0.1rep-group_2</t>
  </si>
  <si>
    <t>run5_awaitingsml_0.5unique_0.1rep-group_3</t>
  </si>
  <si>
    <t>run5_awaitingsml_0.5unique_0.1rep-group_4</t>
  </si>
  <si>
    <t>run5_awaitingsml_0.5unique_0.25rep-group_0</t>
  </si>
  <si>
    <t>run5_awaitingsml_0.5unique_0.25rep-group_1</t>
  </si>
  <si>
    <t>run5_awaitingsml_0.5unique_0.25rep-group_2</t>
  </si>
  <si>
    <t>run5_awaitingsml_0.5unique_0.25rep-group_3</t>
  </si>
  <si>
    <t>run5_awaitingsml_0.5unique_0.25rep-group_4</t>
  </si>
  <si>
    <t>run5_awaitingsml_0.5unique_0.5rep-group_0</t>
  </si>
  <si>
    <t>run5_awaitingsml_0.5unique_0.5rep-group_1</t>
  </si>
  <si>
    <t>run5_awaitingsml_0.5unique_0.5rep-group_2</t>
  </si>
  <si>
    <t>run5_awaitingsml_0.5unique_0.5rep-group_3</t>
  </si>
  <si>
    <t>run5_awaitingsml_0.5unique_0.5rep-group_4</t>
  </si>
  <si>
    <t>run5_awaitingsml_0.5unique_0.75rep-group_0</t>
  </si>
  <si>
    <t>run5_awaitingsml_0.5unique_0.75rep-group_1</t>
  </si>
  <si>
    <t>run5_awaitingsml_0.5unique_0.75rep-group_2</t>
  </si>
  <si>
    <t>run5_awaitingsml_0.5unique_0.75rep-group_3</t>
  </si>
  <si>
    <t>run5_awaitingsml_0.5unique_0.75rep-group_4</t>
  </si>
  <si>
    <t>run5_awaitingsml_0.5unique_1.0rep-group_0</t>
  </si>
  <si>
    <t>run5_awaitingsml_0.5unique_1.0rep-group_1</t>
  </si>
  <si>
    <t>run5_awaitingsml_0.5unique_1.0rep-group_2</t>
  </si>
  <si>
    <t>run5_awaitingsml_0.5unique_1.0rep-group_3</t>
  </si>
  <si>
    <t>run5_awaitingsml_0.5unique_1.0rep-group_4</t>
  </si>
  <si>
    <t>run5_awaitingsml_0.75unique_0.1rep-group_0</t>
  </si>
  <si>
    <t>run5_awaitingsml_0.75unique_0.1rep-group_1</t>
  </si>
  <si>
    <t>run5_awaitingsml_0.75unique_0.1rep-group_2</t>
  </si>
  <si>
    <t>run5_awaitingsml_0.75unique_0.1rep-group_3</t>
  </si>
  <si>
    <t>run5_awaitingsml_0.75unique_0.1rep-group_4</t>
  </si>
  <si>
    <t>run5_awaitingsml_0.75unique_0.25rep-group_0</t>
  </si>
  <si>
    <t>run5_awaitingsml_0.75unique_0.25rep-group_1</t>
  </si>
  <si>
    <t>run5_awaitingsml_0.75unique_0.25rep-group_2</t>
  </si>
  <si>
    <t>run5_awaitingsml_0.75unique_0.25rep-group_3</t>
  </si>
  <si>
    <t>run5_awaitingsml_0.75unique_0.25rep-group_4</t>
  </si>
  <si>
    <t>run5_awaitingsml_0.75unique_0.5rep-group_0</t>
  </si>
  <si>
    <t>run5_awaitingsml_0.75unique_0.5rep-group_1</t>
  </si>
  <si>
    <t>run5_awaitingsml_0.75unique_0.5rep-group_2</t>
  </si>
  <si>
    <t>run5_awaitingsml_0.75unique_0.5rep-group_3</t>
  </si>
  <si>
    <t>run5_awaitingsml_0.75unique_0.5rep-group_4</t>
  </si>
  <si>
    <t>run5_awaitingsml_0.75unique_0.75rep-group_0</t>
  </si>
  <si>
    <t>run5_awaitingsml_0.75unique_0.75rep-group_1</t>
  </si>
  <si>
    <t>run5_awaitingsml_0.75unique_0.75rep-group_2</t>
  </si>
  <si>
    <t>run5_awaitingsml_0.75unique_0.75rep-group_3</t>
  </si>
  <si>
    <t>run5_awaitingsml_0.75unique_0.75rep-group_4</t>
  </si>
  <si>
    <t>run5_awaitingsml_0.75unique_1.0rep-group_0</t>
  </si>
  <si>
    <t>run5_awaitingsml_0.75unique_1.0rep-group_1</t>
  </si>
  <si>
    <t>run5_awaitingsml_0.75unique_1.0rep-group_2</t>
  </si>
  <si>
    <t>run5_awaitingsml_0.75unique_1.0rep-group_3</t>
  </si>
  <si>
    <t>run5_awaitingsml_0.75unique_1.0rep-group_4</t>
  </si>
  <si>
    <t>run5_awaitingsml_1.0unique_0.1rep-group_0</t>
  </si>
  <si>
    <t>run5_awaitingsml_1.0unique_0.1rep-group_1</t>
  </si>
  <si>
    <t>run5_awaitingsml_1.0unique_0.1rep-group_2</t>
  </si>
  <si>
    <t>run5_awaitingsml_1.0unique_0.1rep-group_3</t>
  </si>
  <si>
    <t>run5_awaitingsml_1.0unique_0.1rep-group_4</t>
  </si>
  <si>
    <t>run5_awaitingsml_1.0unique_0.25rep-group_0</t>
  </si>
  <si>
    <t>run5_awaitingsml_1.0unique_0.25rep-group_1</t>
  </si>
  <si>
    <t>run5_awaitingsml_1.0unique_0.25rep-group_2</t>
  </si>
  <si>
    <t>run5_awaitingsml_1.0unique_0.25rep-group_3</t>
  </si>
  <si>
    <t>run5_awaitingsml_1.0unique_0.25rep-group_4</t>
  </si>
  <si>
    <t>run5_awaitingsml_1.0unique_0.5rep-group_0</t>
  </si>
  <si>
    <t>run5_awaitingsml_1.0unique_0.5rep-group_1</t>
  </si>
  <si>
    <t>run5_awaitingsml_1.0unique_0.5rep-group_2</t>
  </si>
  <si>
    <t>run5_awaitingsml_1.0unique_0.5rep-group_3</t>
  </si>
  <si>
    <t>run5_awaitingsml_1.0unique_0.5rep-group_4</t>
  </si>
  <si>
    <t>run5_awaitingsml_1.0unique_0.75rep-group_0</t>
  </si>
  <si>
    <t>run5_awaitingsml_1.0unique_0.75rep-group_1</t>
  </si>
  <si>
    <t>run5_awaitingsml_1.0unique_0.75rep-group_2</t>
  </si>
  <si>
    <t>run5_awaitingsml_1.0unique_0.75rep-group_3</t>
  </si>
  <si>
    <t>run5_awaitingsml_1.0unique_0.75rep-group_4</t>
  </si>
  <si>
    <t>run5_awaitingsml_1.0unique_1.0rep-group_0</t>
  </si>
  <si>
    <t>run5_awaitingsml_1.0unique_1.0rep-group_1</t>
  </si>
  <si>
    <t>run5_awaitingsml_1.0unique_1.0rep-group_2</t>
  </si>
  <si>
    <t>run5_awaitingsml_1.0unique_1.0rep-group_3</t>
  </si>
  <si>
    <t>run5_awaitingsml_1.0unique_1.0rep-group_4</t>
  </si>
  <si>
    <t>run5_easycategs_0.1unique_0.1rep-group_0</t>
  </si>
  <si>
    <t>run5_easycategs_0.1unique_0.1rep-group_1</t>
  </si>
  <si>
    <t>run5_easycategs_0.1unique_0.1rep-group_2</t>
  </si>
  <si>
    <t>run5_easycategs_0.1unique_0.1rep-group_3</t>
  </si>
  <si>
    <t>run5_easycategs_0.1unique_0.1rep-group_4</t>
  </si>
  <si>
    <t>run5_easycategs_0.1unique_0.25rep-group_0</t>
  </si>
  <si>
    <t>run5_easycategs_0.1unique_0.25rep-group_1</t>
  </si>
  <si>
    <t>run5_easycategs_0.1unique_0.25rep-group_2</t>
  </si>
  <si>
    <t>run5_easycategs_0.1unique_0.25rep-group_3</t>
  </si>
  <si>
    <t>run5_easycategs_0.1unique_0.25rep-group_4</t>
  </si>
  <si>
    <t>run5_easycategs_0.1unique_0.5rep-group_0</t>
  </si>
  <si>
    <t>run5_easycategs_0.1unique_0.5rep-group_1</t>
  </si>
  <si>
    <t>run5_easycategs_0.1unique_0.5rep-group_2</t>
  </si>
  <si>
    <t>run5_easycategs_0.1unique_0.5rep-group_3</t>
  </si>
  <si>
    <t>run5_easycategs_0.1unique_0.5rep-group_4</t>
  </si>
  <si>
    <t>run5_easycategs_0.1unique_0.75rep-group_0</t>
  </si>
  <si>
    <t>run5_easycategs_0.1unique_0.75rep-group_1</t>
  </si>
  <si>
    <t>run5_easycategs_0.1unique_0.75rep-group_2</t>
  </si>
  <si>
    <t>run5_easycategs_0.1unique_0.75rep-group_3</t>
  </si>
  <si>
    <t>run5_easycategs_0.1unique_0.75rep-group_4</t>
  </si>
  <si>
    <t>run5_easycategs_0.1unique_1.0rep-group_0</t>
  </si>
  <si>
    <t>run5_easycategs_0.1unique_1.0rep-group_1</t>
  </si>
  <si>
    <t>run5_easycategs_0.1unique_1.0rep-group_2</t>
  </si>
  <si>
    <t>run5_easycategs_0.1unique_1.0rep-group_3</t>
  </si>
  <si>
    <t>run5_easycategs_0.1unique_1.0rep-group_4</t>
  </si>
  <si>
    <t>run5_easycategs_0.25unique_0.1rep-group_0</t>
  </si>
  <si>
    <t>run5_easycategs_0.25unique_0.1rep-group_1</t>
  </si>
  <si>
    <t>run5_easycategs_0.25unique_0.1rep-group_2</t>
  </si>
  <si>
    <t>run5_easycategs_0.25unique_0.1rep-group_3</t>
  </si>
  <si>
    <t>run5_easycategs_0.25unique_0.1rep-group_4</t>
  </si>
  <si>
    <t>run5_easycategs_0.25unique_0.25rep-group_0</t>
  </si>
  <si>
    <t>run5_easycategs_0.25unique_0.25rep-group_1</t>
  </si>
  <si>
    <t>run5_easycategs_0.25unique_0.25rep-group_2</t>
  </si>
  <si>
    <t>run5_easycategs_0.25unique_0.25rep-group_3</t>
  </si>
  <si>
    <t>run5_easycategs_0.25unique_0.25rep-group_4</t>
  </si>
  <si>
    <t>run5_easycategs_0.25unique_0.5rep-group_0</t>
  </si>
  <si>
    <t>run5_easycategs_0.25unique_0.5rep-group_1</t>
  </si>
  <si>
    <t>run5_easycategs_0.25unique_0.5rep-group_2</t>
  </si>
  <si>
    <t>run5_easycategs_0.25unique_0.5rep-group_3</t>
  </si>
  <si>
    <t>run5_easycategs_0.25unique_0.5rep-group_4</t>
  </si>
  <si>
    <t>run5_easycategs_0.25unique_0.75rep-group_0</t>
  </si>
  <si>
    <t>run5_easycategs_0.25unique_0.75rep-group_1</t>
  </si>
  <si>
    <t>run5_easycategs_0.25unique_0.75rep-group_2</t>
  </si>
  <si>
    <t>run5_easycategs_0.25unique_0.75rep-group_3</t>
  </si>
  <si>
    <t>run5_easycategs_0.25unique_0.75rep-group_4</t>
  </si>
  <si>
    <t>run5_easycategs_0.25unique_1.0rep-group_0</t>
  </si>
  <si>
    <t>run5_easycategs_0.25unique_1.0rep-group_1</t>
  </si>
  <si>
    <t>run5_easycategs_0.25unique_1.0rep-group_2</t>
  </si>
  <si>
    <t>run5_easycategs_0.25unique_1.0rep-group_3</t>
  </si>
  <si>
    <t>run5_easycategs_0.25unique_1.0rep-group_4</t>
  </si>
  <si>
    <t>run5_easycategs_0.5unique_0.1rep-group_0</t>
  </si>
  <si>
    <t>run5_easycategs_0.5unique_0.1rep-group_1</t>
  </si>
  <si>
    <t>run5_easycategs_0.5unique_0.1rep-group_2</t>
  </si>
  <si>
    <t>run5_easycategs_0.5unique_0.1rep-group_3</t>
  </si>
  <si>
    <t>run5_easycategs_0.5unique_0.1rep-group_4</t>
  </si>
  <si>
    <t>run5_easycategs_0.5unique_0.25rep-group_0</t>
  </si>
  <si>
    <t>run5_easycategs_0.5unique_0.25rep-group_1</t>
  </si>
  <si>
    <t>run5_easycategs_0.5unique_0.25rep-group_2</t>
  </si>
  <si>
    <t>run5_easycategs_0.5unique_0.25rep-group_3</t>
  </si>
  <si>
    <t>run5_easycategs_0.5unique_0.25rep-group_4</t>
  </si>
  <si>
    <t>run5_easycategs_0.5unique_0.5rep-group_0</t>
  </si>
  <si>
    <t>run5_easycategs_0.5unique_0.5rep-group_1</t>
  </si>
  <si>
    <t>run5_easycategs_0.5unique_0.5rep-group_2</t>
  </si>
  <si>
    <t>run5_easycategs_0.5unique_0.5rep-group_3</t>
  </si>
  <si>
    <t>run5_easycategs_0.5unique_0.5rep-group_4</t>
  </si>
  <si>
    <t>run5_easycategs_0.5unique_0.75rep-group_0</t>
  </si>
  <si>
    <t>run5_easycategs_0.5unique_0.75rep-group_1</t>
  </si>
  <si>
    <t>run5_easycategs_0.5unique_0.75rep-group_2</t>
  </si>
  <si>
    <t>run5_easycategs_0.5unique_0.75rep-group_3</t>
  </si>
  <si>
    <t>run5_easycategs_0.5unique_0.75rep-group_4</t>
  </si>
  <si>
    <t>run5_easycategs_0.5unique_1.0rep-group_0</t>
  </si>
  <si>
    <t>run5_easycategs_0.5unique_1.0rep-group_1</t>
  </si>
  <si>
    <t>run5_easycategs_0.5unique_1.0rep-group_2</t>
  </si>
  <si>
    <t>run5_easycategs_0.5unique_1.0rep-group_3</t>
  </si>
  <si>
    <t>run5_easycategs_0.5unique_1.0rep-group_4</t>
  </si>
  <si>
    <t>run5_easycategs_0.75unique_0.1rep-group_0</t>
  </si>
  <si>
    <t>run5_easycategs_0.75unique_0.1rep-group_1</t>
  </si>
  <si>
    <t>run5_easycategs_0.75unique_0.1rep-group_2</t>
  </si>
  <si>
    <t>run5_easycategs_0.75unique_0.1rep-group_3</t>
  </si>
  <si>
    <t>run5_easycategs_0.75unique_0.1rep-group_4</t>
  </si>
  <si>
    <t>run5_easycategs_0.75unique_0.25rep-group_0</t>
  </si>
  <si>
    <t>run5_easycategs_0.75unique_0.25rep-group_1</t>
  </si>
  <si>
    <t>run5_easycategs_0.75unique_0.25rep-group_2</t>
  </si>
  <si>
    <t>run5_easycategs_0.75unique_0.25rep-group_3</t>
  </si>
  <si>
    <t>run5_easycategs_0.75unique_0.25rep-group_4</t>
  </si>
  <si>
    <t>run5_easycategs_0.75unique_0.5rep-group_0</t>
  </si>
  <si>
    <t>run5_easycategs_0.75unique_0.5rep-group_1</t>
  </si>
  <si>
    <t>run5_easycategs_0.75unique_0.5rep-group_2</t>
  </si>
  <si>
    <t>run5_easycategs_0.75unique_0.5rep-group_3</t>
  </si>
  <si>
    <t>run5_easycategs_0.75unique_0.5rep-group_4</t>
  </si>
  <si>
    <t>run5_easycategs_0.75unique_0.75rep-group_0</t>
  </si>
  <si>
    <t>run5_easycategs_0.75unique_0.75rep-group_1</t>
  </si>
  <si>
    <t>run5_easycategs_0.75unique_0.75rep-group_2</t>
  </si>
  <si>
    <t>run5_easycategs_0.75unique_0.75rep-group_3</t>
  </si>
  <si>
    <t>run5_easycategs_0.75unique_0.75rep-group_4</t>
  </si>
  <si>
    <t>run5_easycategs_0.75unique_1.0rep-group_0</t>
  </si>
  <si>
    <t>run5_easycategs_0.75unique_1.0rep-group_1</t>
  </si>
  <si>
    <t>run5_easycategs_0.75unique_1.0rep-group_2</t>
  </si>
  <si>
    <t>run5_easycategs_0.75unique_1.0rep-group_3</t>
  </si>
  <si>
    <t>run5_easycategs_0.75unique_1.0rep-group_4</t>
  </si>
  <si>
    <t>run5_easycategs_1.0unique_0.1rep-group_0</t>
  </si>
  <si>
    <t>run5_easycategs_1.0unique_0.1rep-group_1</t>
  </si>
  <si>
    <t>run5_easycategs_1.0unique_0.1rep-group_2</t>
  </si>
  <si>
    <t>run5_easycategs_1.0unique_0.1rep-group_3</t>
  </si>
  <si>
    <t>run5_easycategs_1.0unique_0.1rep-group_4</t>
  </si>
  <si>
    <t>run5_easycategs_1.0unique_0.25rep-group_0</t>
  </si>
  <si>
    <t>run5_easycategs_1.0unique_0.25rep-group_1</t>
  </si>
  <si>
    <t>run5_easycategs_1.0unique_0.25rep-group_2</t>
  </si>
  <si>
    <t>run5_easycategs_1.0unique_0.25rep-group_3</t>
  </si>
  <si>
    <t>run5_easycategs_1.0unique_0.25rep-group_4</t>
  </si>
  <si>
    <t>run5_easycategs_1.0unique_0.5rep-group_0</t>
  </si>
  <si>
    <t>run5_easycategs_1.0unique_0.5rep-group_1</t>
  </si>
  <si>
    <t>run5_easycategs_1.0unique_0.5rep-group_2</t>
  </si>
  <si>
    <t>run5_easycategs_1.0unique_0.5rep-group_3</t>
  </si>
  <si>
    <t>run5_easycategs_1.0unique_0.5rep-group_4</t>
  </si>
  <si>
    <t>run5_easycategs_1.0unique_0.75rep-group_0</t>
  </si>
  <si>
    <t>run5_easycategs_1.0unique_0.75rep-group_1</t>
  </si>
  <si>
    <t>run5_easycategs_1.0unique_0.75rep-group_2</t>
  </si>
  <si>
    <t>run5_easycategs_1.0unique_0.75rep-group_3</t>
  </si>
  <si>
    <t>run5_easycategs_1.0unique_0.75rep-group_4</t>
  </si>
  <si>
    <t>run5_easycategs_1.0unique_1.0rep-group_0</t>
  </si>
  <si>
    <t>run5_easycategs_1.0unique_1.0rep-group_1</t>
  </si>
  <si>
    <t>run5_easycategs_1.0unique_1.0rep-group_2</t>
  </si>
  <si>
    <t>run5_easycategs_1.0unique_1.0rep-group_3</t>
  </si>
  <si>
    <t>run5_easycategs_1.0unique_1.0rep-group_4</t>
  </si>
  <si>
    <t>run5_priority12x3x4_0.1unique_0.1rep-group_0</t>
  </si>
  <si>
    <t>run5_priority12x3x4_0.1unique_0.1rep-group_1</t>
  </si>
  <si>
    <t>run5_priority12x3x4_0.1unique_0.1rep-group_2</t>
  </si>
  <si>
    <t>run5_priority12x3x4_0.1unique_0.1rep-group_3</t>
  </si>
  <si>
    <t>run5_priority12x3x4_0.1unique_0.1rep-group_4</t>
  </si>
  <si>
    <t>run5_priority12x3x4_0.1unique_0.25rep-group_0</t>
  </si>
  <si>
    <t>run5_priority12x3x4_0.1unique_0.25rep-group_1</t>
  </si>
  <si>
    <t>run5_priority12x3x4_0.1unique_0.25rep-group_2</t>
  </si>
  <si>
    <t>run5_priority12x3x4_0.1unique_0.25rep-group_3</t>
  </si>
  <si>
    <t>run5_priority12x3x4_0.1unique_0.25rep-group_4</t>
  </si>
  <si>
    <t>run5_priority12x3x4_0.1unique_0.5rep-group_0</t>
  </si>
  <si>
    <t>run5_priority12x3x4_0.1unique_0.5rep-group_1</t>
  </si>
  <si>
    <t>run5_priority12x3x4_0.1unique_0.5rep-group_2</t>
  </si>
  <si>
    <t>run5_priority12x3x4_0.1unique_0.5rep-group_3</t>
  </si>
  <si>
    <t>run5_priority12x3x4_0.1unique_0.5rep-group_4</t>
  </si>
  <si>
    <t>run5_priority12x3x4_0.1unique_0.75rep-group_0</t>
  </si>
  <si>
    <t>run5_priority12x3x4_0.1unique_0.75rep-group_1</t>
  </si>
  <si>
    <t>run5_priority12x3x4_0.1unique_0.75rep-group_2</t>
  </si>
  <si>
    <t>run5_priority12x3x4_0.1unique_0.75rep-group_3</t>
  </si>
  <si>
    <t>run5_priority12x3x4_0.1unique_0.75rep-group_4</t>
  </si>
  <si>
    <t>run5_priority12x3x4_0.1unique_1.0rep-group_0</t>
  </si>
  <si>
    <t>run5_priority12x3x4_0.1unique_1.0rep-group_1</t>
  </si>
  <si>
    <t>run5_priority12x3x4_0.1unique_1.0rep-group_2</t>
  </si>
  <si>
    <t>run5_priority12x3x4_0.1unique_1.0rep-group_3</t>
  </si>
  <si>
    <t>run5_priority12x3x4_0.1unique_1.0rep-group_4</t>
  </si>
  <si>
    <t>run5_priority12x3x4_0.25unique_0.1rep-group_0</t>
  </si>
  <si>
    <t>run5_priority12x3x4_0.25unique_0.1rep-group_1</t>
  </si>
  <si>
    <t>run5_priority12x3x4_0.25unique_0.1rep-group_2</t>
  </si>
  <si>
    <t>run5_priority12x3x4_0.25unique_0.1rep-group_3</t>
  </si>
  <si>
    <t>run5_priority12x3x4_0.25unique_0.1rep-group_4</t>
  </si>
  <si>
    <t>run5_priority12x3x4_0.25unique_0.25rep-group_0</t>
  </si>
  <si>
    <t>run5_priority12x3x4_0.25unique_0.25rep-group_1</t>
  </si>
  <si>
    <t>run5_priority12x3x4_0.25unique_0.25rep-group_2</t>
  </si>
  <si>
    <t>run5_priority12x3x4_0.25unique_0.25rep-group_3</t>
  </si>
  <si>
    <t>run5_priority12x3x4_0.25unique_0.25rep-group_4</t>
  </si>
  <si>
    <t>run5_priority12x3x4_0.25unique_0.5rep-group_0</t>
  </si>
  <si>
    <t>run5_priority12x3x4_0.25unique_0.5rep-group_1</t>
  </si>
  <si>
    <t>run5_priority12x3x4_0.25unique_0.5rep-group_2</t>
  </si>
  <si>
    <t>run5_priority12x3x4_0.25unique_0.5rep-group_3</t>
  </si>
  <si>
    <t>run5_priority12x3x4_0.25unique_0.5rep-group_4</t>
  </si>
  <si>
    <t>run5_priority12x3x4_0.25unique_0.75rep-group_0</t>
  </si>
  <si>
    <t>run5_priority12x3x4_0.25unique_0.75rep-group_1</t>
  </si>
  <si>
    <t>run5_priority12x3x4_0.25unique_0.75rep-group_2</t>
  </si>
  <si>
    <t>run5_priority12x3x4_0.25unique_0.75rep-group_3</t>
  </si>
  <si>
    <t>run5_priority12x3x4_0.25unique_0.75rep-group_4</t>
  </si>
  <si>
    <t>run5_priority12x3x4_0.25unique_1.0rep-group_0</t>
  </si>
  <si>
    <t>run5_priority12x3x4_0.25unique_1.0rep-group_1</t>
  </si>
  <si>
    <t>run5_priority12x3x4_0.25unique_1.0rep-group_2</t>
  </si>
  <si>
    <t>run5_priority12x3x4_0.25unique_1.0rep-group_3</t>
  </si>
  <si>
    <t>run5_priority12x3x4_0.25unique_1.0rep-group_4</t>
  </si>
  <si>
    <t>run5_priority12x3x4_0.5unique_0.1rep-group_0</t>
  </si>
  <si>
    <t>run5_priority12x3x4_0.5unique_0.1rep-group_1</t>
  </si>
  <si>
    <t>run5_priority12x3x4_0.5unique_0.1rep-group_2</t>
  </si>
  <si>
    <t>run5_priority12x3x4_0.5unique_0.1rep-group_3</t>
  </si>
  <si>
    <t>run5_priority12x3x4_0.5unique_0.1rep-group_4</t>
  </si>
  <si>
    <t>run5_priority12x3x4_0.5unique_0.25rep-group_0</t>
  </si>
  <si>
    <t>run5_priority12x3x4_0.5unique_0.25rep-group_1</t>
  </si>
  <si>
    <t>run5_priority12x3x4_0.5unique_0.25rep-group_2</t>
  </si>
  <si>
    <t>run5_priority12x3x4_0.5unique_0.25rep-group_3</t>
  </si>
  <si>
    <t>run5_priority12x3x4_0.5unique_0.25rep-group_4</t>
  </si>
  <si>
    <t>run5_priority12x3x4_0.5unique_0.5rep-group_0</t>
  </si>
  <si>
    <t>run5_priority12x3x4_0.5unique_0.5rep-group_1</t>
  </si>
  <si>
    <t>run5_priority12x3x4_0.5unique_0.5rep-group_2</t>
  </si>
  <si>
    <t>run5_priority12x3x4_0.5unique_0.5rep-group_3</t>
  </si>
  <si>
    <t>run5_priority12x3x4_0.5unique_0.5rep-group_4</t>
  </si>
  <si>
    <t>run5_priority12x3x4_0.5unique_0.75rep-group_0</t>
  </si>
  <si>
    <t>run5_priority12x3x4_0.5unique_0.75rep-group_1</t>
  </si>
  <si>
    <t>run5_priority12x3x4_0.5unique_0.75rep-group_2</t>
  </si>
  <si>
    <t>run5_priority12x3x4_0.5unique_0.75rep-group_3</t>
  </si>
  <si>
    <t>run5_priority12x3x4_0.5unique_0.75rep-group_4</t>
  </si>
  <si>
    <t>run5_priority12x3x4_0.5unique_1.0rep-group_0</t>
  </si>
  <si>
    <t>run5_priority12x3x4_0.5unique_1.0rep-group_1</t>
  </si>
  <si>
    <t>run5_priority12x3x4_0.5unique_1.0rep-group_2</t>
  </si>
  <si>
    <t>run5_priority12x3x4_0.5unique_1.0rep-group_3</t>
  </si>
  <si>
    <t>run5_priority12x3x4_0.5unique_1.0rep-group_4</t>
  </si>
  <si>
    <t>run5_priority12x3x4_0.75unique_0.1rep-group_0</t>
  </si>
  <si>
    <t>run5_priority12x3x4_0.75unique_0.1rep-group_1</t>
  </si>
  <si>
    <t>run5_priority12x3x4_0.75unique_0.1rep-group_2</t>
  </si>
  <si>
    <t>run5_priority12x3x4_0.75unique_0.1rep-group_3</t>
  </si>
  <si>
    <t>run5_priority12x3x4_0.75unique_0.1rep-group_4</t>
  </si>
  <si>
    <t>run5_priority12x3x4_0.75unique_0.25rep-group_0</t>
  </si>
  <si>
    <t>run5_priority12x3x4_0.75unique_0.25rep-group_1</t>
  </si>
  <si>
    <t>run5_priority12x3x4_0.75unique_0.25rep-group_2</t>
  </si>
  <si>
    <t>run5_priority12x3x4_0.75unique_0.25rep-group_3</t>
  </si>
  <si>
    <t>run5_priority12x3x4_0.75unique_0.25rep-group_4</t>
  </si>
  <si>
    <t>run5_priority12x3x4_0.75unique_0.5rep-group_0</t>
  </si>
  <si>
    <t>run5_priority12x3x4_0.75unique_0.5rep-group_1</t>
  </si>
  <si>
    <t>run5_priority12x3x4_0.75unique_0.5rep-group_2</t>
  </si>
  <si>
    <t>run5_priority12x3x4_0.75unique_0.5rep-group_3</t>
  </si>
  <si>
    <t>run5_priority12x3x4_0.75unique_0.5rep-group_4</t>
  </si>
  <si>
    <t>run5_priority12x3x4_0.75unique_0.75rep-group_0</t>
  </si>
  <si>
    <t>run5_priority12x3x4_0.75unique_0.75rep-group_1</t>
  </si>
  <si>
    <t>run5_priority12x3x4_0.75unique_0.75rep-group_2</t>
  </si>
  <si>
    <t>run5_priority12x3x4_0.75unique_0.75rep-group_3</t>
  </si>
  <si>
    <t>run5_priority12x3x4_0.75unique_0.75rep-group_4</t>
  </si>
  <si>
    <t>run5_priority12x3x4_0.75unique_1.0rep-group_0</t>
  </si>
  <si>
    <t>run5_priority12x3x4_0.75unique_1.0rep-group_1</t>
  </si>
  <si>
    <t>run5_priority12x3x4_0.75unique_1.0rep-group_2</t>
  </si>
  <si>
    <t>run5_priority12x3x4_0.75unique_1.0rep-group_3</t>
  </si>
  <si>
    <t>run5_priority12x3x4_0.75unique_1.0rep-group_4</t>
  </si>
  <si>
    <t>run5_priority12x3x4_1.0unique_0.1rep-group_0</t>
  </si>
  <si>
    <t>run5_priority12x3x4_1.0unique_0.1rep-group_1</t>
  </si>
  <si>
    <t>run5_priority12x3x4_1.0unique_0.1rep-group_2</t>
  </si>
  <si>
    <t>run5_priority12x3x4_1.0unique_0.1rep-group_3</t>
  </si>
  <si>
    <t>run5_priority12x3x4_1.0unique_0.1rep-group_4</t>
  </si>
  <si>
    <t>run5_priority12x3x4_1.0unique_0.25rep-group_0</t>
  </si>
  <si>
    <t>run5_priority12x3x4_1.0unique_0.25rep-group_1</t>
  </si>
  <si>
    <t>run5_priority12x3x4_1.0unique_0.25rep-group_2</t>
  </si>
  <si>
    <t>run5_priority12x3x4_1.0unique_0.25rep-group_3</t>
  </si>
  <si>
    <t>run5_priority12x3x4_1.0unique_0.25rep-group_4</t>
  </si>
  <si>
    <t>run5_priority12x3x4_1.0unique_0.5rep-group_0</t>
  </si>
  <si>
    <t>run5_priority12x3x4_1.0unique_0.5rep-group_1</t>
  </si>
  <si>
    <t>run5_priority12x3x4_1.0unique_0.5rep-group_2</t>
  </si>
  <si>
    <t>run5_priority12x3x4_1.0unique_0.5rep-group_3</t>
  </si>
  <si>
    <t>run5_priority12x3x4_1.0unique_0.5rep-group_4</t>
  </si>
  <si>
    <t>run5_priority12x3x4_1.0unique_0.75rep-group_0</t>
  </si>
  <si>
    <t>run5_priority12x3x4_1.0unique_0.75rep-group_1</t>
  </si>
  <si>
    <t>run5_priority12x3x4_1.0unique_0.75rep-group_2</t>
  </si>
  <si>
    <t>run5_priority12x3x4_1.0unique_0.75rep-group_3</t>
  </si>
  <si>
    <t>run5_priority12x3x4_1.0unique_0.75rep-group_4</t>
  </si>
  <si>
    <t>run5_priority12x3x4_1.0unique_1.0rep-group_0</t>
  </si>
  <si>
    <t>run5_priority12x3x4_1.0unique_1.0rep-group_1</t>
  </si>
  <si>
    <t>run5_priority12x3x4_1.0unique_1.0rep-group_2</t>
  </si>
  <si>
    <t>run5_priority12x3x4_1.0unique_1.0rep-group_3</t>
  </si>
  <si>
    <t>run5_priority12x3x4_1.0unique_1.0rep-group_4</t>
  </si>
  <si>
    <t>run6_awaitingsml_0.1unique_0.1rep-group_0</t>
  </si>
  <si>
    <t>run6_awaitingsml_0.1unique_0.1rep-group_1</t>
  </si>
  <si>
    <t>run6_awaitingsml_0.1unique_0.1rep-group_2</t>
  </si>
  <si>
    <t>run6_awaitingsml_0.1unique_0.1rep-group_3</t>
  </si>
  <si>
    <t>run6_awaitingsml_0.1unique_0.1rep-group_4</t>
  </si>
  <si>
    <t>run6_awaitingsml_0.1unique_0.25rep-group_0</t>
  </si>
  <si>
    <t>run6_awaitingsml_0.1unique_0.25rep-group_1</t>
  </si>
  <si>
    <t>run6_awaitingsml_0.1unique_0.25rep-group_2</t>
  </si>
  <si>
    <t>run6_awaitingsml_0.1unique_0.25rep-group_3</t>
  </si>
  <si>
    <t>run6_awaitingsml_0.1unique_0.25rep-group_4</t>
  </si>
  <si>
    <t>run6_awaitingsml_0.1unique_0.5rep-group_0</t>
  </si>
  <si>
    <t>run6_awaitingsml_0.1unique_0.5rep-group_1</t>
  </si>
  <si>
    <t>run6_awaitingsml_0.1unique_0.5rep-group_2</t>
  </si>
  <si>
    <t>run6_awaitingsml_0.1unique_0.5rep-group_3</t>
  </si>
  <si>
    <t>run6_awaitingsml_0.1unique_0.5rep-group_4</t>
  </si>
  <si>
    <t>run6_awaitingsml_0.1unique_0.75rep-group_0</t>
  </si>
  <si>
    <t>run6_awaitingsml_0.1unique_0.75rep-group_1</t>
  </si>
  <si>
    <t>run6_awaitingsml_0.1unique_0.75rep-group_2</t>
  </si>
  <si>
    <t>run6_awaitingsml_0.1unique_0.75rep-group_3</t>
  </si>
  <si>
    <t>run6_awaitingsml_0.1unique_0.75rep-group_4</t>
  </si>
  <si>
    <t>run6_awaitingsml_0.1unique_1.0rep-group_0</t>
  </si>
  <si>
    <t>run6_awaitingsml_0.1unique_1.0rep-group_1</t>
  </si>
  <si>
    <t>run6_awaitingsml_0.1unique_1.0rep-group_2</t>
  </si>
  <si>
    <t>run6_awaitingsml_0.1unique_1.0rep-group_3</t>
  </si>
  <si>
    <t>run6_awaitingsml_0.1unique_1.0rep-group_4</t>
  </si>
  <si>
    <t>run6_awaitingsml_0.25unique_0.1rep-group_0</t>
  </si>
  <si>
    <t>run6_awaitingsml_0.25unique_0.1rep-group_1</t>
  </si>
  <si>
    <t>run6_awaitingsml_0.25unique_0.1rep-group_2</t>
  </si>
  <si>
    <t>run6_awaitingsml_0.25unique_0.1rep-group_3</t>
  </si>
  <si>
    <t>run6_awaitingsml_0.25unique_0.1rep-group_4</t>
  </si>
  <si>
    <t>run6_awaitingsml_0.25unique_0.25rep-group_0</t>
  </si>
  <si>
    <t>run6_awaitingsml_0.25unique_0.25rep-group_1</t>
  </si>
  <si>
    <t>run6_awaitingsml_0.25unique_0.25rep-group_2</t>
  </si>
  <si>
    <t>run6_awaitingsml_0.25unique_0.25rep-group_3</t>
  </si>
  <si>
    <t>run6_awaitingsml_0.25unique_0.25rep-group_4</t>
  </si>
  <si>
    <t>run6_awaitingsml_0.25unique_0.5rep-group_0</t>
  </si>
  <si>
    <t>run6_awaitingsml_0.25unique_0.5rep-group_1</t>
  </si>
  <si>
    <t>run6_awaitingsml_0.25unique_0.5rep-group_2</t>
  </si>
  <si>
    <t>run6_awaitingsml_0.25unique_0.5rep-group_3</t>
  </si>
  <si>
    <t>run6_awaitingsml_0.25unique_0.5rep-group_4</t>
  </si>
  <si>
    <t>run6_awaitingsml_0.25unique_0.75rep-group_0</t>
  </si>
  <si>
    <t>run6_awaitingsml_0.25unique_0.75rep-group_1</t>
  </si>
  <si>
    <t>run6_awaitingsml_0.25unique_0.75rep-group_2</t>
  </si>
  <si>
    <t>run6_awaitingsml_0.25unique_0.75rep-group_3</t>
  </si>
  <si>
    <t>run6_awaitingsml_0.25unique_0.75rep-group_4</t>
  </si>
  <si>
    <t>run6_awaitingsml_0.25unique_1.0rep-group_0</t>
  </si>
  <si>
    <t>run6_awaitingsml_0.25unique_1.0rep-group_1</t>
  </si>
  <si>
    <t>run6_awaitingsml_0.25unique_1.0rep-group_2</t>
  </si>
  <si>
    <t>run6_awaitingsml_0.25unique_1.0rep-group_3</t>
  </si>
  <si>
    <t>run6_awaitingsml_0.25unique_1.0rep-group_4</t>
  </si>
  <si>
    <t>run6_awaitingsml_0.5unique_0.1rep-group_0</t>
  </si>
  <si>
    <t>run6_awaitingsml_0.5unique_0.1rep-group_1</t>
  </si>
  <si>
    <t>run6_awaitingsml_0.5unique_0.1rep-group_2</t>
  </si>
  <si>
    <t>run6_awaitingsml_0.5unique_0.1rep-group_3</t>
  </si>
  <si>
    <t>run6_awaitingsml_0.5unique_0.1rep-group_4</t>
  </si>
  <si>
    <t>run6_awaitingsml_0.5unique_0.25rep-group_0</t>
  </si>
  <si>
    <t>run6_awaitingsml_0.5unique_0.25rep-group_1</t>
  </si>
  <si>
    <t>run6_awaitingsml_0.5unique_0.25rep-group_2</t>
  </si>
  <si>
    <t>run6_awaitingsml_0.5unique_0.25rep-group_3</t>
  </si>
  <si>
    <t>run6_awaitingsml_0.5unique_0.25rep-group_4</t>
  </si>
  <si>
    <t>run6_awaitingsml_0.5unique_0.5rep-group_0</t>
  </si>
  <si>
    <t>run6_awaitingsml_0.5unique_0.5rep-group_1</t>
  </si>
  <si>
    <t>run6_awaitingsml_0.5unique_0.5rep-group_2</t>
  </si>
  <si>
    <t>run6_awaitingsml_0.5unique_0.5rep-group_3</t>
  </si>
  <si>
    <t>run6_awaitingsml_0.5unique_0.5rep-group_4</t>
  </si>
  <si>
    <t>run6_awaitingsml_0.5unique_0.75rep-group_0</t>
  </si>
  <si>
    <t>run6_awaitingsml_0.5unique_0.75rep-group_1</t>
  </si>
  <si>
    <t>run6_awaitingsml_0.5unique_0.75rep-group_2</t>
  </si>
  <si>
    <t>run6_awaitingsml_0.5unique_0.75rep-group_3</t>
  </si>
  <si>
    <t>run6_awaitingsml_0.5unique_0.75rep-group_4</t>
  </si>
  <si>
    <t>run6_awaitingsml_0.5unique_1.0rep-group_0</t>
  </si>
  <si>
    <t>run6_awaitingsml_0.5unique_1.0rep-group_1</t>
  </si>
  <si>
    <t>run6_awaitingsml_0.5unique_1.0rep-group_2</t>
  </si>
  <si>
    <t>run6_awaitingsml_0.5unique_1.0rep-group_3</t>
  </si>
  <si>
    <t>run6_awaitingsml_0.5unique_1.0rep-group_4</t>
  </si>
  <si>
    <t>run6_awaitingsml_0.75unique_0.1rep-group_0</t>
  </si>
  <si>
    <t>run6_awaitingsml_0.75unique_0.1rep-group_1</t>
  </si>
  <si>
    <t>run6_awaitingsml_0.75unique_0.1rep-group_2</t>
  </si>
  <si>
    <t>run6_awaitingsml_0.75unique_0.1rep-group_3</t>
  </si>
  <si>
    <t>run6_awaitingsml_0.75unique_0.1rep-group_4</t>
  </si>
  <si>
    <t>run6_awaitingsml_0.75unique_0.25rep-group_0</t>
  </si>
  <si>
    <t>run6_awaitingsml_0.75unique_0.25rep-group_1</t>
  </si>
  <si>
    <t>run6_awaitingsml_0.75unique_0.25rep-group_2</t>
  </si>
  <si>
    <t>run6_awaitingsml_0.75unique_0.25rep-group_3</t>
  </si>
  <si>
    <t>run6_awaitingsml_0.75unique_0.25rep-group_4</t>
  </si>
  <si>
    <t>run6_awaitingsml_0.75unique_0.5rep-group_0</t>
  </si>
  <si>
    <t>run6_awaitingsml_0.75unique_0.5rep-group_1</t>
  </si>
  <si>
    <t>run6_awaitingsml_0.75unique_0.5rep-group_2</t>
  </si>
  <si>
    <t>run6_awaitingsml_0.75unique_0.5rep-group_3</t>
  </si>
  <si>
    <t>run6_awaitingsml_0.75unique_0.5rep-group_4</t>
  </si>
  <si>
    <t>run6_awaitingsml_0.75unique_0.75rep-group_0</t>
  </si>
  <si>
    <t>run6_awaitingsml_0.75unique_0.75rep-group_1</t>
  </si>
  <si>
    <t>run6_awaitingsml_0.75unique_0.75rep-group_2</t>
  </si>
  <si>
    <t>run6_awaitingsml_0.75unique_0.75rep-group_3</t>
  </si>
  <si>
    <t>run6_awaitingsml_0.75unique_0.75rep-group_4</t>
  </si>
  <si>
    <t>run6_awaitingsml_0.75unique_1.0rep-group_0</t>
  </si>
  <si>
    <t>run6_awaitingsml_0.75unique_1.0rep-group_1</t>
  </si>
  <si>
    <t>run6_awaitingsml_0.75unique_1.0rep-group_2</t>
  </si>
  <si>
    <t>run6_awaitingsml_0.75unique_1.0rep-group_3</t>
  </si>
  <si>
    <t>run6_awaitingsml_0.75unique_1.0rep-group_4</t>
  </si>
  <si>
    <t>run6_awaitingsml_1.0unique_0.1rep-group_0</t>
  </si>
  <si>
    <t>run6_awaitingsml_1.0unique_0.1rep-group_1</t>
  </si>
  <si>
    <t>run6_awaitingsml_1.0unique_0.1rep-group_2</t>
  </si>
  <si>
    <t>run6_awaitingsml_1.0unique_0.1rep-group_3</t>
  </si>
  <si>
    <t>run6_awaitingsml_1.0unique_0.1rep-group_4</t>
  </si>
  <si>
    <t>run6_awaitingsml_1.0unique_0.25rep-group_0</t>
  </si>
  <si>
    <t>run6_awaitingsml_1.0unique_0.25rep-group_1</t>
  </si>
  <si>
    <t>run6_awaitingsml_1.0unique_0.25rep-group_2</t>
  </si>
  <si>
    <t>run6_awaitingsml_1.0unique_0.25rep-group_3</t>
  </si>
  <si>
    <t>run6_awaitingsml_1.0unique_0.25rep-group_4</t>
  </si>
  <si>
    <t>run6_awaitingsml_1.0unique_0.5rep-group_0</t>
  </si>
  <si>
    <t>run6_awaitingsml_1.0unique_0.5rep-group_1</t>
  </si>
  <si>
    <t>run6_awaitingsml_1.0unique_0.5rep-group_2</t>
  </si>
  <si>
    <t>run6_awaitingsml_1.0unique_0.5rep-group_3</t>
  </si>
  <si>
    <t>run6_awaitingsml_1.0unique_0.5rep-group_4</t>
  </si>
  <si>
    <t>run6_awaitingsml_1.0unique_0.75rep-group_0</t>
  </si>
  <si>
    <t>run6_awaitingsml_1.0unique_0.75rep-group_1</t>
  </si>
  <si>
    <t>run6_awaitingsml_1.0unique_0.75rep-group_2</t>
  </si>
  <si>
    <t>run6_awaitingsml_1.0unique_0.75rep-group_3</t>
  </si>
  <si>
    <t>run6_awaitingsml_1.0unique_0.75rep-group_4</t>
  </si>
  <si>
    <t>run6_awaitingsml_1.0unique_1.0rep-group_0</t>
  </si>
  <si>
    <t>run6_awaitingsml_1.0unique_1.0rep-group_1</t>
  </si>
  <si>
    <t>run6_awaitingsml_1.0unique_1.0rep-group_2</t>
  </si>
  <si>
    <t>run6_awaitingsml_1.0unique_1.0rep-group_3</t>
  </si>
  <si>
    <t>run6_awaitingsml_1.0unique_1.0rep-group_4</t>
  </si>
  <si>
    <t>run6_easycategs_0.1unique_0.1rep-group_0</t>
  </si>
  <si>
    <t>run6_easycategs_0.1unique_0.1rep-group_1</t>
  </si>
  <si>
    <t>run6_easycategs_0.1unique_0.1rep-group_2</t>
  </si>
  <si>
    <t>run6_easycategs_0.1unique_0.1rep-group_3</t>
  </si>
  <si>
    <t>run6_easycategs_0.1unique_0.1rep-group_4</t>
  </si>
  <si>
    <t>run6_easycategs_0.1unique_0.25rep-group_0</t>
  </si>
  <si>
    <t>run6_easycategs_0.1unique_0.25rep-group_1</t>
  </si>
  <si>
    <t>run6_easycategs_0.1unique_0.25rep-group_2</t>
  </si>
  <si>
    <t>run6_easycategs_0.1unique_0.25rep-group_3</t>
  </si>
  <si>
    <t>run6_easycategs_0.1unique_0.25rep-group_4</t>
  </si>
  <si>
    <t>run6_easycategs_0.1unique_0.5rep-group_0</t>
  </si>
  <si>
    <t>run6_easycategs_0.1unique_0.5rep-group_1</t>
  </si>
  <si>
    <t>run6_easycategs_0.1unique_0.5rep-group_2</t>
  </si>
  <si>
    <t>run6_easycategs_0.1unique_0.5rep-group_3</t>
  </si>
  <si>
    <t>run6_easycategs_0.1unique_0.5rep-group_4</t>
  </si>
  <si>
    <t>run6_easycategs_0.1unique_0.75rep-group_0</t>
  </si>
  <si>
    <t>run6_easycategs_0.1unique_0.75rep-group_1</t>
  </si>
  <si>
    <t>run6_easycategs_0.1unique_0.75rep-group_2</t>
  </si>
  <si>
    <t>run6_easycategs_0.1unique_0.75rep-group_3</t>
  </si>
  <si>
    <t>run6_easycategs_0.1unique_0.75rep-group_4</t>
  </si>
  <si>
    <t>run6_easycategs_0.1unique_1.0rep-group_0</t>
  </si>
  <si>
    <t>run6_easycategs_0.1unique_1.0rep-group_1</t>
  </si>
  <si>
    <t>run6_easycategs_0.1unique_1.0rep-group_2</t>
  </si>
  <si>
    <t>run6_easycategs_0.1unique_1.0rep-group_3</t>
  </si>
  <si>
    <t>run6_easycategs_0.1unique_1.0rep-group_4</t>
  </si>
  <si>
    <t>run6_easycategs_0.25unique_0.1rep-group_0</t>
  </si>
  <si>
    <t>run6_easycategs_0.25unique_0.1rep-group_1</t>
  </si>
  <si>
    <t>run6_easycategs_0.25unique_0.1rep-group_2</t>
  </si>
  <si>
    <t>run6_easycategs_0.25unique_0.1rep-group_3</t>
  </si>
  <si>
    <t>run6_easycategs_0.25unique_0.1rep-group_4</t>
  </si>
  <si>
    <t>run6_easycategs_0.25unique_0.25rep-group_0</t>
  </si>
  <si>
    <t>run6_easycategs_0.25unique_0.25rep-group_1</t>
  </si>
  <si>
    <t>run6_easycategs_0.25unique_0.25rep-group_2</t>
  </si>
  <si>
    <t>run6_easycategs_0.25unique_0.25rep-group_3</t>
  </si>
  <si>
    <t>run6_easycategs_0.25unique_0.25rep-group_4</t>
  </si>
  <si>
    <t>run6_easycategs_0.25unique_0.5rep-group_0</t>
  </si>
  <si>
    <t>run6_easycategs_0.25unique_0.5rep-group_1</t>
  </si>
  <si>
    <t>run6_easycategs_0.25unique_0.5rep-group_2</t>
  </si>
  <si>
    <t>run6_easycategs_0.25unique_0.5rep-group_3</t>
  </si>
  <si>
    <t>run6_easycategs_0.25unique_0.5rep-group_4</t>
  </si>
  <si>
    <t>run6_easycategs_0.25unique_0.75rep-group_0</t>
  </si>
  <si>
    <t>run6_easycategs_0.25unique_0.75rep-group_1</t>
  </si>
  <si>
    <t>run6_easycategs_0.25unique_0.75rep-group_2</t>
  </si>
  <si>
    <t>run6_easycategs_0.25unique_0.75rep-group_3</t>
  </si>
  <si>
    <t>run6_easycategs_0.25unique_0.75rep-group_4</t>
  </si>
  <si>
    <t>run6_easycategs_0.25unique_1.0rep-group_0</t>
  </si>
  <si>
    <t>run6_easycategs_0.25unique_1.0rep-group_1</t>
  </si>
  <si>
    <t>run6_easycategs_0.25unique_1.0rep-group_2</t>
  </si>
  <si>
    <t>run6_easycategs_0.25unique_1.0rep-group_3</t>
  </si>
  <si>
    <t>run6_easycategs_0.25unique_1.0rep-group_4</t>
  </si>
  <si>
    <t>run6_easycategs_0.5unique_0.1rep-group_0</t>
  </si>
  <si>
    <t>run6_easycategs_0.5unique_0.1rep-group_1</t>
  </si>
  <si>
    <t>run6_easycategs_0.5unique_0.1rep-group_2</t>
  </si>
  <si>
    <t>run6_easycategs_0.5unique_0.1rep-group_3</t>
  </si>
  <si>
    <t>run6_easycategs_0.5unique_0.1rep-group_4</t>
  </si>
  <si>
    <t>run6_easycategs_0.5unique_0.25rep-group_0</t>
  </si>
  <si>
    <t>run6_easycategs_0.5unique_0.25rep-group_1</t>
  </si>
  <si>
    <t>run6_easycategs_0.5unique_0.25rep-group_2</t>
  </si>
  <si>
    <t>run6_easycategs_0.5unique_0.25rep-group_3</t>
  </si>
  <si>
    <t>run6_easycategs_0.5unique_0.25rep-group_4</t>
  </si>
  <si>
    <t>run6_easycategs_0.5unique_0.5rep-group_0</t>
  </si>
  <si>
    <t>run6_easycategs_0.5unique_0.5rep-group_1</t>
  </si>
  <si>
    <t>run6_easycategs_0.5unique_0.5rep-group_2</t>
  </si>
  <si>
    <t>run6_easycategs_0.5unique_0.5rep-group_3</t>
  </si>
  <si>
    <t>run6_easycategs_0.5unique_0.5rep-group_4</t>
  </si>
  <si>
    <t>run6_easycategs_0.5unique_0.75rep-group_0</t>
  </si>
  <si>
    <t>run6_easycategs_0.5unique_0.75rep-group_1</t>
  </si>
  <si>
    <t>run6_easycategs_0.5unique_0.75rep-group_2</t>
  </si>
  <si>
    <t>run6_easycategs_0.5unique_0.75rep-group_3</t>
  </si>
  <si>
    <t>run6_easycategs_0.5unique_0.75rep-group_4</t>
  </si>
  <si>
    <t>run6_easycategs_0.5unique_1.0rep-group_0</t>
  </si>
  <si>
    <t>run6_easycategs_0.5unique_1.0rep-group_1</t>
  </si>
  <si>
    <t>run6_easycategs_0.5unique_1.0rep-group_2</t>
  </si>
  <si>
    <t>run6_easycategs_0.5unique_1.0rep-group_3</t>
  </si>
  <si>
    <t>run6_easycategs_0.5unique_1.0rep-group_4</t>
  </si>
  <si>
    <t>run6_easycategs_0.75unique_0.1rep-group_0</t>
  </si>
  <si>
    <t>run6_easycategs_0.75unique_0.1rep-group_1</t>
  </si>
  <si>
    <t>run6_easycategs_0.75unique_0.1rep-group_2</t>
  </si>
  <si>
    <t>run6_easycategs_0.75unique_0.1rep-group_3</t>
  </si>
  <si>
    <t>run6_easycategs_0.75unique_0.1rep-group_4</t>
  </si>
  <si>
    <t>run6_easycategs_0.75unique_0.25rep-group_0</t>
  </si>
  <si>
    <t>run6_easycategs_0.75unique_0.25rep-group_1</t>
  </si>
  <si>
    <t>run6_easycategs_0.75unique_0.25rep-group_2</t>
  </si>
  <si>
    <t>run6_easycategs_0.75unique_0.25rep-group_3</t>
  </si>
  <si>
    <t>run6_easycategs_0.75unique_0.25rep-group_4</t>
  </si>
  <si>
    <t>run6_easycategs_0.75unique_0.5rep-group_0</t>
  </si>
  <si>
    <t>run6_easycategs_0.75unique_0.5rep-group_1</t>
  </si>
  <si>
    <t>run6_easycategs_0.75unique_0.5rep-group_2</t>
  </si>
  <si>
    <t>run6_easycategs_0.75unique_0.5rep-group_3</t>
  </si>
  <si>
    <t>run6_easycategs_0.75unique_0.5rep-group_4</t>
  </si>
  <si>
    <t>run6_easycategs_0.75unique_0.75rep-group_0</t>
  </si>
  <si>
    <t>run6_easycategs_0.75unique_0.75rep-group_1</t>
  </si>
  <si>
    <t>run6_easycategs_0.75unique_0.75rep-group_2</t>
  </si>
  <si>
    <t>run6_easycategs_0.75unique_0.75rep-group_3</t>
  </si>
  <si>
    <t>run6_easycategs_0.75unique_0.75rep-group_4</t>
  </si>
  <si>
    <t>run6_easycategs_0.75unique_1.0rep-group_0</t>
  </si>
  <si>
    <t>run6_easycategs_0.75unique_1.0rep-group_1</t>
  </si>
  <si>
    <t>run6_easycategs_0.75unique_1.0rep-group_2</t>
  </si>
  <si>
    <t>run6_easycategs_0.75unique_1.0rep-group_3</t>
  </si>
  <si>
    <t>run6_easycategs_0.75unique_1.0rep-group_4</t>
  </si>
  <si>
    <t>run6_easycategs_1.0unique_0.1rep-group_0</t>
  </si>
  <si>
    <t>run6_easycategs_1.0unique_0.1rep-group_1</t>
  </si>
  <si>
    <t>run6_easycategs_1.0unique_0.1rep-group_2</t>
  </si>
  <si>
    <t>run6_easycategs_1.0unique_0.1rep-group_3</t>
  </si>
  <si>
    <t>run6_easycategs_1.0unique_0.1rep-group_4</t>
  </si>
  <si>
    <t>run6_easycategs_1.0unique_0.25rep-group_0</t>
  </si>
  <si>
    <t>run6_easycategs_1.0unique_0.25rep-group_1</t>
  </si>
  <si>
    <t>run6_easycategs_1.0unique_0.25rep-group_2</t>
  </si>
  <si>
    <t>run6_easycategs_1.0unique_0.25rep-group_3</t>
  </si>
  <si>
    <t>run6_easycategs_1.0unique_0.25rep-group_4</t>
  </si>
  <si>
    <t>run6_easycategs_1.0unique_0.5rep-group_0</t>
  </si>
  <si>
    <t>run6_easycategs_1.0unique_0.5rep-group_1</t>
  </si>
  <si>
    <t>run6_easycategs_1.0unique_0.5rep-group_2</t>
  </si>
  <si>
    <t>run6_easycategs_1.0unique_0.5rep-group_3</t>
  </si>
  <si>
    <t>run6_easycategs_1.0unique_0.5rep-group_4</t>
  </si>
  <si>
    <t>run6_easycategs_1.0unique_0.75rep-group_0</t>
  </si>
  <si>
    <t>run6_easycategs_1.0unique_0.75rep-group_1</t>
  </si>
  <si>
    <t>run6_easycategs_1.0unique_0.75rep-group_2</t>
  </si>
  <si>
    <t>run6_easycategs_1.0unique_0.75rep-group_3</t>
  </si>
  <si>
    <t>run6_easycategs_1.0unique_0.75rep-group_4</t>
  </si>
  <si>
    <t>run6_easycategs_1.0unique_1.0rep-group_0</t>
  </si>
  <si>
    <t>run6_easycategs_1.0unique_1.0rep-group_1</t>
  </si>
  <si>
    <t>run6_easycategs_1.0unique_1.0rep-group_2</t>
  </si>
  <si>
    <t>run6_easycategs_1.0unique_1.0rep-group_3</t>
  </si>
  <si>
    <t>run6_easycategs_1.0unique_1.0rep-group_4</t>
  </si>
  <si>
    <t>run6_priority12x3x4_0.1unique_0.1rep-group_0</t>
  </si>
  <si>
    <t>run6_priority12x3x4_0.1unique_0.1rep-group_1</t>
  </si>
  <si>
    <t>run6_priority12x3x4_0.1unique_0.1rep-group_2</t>
  </si>
  <si>
    <t>run6_priority12x3x4_0.1unique_0.1rep-group_3</t>
  </si>
  <si>
    <t>run6_priority12x3x4_0.1unique_0.1rep-group_4</t>
  </si>
  <si>
    <t>run6_priority12x3x4_0.1unique_0.25rep-group_0</t>
  </si>
  <si>
    <t>run6_priority12x3x4_0.1unique_0.25rep-group_1</t>
  </si>
  <si>
    <t>run6_priority12x3x4_0.1unique_0.25rep-group_2</t>
  </si>
  <si>
    <t>run6_priority12x3x4_0.1unique_0.25rep-group_3</t>
  </si>
  <si>
    <t>run6_priority12x3x4_0.1unique_0.25rep-group_4</t>
  </si>
  <si>
    <t>run6_priority12x3x4_0.1unique_0.5rep-group_0</t>
  </si>
  <si>
    <t>run6_priority12x3x4_0.1unique_0.5rep-group_1</t>
  </si>
  <si>
    <t>run6_priority12x3x4_0.1unique_0.5rep-group_2</t>
  </si>
  <si>
    <t>run6_priority12x3x4_0.1unique_0.5rep-group_3</t>
  </si>
  <si>
    <t>run6_priority12x3x4_0.1unique_0.5rep-group_4</t>
  </si>
  <si>
    <t>run6_priority12x3x4_0.1unique_0.75rep-group_0</t>
  </si>
  <si>
    <t>run6_priority12x3x4_0.1unique_0.75rep-group_1</t>
  </si>
  <si>
    <t>run6_priority12x3x4_0.1unique_0.75rep-group_2</t>
  </si>
  <si>
    <t>run6_priority12x3x4_0.1unique_0.75rep-group_3</t>
  </si>
  <si>
    <t>run6_priority12x3x4_0.1unique_0.75rep-group_4</t>
  </si>
  <si>
    <t>run6_priority12x3x4_0.1unique_1.0rep-group_0</t>
  </si>
  <si>
    <t>run6_priority12x3x4_0.1unique_1.0rep-group_1</t>
  </si>
  <si>
    <t>run6_priority12x3x4_0.1unique_1.0rep-group_2</t>
  </si>
  <si>
    <t>run6_priority12x3x4_0.1unique_1.0rep-group_3</t>
  </si>
  <si>
    <t>run6_priority12x3x4_0.1unique_1.0rep-group_4</t>
  </si>
  <si>
    <t>run6_priority12x3x4_0.25unique_0.1rep-group_0</t>
  </si>
  <si>
    <t>run6_priority12x3x4_0.25unique_0.1rep-group_1</t>
  </si>
  <si>
    <t>run6_priority12x3x4_0.25unique_0.1rep-group_2</t>
  </si>
  <si>
    <t>run6_priority12x3x4_0.25unique_0.1rep-group_3</t>
  </si>
  <si>
    <t>run6_priority12x3x4_0.25unique_0.1rep-group_4</t>
  </si>
  <si>
    <t>run6_priority12x3x4_0.25unique_0.25rep-group_0</t>
  </si>
  <si>
    <t>run6_priority12x3x4_0.25unique_0.25rep-group_1</t>
  </si>
  <si>
    <t>run6_priority12x3x4_0.25unique_0.25rep-group_2</t>
  </si>
  <si>
    <t>run6_priority12x3x4_0.25unique_0.25rep-group_3</t>
  </si>
  <si>
    <t>run6_priority12x3x4_0.25unique_0.25rep-group_4</t>
  </si>
  <si>
    <t>run6_priority12x3x4_0.25unique_0.5rep-group_0</t>
  </si>
  <si>
    <t>run6_priority12x3x4_0.25unique_0.5rep-group_1</t>
  </si>
  <si>
    <t>run6_priority12x3x4_0.25unique_0.5rep-group_2</t>
  </si>
  <si>
    <t>run6_priority12x3x4_0.25unique_0.5rep-group_3</t>
  </si>
  <si>
    <t>run6_priority12x3x4_0.25unique_0.5rep-group_4</t>
  </si>
  <si>
    <t>run6_priority12x3x4_0.25unique_0.75rep-group_0</t>
  </si>
  <si>
    <t>run6_priority12x3x4_0.25unique_0.75rep-group_1</t>
  </si>
  <si>
    <t>run6_priority12x3x4_0.25unique_0.75rep-group_2</t>
  </si>
  <si>
    <t>run6_priority12x3x4_0.25unique_0.75rep-group_3</t>
  </si>
  <si>
    <t>run6_priority12x3x4_0.25unique_0.75rep-group_4</t>
  </si>
  <si>
    <t>run6_priority12x3x4_0.25unique_1.0rep-group_0</t>
  </si>
  <si>
    <t>run6_priority12x3x4_0.25unique_1.0rep-group_1</t>
  </si>
  <si>
    <t>run6_priority12x3x4_0.25unique_1.0rep-group_2</t>
  </si>
  <si>
    <t>run6_priority12x3x4_0.25unique_1.0rep-group_3</t>
  </si>
  <si>
    <t>run6_priority12x3x4_0.25unique_1.0rep-group_4</t>
  </si>
  <si>
    <t>run6_priority12x3x4_0.5unique_0.1rep-group_0</t>
  </si>
  <si>
    <t>run6_priority12x3x4_0.5unique_0.1rep-group_1</t>
  </si>
  <si>
    <t>run6_priority12x3x4_0.5unique_0.1rep-group_2</t>
  </si>
  <si>
    <t>run6_priority12x3x4_0.5unique_0.1rep-group_3</t>
  </si>
  <si>
    <t>run6_priority12x3x4_0.5unique_0.1rep-group_4</t>
  </si>
  <si>
    <t>run6_priority12x3x4_0.5unique_0.25rep-group_0</t>
  </si>
  <si>
    <t>run6_priority12x3x4_0.5unique_0.25rep-group_1</t>
  </si>
  <si>
    <t>run6_priority12x3x4_0.5unique_0.25rep-group_2</t>
  </si>
  <si>
    <t>run6_priority12x3x4_0.5unique_0.25rep-group_3</t>
  </si>
  <si>
    <t>run6_priority12x3x4_0.5unique_0.25rep-group_4</t>
  </si>
  <si>
    <t>run6_priority12x3x4_0.5unique_0.5rep-group_0</t>
  </si>
  <si>
    <t>run6_priority12x3x4_0.5unique_0.5rep-group_1</t>
  </si>
  <si>
    <t>run6_priority12x3x4_0.5unique_0.5rep-group_2</t>
  </si>
  <si>
    <t>run6_priority12x3x4_0.5unique_0.5rep-group_3</t>
  </si>
  <si>
    <t>run6_priority12x3x4_0.5unique_0.5rep-group_4</t>
  </si>
  <si>
    <t>run6_priority12x3x4_0.5unique_0.75rep-group_0</t>
  </si>
  <si>
    <t>run6_priority12x3x4_0.5unique_0.75rep-group_1</t>
  </si>
  <si>
    <t>run6_priority12x3x4_0.5unique_0.75rep-group_2</t>
  </si>
  <si>
    <t>run6_priority12x3x4_0.5unique_0.75rep-group_3</t>
  </si>
  <si>
    <t>run6_priority12x3x4_0.5unique_0.75rep-group_4</t>
  </si>
  <si>
    <t>run6_priority12x3x4_0.5unique_1.0rep-group_0</t>
  </si>
  <si>
    <t>run6_priority12x3x4_0.5unique_1.0rep-group_1</t>
  </si>
  <si>
    <t>run6_priority12x3x4_0.5unique_1.0rep-group_2</t>
  </si>
  <si>
    <t>run6_priority12x3x4_0.5unique_1.0rep-group_3</t>
  </si>
  <si>
    <t>run6_priority12x3x4_0.5unique_1.0rep-group_4</t>
  </si>
  <si>
    <t>run6_priority12x3x4_0.75unique_0.1rep-group_0</t>
  </si>
  <si>
    <t>run6_priority12x3x4_0.75unique_0.1rep-group_1</t>
  </si>
  <si>
    <t>run6_priority12x3x4_0.75unique_0.1rep-group_2</t>
  </si>
  <si>
    <t>run6_priority12x3x4_0.75unique_0.1rep-group_3</t>
  </si>
  <si>
    <t>run6_priority12x3x4_0.75unique_0.1rep-group_4</t>
  </si>
  <si>
    <t>run6_priority12x3x4_0.75unique_0.25rep-group_0</t>
  </si>
  <si>
    <t>run6_priority12x3x4_0.75unique_0.25rep-group_1</t>
  </si>
  <si>
    <t>run6_priority12x3x4_0.75unique_0.25rep-group_2</t>
  </si>
  <si>
    <t>run6_priority12x3x4_0.75unique_0.25rep-group_3</t>
  </si>
  <si>
    <t>run6_priority12x3x4_0.75unique_0.25rep-group_4</t>
  </si>
  <si>
    <t>run6_priority12x3x4_0.75unique_0.5rep-group_0</t>
  </si>
  <si>
    <t>run6_priority12x3x4_0.75unique_0.5rep-group_1</t>
  </si>
  <si>
    <t>run6_priority12x3x4_0.75unique_0.5rep-group_2</t>
  </si>
  <si>
    <t>run6_priority12x3x4_0.75unique_0.5rep-group_3</t>
  </si>
  <si>
    <t>run6_priority12x3x4_0.75unique_0.5rep-group_4</t>
  </si>
  <si>
    <t>run6_priority12x3x4_0.75unique_0.75rep-group_0</t>
  </si>
  <si>
    <t>run6_priority12x3x4_0.75unique_0.75rep-group_1</t>
  </si>
  <si>
    <t>run6_priority12x3x4_0.75unique_0.75rep-group_2</t>
  </si>
  <si>
    <t>run6_priority12x3x4_0.75unique_0.75rep-group_3</t>
  </si>
  <si>
    <t>run6_priority12x3x4_0.75unique_0.75rep-group_4</t>
  </si>
  <si>
    <t>run6_priority12x3x4_0.75unique_1.0rep-group_0</t>
  </si>
  <si>
    <t>run6_priority12x3x4_0.75unique_1.0rep-group_1</t>
  </si>
  <si>
    <t>run6_priority12x3x4_0.75unique_1.0rep-group_2</t>
  </si>
  <si>
    <t>run6_priority12x3x4_0.75unique_1.0rep-group_3</t>
  </si>
  <si>
    <t>run6_priority12x3x4_0.75unique_1.0rep-group_4</t>
  </si>
  <si>
    <t>run6_priority12x3x4_1.0unique_0.1rep-group_0</t>
  </si>
  <si>
    <t>run6_priority12x3x4_1.0unique_0.1rep-group_1</t>
  </si>
  <si>
    <t>run6_priority12x3x4_1.0unique_0.1rep-group_2</t>
  </si>
  <si>
    <t>run6_priority12x3x4_1.0unique_0.1rep-group_3</t>
  </si>
  <si>
    <t>run6_priority12x3x4_1.0unique_0.1rep-group_4</t>
  </si>
  <si>
    <t>run6_priority12x3x4_1.0unique_0.25rep-group_0</t>
  </si>
  <si>
    <t>run6_priority12x3x4_1.0unique_0.25rep-group_1</t>
  </si>
  <si>
    <t>run6_priority12x3x4_1.0unique_0.25rep-group_2</t>
  </si>
  <si>
    <t>run6_priority12x3x4_1.0unique_0.25rep-group_3</t>
  </si>
  <si>
    <t>run6_priority12x3x4_1.0unique_0.25rep-group_4</t>
  </si>
  <si>
    <t>run6_priority12x3x4_1.0unique_0.75rep-group_0</t>
  </si>
  <si>
    <t>run6_priority12x3x4_1.0unique_0.75rep-group_1</t>
  </si>
  <si>
    <t>run6_priority12x3x4_1.0unique_0.75rep-group_2</t>
  </si>
  <si>
    <t>run6_priority12x3x4_1.0unique_0.75rep-group_3</t>
  </si>
  <si>
    <t>run6_priority12x3x4_1.0unique_0.75rep-group_4</t>
  </si>
  <si>
    <t>run6_priority12x3x4_1.0unique_1.0rep-group_0</t>
  </si>
  <si>
    <t>run6_priority12x3x4_1.0unique_1.0rep-group_1</t>
  </si>
  <si>
    <t>run6_priority12x3x4_1.0unique_1.0rep-group_2</t>
  </si>
  <si>
    <t>run6_priority12x3x4_1.0unique_1.0rep-group_3</t>
  </si>
  <si>
    <t>run6_priority12x3x4_1.0unique_1.0rep-group_4</t>
  </si>
  <si>
    <t>run7_awaitingsml_0.1unique_0.1rep-group_0</t>
  </si>
  <si>
    <t>run7_awaitingsml_0.1unique_0.1rep-group_1</t>
  </si>
  <si>
    <t>run7_awaitingsml_0.1unique_0.1rep-group_2</t>
  </si>
  <si>
    <t>run7_awaitingsml_0.1unique_0.1rep-group_3</t>
  </si>
  <si>
    <t>run7_awaitingsml_0.1unique_0.1rep-group_4</t>
  </si>
  <si>
    <t>run7_awaitingsml_0.1unique_0.25rep-group_0</t>
  </si>
  <si>
    <t>run7_awaitingsml_0.1unique_0.25rep-group_1</t>
  </si>
  <si>
    <t>run7_awaitingsml_0.1unique_0.25rep-group_2</t>
  </si>
  <si>
    <t>run7_awaitingsml_0.1unique_0.25rep-group_3</t>
  </si>
  <si>
    <t>run7_awaitingsml_0.1unique_0.25rep-group_4</t>
  </si>
  <si>
    <t>run7_awaitingsml_0.1unique_0.5rep-group_0</t>
  </si>
  <si>
    <t>run7_awaitingsml_0.1unique_0.5rep-group_1</t>
  </si>
  <si>
    <t>run7_awaitingsml_0.1unique_0.5rep-group_2</t>
  </si>
  <si>
    <t>run7_awaitingsml_0.1unique_0.5rep-group_3</t>
  </si>
  <si>
    <t>run7_awaitingsml_0.1unique_0.5rep-group_4</t>
  </si>
  <si>
    <t>run7_awaitingsml_0.1unique_0.75rep-group_0</t>
  </si>
  <si>
    <t>run7_awaitingsml_0.1unique_0.75rep-group_1</t>
  </si>
  <si>
    <t>run7_awaitingsml_0.1unique_0.75rep-group_2</t>
  </si>
  <si>
    <t>run7_awaitingsml_0.1unique_0.75rep-group_3</t>
  </si>
  <si>
    <t>run7_awaitingsml_0.1unique_0.75rep-group_4</t>
  </si>
  <si>
    <t>run7_awaitingsml_0.1unique_1.0rep-group_0</t>
  </si>
  <si>
    <t>run7_awaitingsml_0.1unique_1.0rep-group_1</t>
  </si>
  <si>
    <t>run7_awaitingsml_0.1unique_1.0rep-group_2</t>
  </si>
  <si>
    <t>run7_awaitingsml_0.1unique_1.0rep-group_3</t>
  </si>
  <si>
    <t>run7_awaitingsml_0.1unique_1.0rep-group_4</t>
  </si>
  <si>
    <t>run7_awaitingsml_0.25unique_0.1rep-group_0</t>
  </si>
  <si>
    <t>run7_awaitingsml_0.25unique_0.1rep-group_1</t>
  </si>
  <si>
    <t>run7_awaitingsml_0.25unique_0.1rep-group_2</t>
  </si>
  <si>
    <t>run7_awaitingsml_0.25unique_0.1rep-group_3</t>
  </si>
  <si>
    <t>run7_awaitingsml_0.25unique_0.1rep-group_4</t>
  </si>
  <si>
    <t>run7_awaitingsml_0.25unique_0.25rep-group_0</t>
  </si>
  <si>
    <t>run7_awaitingsml_0.25unique_0.25rep-group_1</t>
  </si>
  <si>
    <t>run7_awaitingsml_0.25unique_0.25rep-group_2</t>
  </si>
  <si>
    <t>run7_awaitingsml_0.25unique_0.25rep-group_3</t>
  </si>
  <si>
    <t>run7_awaitingsml_0.25unique_0.25rep-group_4</t>
  </si>
  <si>
    <t>run7_awaitingsml_0.25unique_0.5rep-group_0</t>
  </si>
  <si>
    <t>run7_awaitingsml_0.25unique_0.5rep-group_1</t>
  </si>
  <si>
    <t>run7_awaitingsml_0.25unique_0.5rep-group_2</t>
  </si>
  <si>
    <t>run7_awaitingsml_0.25unique_0.5rep-group_3</t>
  </si>
  <si>
    <t>run7_awaitingsml_0.25unique_0.5rep-group_4</t>
  </si>
  <si>
    <t>run7_awaitingsml_0.25unique_0.75rep-group_0</t>
  </si>
  <si>
    <t>run7_awaitingsml_0.25unique_0.75rep-group_1</t>
  </si>
  <si>
    <t>run7_awaitingsml_0.25unique_0.75rep-group_2</t>
  </si>
  <si>
    <t>run7_awaitingsml_0.25unique_0.75rep-group_3</t>
  </si>
  <si>
    <t>run7_awaitingsml_0.25unique_0.75rep-group_4</t>
  </si>
  <si>
    <t>run7_awaitingsml_0.25unique_1.0rep-group_0</t>
  </si>
  <si>
    <t>run7_awaitingsml_0.25unique_1.0rep-group_1</t>
  </si>
  <si>
    <t>run7_awaitingsml_0.25unique_1.0rep-group_2</t>
  </si>
  <si>
    <t>run7_awaitingsml_0.25unique_1.0rep-group_3</t>
  </si>
  <si>
    <t>run7_awaitingsml_0.25unique_1.0rep-group_4</t>
  </si>
  <si>
    <t>run7_awaitingsml_0.5unique_0.1rep-group_0</t>
  </si>
  <si>
    <t>run7_awaitingsml_0.5unique_0.1rep-group_1</t>
  </si>
  <si>
    <t>run7_awaitingsml_0.5unique_0.1rep-group_2</t>
  </si>
  <si>
    <t>run7_awaitingsml_0.5unique_0.1rep-group_3</t>
  </si>
  <si>
    <t>run7_awaitingsml_0.5unique_0.1rep-group_4</t>
  </si>
  <si>
    <t>run7_awaitingsml_0.5unique_0.25rep-group_0</t>
  </si>
  <si>
    <t>run7_awaitingsml_0.5unique_0.25rep-group_1</t>
  </si>
  <si>
    <t>run7_awaitingsml_0.5unique_0.25rep-group_2</t>
  </si>
  <si>
    <t>run7_awaitingsml_0.5unique_0.25rep-group_3</t>
  </si>
  <si>
    <t>run7_awaitingsml_0.5unique_0.25rep-group_4</t>
  </si>
  <si>
    <t>run7_awaitingsml_0.5unique_0.5rep-group_0</t>
  </si>
  <si>
    <t>run7_awaitingsml_0.5unique_0.5rep-group_1</t>
  </si>
  <si>
    <t>run7_awaitingsml_0.5unique_0.5rep-group_2</t>
  </si>
  <si>
    <t>run7_awaitingsml_0.5unique_0.5rep-group_3</t>
  </si>
  <si>
    <t>run7_awaitingsml_0.5unique_0.5rep-group_4</t>
  </si>
  <si>
    <t>run7_awaitingsml_0.5unique_0.75rep-group_0</t>
  </si>
  <si>
    <t>run7_awaitingsml_0.5unique_0.75rep-group_1</t>
  </si>
  <si>
    <t>run7_awaitingsml_0.5unique_0.75rep-group_2</t>
  </si>
  <si>
    <t>run7_awaitingsml_0.5unique_0.75rep-group_3</t>
  </si>
  <si>
    <t>run7_awaitingsml_0.5unique_0.75rep-group_4</t>
  </si>
  <si>
    <t>run7_awaitingsml_0.5unique_1.0rep-group_0</t>
  </si>
  <si>
    <t>run7_awaitingsml_0.5unique_1.0rep-group_1</t>
  </si>
  <si>
    <t>run7_awaitingsml_0.5unique_1.0rep-group_2</t>
  </si>
  <si>
    <t>run7_awaitingsml_0.5unique_1.0rep-group_3</t>
  </si>
  <si>
    <t>run7_awaitingsml_0.5unique_1.0rep-group_4</t>
  </si>
  <si>
    <t>run7_awaitingsml_0.75unique_0.1rep-group_0</t>
  </si>
  <si>
    <t>run7_awaitingsml_0.75unique_0.1rep-group_1</t>
  </si>
  <si>
    <t>run7_awaitingsml_0.75unique_0.1rep-group_2</t>
  </si>
  <si>
    <t>run7_awaitingsml_0.75unique_0.1rep-group_3</t>
  </si>
  <si>
    <t>run7_awaitingsml_0.75unique_0.1rep-group_4</t>
  </si>
  <si>
    <t>run7_awaitingsml_0.75unique_0.25rep-group_0</t>
  </si>
  <si>
    <t>run7_awaitingsml_0.75unique_0.25rep-group_1</t>
  </si>
  <si>
    <t>run7_awaitingsml_0.75unique_0.25rep-group_2</t>
  </si>
  <si>
    <t>run7_awaitingsml_0.75unique_0.25rep-group_3</t>
  </si>
  <si>
    <t>run7_awaitingsml_0.75unique_0.25rep-group_4</t>
  </si>
  <si>
    <t>run7_awaitingsml_0.75unique_0.5rep-group_0</t>
  </si>
  <si>
    <t>run7_awaitingsml_0.75unique_0.5rep-group_1</t>
  </si>
  <si>
    <t>run7_awaitingsml_0.75unique_0.5rep-group_2</t>
  </si>
  <si>
    <t>run7_awaitingsml_0.75unique_0.5rep-group_3</t>
  </si>
  <si>
    <t>run7_awaitingsml_0.75unique_0.5rep-group_4</t>
  </si>
  <si>
    <t>run7_awaitingsml_0.75unique_0.75rep-group_0</t>
  </si>
  <si>
    <t>run7_awaitingsml_0.75unique_0.75rep-group_1</t>
  </si>
  <si>
    <t>run7_awaitingsml_0.75unique_0.75rep-group_2</t>
  </si>
  <si>
    <t>run7_awaitingsml_0.75unique_0.75rep-group_3</t>
  </si>
  <si>
    <t>run7_awaitingsml_0.75unique_0.75rep-group_4</t>
  </si>
  <si>
    <t>run7_awaitingsml_0.75unique_1.0rep-group_0</t>
  </si>
  <si>
    <t>run7_awaitingsml_0.75unique_1.0rep-group_1</t>
  </si>
  <si>
    <t>run7_awaitingsml_0.75unique_1.0rep-group_2</t>
  </si>
  <si>
    <t>run7_awaitingsml_0.75unique_1.0rep-group_3</t>
  </si>
  <si>
    <t>run7_awaitingsml_0.75unique_1.0rep-group_4</t>
  </si>
  <si>
    <t>run7_awaitingsml_1.0unique_0.1rep-group_0</t>
  </si>
  <si>
    <t>run7_awaitingsml_1.0unique_0.1rep-group_1</t>
  </si>
  <si>
    <t>run7_awaitingsml_1.0unique_0.1rep-group_2</t>
  </si>
  <si>
    <t>run7_awaitingsml_1.0unique_0.1rep-group_3</t>
  </si>
  <si>
    <t>run7_awaitingsml_1.0unique_0.1rep-group_4</t>
  </si>
  <si>
    <t>run7_awaitingsml_1.0unique_0.25rep-group_0</t>
  </si>
  <si>
    <t>run7_awaitingsml_1.0unique_0.25rep-group_1</t>
  </si>
  <si>
    <t>run7_awaitingsml_1.0unique_0.25rep-group_2</t>
  </si>
  <si>
    <t>run7_awaitingsml_1.0unique_0.25rep-group_3</t>
  </si>
  <si>
    <t>run7_awaitingsml_1.0unique_0.25rep-group_4</t>
  </si>
  <si>
    <t>run7_awaitingsml_1.0unique_0.5rep-group_0</t>
  </si>
  <si>
    <t>run7_awaitingsml_1.0unique_0.5rep-group_1</t>
  </si>
  <si>
    <t>run7_awaitingsml_1.0unique_0.5rep-group_2</t>
  </si>
  <si>
    <t>run7_awaitingsml_1.0unique_0.5rep-group_3</t>
  </si>
  <si>
    <t>run7_awaitingsml_1.0unique_0.5rep-group_4</t>
  </si>
  <si>
    <t>run7_awaitingsml_1.0unique_0.75rep-group_0</t>
  </si>
  <si>
    <t>run7_awaitingsml_1.0unique_0.75rep-group_1</t>
  </si>
  <si>
    <t>run7_awaitingsml_1.0unique_0.75rep-group_2</t>
  </si>
  <si>
    <t>run7_awaitingsml_1.0unique_0.75rep-group_3</t>
  </si>
  <si>
    <t>run7_awaitingsml_1.0unique_0.75rep-group_4</t>
  </si>
  <si>
    <t>run7_awaitingsml_1.0unique_1.0rep-group_0</t>
  </si>
  <si>
    <t>run7_awaitingsml_1.0unique_1.0rep-group_1</t>
  </si>
  <si>
    <t>run7_awaitingsml_1.0unique_1.0rep-group_2</t>
  </si>
  <si>
    <t>run7_awaitingsml_1.0unique_1.0rep-group_3</t>
  </si>
  <si>
    <t>run7_awaitingsml_1.0unique_1.0rep-group_4</t>
  </si>
  <si>
    <t>run7_easycategs_0.1unique_0.1rep-group_0</t>
  </si>
  <si>
    <t>run7_easycategs_0.1unique_0.1rep-group_1</t>
  </si>
  <si>
    <t>run7_easycategs_0.1unique_0.1rep-group_2</t>
  </si>
  <si>
    <t>run7_easycategs_0.1unique_0.1rep-group_3</t>
  </si>
  <si>
    <t>run7_easycategs_0.1unique_0.1rep-group_4</t>
  </si>
  <si>
    <t>run7_easycategs_0.1unique_0.25rep-group_0</t>
  </si>
  <si>
    <t>run7_easycategs_0.1unique_0.25rep-group_1</t>
  </si>
  <si>
    <t>run7_easycategs_0.1unique_0.25rep-group_2</t>
  </si>
  <si>
    <t>run7_easycategs_0.1unique_0.25rep-group_3</t>
  </si>
  <si>
    <t>run7_easycategs_0.1unique_0.25rep-group_4</t>
  </si>
  <si>
    <t>run7_easycategs_0.1unique_0.5rep-group_0</t>
  </si>
  <si>
    <t>run7_easycategs_0.1unique_0.5rep-group_1</t>
  </si>
  <si>
    <t>run7_easycategs_0.1unique_0.5rep-group_2</t>
  </si>
  <si>
    <t>run7_easycategs_0.1unique_0.5rep-group_3</t>
  </si>
  <si>
    <t>run7_easycategs_0.1unique_0.5rep-group_4</t>
  </si>
  <si>
    <t>run7_easycategs_0.1unique_0.75rep-group_0</t>
  </si>
  <si>
    <t>run7_easycategs_0.1unique_0.75rep-group_1</t>
  </si>
  <si>
    <t>run7_easycategs_0.1unique_0.75rep-group_2</t>
  </si>
  <si>
    <t>run7_easycategs_0.1unique_0.75rep-group_3</t>
  </si>
  <si>
    <t>run7_easycategs_0.1unique_0.75rep-group_4</t>
  </si>
  <si>
    <t>run7_easycategs_0.1unique_1.0rep-group_0</t>
  </si>
  <si>
    <t>run7_easycategs_0.1unique_1.0rep-group_1</t>
  </si>
  <si>
    <t>run7_easycategs_0.1unique_1.0rep-group_2</t>
  </si>
  <si>
    <t>run7_easycategs_0.1unique_1.0rep-group_3</t>
  </si>
  <si>
    <t>run7_easycategs_0.1unique_1.0rep-group_4</t>
  </si>
  <si>
    <t>run7_easycategs_0.25unique_0.1rep-group_0</t>
  </si>
  <si>
    <t>run7_easycategs_0.25unique_0.1rep-group_1</t>
  </si>
  <si>
    <t>run7_easycategs_0.25unique_0.1rep-group_2</t>
  </si>
  <si>
    <t>run7_easycategs_0.25unique_0.1rep-group_3</t>
  </si>
  <si>
    <t>run7_easycategs_0.25unique_0.1rep-group_4</t>
  </si>
  <si>
    <t>run7_easycategs_0.25unique_0.25rep-group_0</t>
  </si>
  <si>
    <t>run7_easycategs_0.25unique_0.25rep-group_1</t>
  </si>
  <si>
    <t>run7_easycategs_0.25unique_0.25rep-group_2</t>
  </si>
  <si>
    <t>run7_easycategs_0.25unique_0.25rep-group_3</t>
  </si>
  <si>
    <t>run7_easycategs_0.25unique_0.25rep-group_4</t>
  </si>
  <si>
    <t>run7_easycategs_0.25unique_0.5rep-group_0</t>
  </si>
  <si>
    <t>run7_easycategs_0.25unique_0.5rep-group_1</t>
  </si>
  <si>
    <t>run7_easycategs_0.25unique_0.5rep-group_2</t>
  </si>
  <si>
    <t>run7_easycategs_0.25unique_0.5rep-group_3</t>
  </si>
  <si>
    <t>run7_easycategs_0.25unique_0.5rep-group_4</t>
  </si>
  <si>
    <t>run7_easycategs_0.25unique_0.75rep-group_0</t>
  </si>
  <si>
    <t>run7_easycategs_0.25unique_0.75rep-group_1</t>
  </si>
  <si>
    <t>run7_easycategs_0.25unique_0.75rep-group_2</t>
  </si>
  <si>
    <t>run7_easycategs_0.25unique_0.75rep-group_3</t>
  </si>
  <si>
    <t>run7_easycategs_0.25unique_0.75rep-group_4</t>
  </si>
  <si>
    <t>run7_easycategs_0.25unique_1.0rep-group_0</t>
  </si>
  <si>
    <t>run7_easycategs_0.25unique_1.0rep-group_1</t>
  </si>
  <si>
    <t>run7_easycategs_0.25unique_1.0rep-group_2</t>
  </si>
  <si>
    <t>run7_easycategs_0.25unique_1.0rep-group_3</t>
  </si>
  <si>
    <t>run7_easycategs_0.25unique_1.0rep-group_4</t>
  </si>
  <si>
    <t>run7_easycategs_0.5unique_0.1rep-group_0</t>
  </si>
  <si>
    <t>run7_easycategs_0.5unique_0.1rep-group_1</t>
  </si>
  <si>
    <t>run7_easycategs_0.5unique_0.1rep-group_2</t>
  </si>
  <si>
    <t>run7_easycategs_0.5unique_0.1rep-group_3</t>
  </si>
  <si>
    <t>run7_easycategs_0.5unique_0.1rep-group_4</t>
  </si>
  <si>
    <t>run7_easycategs_0.5unique_0.25rep-group_0</t>
  </si>
  <si>
    <t>run7_easycategs_0.5unique_0.25rep-group_1</t>
  </si>
  <si>
    <t>run7_easycategs_0.5unique_0.25rep-group_2</t>
  </si>
  <si>
    <t>run7_easycategs_0.5unique_0.25rep-group_3</t>
  </si>
  <si>
    <t>run7_easycategs_0.5unique_0.25rep-group_4</t>
  </si>
  <si>
    <t>run7_easycategs_0.5unique_0.5rep-group_0</t>
  </si>
  <si>
    <t>run7_easycategs_0.5unique_0.5rep-group_1</t>
  </si>
  <si>
    <t>run7_easycategs_0.5unique_0.5rep-group_2</t>
  </si>
  <si>
    <t>run7_easycategs_0.5unique_0.5rep-group_3</t>
  </si>
  <si>
    <t>run7_easycategs_0.5unique_0.5rep-group_4</t>
  </si>
  <si>
    <t>run7_easycategs_0.5unique_0.75rep-group_0</t>
  </si>
  <si>
    <t>run7_easycategs_0.5unique_0.75rep-group_1</t>
  </si>
  <si>
    <t>run7_easycategs_0.5unique_0.75rep-group_2</t>
  </si>
  <si>
    <t>run7_easycategs_0.5unique_0.75rep-group_3</t>
  </si>
  <si>
    <t>run7_easycategs_0.5unique_0.75rep-group_4</t>
  </si>
  <si>
    <t>run7_easycategs_0.5unique_1.0rep-group_0</t>
  </si>
  <si>
    <t>run7_easycategs_0.5unique_1.0rep-group_1</t>
  </si>
  <si>
    <t>run7_easycategs_0.5unique_1.0rep-group_2</t>
  </si>
  <si>
    <t>run7_easycategs_0.5unique_1.0rep-group_3</t>
  </si>
  <si>
    <t>run7_easycategs_0.5unique_1.0rep-group_4</t>
  </si>
  <si>
    <t>run7_easycategs_0.75unique_0.1rep-group_0</t>
  </si>
  <si>
    <t>run7_easycategs_0.75unique_0.1rep-group_1</t>
  </si>
  <si>
    <t>run7_easycategs_0.75unique_0.1rep-group_2</t>
  </si>
  <si>
    <t>run7_easycategs_0.75unique_0.1rep-group_3</t>
  </si>
  <si>
    <t>run7_easycategs_0.75unique_0.1rep-group_4</t>
  </si>
  <si>
    <t>run7_easycategs_0.75unique_0.25rep-group_0</t>
  </si>
  <si>
    <t>run7_easycategs_0.75unique_0.25rep-group_1</t>
  </si>
  <si>
    <t>run7_easycategs_0.75unique_0.25rep-group_2</t>
  </si>
  <si>
    <t>run7_easycategs_0.75unique_0.25rep-group_3</t>
  </si>
  <si>
    <t>run7_easycategs_0.75unique_0.25rep-group_4</t>
  </si>
  <si>
    <t>run7_easycategs_0.75unique_0.5rep-group_0</t>
  </si>
  <si>
    <t>run7_easycategs_0.75unique_0.5rep-group_1</t>
  </si>
  <si>
    <t>run7_easycategs_0.75unique_0.5rep-group_2</t>
  </si>
  <si>
    <t>run7_easycategs_0.75unique_0.5rep-group_3</t>
  </si>
  <si>
    <t>run7_easycategs_0.75unique_0.5rep-group_4</t>
  </si>
  <si>
    <t>run7_easycategs_0.75unique_0.75rep-group_0</t>
  </si>
  <si>
    <t>run7_easycategs_0.75unique_0.75rep-group_1</t>
  </si>
  <si>
    <t>run7_easycategs_0.75unique_0.75rep-group_2</t>
  </si>
  <si>
    <t>run7_easycategs_0.75unique_0.75rep-group_3</t>
  </si>
  <si>
    <t>run7_easycategs_0.75unique_0.75rep-group_4</t>
  </si>
  <si>
    <t>run7_easycategs_0.75unique_1.0rep-group_0</t>
  </si>
  <si>
    <t>run7_easycategs_0.75unique_1.0rep-group_1</t>
  </si>
  <si>
    <t>run7_easycategs_0.75unique_1.0rep-group_2</t>
  </si>
  <si>
    <t>run7_easycategs_0.75unique_1.0rep-group_3</t>
  </si>
  <si>
    <t>run7_easycategs_0.75unique_1.0rep-group_4</t>
  </si>
  <si>
    <t>run7_easycategs_1.0unique_0.1rep-group_0</t>
  </si>
  <si>
    <t>run7_easycategs_1.0unique_0.1rep-group_1</t>
  </si>
  <si>
    <t>run7_easycategs_1.0unique_0.1rep-group_2</t>
  </si>
  <si>
    <t>run7_easycategs_1.0unique_0.1rep-group_3</t>
  </si>
  <si>
    <t>run7_easycategs_1.0unique_0.1rep-group_4</t>
  </si>
  <si>
    <t>run7_easycategs_1.0unique_0.25rep-group_0</t>
  </si>
  <si>
    <t>run7_easycategs_1.0unique_0.25rep-group_1</t>
  </si>
  <si>
    <t>run7_easycategs_1.0unique_0.25rep-group_2</t>
  </si>
  <si>
    <t>run7_easycategs_1.0unique_0.25rep-group_3</t>
  </si>
  <si>
    <t>run7_easycategs_1.0unique_0.25rep-group_4</t>
  </si>
  <si>
    <t>run7_easycategs_1.0unique_0.5rep-group_0</t>
  </si>
  <si>
    <t>run7_easycategs_1.0unique_0.5rep-group_1</t>
  </si>
  <si>
    <t>run7_easycategs_1.0unique_0.5rep-group_2</t>
  </si>
  <si>
    <t>run7_easycategs_1.0unique_0.5rep-group_3</t>
  </si>
  <si>
    <t>run7_easycategs_1.0unique_0.5rep-group_4</t>
  </si>
  <si>
    <t>run7_easycategs_1.0unique_0.75rep-group_0</t>
  </si>
  <si>
    <t>run7_easycategs_1.0unique_0.75rep-group_1</t>
  </si>
  <si>
    <t>run7_easycategs_1.0unique_0.75rep-group_2</t>
  </si>
  <si>
    <t>run7_easycategs_1.0unique_0.75rep-group_3</t>
  </si>
  <si>
    <t>run7_easycategs_1.0unique_0.75rep-group_4</t>
  </si>
  <si>
    <t>run7_easycategs_1.0unique_1.0rep-group_0</t>
  </si>
  <si>
    <t>run7_easycategs_1.0unique_1.0rep-group_1</t>
  </si>
  <si>
    <t>run7_easycategs_1.0unique_1.0rep-group_2</t>
  </si>
  <si>
    <t>run7_easycategs_1.0unique_1.0rep-group_3</t>
  </si>
  <si>
    <t>run7_easycategs_1.0unique_1.0rep-group_4</t>
  </si>
  <si>
    <t>run7_priority12x3x4_0.1unique_0.1rep-group_0</t>
  </si>
  <si>
    <t>run7_priority12x3x4_0.1unique_0.1rep-group_1</t>
  </si>
  <si>
    <t>run7_priority12x3x4_0.1unique_0.1rep-group_2</t>
  </si>
  <si>
    <t>run7_priority12x3x4_0.1unique_0.1rep-group_3</t>
  </si>
  <si>
    <t>run7_priority12x3x4_0.1unique_0.1rep-group_4</t>
  </si>
  <si>
    <t>run7_priority12x3x4_0.1unique_0.25rep-group_0</t>
  </si>
  <si>
    <t>run7_priority12x3x4_0.1unique_0.25rep-group_1</t>
  </si>
  <si>
    <t>run7_priority12x3x4_0.1unique_0.25rep-group_2</t>
  </si>
  <si>
    <t>run7_priority12x3x4_0.1unique_0.25rep-group_3</t>
  </si>
  <si>
    <t>run7_priority12x3x4_0.1unique_0.25rep-group_4</t>
  </si>
  <si>
    <t>run7_priority12x3x4_0.1unique_0.5rep-group_0</t>
  </si>
  <si>
    <t>run7_priority12x3x4_0.1unique_0.5rep-group_1</t>
  </si>
  <si>
    <t>run7_priority12x3x4_0.1unique_0.5rep-group_2</t>
  </si>
  <si>
    <t>run7_priority12x3x4_0.1unique_0.5rep-group_3</t>
  </si>
  <si>
    <t>run7_priority12x3x4_0.1unique_0.5rep-group_4</t>
  </si>
  <si>
    <t>run7_priority12x3x4_0.1unique_0.75rep-group_0</t>
  </si>
  <si>
    <t>run7_priority12x3x4_0.1unique_0.75rep-group_1</t>
  </si>
  <si>
    <t>run7_priority12x3x4_0.1unique_0.75rep-group_2</t>
  </si>
  <si>
    <t>run7_priority12x3x4_0.1unique_0.75rep-group_3</t>
  </si>
  <si>
    <t>run7_priority12x3x4_0.1unique_0.75rep-group_4</t>
  </si>
  <si>
    <t>run7_priority12x3x4_0.1unique_1.0rep-group_0</t>
  </si>
  <si>
    <t>run7_priority12x3x4_0.1unique_1.0rep-group_1</t>
  </si>
  <si>
    <t>run7_priority12x3x4_0.1unique_1.0rep-group_2</t>
  </si>
  <si>
    <t>run7_priority12x3x4_0.1unique_1.0rep-group_3</t>
  </si>
  <si>
    <t>run7_priority12x3x4_0.1unique_1.0rep-group_4</t>
  </si>
  <si>
    <t>run7_priority12x3x4_0.25unique_0.1rep-group_0</t>
  </si>
  <si>
    <t>run7_priority12x3x4_0.25unique_0.1rep-group_1</t>
  </si>
  <si>
    <t>run7_priority12x3x4_0.25unique_0.1rep-group_2</t>
  </si>
  <si>
    <t>run7_priority12x3x4_0.25unique_0.1rep-group_3</t>
  </si>
  <si>
    <t>run7_priority12x3x4_0.25unique_0.1rep-group_4</t>
  </si>
  <si>
    <t>run7_priority12x3x4_0.25unique_0.25rep-group_0</t>
  </si>
  <si>
    <t>run7_priority12x3x4_0.25unique_0.25rep-group_1</t>
  </si>
  <si>
    <t>run7_priority12x3x4_0.25unique_0.25rep-group_2</t>
  </si>
  <si>
    <t>run7_priority12x3x4_0.25unique_0.25rep-group_3</t>
  </si>
  <si>
    <t>run7_priority12x3x4_0.25unique_0.25rep-group_4</t>
  </si>
  <si>
    <t>run7_priority12x3x4_0.25unique_0.5rep-group_0</t>
  </si>
  <si>
    <t>run7_priority12x3x4_0.25unique_0.5rep-group_1</t>
  </si>
  <si>
    <t>run7_priority12x3x4_0.25unique_0.5rep-group_2</t>
  </si>
  <si>
    <t>run7_priority12x3x4_0.25unique_0.5rep-group_3</t>
  </si>
  <si>
    <t>run7_priority12x3x4_0.25unique_0.5rep-group_4</t>
  </si>
  <si>
    <t>run7_priority12x3x4_0.25unique_0.75rep-group_0</t>
  </si>
  <si>
    <t>run7_priority12x3x4_0.25unique_0.75rep-group_1</t>
  </si>
  <si>
    <t>run7_priority12x3x4_0.25unique_0.75rep-group_2</t>
  </si>
  <si>
    <t>run7_priority12x3x4_0.25unique_0.75rep-group_3</t>
  </si>
  <si>
    <t>run7_priority12x3x4_0.25unique_0.75rep-group_4</t>
  </si>
  <si>
    <t>run7_priority12x3x4_0.25unique_1.0rep-group_0</t>
  </si>
  <si>
    <t>run7_priority12x3x4_0.25unique_1.0rep-group_1</t>
  </si>
  <si>
    <t>run7_priority12x3x4_0.25unique_1.0rep-group_2</t>
  </si>
  <si>
    <t>run7_priority12x3x4_0.25unique_1.0rep-group_3</t>
  </si>
  <si>
    <t>run7_priority12x3x4_0.25unique_1.0rep-group_4</t>
  </si>
  <si>
    <t>run7_priority12x3x4_0.5unique_0.1rep-group_0</t>
  </si>
  <si>
    <t>run7_priority12x3x4_0.5unique_0.1rep-group_1</t>
  </si>
  <si>
    <t>run7_priority12x3x4_0.5unique_0.1rep-group_2</t>
  </si>
  <si>
    <t>run7_priority12x3x4_0.5unique_0.1rep-group_3</t>
  </si>
  <si>
    <t>run7_priority12x3x4_0.5unique_0.1rep-group_4</t>
  </si>
  <si>
    <t>run7_priority12x3x4_0.5unique_0.25rep-group_0</t>
  </si>
  <si>
    <t>run7_priority12x3x4_0.5unique_0.25rep-group_1</t>
  </si>
  <si>
    <t>run7_priority12x3x4_0.5unique_0.25rep-group_2</t>
  </si>
  <si>
    <t>run7_priority12x3x4_0.5unique_0.25rep-group_3</t>
  </si>
  <si>
    <t>run7_priority12x3x4_0.5unique_0.25rep-group_4</t>
  </si>
  <si>
    <t>run7_priority12x3x4_0.5unique_0.5rep-group_0</t>
  </si>
  <si>
    <t>run7_priority12x3x4_0.5unique_0.5rep-group_1</t>
  </si>
  <si>
    <t>run7_priority12x3x4_0.5unique_0.5rep-group_2</t>
  </si>
  <si>
    <t>run7_priority12x3x4_0.5unique_0.5rep-group_3</t>
  </si>
  <si>
    <t>run7_priority12x3x4_0.5unique_0.5rep-group_4</t>
  </si>
  <si>
    <t>run7_priority12x3x4_0.5unique_0.75rep-group_0</t>
  </si>
  <si>
    <t>run7_priority12x3x4_0.5unique_0.75rep-group_1</t>
  </si>
  <si>
    <t>run7_priority12x3x4_0.5unique_0.75rep-group_2</t>
  </si>
  <si>
    <t>run7_priority12x3x4_0.5unique_0.75rep-group_3</t>
  </si>
  <si>
    <t>run7_priority12x3x4_0.5unique_0.75rep-group_4</t>
  </si>
  <si>
    <t>run7_priority12x3x4_0.5unique_1.0rep-group_0</t>
  </si>
  <si>
    <t>run7_priority12x3x4_0.5unique_1.0rep-group_1</t>
  </si>
  <si>
    <t>run7_priority12x3x4_0.5unique_1.0rep-group_2</t>
  </si>
  <si>
    <t>run7_priority12x3x4_0.5unique_1.0rep-group_3</t>
  </si>
  <si>
    <t>run7_priority12x3x4_0.5unique_1.0rep-group_4</t>
  </si>
  <si>
    <t>run7_priority12x3x4_0.75unique_0.1rep-group_0</t>
  </si>
  <si>
    <t>run7_priority12x3x4_0.75unique_0.1rep-group_1</t>
  </si>
  <si>
    <t>run7_priority12x3x4_0.75unique_0.1rep-group_2</t>
  </si>
  <si>
    <t>run7_priority12x3x4_0.75unique_0.1rep-group_3</t>
  </si>
  <si>
    <t>run7_priority12x3x4_0.75unique_0.1rep-group_4</t>
  </si>
  <si>
    <t>run7_priority12x3x4_0.75unique_0.25rep-group_0</t>
  </si>
  <si>
    <t>run7_priority12x3x4_0.75unique_0.25rep-group_1</t>
  </si>
  <si>
    <t>run7_priority12x3x4_0.75unique_0.25rep-group_2</t>
  </si>
  <si>
    <t>run7_priority12x3x4_0.75unique_0.25rep-group_3</t>
  </si>
  <si>
    <t>run7_priority12x3x4_0.75unique_0.25rep-group_4</t>
  </si>
  <si>
    <t>run7_priority12x3x4_0.75unique_0.5rep-group_0</t>
  </si>
  <si>
    <t>run7_priority12x3x4_0.75unique_0.5rep-group_1</t>
  </si>
  <si>
    <t>run7_priority12x3x4_0.75unique_0.5rep-group_2</t>
  </si>
  <si>
    <t>run7_priority12x3x4_0.75unique_0.5rep-group_3</t>
  </si>
  <si>
    <t>run7_priority12x3x4_0.75unique_0.5rep-group_4</t>
  </si>
  <si>
    <t>run7_priority12x3x4_0.75unique_0.75rep-group_0</t>
  </si>
  <si>
    <t>run7_priority12x3x4_0.75unique_0.75rep-group_1</t>
  </si>
  <si>
    <t>run7_priority12x3x4_0.75unique_0.75rep-group_2</t>
  </si>
  <si>
    <t>run7_priority12x3x4_0.75unique_0.75rep-group_3</t>
  </si>
  <si>
    <t>run7_priority12x3x4_0.75unique_0.75rep-group_4</t>
  </si>
  <si>
    <t>run7_priority12x3x4_0.75unique_1.0rep-group_0</t>
  </si>
  <si>
    <t>run7_priority12x3x4_0.75unique_1.0rep-group_1</t>
  </si>
  <si>
    <t>run7_priority12x3x4_0.75unique_1.0rep-group_2</t>
  </si>
  <si>
    <t>run7_priority12x3x4_0.75unique_1.0rep-group_3</t>
  </si>
  <si>
    <t>run7_priority12x3x4_0.75unique_1.0rep-group_4</t>
  </si>
  <si>
    <t>run7_priority12x3x4_1.0unique_0.1rep-group_0</t>
  </si>
  <si>
    <t>run7_priority12x3x4_1.0unique_0.1rep-group_1</t>
  </si>
  <si>
    <t>run7_priority12x3x4_1.0unique_0.1rep-group_2</t>
  </si>
  <si>
    <t>run7_priority12x3x4_1.0unique_0.1rep-group_3</t>
  </si>
  <si>
    <t>run7_priority12x3x4_1.0unique_0.1rep-group_4</t>
  </si>
  <si>
    <t>run7_priority12x3x4_1.0unique_0.25rep-group_0</t>
  </si>
  <si>
    <t>run7_priority12x3x4_1.0unique_0.25rep-group_1</t>
  </si>
  <si>
    <t>run7_priority12x3x4_1.0unique_0.25rep-group_2</t>
  </si>
  <si>
    <t>run7_priority12x3x4_1.0unique_0.25rep-group_3</t>
  </si>
  <si>
    <t>run7_priority12x3x4_1.0unique_0.25rep-group_4</t>
  </si>
  <si>
    <t>run7_priority12x3x4_1.0unique_0.5rep-group_0</t>
  </si>
  <si>
    <t>run7_priority12x3x4_1.0unique_0.5rep-group_1</t>
  </si>
  <si>
    <t>run7_priority12x3x4_1.0unique_0.5rep-group_2</t>
  </si>
  <si>
    <t>run7_priority12x3x4_1.0unique_0.5rep-group_3</t>
  </si>
  <si>
    <t>run7_priority12x3x4_1.0unique_0.5rep-group_4</t>
  </si>
  <si>
    <t>run7_priority12x3x4_1.0unique_0.75rep-group_0</t>
  </si>
  <si>
    <t>run7_priority12x3x4_1.0unique_0.75rep-group_1</t>
  </si>
  <si>
    <t>run7_priority12x3x4_1.0unique_0.75rep-group_2</t>
  </si>
  <si>
    <t>run7_priority12x3x4_1.0unique_0.75rep-group_3</t>
  </si>
  <si>
    <t>run7_priority12x3x4_1.0unique_0.75rep-group_4</t>
  </si>
  <si>
    <t>run7_priority12x3x4_1.0unique_1.0rep-group_0</t>
  </si>
  <si>
    <t>run7_priority12x3x4_1.0unique_1.0rep-group_1</t>
  </si>
  <si>
    <t>run7_priority12x3x4_1.0unique_1.0rep-group_2</t>
  </si>
  <si>
    <t>run7_priority12x3x4_1.0unique_1.0rep-group_3</t>
  </si>
  <si>
    <t>run7_priority12x3x4_1.0unique_1.0rep-group_4</t>
  </si>
  <si>
    <t>run8_awaitingsml_0.1unique_0.1rep-group_0</t>
  </si>
  <si>
    <t>run8_awaitingsml_0.1unique_0.1rep-group_1</t>
  </si>
  <si>
    <t>run8_awaitingsml_0.1unique_0.1rep-group_2</t>
  </si>
  <si>
    <t>run8_awaitingsml_0.1unique_0.1rep-group_3</t>
  </si>
  <si>
    <t>run8_awaitingsml_0.1unique_0.1rep-group_4</t>
  </si>
  <si>
    <t>run8_awaitingsml_0.1unique_0.25rep-group_0</t>
  </si>
  <si>
    <t>run8_awaitingsml_0.1unique_0.25rep-group_1</t>
  </si>
  <si>
    <t>run8_awaitingsml_0.1unique_0.25rep-group_2</t>
  </si>
  <si>
    <t>run8_awaitingsml_0.1unique_0.25rep-group_3</t>
  </si>
  <si>
    <t>run8_awaitingsml_0.1unique_0.25rep-group_4</t>
  </si>
  <si>
    <t>run8_awaitingsml_0.1unique_0.5rep-group_0</t>
  </si>
  <si>
    <t>run8_awaitingsml_0.1unique_0.5rep-group_1</t>
  </si>
  <si>
    <t>run8_awaitingsml_0.1unique_0.5rep-group_2</t>
  </si>
  <si>
    <t>run8_awaitingsml_0.1unique_0.5rep-group_3</t>
  </si>
  <si>
    <t>run8_awaitingsml_0.1unique_0.5rep-group_4</t>
  </si>
  <si>
    <t>run8_awaitingsml_0.1unique_0.75rep-group_0</t>
  </si>
  <si>
    <t>run8_awaitingsml_0.1unique_0.75rep-group_1</t>
  </si>
  <si>
    <t>run8_awaitingsml_0.1unique_0.75rep-group_2</t>
  </si>
  <si>
    <t>run8_awaitingsml_0.1unique_0.75rep-group_3</t>
  </si>
  <si>
    <t>run8_awaitingsml_0.1unique_0.75rep-group_4</t>
  </si>
  <si>
    <t>run8_awaitingsml_0.1unique_1.0rep-group_0</t>
  </si>
  <si>
    <t>run8_awaitingsml_0.1unique_1.0rep-group_1</t>
  </si>
  <si>
    <t>run8_awaitingsml_0.1unique_1.0rep-group_2</t>
  </si>
  <si>
    <t>run8_awaitingsml_0.1unique_1.0rep-group_3</t>
  </si>
  <si>
    <t>run8_awaitingsml_0.1unique_1.0rep-group_4</t>
  </si>
  <si>
    <t>run8_awaitingsml_0.25unique_0.1rep-group_0</t>
  </si>
  <si>
    <t>run8_awaitingsml_0.25unique_0.1rep-group_1</t>
  </si>
  <si>
    <t>run8_awaitingsml_0.25unique_0.1rep-group_2</t>
  </si>
  <si>
    <t>run8_awaitingsml_0.25unique_0.1rep-group_3</t>
  </si>
  <si>
    <t>run8_awaitingsml_0.25unique_0.1rep-group_4</t>
  </si>
  <si>
    <t>run8_awaitingsml_0.25unique_0.25rep-group_0</t>
  </si>
  <si>
    <t>run8_awaitingsml_0.25unique_0.25rep-group_1</t>
  </si>
  <si>
    <t>run8_awaitingsml_0.25unique_0.25rep-group_2</t>
  </si>
  <si>
    <t>run8_awaitingsml_0.25unique_0.25rep-group_3</t>
  </si>
  <si>
    <t>run8_awaitingsml_0.25unique_0.25rep-group_4</t>
  </si>
  <si>
    <t>run8_awaitingsml_0.25unique_0.5rep-group_0</t>
  </si>
  <si>
    <t>run8_awaitingsml_0.25unique_0.5rep-group_1</t>
  </si>
  <si>
    <t>run8_awaitingsml_0.25unique_0.5rep-group_2</t>
  </si>
  <si>
    <t>run8_awaitingsml_0.25unique_0.5rep-group_3</t>
  </si>
  <si>
    <t>run8_awaitingsml_0.25unique_0.5rep-group_4</t>
  </si>
  <si>
    <t>run8_awaitingsml_0.25unique_0.75rep-group_0</t>
  </si>
  <si>
    <t>run8_awaitingsml_0.25unique_0.75rep-group_1</t>
  </si>
  <si>
    <t>run8_awaitingsml_0.25unique_0.75rep-group_2</t>
  </si>
  <si>
    <t>run8_awaitingsml_0.25unique_0.75rep-group_3</t>
  </si>
  <si>
    <t>run8_awaitingsml_0.25unique_0.75rep-group_4</t>
  </si>
  <si>
    <t>run8_awaitingsml_0.25unique_1.0rep-group_0</t>
  </si>
  <si>
    <t>run8_awaitingsml_0.25unique_1.0rep-group_1</t>
  </si>
  <si>
    <t>run8_awaitingsml_0.25unique_1.0rep-group_2</t>
  </si>
  <si>
    <t>run8_awaitingsml_0.25unique_1.0rep-group_3</t>
  </si>
  <si>
    <t>run8_awaitingsml_0.25unique_1.0rep-group_4</t>
  </si>
  <si>
    <t>run8_awaitingsml_0.5unique_0.1rep-group_0</t>
  </si>
  <si>
    <t>run8_awaitingsml_0.5unique_0.1rep-group_1</t>
  </si>
  <si>
    <t>run8_awaitingsml_0.5unique_0.1rep-group_2</t>
  </si>
  <si>
    <t>run8_awaitingsml_0.5unique_0.1rep-group_3</t>
  </si>
  <si>
    <t>run8_awaitingsml_0.5unique_0.1rep-group_4</t>
  </si>
  <si>
    <t>run8_awaitingsml_0.5unique_0.25rep-group_0</t>
  </si>
  <si>
    <t>run8_awaitingsml_0.5unique_0.25rep-group_1</t>
  </si>
  <si>
    <t>run8_awaitingsml_0.5unique_0.25rep-group_2</t>
  </si>
  <si>
    <t>run8_awaitingsml_0.5unique_0.25rep-group_3</t>
  </si>
  <si>
    <t>run8_awaitingsml_0.5unique_0.25rep-group_4</t>
  </si>
  <si>
    <t>run8_awaitingsml_0.5unique_0.5rep-group_0</t>
  </si>
  <si>
    <t>run8_awaitingsml_0.5unique_0.5rep-group_1</t>
  </si>
  <si>
    <t>run8_awaitingsml_0.5unique_0.5rep-group_2</t>
  </si>
  <si>
    <t>run8_awaitingsml_0.5unique_0.5rep-group_3</t>
  </si>
  <si>
    <t>run8_awaitingsml_0.5unique_0.5rep-group_4</t>
  </si>
  <si>
    <t>run8_awaitingsml_0.5unique_0.75rep-group_0</t>
  </si>
  <si>
    <t>run8_awaitingsml_0.5unique_0.75rep-group_1</t>
  </si>
  <si>
    <t>run8_awaitingsml_0.5unique_0.75rep-group_2</t>
  </si>
  <si>
    <t>run8_awaitingsml_0.5unique_0.75rep-group_3</t>
  </si>
  <si>
    <t>run8_awaitingsml_0.5unique_0.75rep-group_4</t>
  </si>
  <si>
    <t>run8_awaitingsml_0.5unique_1.0rep-group_0</t>
  </si>
  <si>
    <t>run8_awaitingsml_0.5unique_1.0rep-group_1</t>
  </si>
  <si>
    <t>run8_awaitingsml_0.5unique_1.0rep-group_2</t>
  </si>
  <si>
    <t>run8_awaitingsml_0.5unique_1.0rep-group_3</t>
  </si>
  <si>
    <t>run8_awaitingsml_0.5unique_1.0rep-group_4</t>
  </si>
  <si>
    <t>run8_awaitingsml_0.75unique_0.1rep-group_0</t>
  </si>
  <si>
    <t>run8_awaitingsml_0.75unique_0.1rep-group_1</t>
  </si>
  <si>
    <t>run8_awaitingsml_0.75unique_0.1rep-group_2</t>
  </si>
  <si>
    <t>run8_awaitingsml_0.75unique_0.1rep-group_3</t>
  </si>
  <si>
    <t>run8_awaitingsml_0.75unique_0.1rep-group_4</t>
  </si>
  <si>
    <t>run8_awaitingsml_0.75unique_0.25rep-group_0</t>
  </si>
  <si>
    <t>run8_awaitingsml_0.75unique_0.25rep-group_1</t>
  </si>
  <si>
    <t>run8_awaitingsml_0.75unique_0.25rep-group_2</t>
  </si>
  <si>
    <t>run8_awaitingsml_0.75unique_0.25rep-group_3</t>
  </si>
  <si>
    <t>run8_awaitingsml_0.75unique_0.25rep-group_4</t>
  </si>
  <si>
    <t>run8_awaitingsml_0.75unique_0.5rep-group_0</t>
  </si>
  <si>
    <t>run8_awaitingsml_0.75unique_0.5rep-group_1</t>
  </si>
  <si>
    <t>run8_awaitingsml_0.75unique_0.5rep-group_2</t>
  </si>
  <si>
    <t>run8_awaitingsml_0.75unique_0.5rep-group_3</t>
  </si>
  <si>
    <t>run8_awaitingsml_0.75unique_0.5rep-group_4</t>
  </si>
  <si>
    <t>run8_awaitingsml_0.75unique_0.75rep-group_0</t>
  </si>
  <si>
    <t>run8_awaitingsml_0.75unique_0.75rep-group_1</t>
  </si>
  <si>
    <t>run8_awaitingsml_0.75unique_0.75rep-group_2</t>
  </si>
  <si>
    <t>run8_awaitingsml_0.75unique_0.75rep-group_3</t>
  </si>
  <si>
    <t>run8_awaitingsml_0.75unique_0.75rep-group_4</t>
  </si>
  <si>
    <t>run8_awaitingsml_0.75unique_1.0rep-group_0</t>
  </si>
  <si>
    <t>run8_awaitingsml_0.75unique_1.0rep-group_1</t>
  </si>
  <si>
    <t>run8_awaitingsml_0.75unique_1.0rep-group_2</t>
  </si>
  <si>
    <t>run8_awaitingsml_0.75unique_1.0rep-group_3</t>
  </si>
  <si>
    <t>run8_awaitingsml_0.75unique_1.0rep-group_4</t>
  </si>
  <si>
    <t>run8_awaitingsml_1.0unique_0.1rep-group_0</t>
  </si>
  <si>
    <t>run8_awaitingsml_1.0unique_0.1rep-group_1</t>
  </si>
  <si>
    <t>run8_awaitingsml_1.0unique_0.1rep-group_2</t>
  </si>
  <si>
    <t>run8_awaitingsml_1.0unique_0.1rep-group_3</t>
  </si>
  <si>
    <t>run8_awaitingsml_1.0unique_0.1rep-group_4</t>
  </si>
  <si>
    <t>run8_awaitingsml_1.0unique_0.25rep-group_0</t>
  </si>
  <si>
    <t>run8_awaitingsml_1.0unique_0.25rep-group_1</t>
  </si>
  <si>
    <t>run8_awaitingsml_1.0unique_0.25rep-group_2</t>
  </si>
  <si>
    <t>run8_awaitingsml_1.0unique_0.25rep-group_3</t>
  </si>
  <si>
    <t>run8_awaitingsml_1.0unique_0.25rep-group_4</t>
  </si>
  <si>
    <t>run8_awaitingsml_1.0unique_0.5rep-group_0</t>
  </si>
  <si>
    <t>run8_awaitingsml_1.0unique_0.5rep-group_1</t>
  </si>
  <si>
    <t>run8_awaitingsml_1.0unique_0.5rep-group_2</t>
  </si>
  <si>
    <t>run8_awaitingsml_1.0unique_0.5rep-group_3</t>
  </si>
  <si>
    <t>run8_awaitingsml_1.0unique_0.5rep-group_4</t>
  </si>
  <si>
    <t>run8_awaitingsml_1.0unique_0.75rep-group_0</t>
  </si>
  <si>
    <t>run8_awaitingsml_1.0unique_0.75rep-group_1</t>
  </si>
  <si>
    <t>run8_awaitingsml_1.0unique_0.75rep-group_2</t>
  </si>
  <si>
    <t>run8_awaitingsml_1.0unique_0.75rep-group_3</t>
  </si>
  <si>
    <t>run8_awaitingsml_1.0unique_0.75rep-group_4</t>
  </si>
  <si>
    <t>run8_awaitingsml_1.0unique_1.0rep-group_0</t>
  </si>
  <si>
    <t>run8_awaitingsml_1.0unique_1.0rep-group_1</t>
  </si>
  <si>
    <t>run8_awaitingsml_1.0unique_1.0rep-group_2</t>
  </si>
  <si>
    <t>run8_awaitingsml_1.0unique_1.0rep-group_3</t>
  </si>
  <si>
    <t>run8_awaitingsml_1.0unique_1.0rep-group_4</t>
  </si>
  <si>
    <t>run8_easycategs_0.1unique_0.1rep-group_0</t>
  </si>
  <si>
    <t>run8_easycategs_0.1unique_0.1rep-group_1</t>
  </si>
  <si>
    <t>run8_easycategs_0.1unique_0.1rep-group_2</t>
  </si>
  <si>
    <t>run8_easycategs_0.1unique_0.1rep-group_3</t>
  </si>
  <si>
    <t>run8_easycategs_0.1unique_0.1rep-group_4</t>
  </si>
  <si>
    <t>run8_easycategs_0.1unique_0.25rep-group_0</t>
  </si>
  <si>
    <t>run8_easycategs_0.1unique_0.25rep-group_1</t>
  </si>
  <si>
    <t>run8_easycategs_0.1unique_0.25rep-group_2</t>
  </si>
  <si>
    <t>run8_easycategs_0.1unique_0.25rep-group_3</t>
  </si>
  <si>
    <t>run8_easycategs_0.1unique_0.25rep-group_4</t>
  </si>
  <si>
    <t>run8_easycategs_0.1unique_0.5rep-group_0</t>
  </si>
  <si>
    <t>run8_easycategs_0.1unique_0.5rep-group_1</t>
  </si>
  <si>
    <t>run8_easycategs_0.1unique_0.5rep-group_2</t>
  </si>
  <si>
    <t>run8_easycategs_0.1unique_0.5rep-group_3</t>
  </si>
  <si>
    <t>run8_easycategs_0.1unique_0.5rep-group_4</t>
  </si>
  <si>
    <t>run8_easycategs_0.1unique_0.75rep-group_0</t>
  </si>
  <si>
    <t>run8_easycategs_0.1unique_0.75rep-group_1</t>
  </si>
  <si>
    <t>run8_easycategs_0.1unique_0.75rep-group_2</t>
  </si>
  <si>
    <t>run8_easycategs_0.1unique_0.75rep-group_3</t>
  </si>
  <si>
    <t>run8_easycategs_0.1unique_0.75rep-group_4</t>
  </si>
  <si>
    <t>run8_easycategs_0.1unique_1.0rep-group_0</t>
  </si>
  <si>
    <t>run8_easycategs_0.1unique_1.0rep-group_1</t>
  </si>
  <si>
    <t>run8_easycategs_0.1unique_1.0rep-group_2</t>
  </si>
  <si>
    <t>run8_easycategs_0.1unique_1.0rep-group_3</t>
  </si>
  <si>
    <t>run8_easycategs_0.1unique_1.0rep-group_4</t>
  </si>
  <si>
    <t>run8_easycategs_0.25unique_0.1rep-group_0</t>
  </si>
  <si>
    <t>run8_easycategs_0.25unique_0.1rep-group_1</t>
  </si>
  <si>
    <t>run8_easycategs_0.25unique_0.1rep-group_2</t>
  </si>
  <si>
    <t>run8_easycategs_0.25unique_0.1rep-group_3</t>
  </si>
  <si>
    <t>run8_easycategs_0.25unique_0.1rep-group_4</t>
  </si>
  <si>
    <t>run8_easycategs_0.25unique_0.25rep-group_0</t>
  </si>
  <si>
    <t>run8_easycategs_0.25unique_0.25rep-group_1</t>
  </si>
  <si>
    <t>run8_easycategs_0.25unique_0.25rep-group_2</t>
  </si>
  <si>
    <t>run8_easycategs_0.25unique_0.25rep-group_3</t>
  </si>
  <si>
    <t>run8_easycategs_0.25unique_0.25rep-group_4</t>
  </si>
  <si>
    <t>run8_easycategs_0.25unique_0.5rep-group_0</t>
  </si>
  <si>
    <t>run8_easycategs_0.25unique_0.5rep-group_1</t>
  </si>
  <si>
    <t>run8_easycategs_0.25unique_0.5rep-group_2</t>
  </si>
  <si>
    <t>run8_easycategs_0.25unique_0.5rep-group_3</t>
  </si>
  <si>
    <t>run8_easycategs_0.25unique_0.5rep-group_4</t>
  </si>
  <si>
    <t>run8_easycategs_0.25unique_0.75rep-group_0</t>
  </si>
  <si>
    <t>run8_easycategs_0.25unique_0.75rep-group_1</t>
  </si>
  <si>
    <t>run8_easycategs_0.25unique_0.75rep-group_2</t>
  </si>
  <si>
    <t>run8_easycategs_0.25unique_0.75rep-group_3</t>
  </si>
  <si>
    <t>run8_easycategs_0.25unique_0.75rep-group_4</t>
  </si>
  <si>
    <t>run8_easycategs_0.25unique_1.0rep-group_0</t>
  </si>
  <si>
    <t>run8_easycategs_0.25unique_1.0rep-group_1</t>
  </si>
  <si>
    <t>run8_easycategs_0.25unique_1.0rep-group_2</t>
  </si>
  <si>
    <t>run8_easycategs_0.25unique_1.0rep-group_3</t>
  </si>
  <si>
    <t>run8_easycategs_0.25unique_1.0rep-group_4</t>
  </si>
  <si>
    <t>run8_easycategs_0.5unique_0.1rep-group_0</t>
  </si>
  <si>
    <t>run8_easycategs_0.5unique_0.1rep-group_1</t>
  </si>
  <si>
    <t>run8_easycategs_0.5unique_0.1rep-group_2</t>
  </si>
  <si>
    <t>run8_easycategs_0.5unique_0.1rep-group_3</t>
  </si>
  <si>
    <t>run8_easycategs_0.5unique_0.1rep-group_4</t>
  </si>
  <si>
    <t>run8_easycategs_0.5unique_0.25rep-group_0</t>
  </si>
  <si>
    <t>run8_easycategs_0.5unique_0.25rep-group_1</t>
  </si>
  <si>
    <t>run8_easycategs_0.5unique_0.25rep-group_2</t>
  </si>
  <si>
    <t>run8_easycategs_0.5unique_0.25rep-group_3</t>
  </si>
  <si>
    <t>run8_easycategs_0.5unique_0.25rep-group_4</t>
  </si>
  <si>
    <t>run8_easycategs_0.5unique_0.5rep-group_0</t>
  </si>
  <si>
    <t>run8_easycategs_0.5unique_0.5rep-group_1</t>
  </si>
  <si>
    <t>run8_easycategs_0.5unique_0.5rep-group_2</t>
  </si>
  <si>
    <t>run8_easycategs_0.5unique_0.5rep-group_3</t>
  </si>
  <si>
    <t>run8_easycategs_0.5unique_0.5rep-group_4</t>
  </si>
  <si>
    <t>run8_easycategs_0.5unique_0.75rep-group_0</t>
  </si>
  <si>
    <t>run8_easycategs_0.5unique_0.75rep-group_1</t>
  </si>
  <si>
    <t>run8_easycategs_0.5unique_0.75rep-group_2</t>
  </si>
  <si>
    <t>run8_easycategs_0.5unique_0.75rep-group_3</t>
  </si>
  <si>
    <t>run8_easycategs_0.5unique_0.75rep-group_4</t>
  </si>
  <si>
    <t>run8_easycategs_0.5unique_1.0rep-group_0</t>
  </si>
  <si>
    <t>run8_easycategs_0.5unique_1.0rep-group_1</t>
  </si>
  <si>
    <t>run8_easycategs_0.5unique_1.0rep-group_2</t>
  </si>
  <si>
    <t>run8_easycategs_0.5unique_1.0rep-group_3</t>
  </si>
  <si>
    <t>run8_easycategs_0.5unique_1.0rep-group_4</t>
  </si>
  <si>
    <t>run8_easycategs_0.75unique_0.1rep-group_0</t>
  </si>
  <si>
    <t>run8_easycategs_0.75unique_0.1rep-group_1</t>
  </si>
  <si>
    <t>run8_easycategs_0.75unique_0.1rep-group_2</t>
  </si>
  <si>
    <t>run8_easycategs_0.75unique_0.1rep-group_3</t>
  </si>
  <si>
    <t>run8_easycategs_0.75unique_0.1rep-group_4</t>
  </si>
  <si>
    <t>run8_easycategs_0.75unique_0.25rep-group_0</t>
  </si>
  <si>
    <t>run8_easycategs_0.75unique_0.25rep-group_1</t>
  </si>
  <si>
    <t>run8_easycategs_0.75unique_0.25rep-group_2</t>
  </si>
  <si>
    <t>run8_easycategs_0.75unique_0.25rep-group_3</t>
  </si>
  <si>
    <t>run8_easycategs_0.75unique_0.25rep-group_4</t>
  </si>
  <si>
    <t>run8_easycategs_0.75unique_0.5rep-group_0</t>
  </si>
  <si>
    <t>run8_easycategs_0.75unique_0.5rep-group_1</t>
  </si>
  <si>
    <t>run8_easycategs_0.75unique_0.5rep-group_2</t>
  </si>
  <si>
    <t>run8_easycategs_0.75unique_0.5rep-group_3</t>
  </si>
  <si>
    <t>run8_easycategs_0.75unique_0.5rep-group_4</t>
  </si>
  <si>
    <t>run8_easycategs_0.75unique_0.75rep-group_0</t>
  </si>
  <si>
    <t>run8_easycategs_0.75unique_0.75rep-group_1</t>
  </si>
  <si>
    <t>run8_easycategs_0.75unique_0.75rep-group_2</t>
  </si>
  <si>
    <t>run8_easycategs_0.75unique_0.75rep-group_3</t>
  </si>
  <si>
    <t>run8_easycategs_0.75unique_0.75rep-group_4</t>
  </si>
  <si>
    <t>run8_easycategs_0.75unique_1.0rep-group_0</t>
  </si>
  <si>
    <t>run8_easycategs_0.75unique_1.0rep-group_1</t>
  </si>
  <si>
    <t>run8_easycategs_0.75unique_1.0rep-group_2</t>
  </si>
  <si>
    <t>run8_easycategs_0.75unique_1.0rep-group_3</t>
  </si>
  <si>
    <t>run8_easycategs_0.75unique_1.0rep-group_4</t>
  </si>
  <si>
    <t>run8_easycategs_1.0unique_0.1rep-group_0</t>
  </si>
  <si>
    <t>run8_easycategs_1.0unique_0.1rep-group_1</t>
  </si>
  <si>
    <t>run8_easycategs_1.0unique_0.1rep-group_2</t>
  </si>
  <si>
    <t>run8_easycategs_1.0unique_0.1rep-group_3</t>
  </si>
  <si>
    <t>run8_easycategs_1.0unique_0.1rep-group_4</t>
  </si>
  <si>
    <t>run8_easycategs_1.0unique_0.25rep-group_0</t>
  </si>
  <si>
    <t>run8_easycategs_1.0unique_0.25rep-group_1</t>
  </si>
  <si>
    <t>run8_easycategs_1.0unique_0.25rep-group_2</t>
  </si>
  <si>
    <t>run8_easycategs_1.0unique_0.25rep-group_3</t>
  </si>
  <si>
    <t>run8_easycategs_1.0unique_0.25rep-group_4</t>
  </si>
  <si>
    <t>run8_easycategs_1.0unique_0.5rep-group_0</t>
  </si>
  <si>
    <t>run8_easycategs_1.0unique_0.5rep-group_1</t>
  </si>
  <si>
    <t>run8_easycategs_1.0unique_0.5rep-group_2</t>
  </si>
  <si>
    <t>run8_easycategs_1.0unique_0.5rep-group_3</t>
  </si>
  <si>
    <t>run8_easycategs_1.0unique_0.5rep-group_4</t>
  </si>
  <si>
    <t>run8_easycategs_1.0unique_0.75rep-group_0</t>
  </si>
  <si>
    <t>run8_easycategs_1.0unique_0.75rep-group_1</t>
  </si>
  <si>
    <t>run8_easycategs_1.0unique_0.75rep-group_2</t>
  </si>
  <si>
    <t>run8_easycategs_1.0unique_0.75rep-group_3</t>
  </si>
  <si>
    <t>run8_easycategs_1.0unique_0.75rep-group_4</t>
  </si>
  <si>
    <t>run8_easycategs_1.0unique_1.0rep-group_0</t>
  </si>
  <si>
    <t>run8_easycategs_1.0unique_1.0rep-group_1</t>
  </si>
  <si>
    <t>run8_easycategs_1.0unique_1.0rep-group_2</t>
  </si>
  <si>
    <t>run8_easycategs_1.0unique_1.0rep-group_3</t>
  </si>
  <si>
    <t>run8_easycategs_1.0unique_1.0rep-group_4</t>
  </si>
  <si>
    <t>run8_priority12x3x4_0.1unique_0.1rep-group_0</t>
  </si>
  <si>
    <t>run8_priority12x3x4_0.1unique_0.1rep-group_1</t>
  </si>
  <si>
    <t>run8_priority12x3x4_0.1unique_0.1rep-group_2</t>
  </si>
  <si>
    <t>run8_priority12x3x4_0.1unique_0.1rep-group_3</t>
  </si>
  <si>
    <t>run8_priority12x3x4_0.1unique_0.1rep-group_4</t>
  </si>
  <si>
    <t>run8_priority12x3x4_0.1unique_0.25rep-group_0</t>
  </si>
  <si>
    <t>run8_priority12x3x4_0.1unique_0.25rep-group_1</t>
  </si>
  <si>
    <t>run8_priority12x3x4_0.1unique_0.25rep-group_2</t>
  </si>
  <si>
    <t>run8_priority12x3x4_0.1unique_0.25rep-group_3</t>
  </si>
  <si>
    <t>run8_priority12x3x4_0.1unique_0.25rep-group_4</t>
  </si>
  <si>
    <t>run8_priority12x3x4_0.1unique_0.5rep-group_0</t>
  </si>
  <si>
    <t>run8_priority12x3x4_0.1unique_0.5rep-group_1</t>
  </si>
  <si>
    <t>run8_priority12x3x4_0.1unique_0.5rep-group_2</t>
  </si>
  <si>
    <t>run8_priority12x3x4_0.1unique_0.5rep-group_3</t>
  </si>
  <si>
    <t>run8_priority12x3x4_0.1unique_0.5rep-group_4</t>
  </si>
  <si>
    <t>run8_priority12x3x4_0.1unique_0.75rep-group_0</t>
  </si>
  <si>
    <t>run8_priority12x3x4_0.1unique_0.75rep-group_1</t>
  </si>
  <si>
    <t>run8_priority12x3x4_0.1unique_0.75rep-group_2</t>
  </si>
  <si>
    <t>run8_priority12x3x4_0.1unique_0.75rep-group_3</t>
  </si>
  <si>
    <t>run8_priority12x3x4_0.1unique_0.75rep-group_4</t>
  </si>
  <si>
    <t>run8_priority12x3x4_0.1unique_1.0rep-group_0</t>
  </si>
  <si>
    <t>run8_priority12x3x4_0.1unique_1.0rep-group_1</t>
  </si>
  <si>
    <t>run8_priority12x3x4_0.1unique_1.0rep-group_2</t>
  </si>
  <si>
    <t>run8_priority12x3x4_0.1unique_1.0rep-group_3</t>
  </si>
  <si>
    <t>run8_priority12x3x4_0.1unique_1.0rep-group_4</t>
  </si>
  <si>
    <t>run8_priority12x3x4_0.25unique_0.1rep-group_0</t>
  </si>
  <si>
    <t>run8_priority12x3x4_0.25unique_0.1rep-group_1</t>
  </si>
  <si>
    <t>run8_priority12x3x4_0.25unique_0.1rep-group_2</t>
  </si>
  <si>
    <t>run8_priority12x3x4_0.25unique_0.1rep-group_3</t>
  </si>
  <si>
    <t>run8_priority12x3x4_0.25unique_0.1rep-group_4</t>
  </si>
  <si>
    <t>run8_priority12x3x4_0.25unique_0.25rep-group_0</t>
  </si>
  <si>
    <t>run8_priority12x3x4_0.25unique_0.25rep-group_1</t>
  </si>
  <si>
    <t>run8_priority12x3x4_0.25unique_0.25rep-group_2</t>
  </si>
  <si>
    <t>run8_priority12x3x4_0.25unique_0.25rep-group_3</t>
  </si>
  <si>
    <t>run8_priority12x3x4_0.25unique_0.25rep-group_4</t>
  </si>
  <si>
    <t>run8_priority12x3x4_0.25unique_0.5rep-group_0</t>
  </si>
  <si>
    <t>run8_priority12x3x4_0.25unique_0.5rep-group_1</t>
  </si>
  <si>
    <t>run8_priority12x3x4_0.25unique_0.5rep-group_2</t>
  </si>
  <si>
    <t>run8_priority12x3x4_0.25unique_0.5rep-group_3</t>
  </si>
  <si>
    <t>run8_priority12x3x4_0.25unique_0.5rep-group_4</t>
  </si>
  <si>
    <t>run8_priority12x3x4_0.25unique_0.75rep-group_0</t>
  </si>
  <si>
    <t>run8_priority12x3x4_0.25unique_0.75rep-group_1</t>
  </si>
  <si>
    <t>run8_priority12x3x4_0.25unique_0.75rep-group_2</t>
  </si>
  <si>
    <t>run8_priority12x3x4_0.25unique_0.75rep-group_3</t>
  </si>
  <si>
    <t>run8_priority12x3x4_0.25unique_0.75rep-group_4</t>
  </si>
  <si>
    <t>run8_priority12x3x4_0.25unique_1.0rep-group_0</t>
  </si>
  <si>
    <t>run8_priority12x3x4_0.25unique_1.0rep-group_1</t>
  </si>
  <si>
    <t>run8_priority12x3x4_0.25unique_1.0rep-group_2</t>
  </si>
  <si>
    <t>run8_priority12x3x4_0.25unique_1.0rep-group_3</t>
  </si>
  <si>
    <t>run8_priority12x3x4_0.25unique_1.0rep-group_4</t>
  </si>
  <si>
    <t>run8_priority12x3x4_0.5unique_0.1rep-group_0</t>
  </si>
  <si>
    <t>run8_priority12x3x4_0.5unique_0.1rep-group_1</t>
  </si>
  <si>
    <t>run8_priority12x3x4_0.5unique_0.1rep-group_2</t>
  </si>
  <si>
    <t>run8_priority12x3x4_0.5unique_0.1rep-group_3</t>
  </si>
  <si>
    <t>run8_priority12x3x4_0.5unique_0.1rep-group_4</t>
  </si>
  <si>
    <t>run8_priority12x3x4_0.5unique_0.25rep-group_0</t>
  </si>
  <si>
    <t>run8_priority12x3x4_0.5unique_0.25rep-group_1</t>
  </si>
  <si>
    <t>run8_priority12x3x4_0.5unique_0.25rep-group_2</t>
  </si>
  <si>
    <t>run8_priority12x3x4_0.5unique_0.25rep-group_3</t>
  </si>
  <si>
    <t>run8_priority12x3x4_0.5unique_0.25rep-group_4</t>
  </si>
  <si>
    <t>run8_priority12x3x4_0.5unique_0.5rep-group_0</t>
  </si>
  <si>
    <t>run8_priority12x3x4_0.5unique_0.5rep-group_1</t>
  </si>
  <si>
    <t>run8_priority12x3x4_0.5unique_0.5rep-group_2</t>
  </si>
  <si>
    <t>run8_priority12x3x4_0.5unique_0.5rep-group_3</t>
  </si>
  <si>
    <t>run8_priority12x3x4_0.5unique_0.5rep-group_4</t>
  </si>
  <si>
    <t>run8_priority12x3x4_0.5unique_0.75rep-group_0</t>
  </si>
  <si>
    <t>run8_priority12x3x4_0.5unique_0.75rep-group_1</t>
  </si>
  <si>
    <t>run8_priority12x3x4_0.5unique_0.75rep-group_2</t>
  </si>
  <si>
    <t>run8_priority12x3x4_0.5unique_0.75rep-group_3</t>
  </si>
  <si>
    <t>run8_priority12x3x4_0.5unique_0.75rep-group_4</t>
  </si>
  <si>
    <t>run8_priority12x3x4_0.5unique_1.0rep-group_0</t>
  </si>
  <si>
    <t>run8_priority12x3x4_0.5unique_1.0rep-group_1</t>
  </si>
  <si>
    <t>run8_priority12x3x4_0.5unique_1.0rep-group_2</t>
  </si>
  <si>
    <t>run8_priority12x3x4_0.5unique_1.0rep-group_3</t>
  </si>
  <si>
    <t>run8_priority12x3x4_0.5unique_1.0rep-group_4</t>
  </si>
  <si>
    <t>run8_priority12x3x4_0.75unique_0.1rep-group_0</t>
  </si>
  <si>
    <t>run8_priority12x3x4_0.75unique_0.1rep-group_1</t>
  </si>
  <si>
    <t>run8_priority12x3x4_0.75unique_0.1rep-group_2</t>
  </si>
  <si>
    <t>run8_priority12x3x4_0.75unique_0.1rep-group_3</t>
  </si>
  <si>
    <t>run8_priority12x3x4_0.75unique_0.1rep-group_4</t>
  </si>
  <si>
    <t>run8_priority12x3x4_0.75unique_0.25rep-group_0</t>
  </si>
  <si>
    <t>run8_priority12x3x4_0.75unique_0.25rep-group_1</t>
  </si>
  <si>
    <t>run8_priority12x3x4_0.75unique_0.25rep-group_2</t>
  </si>
  <si>
    <t>run8_priority12x3x4_0.75unique_0.25rep-group_3</t>
  </si>
  <si>
    <t>run8_priority12x3x4_0.75unique_0.25rep-group_4</t>
  </si>
  <si>
    <t>run8_priority12x3x4_0.75unique_0.5rep-group_0</t>
  </si>
  <si>
    <t>run8_priority12x3x4_0.75unique_0.5rep-group_1</t>
  </si>
  <si>
    <t>run8_priority12x3x4_0.75unique_0.5rep-group_2</t>
  </si>
  <si>
    <t>run8_priority12x3x4_0.75unique_0.5rep-group_3</t>
  </si>
  <si>
    <t>run8_priority12x3x4_0.75unique_0.5rep-group_4</t>
  </si>
  <si>
    <t>run8_priority12x3x4_0.75unique_0.75rep-group_0</t>
  </si>
  <si>
    <t>run8_priority12x3x4_0.75unique_0.75rep-group_1</t>
  </si>
  <si>
    <t>run8_priority12x3x4_0.75unique_0.75rep-group_2</t>
  </si>
  <si>
    <t>run8_priority12x3x4_0.75unique_0.75rep-group_3</t>
  </si>
  <si>
    <t>run8_priority12x3x4_0.75unique_0.75rep-group_4</t>
  </si>
  <si>
    <t>run8_priority12x3x4_0.75unique_1.0rep-group_0</t>
  </si>
  <si>
    <t>run8_priority12x3x4_0.75unique_1.0rep-group_1</t>
  </si>
  <si>
    <t>run8_priority12x3x4_0.75unique_1.0rep-group_2</t>
  </si>
  <si>
    <t>run8_priority12x3x4_0.75unique_1.0rep-group_3</t>
  </si>
  <si>
    <t>run8_priority12x3x4_0.75unique_1.0rep-group_4</t>
  </si>
  <si>
    <t>run8_priority12x3x4_1.0unique_0.1rep-group_0</t>
  </si>
  <si>
    <t>run8_priority12x3x4_1.0unique_0.1rep-group_1</t>
  </si>
  <si>
    <t>run8_priority12x3x4_1.0unique_0.1rep-group_2</t>
  </si>
  <si>
    <t>run8_priority12x3x4_1.0unique_0.1rep-group_3</t>
  </si>
  <si>
    <t>run8_priority12x3x4_1.0unique_0.1rep-group_4</t>
  </si>
  <si>
    <t>run8_priority12x3x4_1.0unique_0.25rep-group_0</t>
  </si>
  <si>
    <t>run8_priority12x3x4_1.0unique_0.25rep-group_1</t>
  </si>
  <si>
    <t>run8_priority12x3x4_1.0unique_0.25rep-group_2</t>
  </si>
  <si>
    <t>run8_priority12x3x4_1.0unique_0.25rep-group_3</t>
  </si>
  <si>
    <t>run8_priority12x3x4_1.0unique_0.25rep-group_4</t>
  </si>
  <si>
    <t>run8_priority12x3x4_1.0unique_0.5rep-group_0</t>
  </si>
  <si>
    <t>run8_priority12x3x4_1.0unique_0.5rep-group_1</t>
  </si>
  <si>
    <t>run8_priority12x3x4_1.0unique_0.5rep-group_2</t>
  </si>
  <si>
    <t>run8_priority12x3x4_1.0unique_0.5rep-group_3</t>
  </si>
  <si>
    <t>run8_priority12x3x4_1.0unique_0.5rep-group_4</t>
  </si>
  <si>
    <t>run8_priority12x3x4_1.0unique_0.75rep-group_0</t>
  </si>
  <si>
    <t>run8_priority12x3x4_1.0unique_0.75rep-group_1</t>
  </si>
  <si>
    <t>run8_priority12x3x4_1.0unique_0.75rep-group_2</t>
  </si>
  <si>
    <t>run8_priority12x3x4_1.0unique_0.75rep-group_3</t>
  </si>
  <si>
    <t>run8_priority12x3x4_1.0unique_0.75rep-group_4</t>
  </si>
  <si>
    <t>run8_priority12x3x4_1.0unique_1.0rep-group_0</t>
  </si>
  <si>
    <t>run8_priority12x3x4_1.0unique_1.0rep-group_1</t>
  </si>
  <si>
    <t>run8_priority12x3x4_1.0unique_1.0rep-group_2</t>
  </si>
  <si>
    <t>run8_priority12x3x4_1.0unique_1.0rep-group_3</t>
  </si>
  <si>
    <t>run8_priority12x3x4_1.0unique_1.0rep-group_4</t>
  </si>
  <si>
    <t>run9_awaitingsml_0.1unique_0.1rep-group_0</t>
  </si>
  <si>
    <t>run9_awaitingsml_0.1unique_0.1rep-group_1</t>
  </si>
  <si>
    <t>run9_awaitingsml_0.1unique_0.1rep-group_2</t>
  </si>
  <si>
    <t>run9_awaitingsml_0.1unique_0.1rep-group_3</t>
  </si>
  <si>
    <t>run9_awaitingsml_0.1unique_0.1rep-group_4</t>
  </si>
  <si>
    <t>run9_awaitingsml_0.1unique_0.25rep-group_0</t>
  </si>
  <si>
    <t>run9_awaitingsml_0.1unique_0.25rep-group_1</t>
  </si>
  <si>
    <t>run9_awaitingsml_0.1unique_0.25rep-group_2</t>
  </si>
  <si>
    <t>run9_awaitingsml_0.1unique_0.25rep-group_3</t>
  </si>
  <si>
    <t>run9_awaitingsml_0.1unique_0.25rep-group_4</t>
  </si>
  <si>
    <t>run9_awaitingsml_0.1unique_0.5rep-group_0</t>
  </si>
  <si>
    <t>run9_awaitingsml_0.1unique_0.5rep-group_1</t>
  </si>
  <si>
    <t>run9_awaitingsml_0.1unique_0.5rep-group_2</t>
  </si>
  <si>
    <t>run9_awaitingsml_0.1unique_0.5rep-group_3</t>
  </si>
  <si>
    <t>run9_awaitingsml_0.1unique_0.5rep-group_4</t>
  </si>
  <si>
    <t>run9_awaitingsml_0.1unique_0.75rep-group_0</t>
  </si>
  <si>
    <t>run9_awaitingsml_0.1unique_0.75rep-group_1</t>
  </si>
  <si>
    <t>run9_awaitingsml_0.1unique_0.75rep-group_2</t>
  </si>
  <si>
    <t>run9_awaitingsml_0.1unique_0.75rep-group_3</t>
  </si>
  <si>
    <t>run9_awaitingsml_0.1unique_0.75rep-group_4</t>
  </si>
  <si>
    <t>run9_awaitingsml_0.1unique_1.0rep-group_0</t>
  </si>
  <si>
    <t>run9_awaitingsml_0.1unique_1.0rep-group_1</t>
  </si>
  <si>
    <t>run9_awaitingsml_0.1unique_1.0rep-group_2</t>
  </si>
  <si>
    <t>run9_awaitingsml_0.1unique_1.0rep-group_3</t>
  </si>
  <si>
    <t>run9_awaitingsml_0.1unique_1.0rep-group_4</t>
  </si>
  <si>
    <t>run9_awaitingsml_0.25unique_0.1rep-group_0</t>
  </si>
  <si>
    <t>run9_awaitingsml_0.25unique_0.1rep-group_1</t>
  </si>
  <si>
    <t>run9_awaitingsml_0.25unique_0.1rep-group_2</t>
  </si>
  <si>
    <t>run9_awaitingsml_0.25unique_0.1rep-group_3</t>
  </si>
  <si>
    <t>run9_awaitingsml_0.25unique_0.1rep-group_4</t>
  </si>
  <si>
    <t>run9_awaitingsml_0.25unique_0.25rep-group_0</t>
  </si>
  <si>
    <t>run9_awaitingsml_0.25unique_0.25rep-group_1</t>
  </si>
  <si>
    <t>run9_awaitingsml_0.25unique_0.25rep-group_2</t>
  </si>
  <si>
    <t>run9_awaitingsml_0.25unique_0.25rep-group_3</t>
  </si>
  <si>
    <t>run9_awaitingsml_0.25unique_0.25rep-group_4</t>
  </si>
  <si>
    <t>run9_awaitingsml_0.25unique_0.5rep-group_0</t>
  </si>
  <si>
    <t>run9_awaitingsml_0.25unique_0.5rep-group_1</t>
  </si>
  <si>
    <t>run9_awaitingsml_0.25unique_0.5rep-group_2</t>
  </si>
  <si>
    <t>run9_awaitingsml_0.25unique_0.5rep-group_3</t>
  </si>
  <si>
    <t>run9_awaitingsml_0.25unique_0.5rep-group_4</t>
  </si>
  <si>
    <t>run9_awaitingsml_0.25unique_0.75rep-group_0</t>
  </si>
  <si>
    <t>run9_awaitingsml_0.25unique_0.75rep-group_1</t>
  </si>
  <si>
    <t>run9_awaitingsml_0.25unique_0.75rep-group_2</t>
  </si>
  <si>
    <t>run9_awaitingsml_0.25unique_0.75rep-group_3</t>
  </si>
  <si>
    <t>run9_awaitingsml_0.25unique_0.75rep-group_4</t>
  </si>
  <si>
    <t>run9_awaitingsml_0.25unique_1.0rep-group_0</t>
  </si>
  <si>
    <t>run9_awaitingsml_0.25unique_1.0rep-group_1</t>
  </si>
  <si>
    <t>run9_awaitingsml_0.25unique_1.0rep-group_2</t>
  </si>
  <si>
    <t>run9_awaitingsml_0.25unique_1.0rep-group_3</t>
  </si>
  <si>
    <t>run9_awaitingsml_0.25unique_1.0rep-group_4</t>
  </si>
  <si>
    <t>run9_awaitingsml_0.5unique_0.1rep-group_0</t>
  </si>
  <si>
    <t>run9_awaitingsml_0.5unique_0.1rep-group_1</t>
  </si>
  <si>
    <t>run9_awaitingsml_0.5unique_0.1rep-group_2</t>
  </si>
  <si>
    <t>run9_awaitingsml_0.5unique_0.1rep-group_3</t>
  </si>
  <si>
    <t>run9_awaitingsml_0.5unique_0.1rep-group_4</t>
  </si>
  <si>
    <t>run9_awaitingsml_0.5unique_0.25rep-group_0</t>
  </si>
  <si>
    <t>run9_awaitingsml_0.5unique_0.25rep-group_1</t>
  </si>
  <si>
    <t>run9_awaitingsml_0.5unique_0.25rep-group_2</t>
  </si>
  <si>
    <t>run9_awaitingsml_0.5unique_0.25rep-group_3</t>
  </si>
  <si>
    <t>run9_awaitingsml_0.5unique_0.25rep-group_4</t>
  </si>
  <si>
    <t>run9_awaitingsml_0.5unique_0.5rep-group_0</t>
  </si>
  <si>
    <t>run9_awaitingsml_0.5unique_0.5rep-group_1</t>
  </si>
  <si>
    <t>run9_awaitingsml_0.5unique_0.5rep-group_2</t>
  </si>
  <si>
    <t>run9_awaitingsml_0.5unique_0.5rep-group_3</t>
  </si>
  <si>
    <t>run9_awaitingsml_0.5unique_0.5rep-group_4</t>
  </si>
  <si>
    <t>run9_awaitingsml_0.5unique_0.75rep-group_0</t>
  </si>
  <si>
    <t>run9_awaitingsml_0.5unique_0.75rep-group_1</t>
  </si>
  <si>
    <t>run9_awaitingsml_0.5unique_0.75rep-group_2</t>
  </si>
  <si>
    <t>run9_awaitingsml_0.5unique_0.75rep-group_3</t>
  </si>
  <si>
    <t>run9_awaitingsml_0.5unique_0.75rep-group_4</t>
  </si>
  <si>
    <t>run9_awaitingsml_0.5unique_1.0rep-group_0</t>
  </si>
  <si>
    <t>run9_awaitingsml_0.5unique_1.0rep-group_1</t>
  </si>
  <si>
    <t>run9_awaitingsml_0.5unique_1.0rep-group_2</t>
  </si>
  <si>
    <t>run9_awaitingsml_0.5unique_1.0rep-group_3</t>
  </si>
  <si>
    <t>run9_awaitingsml_0.5unique_1.0rep-group_4</t>
  </si>
  <si>
    <t>run9_awaitingsml_0.75unique_0.1rep-group_0</t>
  </si>
  <si>
    <t>run9_awaitingsml_0.75unique_0.1rep-group_1</t>
  </si>
  <si>
    <t>run9_awaitingsml_0.75unique_0.1rep-group_2</t>
  </si>
  <si>
    <t>run9_awaitingsml_0.75unique_0.1rep-group_3</t>
  </si>
  <si>
    <t>run9_awaitingsml_0.75unique_0.1rep-group_4</t>
  </si>
  <si>
    <t>run9_awaitingsml_0.75unique_0.25rep-group_0</t>
  </si>
  <si>
    <t>run9_awaitingsml_0.75unique_0.25rep-group_1</t>
  </si>
  <si>
    <t>run9_awaitingsml_0.75unique_0.25rep-group_2</t>
  </si>
  <si>
    <t>run9_awaitingsml_0.75unique_0.25rep-group_3</t>
  </si>
  <si>
    <t>run9_awaitingsml_0.75unique_0.25rep-group_4</t>
  </si>
  <si>
    <t>run9_awaitingsml_0.75unique_0.5rep-group_0</t>
  </si>
  <si>
    <t>run9_awaitingsml_0.75unique_0.5rep-group_1</t>
  </si>
  <si>
    <t>run9_awaitingsml_0.75unique_0.5rep-group_2</t>
  </si>
  <si>
    <t>run9_awaitingsml_0.75unique_0.5rep-group_3</t>
  </si>
  <si>
    <t>run9_awaitingsml_0.75unique_0.5rep-group_4</t>
  </si>
  <si>
    <t>run9_awaitingsml_0.75unique_0.75rep-group_0</t>
  </si>
  <si>
    <t>run9_awaitingsml_0.75unique_0.75rep-group_1</t>
  </si>
  <si>
    <t>run9_awaitingsml_0.75unique_0.75rep-group_2</t>
  </si>
  <si>
    <t>run9_awaitingsml_0.75unique_0.75rep-group_3</t>
  </si>
  <si>
    <t>run9_awaitingsml_0.75unique_0.75rep-group_4</t>
  </si>
  <si>
    <t>run9_awaitingsml_0.75unique_1.0rep-group_0</t>
  </si>
  <si>
    <t>run9_awaitingsml_0.75unique_1.0rep-group_1</t>
  </si>
  <si>
    <t>run9_awaitingsml_0.75unique_1.0rep-group_2</t>
  </si>
  <si>
    <t>run9_awaitingsml_0.75unique_1.0rep-group_3</t>
  </si>
  <si>
    <t>run9_awaitingsml_0.75unique_1.0rep-group_4</t>
  </si>
  <si>
    <t>run9_awaitingsml_1.0unique_0.1rep-group_0</t>
  </si>
  <si>
    <t>run9_awaitingsml_1.0unique_0.1rep-group_1</t>
  </si>
  <si>
    <t>run9_awaitingsml_1.0unique_0.1rep-group_2</t>
  </si>
  <si>
    <t>run9_awaitingsml_1.0unique_0.1rep-group_3</t>
  </si>
  <si>
    <t>run9_awaitingsml_1.0unique_0.1rep-group_4</t>
  </si>
  <si>
    <t>run9_awaitingsml_1.0unique_0.25rep-group_0</t>
  </si>
  <si>
    <t>run9_awaitingsml_1.0unique_0.25rep-group_1</t>
  </si>
  <si>
    <t>run9_awaitingsml_1.0unique_0.25rep-group_2</t>
  </si>
  <si>
    <t>run9_awaitingsml_1.0unique_0.25rep-group_3</t>
  </si>
  <si>
    <t>run9_awaitingsml_1.0unique_0.25rep-group_4</t>
  </si>
  <si>
    <t>run9_awaitingsml_1.0unique_0.5rep-group_0</t>
  </si>
  <si>
    <t>run9_awaitingsml_1.0unique_0.5rep-group_1</t>
  </si>
  <si>
    <t>run9_awaitingsml_1.0unique_0.5rep-group_2</t>
  </si>
  <si>
    <t>run9_awaitingsml_1.0unique_0.5rep-group_3</t>
  </si>
  <si>
    <t>run9_awaitingsml_1.0unique_0.5rep-group_4</t>
  </si>
  <si>
    <t>run9_awaitingsml_1.0unique_0.75rep-group_0</t>
  </si>
  <si>
    <t>run9_awaitingsml_1.0unique_0.75rep-group_1</t>
  </si>
  <si>
    <t>run9_awaitingsml_1.0unique_0.75rep-group_2</t>
  </si>
  <si>
    <t>run9_awaitingsml_1.0unique_0.75rep-group_3</t>
  </si>
  <si>
    <t>run9_awaitingsml_1.0unique_0.75rep-group_4</t>
  </si>
  <si>
    <t>run9_awaitingsml_1.0unique_1.0rep-group_0</t>
  </si>
  <si>
    <t>run9_awaitingsml_1.0unique_1.0rep-group_1</t>
  </si>
  <si>
    <t>run9_awaitingsml_1.0unique_1.0rep-group_2</t>
  </si>
  <si>
    <t>run9_awaitingsml_1.0unique_1.0rep-group_3</t>
  </si>
  <si>
    <t>run9_awaitingsml_1.0unique_1.0rep-group_4</t>
  </si>
  <si>
    <t>run9_easycategs_0.1unique_0.1rep-group_0</t>
  </si>
  <si>
    <t>run9_easycategs_0.1unique_0.1rep-group_1</t>
  </si>
  <si>
    <t>run9_easycategs_0.1unique_0.1rep-group_2</t>
  </si>
  <si>
    <t>run9_easycategs_0.1unique_0.1rep-group_3</t>
  </si>
  <si>
    <t>run9_easycategs_0.1unique_0.1rep-group_4</t>
  </si>
  <si>
    <t>run9_easycategs_0.1unique_0.25rep-group_0</t>
  </si>
  <si>
    <t>run9_easycategs_0.1unique_0.25rep-group_1</t>
  </si>
  <si>
    <t>run9_easycategs_0.1unique_0.25rep-group_2</t>
  </si>
  <si>
    <t>run9_easycategs_0.1unique_0.25rep-group_3</t>
  </si>
  <si>
    <t>run9_easycategs_0.1unique_0.25rep-group_4</t>
  </si>
  <si>
    <t>run9_easycategs_0.1unique_0.5rep-group_0</t>
  </si>
  <si>
    <t>run9_easycategs_0.1unique_0.5rep-group_1</t>
  </si>
  <si>
    <t>run9_easycategs_0.1unique_0.5rep-group_2</t>
  </si>
  <si>
    <t>run9_easycategs_0.1unique_0.5rep-group_3</t>
  </si>
  <si>
    <t>run9_easycategs_0.1unique_0.5rep-group_4</t>
  </si>
  <si>
    <t>run9_easycategs_0.1unique_0.75rep-group_0</t>
  </si>
  <si>
    <t>run9_easycategs_0.1unique_0.75rep-group_1</t>
  </si>
  <si>
    <t>run9_easycategs_0.1unique_0.75rep-group_2</t>
  </si>
  <si>
    <t>run9_easycategs_0.1unique_0.75rep-group_3</t>
  </si>
  <si>
    <t>run9_easycategs_0.1unique_0.75rep-group_4</t>
  </si>
  <si>
    <t>run9_easycategs_0.1unique_1.0rep-group_0</t>
  </si>
  <si>
    <t>run9_easycategs_0.1unique_1.0rep-group_1</t>
  </si>
  <si>
    <t>run9_easycategs_0.1unique_1.0rep-group_2</t>
  </si>
  <si>
    <t>run9_easycategs_0.1unique_1.0rep-group_3</t>
  </si>
  <si>
    <t>run9_easycategs_0.1unique_1.0rep-group_4</t>
  </si>
  <si>
    <t>run9_easycategs_0.25unique_0.1rep-group_0</t>
  </si>
  <si>
    <t>run9_easycategs_0.25unique_0.1rep-group_1</t>
  </si>
  <si>
    <t>run9_easycategs_0.25unique_0.1rep-group_2</t>
  </si>
  <si>
    <t>run9_easycategs_0.25unique_0.1rep-group_3</t>
  </si>
  <si>
    <t>run9_easycategs_0.25unique_0.1rep-group_4</t>
  </si>
  <si>
    <t>run9_easycategs_0.25unique_0.25rep-group_0</t>
  </si>
  <si>
    <t>run9_easycategs_0.25unique_0.25rep-group_1</t>
  </si>
  <si>
    <t>run9_easycategs_0.25unique_0.25rep-group_2</t>
  </si>
  <si>
    <t>run9_easycategs_0.25unique_0.25rep-group_3</t>
  </si>
  <si>
    <t>run9_easycategs_0.25unique_0.25rep-group_4</t>
  </si>
  <si>
    <t>run9_easycategs_0.25unique_0.5rep-group_0</t>
  </si>
  <si>
    <t>run9_easycategs_0.25unique_0.5rep-group_1</t>
  </si>
  <si>
    <t>run9_easycategs_0.25unique_0.5rep-group_2</t>
  </si>
  <si>
    <t>run9_easycategs_0.25unique_0.5rep-group_3</t>
  </si>
  <si>
    <t>run9_easycategs_0.25unique_0.5rep-group_4</t>
  </si>
  <si>
    <t>run9_easycategs_0.25unique_0.75rep-group_0</t>
  </si>
  <si>
    <t>run9_easycategs_0.25unique_0.75rep-group_1</t>
  </si>
  <si>
    <t>run9_easycategs_0.25unique_0.75rep-group_2</t>
  </si>
  <si>
    <t>run9_easycategs_0.25unique_0.75rep-group_3</t>
  </si>
  <si>
    <t>run9_easycategs_0.25unique_0.75rep-group_4</t>
  </si>
  <si>
    <t>run9_easycategs_0.25unique_1.0rep-group_0</t>
  </si>
  <si>
    <t>run9_easycategs_0.25unique_1.0rep-group_1</t>
  </si>
  <si>
    <t>run9_easycategs_0.25unique_1.0rep-group_2</t>
  </si>
  <si>
    <t>run9_easycategs_0.25unique_1.0rep-group_3</t>
  </si>
  <si>
    <t>run9_easycategs_0.25unique_1.0rep-group_4</t>
  </si>
  <si>
    <t>run9_easycategs_0.5unique_0.1rep-group_0</t>
  </si>
  <si>
    <t>run9_easycategs_0.5unique_0.1rep-group_1</t>
  </si>
  <si>
    <t>run9_easycategs_0.5unique_0.1rep-group_2</t>
  </si>
  <si>
    <t>run9_easycategs_0.5unique_0.1rep-group_3</t>
  </si>
  <si>
    <t>run9_easycategs_0.5unique_0.1rep-group_4</t>
  </si>
  <si>
    <t>run9_easycategs_0.5unique_0.25rep-group_0</t>
  </si>
  <si>
    <t>run9_easycategs_0.5unique_0.25rep-group_1</t>
  </si>
  <si>
    <t>run9_easycategs_0.5unique_0.25rep-group_2</t>
  </si>
  <si>
    <t>run9_easycategs_0.5unique_0.25rep-group_3</t>
  </si>
  <si>
    <t>run9_easycategs_0.5unique_0.25rep-group_4</t>
  </si>
  <si>
    <t>run9_easycategs_0.5unique_0.5rep-group_0</t>
  </si>
  <si>
    <t>run9_easycategs_0.5unique_0.5rep-group_1</t>
  </si>
  <si>
    <t>run9_easycategs_0.5unique_0.5rep-group_2</t>
  </si>
  <si>
    <t>run9_easycategs_0.5unique_0.5rep-group_3</t>
  </si>
  <si>
    <t>run9_easycategs_0.5unique_0.5rep-group_4</t>
  </si>
  <si>
    <t>run9_easycategs_0.5unique_0.75rep-group_0</t>
  </si>
  <si>
    <t>run9_easycategs_0.5unique_0.75rep-group_1</t>
  </si>
  <si>
    <t>run9_easycategs_0.5unique_0.75rep-group_2</t>
  </si>
  <si>
    <t>run9_easycategs_0.5unique_0.75rep-group_3</t>
  </si>
  <si>
    <t>run9_easycategs_0.5unique_0.75rep-group_4</t>
  </si>
  <si>
    <t>run9_easycategs_0.5unique_1.0rep-group_0</t>
  </si>
  <si>
    <t>run9_easycategs_0.5unique_1.0rep-group_1</t>
  </si>
  <si>
    <t>run9_easycategs_0.5unique_1.0rep-group_2</t>
  </si>
  <si>
    <t>run9_easycategs_0.5unique_1.0rep-group_3</t>
  </si>
  <si>
    <t>run9_easycategs_0.5unique_1.0rep-group_4</t>
  </si>
  <si>
    <t>run9_easycategs_0.75unique_0.1rep-group_0</t>
  </si>
  <si>
    <t>run9_easycategs_0.75unique_0.1rep-group_1</t>
  </si>
  <si>
    <t>run9_easycategs_0.75unique_0.1rep-group_2</t>
  </si>
  <si>
    <t>run9_easycategs_0.75unique_0.1rep-group_3</t>
  </si>
  <si>
    <t>run9_easycategs_0.75unique_0.1rep-group_4</t>
  </si>
  <si>
    <t>run9_easycategs_0.75unique_0.25rep-group_0</t>
  </si>
  <si>
    <t>run9_easycategs_0.75unique_0.25rep-group_1</t>
  </si>
  <si>
    <t>run9_easycategs_0.75unique_0.25rep-group_2</t>
  </si>
  <si>
    <t>run9_easycategs_0.75unique_0.25rep-group_3</t>
  </si>
  <si>
    <t>run9_easycategs_0.75unique_0.25rep-group_4</t>
  </si>
  <si>
    <t>run9_easycategs_0.75unique_0.5rep-group_0</t>
  </si>
  <si>
    <t>run9_easycategs_0.75unique_0.5rep-group_1</t>
  </si>
  <si>
    <t>run9_easycategs_0.75unique_0.5rep-group_2</t>
  </si>
  <si>
    <t>run9_easycategs_0.75unique_0.5rep-group_3</t>
  </si>
  <si>
    <t>run9_easycategs_0.75unique_0.5rep-group_4</t>
  </si>
  <si>
    <t>run9_easycategs_0.75unique_0.75rep-group_0</t>
  </si>
  <si>
    <t>run9_easycategs_0.75unique_0.75rep-group_1</t>
  </si>
  <si>
    <t>run9_easycategs_0.75unique_0.75rep-group_2</t>
  </si>
  <si>
    <t>run9_easycategs_0.75unique_0.75rep-group_3</t>
  </si>
  <si>
    <t>run9_easycategs_0.75unique_0.75rep-group_4</t>
  </si>
  <si>
    <t>run9_easycategs_0.75unique_1.0rep-group_0</t>
  </si>
  <si>
    <t>run9_easycategs_0.75unique_1.0rep-group_1</t>
  </si>
  <si>
    <t>run9_easycategs_0.75unique_1.0rep-group_2</t>
  </si>
  <si>
    <t>run9_easycategs_0.75unique_1.0rep-group_3</t>
  </si>
  <si>
    <t>run9_easycategs_0.75unique_1.0rep-group_4</t>
  </si>
  <si>
    <t>run9_easycategs_1.0unique_0.1rep-group_0</t>
  </si>
  <si>
    <t>run9_easycategs_1.0unique_0.1rep-group_1</t>
  </si>
  <si>
    <t>run9_easycategs_1.0unique_0.1rep-group_2</t>
  </si>
  <si>
    <t>run9_easycategs_1.0unique_0.1rep-group_3</t>
  </si>
  <si>
    <t>run9_easycategs_1.0unique_0.1rep-group_4</t>
  </si>
  <si>
    <t>run9_easycategs_1.0unique_0.25rep-group_0</t>
  </si>
  <si>
    <t>run9_easycategs_1.0unique_0.25rep-group_1</t>
  </si>
  <si>
    <t>run9_easycategs_1.0unique_0.25rep-group_2</t>
  </si>
  <si>
    <t>run9_easycategs_1.0unique_0.25rep-group_3</t>
  </si>
  <si>
    <t>run9_easycategs_1.0unique_0.25rep-group_4</t>
  </si>
  <si>
    <t>run9_easycategs_1.0unique_0.5rep-group_0</t>
  </si>
  <si>
    <t>run9_easycategs_1.0unique_0.5rep-group_1</t>
  </si>
  <si>
    <t>run9_easycategs_1.0unique_0.5rep-group_2</t>
  </si>
  <si>
    <t>run9_easycategs_1.0unique_0.5rep-group_3</t>
  </si>
  <si>
    <t>run9_easycategs_1.0unique_0.5rep-group_4</t>
  </si>
  <si>
    <t>run9_easycategs_1.0unique_0.75rep-group_0</t>
  </si>
  <si>
    <t>run9_easycategs_1.0unique_0.75rep-group_1</t>
  </si>
  <si>
    <t>run9_easycategs_1.0unique_0.75rep-group_2</t>
  </si>
  <si>
    <t>run9_easycategs_1.0unique_0.75rep-group_3</t>
  </si>
  <si>
    <t>run9_easycategs_1.0unique_0.75rep-group_4</t>
  </si>
  <si>
    <t>run9_easycategs_1.0unique_1.0rep-group_0</t>
  </si>
  <si>
    <t>run9_easycategs_1.0unique_1.0rep-group_1</t>
  </si>
  <si>
    <t>run9_easycategs_1.0unique_1.0rep-group_2</t>
  </si>
  <si>
    <t>run9_easycategs_1.0unique_1.0rep-group_3</t>
  </si>
  <si>
    <t>run9_easycategs_1.0unique_1.0rep-group_4</t>
  </si>
  <si>
    <t>run9_priority12x3x4_0.1unique_0.1rep-group_0</t>
  </si>
  <si>
    <t>run9_priority12x3x4_0.1unique_0.1rep-group_1</t>
  </si>
  <si>
    <t>run9_priority12x3x4_0.1unique_0.1rep-group_2</t>
  </si>
  <si>
    <t>run9_priority12x3x4_0.1unique_0.1rep-group_3</t>
  </si>
  <si>
    <t>run9_priority12x3x4_0.1unique_0.1rep-group_4</t>
  </si>
  <si>
    <t>run9_priority12x3x4_0.1unique_0.25rep-group_0</t>
  </si>
  <si>
    <t>run9_priority12x3x4_0.1unique_0.25rep-group_1</t>
  </si>
  <si>
    <t>run9_priority12x3x4_0.1unique_0.25rep-group_2</t>
  </si>
  <si>
    <t>run9_priority12x3x4_0.1unique_0.25rep-group_3</t>
  </si>
  <si>
    <t>run9_priority12x3x4_0.1unique_0.25rep-group_4</t>
  </si>
  <si>
    <t>run9_priority12x3x4_0.1unique_0.5rep-group_0</t>
  </si>
  <si>
    <t>run9_priority12x3x4_0.1unique_0.5rep-group_1</t>
  </si>
  <si>
    <t>run9_priority12x3x4_0.1unique_0.5rep-group_2</t>
  </si>
  <si>
    <t>run9_priority12x3x4_0.1unique_0.5rep-group_3</t>
  </si>
  <si>
    <t>run9_priority12x3x4_0.1unique_0.5rep-group_4</t>
  </si>
  <si>
    <t>run9_priority12x3x4_0.1unique_0.75rep-group_0</t>
  </si>
  <si>
    <t>run9_priority12x3x4_0.1unique_0.75rep-group_1</t>
  </si>
  <si>
    <t>run9_priority12x3x4_0.1unique_0.75rep-group_2</t>
  </si>
  <si>
    <t>run9_priority12x3x4_0.1unique_0.75rep-group_3</t>
  </si>
  <si>
    <t>run9_priority12x3x4_0.1unique_0.75rep-group_4</t>
  </si>
  <si>
    <t>run9_priority12x3x4_0.1unique_1.0rep-group_0</t>
  </si>
  <si>
    <t>run9_priority12x3x4_0.1unique_1.0rep-group_1</t>
  </si>
  <si>
    <t>run9_priority12x3x4_0.1unique_1.0rep-group_2</t>
  </si>
  <si>
    <t>run9_priority12x3x4_0.1unique_1.0rep-group_3</t>
  </si>
  <si>
    <t>run9_priority12x3x4_0.1unique_1.0rep-group_4</t>
  </si>
  <si>
    <t>run9_priority12x3x4_0.25unique_0.1rep-group_0</t>
  </si>
  <si>
    <t>run9_priority12x3x4_0.25unique_0.1rep-group_1</t>
  </si>
  <si>
    <t>run9_priority12x3x4_0.25unique_0.1rep-group_2</t>
  </si>
  <si>
    <t>run9_priority12x3x4_0.25unique_0.1rep-group_3</t>
  </si>
  <si>
    <t>run9_priority12x3x4_0.25unique_0.1rep-group_4</t>
  </si>
  <si>
    <t>run9_priority12x3x4_0.25unique_0.25rep-group_0</t>
  </si>
  <si>
    <t>run9_priority12x3x4_0.25unique_0.25rep-group_1</t>
  </si>
  <si>
    <t>run9_priority12x3x4_0.25unique_0.25rep-group_2</t>
  </si>
  <si>
    <t>run9_priority12x3x4_0.25unique_0.25rep-group_3</t>
  </si>
  <si>
    <t>run9_priority12x3x4_0.25unique_0.25rep-group_4</t>
  </si>
  <si>
    <t>run9_priority12x3x4_0.25unique_0.5rep-group_0</t>
  </si>
  <si>
    <t>run9_priority12x3x4_0.25unique_0.5rep-group_1</t>
  </si>
  <si>
    <t>run9_priority12x3x4_0.25unique_0.5rep-group_2</t>
  </si>
  <si>
    <t>run9_priority12x3x4_0.25unique_0.5rep-group_3</t>
  </si>
  <si>
    <t>run9_priority12x3x4_0.25unique_0.5rep-group_4</t>
  </si>
  <si>
    <t>run9_priority12x3x4_0.25unique_0.75rep-group_0</t>
  </si>
  <si>
    <t>run9_priority12x3x4_0.25unique_0.75rep-group_1</t>
  </si>
  <si>
    <t>run9_priority12x3x4_0.25unique_0.75rep-group_2</t>
  </si>
  <si>
    <t>run9_priority12x3x4_0.25unique_0.75rep-group_3</t>
  </si>
  <si>
    <t>run9_priority12x3x4_0.25unique_0.75rep-group_4</t>
  </si>
  <si>
    <t>run9_priority12x3x4_0.25unique_1.0rep-group_0</t>
  </si>
  <si>
    <t>run9_priority12x3x4_0.25unique_1.0rep-group_1</t>
  </si>
  <si>
    <t>run9_priority12x3x4_0.25unique_1.0rep-group_2</t>
  </si>
  <si>
    <t>run9_priority12x3x4_0.25unique_1.0rep-group_3</t>
  </si>
  <si>
    <t>run9_priority12x3x4_0.25unique_1.0rep-group_4</t>
  </si>
  <si>
    <t>run9_priority12x3x4_0.5unique_0.1rep-group_0</t>
  </si>
  <si>
    <t>run9_priority12x3x4_0.5unique_0.1rep-group_1</t>
  </si>
  <si>
    <t>run9_priority12x3x4_0.5unique_0.1rep-group_2</t>
  </si>
  <si>
    <t>run9_priority12x3x4_0.5unique_0.1rep-group_3</t>
  </si>
  <si>
    <t>run9_priority12x3x4_0.5unique_0.1rep-group_4</t>
  </si>
  <si>
    <t>run9_priority12x3x4_0.5unique_0.25rep-group_0</t>
  </si>
  <si>
    <t>run9_priority12x3x4_0.5unique_0.25rep-group_1</t>
  </si>
  <si>
    <t>run9_priority12x3x4_0.5unique_0.25rep-group_2</t>
  </si>
  <si>
    <t>run9_priority12x3x4_0.5unique_0.25rep-group_3</t>
  </si>
  <si>
    <t>run9_priority12x3x4_0.5unique_0.25rep-group_4</t>
  </si>
  <si>
    <t>run9_priority12x3x4_0.5unique_0.5rep-group_0</t>
  </si>
  <si>
    <t>run9_priority12x3x4_0.5unique_0.5rep-group_1</t>
  </si>
  <si>
    <t>run9_priority12x3x4_0.5unique_0.5rep-group_2</t>
  </si>
  <si>
    <t>run9_priority12x3x4_0.5unique_0.5rep-group_3</t>
  </si>
  <si>
    <t>run9_priority12x3x4_0.5unique_0.5rep-group_4</t>
  </si>
  <si>
    <t>run9_priority12x3x4_0.5unique_0.75rep-group_0</t>
  </si>
  <si>
    <t>run9_priority12x3x4_0.5unique_0.75rep-group_1</t>
  </si>
  <si>
    <t>run9_priority12x3x4_0.5unique_0.75rep-group_2</t>
  </si>
  <si>
    <t>run9_priority12x3x4_0.5unique_0.75rep-group_3</t>
  </si>
  <si>
    <t>run9_priority12x3x4_0.5unique_0.75rep-group_4</t>
  </si>
  <si>
    <t>run9_priority12x3x4_0.5unique_1.0rep-group_0</t>
  </si>
  <si>
    <t>run9_priority12x3x4_0.5unique_1.0rep-group_1</t>
  </si>
  <si>
    <t>run9_priority12x3x4_0.5unique_1.0rep-group_2</t>
  </si>
  <si>
    <t>run9_priority12x3x4_0.5unique_1.0rep-group_3</t>
  </si>
  <si>
    <t>run9_priority12x3x4_0.5unique_1.0rep-group_4</t>
  </si>
  <si>
    <t>run9_priority12x3x4_0.75unique_0.1rep-group_0</t>
  </si>
  <si>
    <t>run9_priority12x3x4_0.75unique_0.1rep-group_1</t>
  </si>
  <si>
    <t>run9_priority12x3x4_0.75unique_0.1rep-group_2</t>
  </si>
  <si>
    <t>run9_priority12x3x4_0.75unique_0.1rep-group_3</t>
  </si>
  <si>
    <t>run9_priority12x3x4_0.75unique_0.1rep-group_4</t>
  </si>
  <si>
    <t>run9_priority12x3x4_0.75unique_0.25rep-group_0</t>
  </si>
  <si>
    <t>run9_priority12x3x4_0.75unique_0.25rep-group_1</t>
  </si>
  <si>
    <t>run9_priority12x3x4_0.75unique_0.25rep-group_2</t>
  </si>
  <si>
    <t>run9_priority12x3x4_0.75unique_0.25rep-group_3</t>
  </si>
  <si>
    <t>run9_priority12x3x4_0.75unique_0.25rep-group_4</t>
  </si>
  <si>
    <t>run9_priority12x3x4_0.75unique_0.5rep-group_0</t>
  </si>
  <si>
    <t>run9_priority12x3x4_0.75unique_0.5rep-group_1</t>
  </si>
  <si>
    <t>run9_priority12x3x4_0.75unique_0.5rep-group_2</t>
  </si>
  <si>
    <t>run9_priority12x3x4_0.75unique_0.5rep-group_3</t>
  </si>
  <si>
    <t>run9_priority12x3x4_0.75unique_0.5rep-group_4</t>
  </si>
  <si>
    <t>run9_priority12x3x4_0.75unique_0.75rep-group_0</t>
  </si>
  <si>
    <t>run9_priority12x3x4_0.75unique_0.75rep-group_1</t>
  </si>
  <si>
    <t>run9_priority12x3x4_0.75unique_0.75rep-group_2</t>
  </si>
  <si>
    <t>run9_priority12x3x4_0.75unique_0.75rep-group_3</t>
  </si>
  <si>
    <t>run9_priority12x3x4_0.75unique_0.75rep-group_4</t>
  </si>
  <si>
    <t>run9_priority12x3x4_0.75unique_1.0rep-group_0</t>
  </si>
  <si>
    <t>run9_priority12x3x4_0.75unique_1.0rep-group_1</t>
  </si>
  <si>
    <t>run9_priority12x3x4_0.75unique_1.0rep-group_2</t>
  </si>
  <si>
    <t>run9_priority12x3x4_0.75unique_1.0rep-group_3</t>
  </si>
  <si>
    <t>run9_priority12x3x4_0.75unique_1.0rep-group_4</t>
  </si>
  <si>
    <t>run9_priority12x3x4_1.0unique_0.1rep-group_0</t>
  </si>
  <si>
    <t>run9_priority12x3x4_1.0unique_0.1rep-group_1</t>
  </si>
  <si>
    <t>run9_priority12x3x4_1.0unique_0.1rep-group_2</t>
  </si>
  <si>
    <t>run9_priority12x3x4_1.0unique_0.1rep-group_3</t>
  </si>
  <si>
    <t>run9_priority12x3x4_1.0unique_0.1rep-group_4</t>
  </si>
  <si>
    <t>run9_priority12x3x4_1.0unique_0.25rep-group_0</t>
  </si>
  <si>
    <t>run9_priority12x3x4_1.0unique_0.25rep-group_1</t>
  </si>
  <si>
    <t>run9_priority12x3x4_1.0unique_0.25rep-group_2</t>
  </si>
  <si>
    <t>run9_priority12x3x4_1.0unique_0.25rep-group_3</t>
  </si>
  <si>
    <t>run9_priority12x3x4_1.0unique_0.25rep-group_4</t>
  </si>
  <si>
    <t>run9_priority12x3x4_1.0unique_0.5rep-group_0</t>
  </si>
  <si>
    <t>run9_priority12x3x4_1.0unique_0.5rep-group_1</t>
  </si>
  <si>
    <t>run9_priority12x3x4_1.0unique_0.5rep-group_2</t>
  </si>
  <si>
    <t>run9_priority12x3x4_1.0unique_0.5rep-group_3</t>
  </si>
  <si>
    <t>run9_priority12x3x4_1.0unique_0.5rep-group_4</t>
  </si>
  <si>
    <t>run9_priority12x3x4_1.0unique_0.75rep-group_0</t>
  </si>
  <si>
    <t>run9_priority12x3x4_1.0unique_0.75rep-group_1</t>
  </si>
  <si>
    <t>run9_priority12x3x4_1.0unique_0.75rep-group_2</t>
  </si>
  <si>
    <t>run9_priority12x3x4_1.0unique_0.75rep-group_3</t>
  </si>
  <si>
    <t>run9_priority12x3x4_1.0unique_0.75rep-group_4</t>
  </si>
  <si>
    <t>run9_priority12x3x4_1.0unique_1.0rep-group_0</t>
  </si>
  <si>
    <t>run9_priority12x3x4_1.0unique_1.0rep-group_1</t>
  </si>
  <si>
    <t>run9_priority12x3x4_1.0unique_1.0rep-group_2</t>
  </si>
  <si>
    <t>run9_priority12x3x4_1.0unique_1.0rep-group_3</t>
  </si>
  <si>
    <t>run9_priority12x3x4_1.0unique_1.0rep-group_4</t>
  </si>
  <si>
    <t>MAX of MAPE_SET</t>
  </si>
  <si>
    <t>MAX of RMSPE_SET</t>
  </si>
  <si>
    <t>Data to boxplots</t>
  </si>
  <si>
    <t>Data to scatter - MAPE</t>
  </si>
  <si>
    <t>Data to scatter - RMSPE</t>
  </si>
  <si>
    <t>constrains_type_and_%</t>
  </si>
  <si>
    <t>MAPE-AVG</t>
  </si>
  <si>
    <t>MAPE-STD</t>
  </si>
  <si>
    <t>MAPE-MIN</t>
  </si>
  <si>
    <t>MAPE-MAX</t>
  </si>
  <si>
    <t>MAPE-Q1</t>
  </si>
  <si>
    <t>MAPE-Q3</t>
  </si>
  <si>
    <t>RMSPE-AVG</t>
  </si>
  <si>
    <t>RMSPE-STD</t>
  </si>
  <si>
    <t>RMSPE-MIN</t>
  </si>
  <si>
    <t>RMSPE-MAX</t>
  </si>
  <si>
    <t>RMSPE-Q1</t>
  </si>
  <si>
    <t>RMSPE-Q3</t>
  </si>
  <si>
    <t>Average</t>
  </si>
  <si>
    <t>Complete event log</t>
  </si>
  <si>
    <t>ITC-category-median</t>
  </si>
  <si>
    <t>ITC-priority-median</t>
  </si>
  <si>
    <t>ITC-state-median</t>
  </si>
  <si>
    <t>CTC-median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</si>
</sst>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"/>
    <numFmt numFmtId="166" formatCode="yyyy-mm-dd h:mm:ss"/>
    <numFmt numFmtId="167" formatCode="0.000000000"/>
    <numFmt numFmtId="168" formatCode="&quot;$&quot;#,##0.00"/>
  </numFmts>
  <fonts count="11">
    <font>
      <sz val="10.0"/>
      <color rgb="FF000000"/>
      <name val="Arial"/>
    </font>
    <font>
      <b/>
    </font>
    <font>
      <b/>
      <strike/>
    </font>
    <font/>
    <font>
      <name val="Calibri"/>
    </font>
    <font>
      <name val="Arial"/>
    </font>
    <font>
      <strike/>
      <name val="Arial"/>
    </font>
    <font>
      <strike/>
    </font>
    <font>
      <b/>
      <name val="Arial"/>
    </font>
    <font>
      <sz val="11.0"/>
      <color rgb="FF000000"/>
      <name val="Inconsolata"/>
    </font>
    <font>
      <b/>
      <sz val="18.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2" fontId="1" numFmtId="164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2" numFmtId="164" xfId="0" applyAlignment="1" applyFont="1" applyNumberFormat="1">
      <alignment readingOrder="0" shrinkToFit="0" vertical="center" wrapText="1"/>
    </xf>
    <xf borderId="0" fillId="3" fontId="1" numFmtId="164" xfId="0" applyAlignment="1" applyFill="1" applyFont="1" applyNumberForma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3" numFmtId="165" xfId="0" applyBorder="1" applyFont="1" applyNumberFormat="1"/>
    <xf borderId="0" fillId="0" fontId="3" numFmtId="165" xfId="0" applyFont="1" applyNumberFormat="1"/>
    <xf borderId="1" fillId="9" fontId="9" numFmtId="0" xfId="0" applyAlignment="1" applyBorder="1" applyFill="1" applyFont="1">
      <alignment horizontal="left"/>
    </xf>
    <xf borderId="0" fillId="0" fontId="10" numFmtId="0" xfId="0" applyAlignment="1" applyFont="1">
      <alignment readingOrder="0"/>
    </xf>
    <xf borderId="1" fillId="0" fontId="1" numFmtId="0" xfId="0" applyBorder="1" applyFont="1"/>
    <xf borderId="0" fillId="9" fontId="9" numFmtId="0" xfId="0" applyAlignment="1" applyFont="1">
      <alignment horizontal="left"/>
    </xf>
    <xf borderId="1" fillId="0" fontId="3" numFmtId="164" xfId="0" applyBorder="1" applyFont="1" applyNumberFormat="1"/>
    <xf borderId="1" fillId="0" fontId="8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4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0" fillId="10" fontId="8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10" fontId="5" numFmtId="0" xfId="0" applyAlignment="1" applyFont="1">
      <alignment horizontal="right" vertical="bottom"/>
    </xf>
    <xf borderId="0" fillId="0" fontId="5" numFmtId="166" xfId="0" applyAlignment="1" applyFont="1" applyNumberFormat="1">
      <alignment vertical="bottom"/>
    </xf>
    <xf borderId="0" fillId="10" fontId="5" numFmtId="0" xfId="0" applyAlignment="1" applyFont="1">
      <alignment vertical="bottom"/>
    </xf>
    <xf borderId="0" fillId="0" fontId="8" numFmtId="0" xfId="0" applyAlignment="1" applyFont="1">
      <alignment horizontal="center" readingOrder="0" vertical="bottom"/>
    </xf>
    <xf borderId="1" fillId="0" fontId="8" numFmtId="168" xfId="0" applyAlignment="1" applyBorder="1" applyFont="1" applyNumberFormat="1">
      <alignment vertical="bottom"/>
    </xf>
    <xf borderId="1" fillId="4" fontId="1" numFmtId="0" xfId="0" applyAlignment="1" applyBorder="1" applyFont="1">
      <alignment readingOrder="0"/>
    </xf>
    <xf borderId="1" fillId="11" fontId="1" numFmtId="0" xfId="0" applyAlignment="1" applyBorder="1" applyFill="1" applyFont="1">
      <alignment readingOrder="0"/>
    </xf>
    <xf borderId="1" fillId="4" fontId="1" numFmtId="0" xfId="0" applyBorder="1" applyFont="1"/>
    <xf borderId="0" fillId="11" fontId="1" numFmtId="0" xfId="0" applyAlignment="1" applyFont="1">
      <alignment readingOrder="0"/>
    </xf>
    <xf borderId="1" fillId="11" fontId="1" numFmtId="0" xfId="0" applyBorder="1" applyFont="1"/>
    <xf borderId="0" fillId="11" fontId="1" numFmtId="0" xfId="0" applyFont="1"/>
    <xf borderId="1" fillId="0" fontId="3" numFmtId="0" xfId="0" applyAlignment="1" applyBorder="1" applyFont="1">
      <alignment readingOrder="0"/>
    </xf>
    <xf borderId="1" fillId="12" fontId="3" numFmtId="0" xfId="0" applyBorder="1" applyFill="1" applyFont="1"/>
    <xf borderId="1" fillId="12" fontId="3" numFmtId="0" xfId="0" applyAlignment="1" applyBorder="1" applyFont="1">
      <alignment readingOrder="0"/>
    </xf>
    <xf borderId="1" fillId="3" fontId="3" numFmtId="0" xfId="0" applyBorder="1" applyFont="1"/>
    <xf borderId="0" fillId="3" fontId="3" numFmtId="0" xfId="0" applyFont="1"/>
    <xf borderId="1" fillId="12" fontId="3" numFmtId="167" xfId="0" applyBorder="1" applyFont="1" applyNumberFormat="1"/>
    <xf borderId="1" fillId="12" fontId="3" numFmtId="167" xfId="0" applyAlignment="1" applyBorder="1" applyFont="1" applyNumberFormat="1">
      <alignment readingOrder="0"/>
    </xf>
    <xf borderId="1" fillId="0" fontId="3" numFmtId="167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Clustering time - incident_state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Tempo!$L$3:$L$7</c:f>
            </c:strRef>
          </c:cat>
          <c:val>
            <c:numRef>
              <c:f>Tempo!$O$3:$O$7</c:f>
              <c:numCache/>
            </c:numRef>
          </c:val>
        </c:ser>
        <c:axId val="1927726636"/>
        <c:axId val="922022561"/>
      </c:barChart>
      <c:catAx>
        <c:axId val="1927726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Space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2022561"/>
      </c:catAx>
      <c:valAx>
        <c:axId val="922022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7726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ATSs_errors_dynamic!$AF$2</c:f>
            </c:strRef>
          </c:tx>
          <c:spPr>
            <a:ln>
              <a:noFill/>
            </a:ln>
          </c:spPr>
          <c:marker>
            <c:symbol val="star"/>
            <c:size val="10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ATSs_errors_dynamic!$AF$3:$AF$47</c:f>
              <c:numCache/>
            </c:numRef>
          </c:yVal>
        </c:ser>
        <c:ser>
          <c:idx val="1"/>
          <c:order val="1"/>
          <c:tx>
            <c:strRef>
              <c:f>ATSs_errors_dynamic!$AG$2</c:f>
            </c:strRef>
          </c:tx>
          <c:spPr>
            <a:ln>
              <a:noFill/>
            </a:ln>
          </c:spPr>
          <c:marker>
            <c:symbol val="x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9"/>
            <c:marker>
              <c:symbol val="none"/>
            </c:marker>
          </c:dPt>
          <c:dPt>
            <c:idx val="16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ATSs_errors_dynamic!$AG$3:$AG$47</c:f>
              <c:numCache/>
            </c:numRef>
          </c:yVal>
        </c:ser>
        <c:ser>
          <c:idx val="2"/>
          <c:order val="2"/>
          <c:tx>
            <c:strRef>
              <c:f>ATSs_errors_dynamic!$AH$2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3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ATSs_errors_dynamic!$AH$3:$AH$47</c:f>
              <c:numCache/>
            </c:numRef>
          </c:yVal>
        </c:ser>
        <c:ser>
          <c:idx val="3"/>
          <c:order val="3"/>
          <c:tx>
            <c:strRef>
              <c:f>ATSs_errors_dynamic!$AI$2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dPt>
            <c:idx val="25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36"/>
            <c:marker>
              <c:symbol val="none"/>
            </c:marker>
          </c:dPt>
          <c:dPt>
            <c:idx val="37"/>
            <c:marker>
              <c:symbol val="none"/>
            </c:marker>
          </c:dPt>
          <c:dPt>
            <c:idx val="39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ATSs_errors_dynamic!$AI$3:$AI$47</c:f>
              <c:numCache/>
            </c:numRef>
          </c:yVal>
        </c:ser>
        <c:ser>
          <c:idx val="4"/>
          <c:order val="4"/>
          <c:tx>
            <c:strRef>
              <c:f>ATSs_errors_dynamic!$AJ$2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31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37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ATSs_errors_dynamic!$AJ$3:$AJ$47</c:f>
              <c:numCache/>
            </c:numRef>
          </c:yVal>
        </c:ser>
        <c:ser>
          <c:idx val="5"/>
          <c:order val="5"/>
          <c:tx>
            <c:strRef>
              <c:f>ATSs_errors_dynamic!$AM$2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xVal>
            <c:numRef>
              <c:f>ATSs_errors_dynamic!$AE$3:$AE$47</c:f>
            </c:numRef>
          </c:xVal>
          <c:yVal>
            <c:numRef>
              <c:f>ATSs_errors_dynamic!$AM$3:$AM$47</c:f>
              <c:numCache/>
            </c:numRef>
          </c:yVal>
        </c:ser>
        <c:ser>
          <c:idx val="6"/>
          <c:order val="6"/>
          <c:tx>
            <c:strRef>
              <c:f>ATSs_errors_dynamic!$AN$2</c:f>
            </c:strRef>
          </c:tx>
          <c:spPr>
            <a:ln>
              <a:noFill/>
            </a:ln>
          </c:spPr>
          <c:marker>
            <c:symbol val="circle"/>
            <c:size val="14"/>
            <c:spPr>
              <a:solidFill>
                <a:srgbClr val="2B5E14"/>
              </a:solidFill>
              <a:ln cmpd="sng">
                <a:solidFill>
                  <a:srgbClr val="2B5E14"/>
                </a:solidFill>
              </a:ln>
            </c:spPr>
          </c:marker>
          <c:xVal>
            <c:numRef>
              <c:f>ATSs_errors_dynamic!$AE$3:$AE$47</c:f>
            </c:numRef>
          </c:xVal>
          <c:yVal>
            <c:numRef>
              <c:f>ATSs_errors_dynamic!$AN$3:$AN$47</c:f>
              <c:numCache/>
            </c:numRef>
          </c:yVal>
        </c:ser>
        <c:ser>
          <c:idx val="7"/>
          <c:order val="7"/>
          <c:tx>
            <c:strRef>
              <c:f>ATSs_errors_dynamic!$AO$2</c:f>
            </c:strRef>
          </c:tx>
          <c:spPr>
            <a:ln>
              <a:noFill/>
            </a:ln>
          </c:spPr>
          <c:marker>
            <c:symbol val="diamond"/>
            <c:size val="14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dPt>
            <c:idx val="41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ATSs_errors_dynamic!$AO$3:$AO$47</c:f>
              <c:numCache/>
            </c:numRef>
          </c:yVal>
        </c:ser>
        <c:ser>
          <c:idx val="8"/>
          <c:order val="8"/>
          <c:tx>
            <c:strRef>
              <c:f>ATSs_errors_dynamic!$AP$2</c:f>
            </c:strRef>
          </c:tx>
          <c:spPr>
            <a:ln>
              <a:noFill/>
            </a:ln>
          </c:spPr>
          <c:marker>
            <c:symbol val="square"/>
            <c:size val="14"/>
            <c:spPr>
              <a:solidFill>
                <a:srgbClr val="AE0202"/>
              </a:solidFill>
              <a:ln cmpd="sng">
                <a:solidFill>
                  <a:srgbClr val="AE0202"/>
                </a:solidFill>
              </a:ln>
            </c:spPr>
          </c:marker>
          <c:dPt>
            <c:idx val="42"/>
            <c:marker>
              <c:symbol val="none"/>
            </c:marker>
          </c:dPt>
          <c:xVal>
            <c:numRef>
              <c:f>ATSs_errors_dynamic!$AE$3:$AE$47</c:f>
            </c:numRef>
          </c:xVal>
          <c:yVal>
            <c:numRef>
              <c:f>ATSs_errors_dynamic!$AP$3:$AP$47</c:f>
              <c:numCache/>
            </c:numRef>
          </c:yVal>
        </c:ser>
        <c:ser>
          <c:idx val="9"/>
          <c:order val="9"/>
          <c:tx>
            <c:strRef>
              <c:f>ATSs_errors_dynamic!$AQ$2</c:f>
            </c:strRef>
          </c:tx>
          <c:spPr>
            <a:ln>
              <a:noFill/>
            </a:ln>
          </c:spPr>
          <c:marker>
            <c:symbol val="star"/>
            <c:size val="14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xVal>
            <c:numRef>
              <c:f>ATSs_errors_dynamic!$AE$3:$AE$47</c:f>
            </c:numRef>
          </c:xVal>
          <c:yVal>
            <c:numRef>
              <c:f>ATSs_errors_dynamic!$AQ$3:$AQ$47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0747"/>
        <c:axId val="1692070936"/>
      </c:scatterChart>
      <c:valAx>
        <c:axId val="1395730747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Average MAPE among clusters</a:t>
                </a:r>
              </a:p>
            </c:rich>
          </c:tx>
          <c:layout>
            <c:manualLayout>
              <c:xMode val="edge"/>
              <c:yMode val="edge"/>
              <c:x val="0.12435807291666667"/>
              <c:y val="0.91551724137931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2070936"/>
      </c:valAx>
      <c:valAx>
        <c:axId val="1692070936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Standard Deviation among clusters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5730747"/>
      </c:valAx>
    </c:plotArea>
    <c:legend>
      <c:legendPos val="t"/>
      <c:legendEntry>
        <c:idx val="5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6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7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8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9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Clustering time -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Tempo!$L$8:$L$12</c:f>
            </c:strRef>
          </c:cat>
          <c:val>
            <c:numRef>
              <c:f>Tempo!$O$8:$O$12</c:f>
              <c:numCache/>
            </c:numRef>
          </c:val>
        </c:ser>
        <c:axId val="1449638419"/>
        <c:axId val="141819757"/>
      </c:barChart>
      <c:catAx>
        <c:axId val="1449638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Space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819757"/>
      </c:catAx>
      <c:valAx>
        <c:axId val="141819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638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Clustering time - priority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Tempo!$L$13:$L$17</c:f>
            </c:strRef>
          </c:cat>
          <c:val>
            <c:numRef>
              <c:f>Tempo!$O$13:$O$17</c:f>
              <c:numCache/>
            </c:numRef>
          </c:val>
        </c:ser>
        <c:axId val="1651772736"/>
        <c:axId val="1289641457"/>
      </c:barChart>
      <c:catAx>
        <c:axId val="16517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Space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9641457"/>
      </c:catAx>
      <c:valAx>
        <c:axId val="1289641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1772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incident_state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Tempo!$R$1:$R$2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Tempo!$Q$3:$Q$7</c:f>
            </c:strRef>
          </c:cat>
          <c:val>
            <c:numRef>
              <c:f>Tempo!$R$3:$R$7</c:f>
              <c:numCache/>
            </c:numRef>
          </c:val>
          <c:smooth val="0"/>
        </c:ser>
        <c:axId val="1977060164"/>
        <c:axId val="1115899246"/>
      </c:lineChart>
      <c:catAx>
        <c:axId val="197706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datapoints involved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5899246"/>
      </c:catAx>
      <c:valAx>
        <c:axId val="1115899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constraints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7060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category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Tempo!$Q$8:$Q$12</c:f>
            </c:strRef>
          </c:cat>
          <c:val>
            <c:numRef>
              <c:f>Tempo!$R$8:$R$12</c:f>
              <c:numCache/>
            </c:numRef>
          </c:val>
          <c:smooth val="0"/>
        </c:ser>
        <c:axId val="1587735935"/>
        <c:axId val="645485439"/>
      </c:lineChart>
      <c:catAx>
        <c:axId val="158773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datapoints involved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5485439"/>
      </c:catAx>
      <c:valAx>
        <c:axId val="645485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constraints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7735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priority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Tempo!$Q$13:$Q$17</c:f>
            </c:strRef>
          </c:cat>
          <c:val>
            <c:numRef>
              <c:f>Tempo!$R$13:$R$17</c:f>
              <c:numCache/>
            </c:numRef>
          </c:val>
          <c:smooth val="0"/>
        </c:ser>
        <c:axId val="944841728"/>
        <c:axId val="1895146380"/>
      </c:lineChart>
      <c:catAx>
        <c:axId val="9448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datapoints involved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5146380"/>
      </c:catAx>
      <c:valAx>
        <c:axId val="1895146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of constraints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4841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Silhouette_dynamic!$X$2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val>
            <c:numRef>
              <c:f>Silhouette_dynamic!$X$3:$X$42</c:f>
              <c:numCache/>
            </c:numRef>
          </c:val>
        </c:ser>
        <c:ser>
          <c:idx val="1"/>
          <c:order val="1"/>
          <c:tx>
            <c:strRef>
              <c:f>Silhouette_dynamic!$Y$2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9"/>
          </c:dPt>
          <c:val>
            <c:numRef>
              <c:f>Silhouette_dynamic!$Y$3:$Y$42</c:f>
              <c:numCache/>
            </c:numRef>
          </c:val>
        </c:ser>
        <c:ser>
          <c:idx val="2"/>
          <c:order val="2"/>
          <c:tx>
            <c:strRef>
              <c:f>Silhouette_dynamic!$Z$2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7"/>
          </c:dPt>
          <c:val>
            <c:numRef>
              <c:f>Silhouette_dynamic!$Z$3:$Z$42</c:f>
              <c:numCache/>
            </c:numRef>
          </c:val>
        </c:ser>
        <c:ser>
          <c:idx val="3"/>
          <c:order val="3"/>
          <c:tx>
            <c:strRef>
              <c:f>Silhouette_dynamic!$AA$2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Silhouette_dynamic!$AA$3:$AA$42</c:f>
              <c:numCache/>
            </c:numRef>
          </c:val>
        </c:ser>
        <c:ser>
          <c:idx val="4"/>
          <c:order val="4"/>
          <c:tx>
            <c:strRef>
              <c:f>Silhouette_dynamic!$AB$2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36"/>
          </c:dPt>
          <c:val>
            <c:numRef>
              <c:f>Silhouette_dynamic!$AB$3:$AB$42</c:f>
              <c:numCache/>
            </c:numRef>
          </c:val>
        </c:ser>
        <c:overlap val="100"/>
        <c:axId val="243383423"/>
        <c:axId val="1177606060"/>
      </c:barChart>
      <c:catAx>
        <c:axId val="24338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7606060"/>
      </c:catAx>
      <c:valAx>
        <c:axId val="1177606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800">
                    <a:solidFill>
                      <a:srgbClr val="000000"/>
                    </a:solidFill>
                    <a:latin typeface="Roboto"/>
                  </a:rPr>
                  <a:t>Silhouette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3383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RMSPE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ATSs_errors_dynamic!$AA$2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ATSs_errors_dynamic!$K$3:$K$42</c:f>
            </c:strRef>
          </c:cat>
          <c:val>
            <c:numRef>
              <c:f>ATSs_errors_dynamic!$AA$3:$AA$42</c:f>
              <c:numCache/>
            </c:numRef>
          </c:val>
          <c:smooth val="0"/>
        </c:ser>
        <c:ser>
          <c:idx val="1"/>
          <c:order val="1"/>
          <c:tx>
            <c:strRef>
              <c:f>ATSs_errors_dynamic!$Z$2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ATSs_errors_dynamic!$K$3:$K$42</c:f>
            </c:strRef>
          </c:cat>
          <c:val>
            <c:numRef>
              <c:f>ATSs_errors_dynamic!$Z$3:$Z$42</c:f>
              <c:numCache/>
            </c:numRef>
          </c:val>
          <c:smooth val="0"/>
        </c:ser>
        <c:ser>
          <c:idx val="2"/>
          <c:order val="2"/>
          <c:tx>
            <c:strRef>
              <c:f>ATSs_errors_dynamic!$Y$2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ATSs_errors_dynamic!$K$3:$K$42</c:f>
            </c:strRef>
          </c:cat>
          <c:val>
            <c:numRef>
              <c:f>ATSs_errors_dynamic!$Y$3:$Y$42</c:f>
              <c:numCache/>
            </c:numRef>
          </c:val>
          <c:smooth val="0"/>
        </c:ser>
        <c:ser>
          <c:idx val="3"/>
          <c:order val="3"/>
          <c:tx>
            <c:strRef>
              <c:f>ATSs_errors_dynamic!$AB$2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ATSs_errors_dynamic!$K$3:$K$42</c:f>
            </c:strRef>
          </c:cat>
          <c:val>
            <c:numRef>
              <c:f>ATSs_errors_dynamic!$AB$3:$AB$42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60438376"/>
        <c:axId val="1452625048"/>
      </c:stockChart>
      <c:dateAx>
        <c:axId val="1604383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2625048"/>
      </c:dateAx>
      <c:valAx>
        <c:axId val="145262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438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ATSs_errors_dynamic!$AT$2</c:f>
            </c:strRef>
          </c:tx>
          <c:spPr>
            <a:ln>
              <a:noFill/>
            </a:ln>
          </c:spPr>
          <c:marker>
            <c:symbol val="star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"/>
            <c:marker>
              <c:symbol val="none"/>
            </c:marker>
          </c:dPt>
          <c:xVal>
            <c:numRef>
              <c:f>ATSs_errors_dynamic!$AS$3:$AS$42</c:f>
            </c:numRef>
          </c:xVal>
          <c:yVal>
            <c:numRef>
              <c:f>ATSs_errors_dynamic!$AT$3:$AT$42</c:f>
              <c:numCache/>
            </c:numRef>
          </c:yVal>
        </c:ser>
        <c:ser>
          <c:idx val="1"/>
          <c:order val="1"/>
          <c:tx>
            <c:strRef>
              <c:f>ATSs_errors_dynamic!$AU$2</c:f>
            </c:strRef>
          </c:tx>
          <c:spPr>
            <a:ln>
              <a:noFill/>
            </a:ln>
          </c:spPr>
          <c:marker>
            <c:symbol val="x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ATSs_errors_dynamic!$AS$3:$AS$42</c:f>
            </c:numRef>
          </c:xVal>
          <c:yVal>
            <c:numRef>
              <c:f>ATSs_errors_dynamic!$AU$3:$AU$42</c:f>
              <c:numCache/>
            </c:numRef>
          </c:yVal>
        </c:ser>
        <c:ser>
          <c:idx val="2"/>
          <c:order val="2"/>
          <c:tx>
            <c:strRef>
              <c:f>ATSs_errors_dynamic!$AV$2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ATSs_errors_dynamic!$AS$3:$AS$42</c:f>
            </c:numRef>
          </c:xVal>
          <c:yVal>
            <c:numRef>
              <c:f>ATSs_errors_dynamic!$AV$3:$AV$42</c:f>
              <c:numCache/>
            </c:numRef>
          </c:yVal>
        </c:ser>
        <c:ser>
          <c:idx val="3"/>
          <c:order val="3"/>
          <c:tx>
            <c:strRef>
              <c:f>ATSs_errors_dynamic!$AW$2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ATSs_errors_dynamic!$AS$3:$AS$42</c:f>
            </c:numRef>
          </c:xVal>
          <c:yVal>
            <c:numRef>
              <c:f>ATSs_errors_dynamic!$AW$3:$AW$42</c:f>
              <c:numCache/>
            </c:numRef>
          </c:yVal>
        </c:ser>
        <c:ser>
          <c:idx val="4"/>
          <c:order val="4"/>
          <c:tx>
            <c:strRef>
              <c:f>ATSs_errors_dynamic!$AX$2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ATSs_errors_dynamic!$AS$3:$AS$42</c:f>
            </c:numRef>
          </c:xVal>
          <c:yVal>
            <c:numRef>
              <c:f>ATSs_errors_dynamic!$AX$3:$AX$42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6995"/>
        <c:axId val="2096294026"/>
      </c:scatterChart>
      <c:valAx>
        <c:axId val="1397426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RMSPE among clusters</a:t>
                </a:r>
              </a:p>
            </c:rich>
          </c:tx>
          <c:layout>
            <c:manualLayout>
              <c:xMode val="edge"/>
              <c:yMode val="edge"/>
              <c:x val="0.12435807291666667"/>
              <c:y val="0.91551724137931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6294026"/>
      </c:valAx>
      <c:valAx>
        <c:axId val="209629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Standard Deviation among clusters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742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16</xdr:row>
      <xdr:rowOff>28575</xdr:rowOff>
    </xdr:from>
    <xdr:ext cx="3409950" cy="2095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16</xdr:row>
      <xdr:rowOff>38100</xdr:rowOff>
    </xdr:from>
    <xdr:ext cx="3409950" cy="2095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1104900</xdr:colOff>
      <xdr:row>16</xdr:row>
      <xdr:rowOff>47625</xdr:rowOff>
    </xdr:from>
    <xdr:ext cx="3409950" cy="2095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2</xdr:row>
      <xdr:rowOff>161925</xdr:rowOff>
    </xdr:from>
    <xdr:ext cx="3648075" cy="2609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114300</xdr:colOff>
      <xdr:row>2</xdr:row>
      <xdr:rowOff>161925</xdr:rowOff>
    </xdr:from>
    <xdr:ext cx="3648075" cy="2609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981075</xdr:colOff>
      <xdr:row>2</xdr:row>
      <xdr:rowOff>161925</xdr:rowOff>
    </xdr:from>
    <xdr:ext cx="3648075" cy="2609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7</xdr:row>
      <xdr:rowOff>19050</xdr:rowOff>
    </xdr:from>
    <xdr:ext cx="7753350" cy="1447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95250</xdr:rowOff>
    </xdr:from>
    <xdr:ext cx="4048125" cy="2390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390525</xdr:colOff>
      <xdr:row>40</xdr:row>
      <xdr:rowOff>114300</xdr:rowOff>
    </xdr:from>
    <xdr:ext cx="5715000" cy="3314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781050</xdr:colOff>
      <xdr:row>3</xdr:row>
      <xdr:rowOff>114300</xdr:rowOff>
    </xdr:from>
    <xdr:ext cx="5267325" cy="3000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3791" sheet="data"/>
  </cacheSource>
  <cacheFields>
    <cacheField name="constrains_type" numFmtId="0">
      <sharedItems>
        <s v="kmeans-iter"/>
        <s v="kmeans"/>
        <s v="awaitingsml"/>
        <s v="easycategs"/>
        <s v="priority12x3x4"/>
      </sharedItems>
    </cacheField>
    <cacheField name="constrains_unique_perc" numFmtId="0">
      <sharedItems containsSemiMixedTypes="0" containsString="0" containsNumber="1">
        <n v="0.0"/>
        <n v="0.1"/>
        <n v="0.25"/>
        <n v="0.5"/>
        <n v="0.75"/>
        <n v="1.0"/>
      </sharedItems>
    </cacheField>
    <cacheField name="constrains_rep" numFmtId="0">
      <sharedItems containsSemiMixedTypes="0" containsString="0" containsNumber="1">
        <n v="0.0"/>
        <n v="0.1"/>
        <n v="0.25"/>
        <n v="0.5"/>
        <n v="0.75"/>
        <n v="1.0"/>
      </sharedItems>
    </cacheField>
    <cacheField name="ru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time_clust" numFmtId="0">
      <sharedItems containsSemiMixedTypes="0" containsString="0" containsNumber="1">
        <n v="0.507583856582641"/>
        <n v="8.13918256759643"/>
        <n v="7.36455869674682"/>
        <n v="13.1447088718414"/>
        <n v="12.3924791812896"/>
        <n v="10.6723959445953"/>
        <n v="17.4837591648101"/>
        <n v="19.4240677356719"/>
        <n v="13.9942827224731"/>
        <n v="15.0361831188201"/>
        <n v="78.8402297496795"/>
        <n v="35.7199354171752"/>
        <n v="76.1620073318481"/>
        <n v="30.2197794914245"/>
        <n v="123.916695356369"/>
        <n v="35.6177675724029"/>
        <n v="67.5369946956634"/>
        <n v="32.3255348205566"/>
        <n v="225.633921861648"/>
        <n v="43.5553963184356"/>
        <n v="36.176684141159"/>
        <n v="66.1843152046203"/>
        <n v="69.0727632045745"/>
        <n v="61.7763884067535"/>
        <n v="96.1841089725494"/>
        <n v="49.9341168403625"/>
        <n v="42.3847844600677"/>
        <n v="46.0890278816223"/>
        <n v="80.4502012729644"/>
        <n v="291.730504751205"/>
        <n v="54.7264165878295"/>
        <n v="109.147377729415"/>
        <n v="166.14338183403"/>
        <n v="52.8530504703521"/>
        <n v="212.913919687271"/>
        <n v="49.2506141662597"/>
        <n v="89.7505950927734"/>
        <n v="119.59035205841"/>
        <n v="46.2284495830535"/>
        <n v="397.528526782989"/>
        <n v="100.636466026306"/>
        <n v="83.578064918518"/>
        <n v="63.1395547389984"/>
        <n v="77.989250421524"/>
        <n v="67.5137724876403"/>
        <n v="212.685587644577"/>
        <n v="350.521554946899"/>
        <n v="117.258871555328"/>
        <n v="164.820082426071"/>
        <n v="149.738384008407"/>
        <n v="246.673532247543"/>
        <n v="227.003411054611"/>
        <n v="106.578196763992"/>
        <n v="335.329742670059"/>
        <n v="271.882249355316"/>
        <n v="174.090986013412"/>
        <n v="136.066507339477"/>
        <n v="144.137911558151"/>
        <n v="122.10152721405"/>
        <n v="110.890358924865"/>
        <n v="127.360833644866"/>
        <n v="327.047232627868"/>
        <n v="261.60515832901"/>
        <n v="166.470274925231"/>
        <n v="121.181359529495"/>
        <n v="135.723385810852"/>
        <n v="269.811489343643"/>
        <n v="307.799222469329"/>
        <n v="239.610349893569"/>
        <n v="322.129427909851"/>
        <n v="173.216601848602"/>
        <n v="479.313542842865"/>
        <n v="274.653385877609"/>
        <n v="468.222062587738"/>
        <n v="410.083574295044"/>
        <n v="178.338772058486"/>
        <n v="248.803152322769"/>
        <n v="321.515417337417"/>
        <n v="198.106851816177"/>
        <n v="453.778771877288"/>
        <n v="239.084723949432"/>
        <n v="247.679173707962"/>
        <n v="248.2219581604"/>
        <n v="199.721328020095"/>
        <n v="311.618943929672"/>
        <n v="286.659921407699"/>
        <n v="204.939177036285"/>
        <n v="456.069901227951"/>
        <n v="279.376145362854"/>
        <n v="208.10064291954"/>
        <n v="208.387226343154"/>
        <n v="355.52398109436"/>
        <n v="230.837663173675"/>
        <n v="185.849087953567"/>
        <n v="221.943046808242"/>
        <n v="183.918199062347"/>
        <n v="228.294856548309"/>
        <n v="238.183506965637"/>
        <n v="205.538161754608"/>
        <n v="216.460913658142"/>
        <n v="436.546980857849"/>
        <n v="251.578300714492"/>
        <n v="199.068029880523"/>
        <n v="221.628694534301"/>
        <n v="276.217693567276"/>
        <n v="334.699509382247"/>
        <n v="314.064073085784"/>
        <n v="175.961374044418"/>
        <n v="180.900586605072"/>
        <n v="291.29390335083"/>
        <n v="235.32632780075"/>
        <n v="412.899441480636"/>
        <n v="165.761232376098"/>
        <n v="198.29399394989"/>
        <n v="208.066729545593"/>
        <n v="267.651289701461"/>
        <n v="174.997466087341"/>
        <n v="479.800706863403"/>
        <n v="453.557502985"/>
        <n v="207.464245796203"/>
        <n v="221.831788301467"/>
        <n v="475.297789573669"/>
        <n v="238.311903715133"/>
        <n v="269.778720378875"/>
        <n v="195.594786643981"/>
        <n v="216.689615488052"/>
        <n v="400.151671409606"/>
        <n v="252.169633388519"/>
        <n v="630.457696676254"/>
        <n v="189.603192329406"/>
        <n v="214.88754749298"/>
        <n v="282.753085374832"/>
        <n v="179.283230304718"/>
        <n v="475.219259500503"/>
        <n v="433.854775905609"/>
        <n v="240.381759881973"/>
        <n v="179.628495454788"/>
        <n v="222.629586935043"/>
        <n v="164.063548803329"/>
        <n v="197.543965101242"/>
        <n v="187.885990858078"/>
        <n v="989.968335628509"/>
        <n v="218.543820381164"/>
        <n v="174.100098848342"/>
        <n v="318.377716779708"/>
        <n v="172.649271726608"/>
        <n v="160.091261625289"/>
        <n v="175.301295757293"/>
        <n v="228.699456453323"/>
        <n v="171.436728477478"/>
        <n v="155.750990867614"/>
        <n v="159.049422740936"/>
        <n v="171.299932241439"/>
        <n v="226.84852528572"/>
        <n v="370.610588550567"/>
        <n v="607.460580587387"/>
        <n v="175.387544393539"/>
        <n v="628.916515350341"/>
        <n v="845.667084932327"/>
        <n v="194.071803569793"/>
        <n v="181.509538412094"/>
        <n v="161.4106695652"/>
        <n v="272.806598901748"/>
        <n v="343.670365571975"/>
        <n v="150.960852384567"/>
        <n v="186.536342144012"/>
        <n v="283.545923948288"/>
        <n v="192.069175720214"/>
        <n v="382.379464626312"/>
        <n v="185.634170293807"/>
        <n v="204.695663928985"/>
        <n v="169.481305599212"/>
        <n v="224.519552230834"/>
        <n v="222.094211101531"/>
        <n v="238.483306646347"/>
        <n v="142.820282459259"/>
        <n v="240.878721952438"/>
        <n v="218.168631315231"/>
        <n v="384.520875692367"/>
        <n v="717.418072938919"/>
        <n v="123.831309080123"/>
        <n v="178.142726421356"/>
        <n v="114.167161226272"/>
        <n v="284.629604816436"/>
        <n v="126.360758066177"/>
        <n v="123.397931814193"/>
        <n v="191.901921033859"/>
        <n v="207.509836435318"/>
        <n v="157.821619272232"/>
        <n v="160.682565689086"/>
        <n v="215.429862022399"/>
        <n v="211.481822490692"/>
        <n v="279.691598653793"/>
        <n v="115.572852611541"/>
        <n v="191.748328208923"/>
        <n v="224.4539706707"/>
        <n v="371.117133378982"/>
        <n v="147.909232854843"/>
        <n v="313.513770103454"/>
        <n v="145.235728025436"/>
        <n v="127.612248897552"/>
        <n v="230.548645496368"/>
        <n v="190.110229492187"/>
        <n v="138.609330654144"/>
        <n v="182.748615980148"/>
        <n v="162.045854091644"/>
        <n v="124.652461767196"/>
        <n v="118.613084554672"/>
        <n v="99.2266225814819"/>
        <n v="105.745595455169"/>
        <n v="94.3752722740173"/>
        <n v="310.182070255279"/>
        <n v="342.415438652038"/>
        <n v="150.31304359436"/>
        <n v="146.763798952102"/>
        <n v="206.522238731384"/>
        <n v="82.2616300582885"/>
        <n v="189.837581157684"/>
        <n v="79.240019083023"/>
        <n v="96.502896785736"/>
        <n v="240.92090177536"/>
        <n v="130.728809356689"/>
        <n v="138.747268676757"/>
        <n v="336.067373752594"/>
        <n v="327.018525600433"/>
        <n v="88.4234089851379"/>
        <n v="291.925174474716"/>
        <n v="210.580013513565"/>
        <n v="247.77584528923"/>
        <n v="309.777971982955"/>
        <n v="188.755493640899"/>
        <n v="323.537850379943"/>
        <n v="383.803940534591"/>
        <n v="234.079749584198"/>
        <n v="213.782567739486"/>
        <n v="229.112225532531"/>
        <n v="271.883457422256"/>
        <n v="319.333149194717"/>
        <n v="104.207517147064"/>
        <n v="143.908506631851"/>
        <n v="114.317750453948"/>
        <n v="102.661572456359"/>
        <n v="298.766152858734"/>
        <n v="110.393858671188"/>
        <n v="311.338041782379"/>
        <n v="210.573216676712"/>
        <n v="532.93033504486"/>
        <n v="96.1394102573394"/>
        <n v="170.003169059753"/>
        <n v="153.152690172195"/>
        <n v="135.68161535263"/>
        <n v="373.623945236206"/>
        <n v="499.874012708664"/>
        <n v="167.524534702301"/>
        <n v="174.456167697906"/>
        <n v="135.813204288482"/>
        <n v="208.228002548217"/>
        <n v="143.577247619628"/>
        <n v="193.436180353164"/>
        <n v="371.709399223327"/>
        <n v="152.326256990432"/>
        <n v="145.271872282028"/>
        <n v="528.75382900238"/>
        <n v="135.278363704681"/>
        <n v="125.539006471633"/>
        <n v="177.63978600502"/>
        <n v="124.166567325592"/>
        <n v="150.432349681854"/>
        <n v="110.914915561676"/>
        <n v="129.307094573974"/>
        <n v="137.829583883285"/>
        <n v="148.30413031578"/>
        <n v="155.672586679458"/>
        <n v="105.197637319564"/>
        <n v="131.205567121505"/>
        <n v="115.979237318038"/>
        <n v="114.286093473434"/>
        <n v="200.674906253814"/>
        <n v="180.149859905242"/>
        <n v="119.446316480636"/>
        <n v="222.307966709136"/>
        <n v="119.828891038894"/>
        <n v="189.064239263534"/>
        <n v="149.667080640792"/>
        <n v="141.127646684646"/>
        <n v="99.8776252269744"/>
        <n v="110.709074020385"/>
        <n v="158.811091423034"/>
        <n v="164.913174629211"/>
        <n v="154.634356021881"/>
        <n v="170.339427232742"/>
        <n v="183.847893953323"/>
        <n v="176.449681997299"/>
        <n v="214.184986114501"/>
        <n v="220.56052160263"/>
        <n v="227.348375082016"/>
        <n v="139.014425754547"/>
        <n v="243.130690097808"/>
        <n v="213.9486515522"/>
        <n v="152.864111185073"/>
        <n v="235.911197423934"/>
        <n v="227.172108650207"/>
        <n v="266.299456357956"/>
        <n v="277.294998407363"/>
        <n v="159.190403461456"/>
        <n v="280.709618806839"/>
        <n v="361.880808353424"/>
        <n v="260.250849485397"/>
        <n v="169.645334482193"/>
        <n v="257.427646160125"/>
        <n v="216.07446360588"/>
        <n v="182.425113916397"/>
        <n v="282.072027444839"/>
        <n v="364.60912322998"/>
        <n v="339.99701142311"/>
        <n v="487.185638427734"/>
        <n v="385.581140041351"/>
        <n v="242.887255430221"/>
        <n v="206.823405742645"/>
        <n v="375.925101041793"/>
        <n v="336.197390556335"/>
        <n v="389.024935722351"/>
        <n v="278.778682947158"/>
        <n v="188.923205852508"/>
        <n v="359.272469758987"/>
        <n v="300.017426013946"/>
        <n v="255.390498638153"/>
        <n v="384.690688610076"/>
        <n v="303.896131753921"/>
        <n v="353.044840097427"/>
        <n v="330.435034036636"/>
        <n v="258.778170585632"/>
        <n v="254.853043079376"/>
        <n v="267.245964765548"/>
        <n v="213.998625516891"/>
        <n v="206.049379110336"/>
        <n v="156.486411809921"/>
        <n v="190.491866588592"/>
        <n v="148.074445724487"/>
        <n v="197.876933574676"/>
        <n v="143.693289756774"/>
        <n v="132.223404645919"/>
        <n v="152.165725708007"/>
        <n v="178.764079332351"/>
        <n v="170.810353994369"/>
        <n v="151.043899297714"/>
        <n v="132.931052446365"/>
        <n v="123.400032281875"/>
        <n v="177.455799818038"/>
        <n v="128.583741426467"/>
        <n v="109.652988672256"/>
        <n v="110.543283939361"/>
        <n v="111.274337053298"/>
        <n v="100.115062952041"/>
        <n v="99.3994591236114"/>
        <n v="116.707978248596"/>
        <n v="118.466178655624"/>
        <n v="101.926994085311"/>
        <n v="88.3773019313812"/>
        <n v="117.206786870956"/>
        <n v="235.89277601242"/>
        <n v="108.62955546379"/>
        <n v="204.611453533172"/>
        <n v="156.975776195526"/>
        <n v="167.884671926498"/>
        <n v="98.9653341770172"/>
        <n v="109.938031673431"/>
        <n v="129.099208354949"/>
        <n v="351.792431354522"/>
        <n v="118.671045780181"/>
        <n v="75.2060956954955"/>
        <n v="93.9459924697876"/>
        <n v="108.77149438858"/>
        <n v="85.4219605922699"/>
        <n v="102.924984693527"/>
        <n v="165.148133039474"/>
        <n v="173.154081106185"/>
        <n v="105.406907320022"/>
        <n v="162.574699163436"/>
        <n v="79.4455738067627"/>
        <n v="271.723712921142"/>
        <n v="126.652193546295"/>
        <n v="438.299127578735"/>
        <n v="212.882544517517"/>
        <n v="253.549865961074"/>
        <n v="191.609974622726"/>
        <n v="118.204943180084"/>
        <n v="249.543989419937"/>
        <n v="95.9595568180084"/>
        <n v="111.592091798782"/>
        <n v="172.951778650283"/>
        <n v="205.825915813446"/>
        <n v="259.274919509887"/>
        <n v="191.408337593078"/>
        <n v="237.035818815231"/>
        <n v="187.864260196685"/>
        <n v="319.433169603347"/>
        <n v="275.551503181457"/>
        <n v="395.582311868667"/>
        <n v="339.843404769897"/>
        <n v="353.120420932769"/>
        <n v="336.047327041626"/>
        <n v="342.925747394561"/>
        <n v="312.909291267394"/>
        <n v="261.646429777145"/>
        <n v="312.845899581909"/>
        <n v="320.771704196929"/>
        <n v="367.621818780899"/>
        <n v="329.375871181488"/>
        <n v="329.066320896148"/>
        <n v="305.179858446121"/>
        <n v="314.483336687088"/>
        <n v="284.020007371902"/>
        <n v="279.401240348815"/>
        <n v="320.10151720047"/>
        <n v="293.576534986496"/>
        <n v="289.572472810745"/>
        <n v="265.805553913116"/>
        <n v="238.606628656387"/>
        <n v="500.296011924743"/>
        <n v="181.215506315231"/>
        <n v="188.920107603073"/>
        <n v="230.951501607894"/>
        <n v="150.576335191726"/>
        <n v="193.831270694732"/>
        <n v="182.205943584442"/>
        <n v="289.01889014244"/>
        <n v="140.994344234466"/>
        <n v="310.939987182617"/>
        <n v="193.711706638336"/>
        <n v="162.149416446685"/>
        <n v="146.083725214004"/>
        <n v="157.907480239868"/>
        <n v="150.009834051132"/>
        <n v="172.13925743103"/>
        <n v="157.553885221481"/>
        <n v="135.141284704208"/>
        <n v="179.184789657592"/>
        <n v="151.670590162277"/>
        <n v="186.147723436355"/>
        <n v="152.338141202926"/>
        <n v="186.078493595123"/>
        <n v="187.636380434036"/>
        <n v="200.705491304397"/>
        <n v="172.453516483306"/>
        <n v="177.574473381042"/>
        <n v="168.203372478485"/>
        <n v="187.555315971374"/>
        <n v="168.128081083297"/>
        <n v="170.112109661102"/>
        <n v="194.765792369842"/>
        <n v="201.594264030456"/>
        <n v="210.385781288146"/>
        <n v="187.532502174377"/>
        <n v="176.284972190856"/>
        <n v="183.046081781387"/>
        <n v="186.820026636123"/>
        <n v="185.727962493896"/>
        <n v="181.248447418212"/>
        <n v="186.871155261993"/>
        <n v="391.31891798973"/>
        <n v="189.886852025985"/>
        <n v="233.882637262344"/>
        <n v="205.466388225555"/>
        <n v="265.794394016265"/>
        <n v="204.859850645065"/>
        <n v="205.993121147155"/>
        <n v="194.560558319091"/>
        <n v="210.080016851425"/>
        <n v="190.686807394027"/>
        <n v="212.026420593261"/>
        <n v="302.50312590599"/>
        <n v="192.111882448196"/>
        <n v="399.244670629501"/>
        <n v="203.413325071334"/>
        <n v="192.582597970962"/>
        <n v="184.411342859268"/>
        <n v="207.532344102859"/>
        <n v="306.102513313293"/>
        <n v="208.70459485054"/>
        <n v="227.731194496154"/>
        <n v="199.44089436531"/>
        <n v="148.47728395462"/>
        <n v="166.40155673027"/>
        <n v="159.778185606002"/>
        <n v="178.932117462158"/>
        <n v="221.357315301895"/>
        <n v="223.511116743087"/>
        <n v="210.15612578392"/>
        <n v="158.271349668502"/>
        <n v="236.454425573349"/>
        <n v="200.509930372238"/>
        <n v="363.803109407424"/>
        <n v="369.07832622528"/>
        <n v="549.395227193832"/>
        <n v="301.024290561675"/>
        <n v="252.664650917053"/>
        <n v="254.939316511154"/>
        <n v="332.303476572036"/>
        <n v="255.664316892623"/>
        <n v="270.569198608398"/>
        <n v="214.700687885284"/>
        <n v="172.768208503723"/>
        <n v="168.025162458419"/>
        <n v="164.576686620712"/>
        <n v="163.723563671112"/>
        <n v="122.695158958435"/>
        <n v="125.308767557144"/>
        <n v="188.953474283218"/>
        <n v="141.304396629333"/>
        <n v="6362.33078932762"/>
        <n v="2764.02923846244"/>
        <n v="3511.01410579681"/>
        <n v="4267.38010168075"/>
        <n v="1758.64455771446"/>
        <n v="3133.26557540893"/>
        <n v="1370.15858983993"/>
        <n v="835.076689720153"/>
        <n v="3117.02093076705"/>
        <n v="5300.22038221359"/>
        <n v="11533.4238538742"/>
        <n v="10729.9844057559"/>
        <n v="49417.1299626827"/>
        <n v="8586.83189058303"/>
        <n v="3139.81877422332"/>
        <n v="4748.32486367225"/>
        <n v="22204.9486317634"/>
        <n v="8625.41915011406"/>
        <n v="5824.43328475952"/>
        <n v="9595.03579449653"/>
        <n v="17718.5972132682"/>
        <n v="31696.0901565551"/>
        <n v="58999.7692623138"/>
        <n v="8961.94205355644"/>
        <n v="72590.8414587974"/>
        <n v="13374.1337208747"/>
        <n v="43108.847869873"/>
        <n v="7769.30949068069"/>
        <n v="29964.5202846527"/>
        <n v="9511.59203290939"/>
        <n v="49330.9482955932"/>
        <n v="19298.8076868057"/>
        <n v="19677.0392746925"/>
        <n v="23408.9178569316"/>
        <n v="134835.966484069"/>
        <n v="134688.039716005"/>
        <n v="23502.6460840702"/>
        <n v="23376.9003276824"/>
        <n v="23303.1766555309"/>
        <n v="31012.1209299564"/>
        <n v="53657.3532354831"/>
        <n v="35955.0384788513"/>
        <n v="32083.9910240173"/>
        <n v="30006.9178638458"/>
        <n v="36269.9566404819"/>
        <n v="25464.0790688991"/>
        <n v="68052.3547749519"/>
        <n v="51190.7381756305"/>
        <n v="35770.7052388191"/>
        <n v="81692.5249876976"/>
        <n v="10945.1134426593"/>
        <n v="10848.8508462905"/>
        <n v="23006.6476409435"/>
        <n v="18312.2537624836"/>
        <n v="9326.50269651413"/>
        <n v="174692.676064014"/>
        <n v="5818.92734384536"/>
        <n v="34819.3160545825"/>
        <n v="20039.877649784"/>
        <n v="13882.6583547592"/>
        <n v="45427.4560296535"/>
        <n v="21622.3676824569"/>
        <n v="32608.3961009979"/>
        <n v="21772.6378688812"/>
        <n v="24671.2768914699"/>
        <n v="15531.7740125656"/>
        <n v="22962.2016561031"/>
        <n v="54325.1543726921"/>
        <n v="15730.4836826324"/>
        <n v="23373.532747507"/>
        <n v="156783.068784713"/>
        <n v="43997.0005970001"/>
        <n v="257647.027053356"/>
        <n v="49949.7394640445"/>
        <n v="67370.1135115623"/>
        <n v="101304.771733045"/>
        <n v="158695.282722949"/>
        <n v="69627.4640767574"/>
        <n v="96438.4983899593"/>
        <n v="257014.498792409"/>
        <n v="312039.953591823"/>
        <n v="199825.002322673"/>
        <n v="102434.863970041"/>
        <n v="258529.152787208"/>
        <n v="122941.407927513"/>
        <n v="103617.33992362"/>
        <n v="298421.087965488"/>
        <n v="102959.924780368"/>
        <n v="105286.54927659"/>
        <n v="179592.126233339"/>
        <n v="446522.512668132"/>
        <n v="163385.049338102"/>
        <n v="164582.383958339"/>
        <n v="260374.075270652"/>
        <n v="228918.089368581"/>
        <n v="165103.679033279"/>
        <n v="226275.690117359"/>
        <n v="144845.669525861"/>
        <n v="196672.237146854"/>
        <n v="259100.207547664"/>
        <n v="32788.2530510425"/>
        <n v="60702.843761444"/>
        <n v="42795.4774377346"/>
        <n v="145188.580923795"/>
        <n v="36867.6569149494"/>
        <n v="13536.7308094501"/>
        <n v="261438.45792675"/>
        <n v="337126.117484569"/>
        <n v="74002.139065504"/>
        <n v="36860.7056384086"/>
        <n v="181579.707087278"/>
        <n v="62602.8082847595"/>
        <n v="122435.831159114"/>
        <n v="174060.708773136"/>
        <n v="33562.244805336"/>
        <n v="213758.892533302"/>
        <n v="51614.6343886852"/>
        <n v="173475.483191728"/>
        <n v="109294.552824497"/>
        <n v="209877.702392339"/>
        <n v="289116.437865734"/>
        <n v="189448.007345199"/>
        <n v="81939.1812386512"/>
        <n v="394324.816608905"/>
        <n v="189832.016570091"/>
        <n v="348142.225641488"/>
        <n v="189235.815340757"/>
        <n v="142577.737179279"/>
        <n v="326166.356384754"/>
        <n v="147346.561947345"/>
        <n v="282430.845433235"/>
        <n v="307347.717210054"/>
        <n v="362077.881314039"/>
        <n v="285606.182180404"/>
        <n v="94885.3242914676"/>
        <n v="452603.238219499"/>
        <n v="399508.568062305"/>
        <n v="428158.053388357"/>
        <n v="262458.022191762"/>
        <n v="392817.276030302"/>
        <n v="465451.233842611"/>
        <n v="546858.341347694"/>
        <n v="462451.395061969"/>
        <n v="557242.085991144"/>
        <n v="685707.365572929"/>
        <n v="555517.110677957"/>
        <n v="472031.413210868"/>
        <n v="426389.824999332"/>
        <n v="389056.12673521"/>
        <n v="557262.11345458"/>
        <n v="44591.449532032"/>
        <n v="41438.2254407405"/>
        <n v="273392.864040613"/>
        <n v="56018.3374207019"/>
        <n v="562794.174763202"/>
        <n v="38227.939798355"/>
        <n v="44261.2776396274"/>
        <n v="70584.3248062133"/>
        <n v="55540.2688744068"/>
        <n v="37464.6237769126"/>
        <n v="21599.1543147563"/>
        <n v="248970.547330379"/>
        <n v="97382.1996345519"/>
        <n v="230657.947566509"/>
        <n v="147176.999798536"/>
        <n v="88477.390610218"/>
        <n v="161074.450992822"/>
        <n v="259486.975671291"/>
        <n v="57636.9375417232"/>
        <n v="123652.009811162"/>
        <n v="274807.907463312"/>
        <n v="261948.931165695"/>
        <n v="216856.928973674"/>
        <n v="435290.737740755"/>
        <n v="461651.913262605"/>
        <n v="351120.920545816"/>
        <n v="304832.188350915"/>
        <n v="306155.586852073"/>
        <n v="103828.341621637"/>
        <n v="432568.189423322"/>
        <n v="386195.081310033"/>
        <n v="175608.158108949"/>
        <n v="504666.377285003"/>
        <n v="130266.380838394"/>
        <n v="480455.513932228"/>
        <n v="153140.771513223"/>
        <n v="464473.075321197"/>
        <n v="662610.897668123"/>
        <n v="425260.265405416"/>
        <n v="677599.365239143"/>
        <n v="665749.836199045"/>
        <n v="748742.013345718"/>
        <n v="744211.859444141"/>
        <n v="195362.284733533"/>
        <n v="224725.665579557"/>
        <n v="559232.871399164"/>
        <n v="635364.206895828"/>
        <n v="703507.497809886"/>
        <n v="613995.932194232"/>
        <n v="531510.176014423"/>
        <n v="56180.3450665473"/>
        <n v="99582.4848048687"/>
        <n v="251245.270802497"/>
        <n v="44591.2474319934"/>
        <n v="59637.8668351173"/>
        <n v="165471.470063686"/>
        <n v="55234.3398396968"/>
        <n v="99289.4249994754"/>
        <n v="229727.000698089"/>
        <n v="90091.8692407608"/>
        <n v="168411.599263906"/>
        <n v="94413.9364581108"/>
        <n v="117856.045608758"/>
        <n v="93585.8525185585"/>
        <n v="161898.811224937"/>
        <n v="188579.83894062"/>
        <n v="305972.765784502"/>
        <n v="209134.720977783"/>
        <n v="227007.994139432"/>
        <n v="92301.3446333408"/>
        <n v="514761.227178573"/>
        <n v="669645.177972078"/>
        <n v="388054.452044248"/>
        <n v="230730.781379699"/>
        <n v="106235.151266098"/>
        <n v="175243.765706539"/>
        <n v="289196.653241395"/>
        <n v="96285.4446823597"/>
        <n v="353705.79116559"/>
        <n v="772870.312834739"/>
        <n v="174310.001977205"/>
        <n v="656809.232566356"/>
        <n v="246335.196588754"/>
        <n v="247593.719816446"/>
        <n v="261843.534708738"/>
        <n v="298972.370560646"/>
        <n v="692546.342361927"/>
        <n v="565365.784604072"/>
        <n v="249526.761805057"/>
        <n v="382427.986510276"/>
        <n v="290597.295782566"/>
        <n v="271807.097122669"/>
        <n v="248278.498148679"/>
        <n v="252316.944482326"/>
        <n v="744099.496178388"/>
        <n v="667272.866902589"/>
        <n v="662786.697679758"/>
        <n v="359500.074583292"/>
      </sharedItems>
    </cacheField>
    <cacheField name="time_total" numFmtId="0">
      <sharedItems containsSemiMixedTypes="0" containsString="0" containsNumber="1">
        <n v="23.1437680721282"/>
        <n v="106.943623065948"/>
        <n v="103.772906780242"/>
        <n v="126.188447475433"/>
        <n v="98.7955598831176"/>
        <n v="91.1679272651672"/>
        <n v="109.358299255371"/>
        <n v="108.989101409912"/>
        <n v="102.472927093505"/>
        <n v="100.202988386154"/>
        <n v="241.562593221664"/>
        <n v="145.265812635421"/>
        <n v="247.791764020919"/>
        <n v="85.1064598560333"/>
        <n v="285.832998037338"/>
        <n v="118.274666309356"/>
        <n v="236.702366590499"/>
        <n v="117.728285551071"/>
        <n v="362.942620754241"/>
        <n v="183.970411300659"/>
        <n v="147.15604186058"/>
        <n v="235.001380205154"/>
        <n v="212.173805713653"/>
        <n v="233.102187156677"/>
        <n v="257.4085688591"/>
        <n v="180.101408243179"/>
        <n v="149.372965335845"/>
        <n v="167.85800242424"/>
        <n v="247.973755836486"/>
        <n v="422.132405042648"/>
        <n v="198.394629716873"/>
        <n v="272.521672010421"/>
        <n v="325.948667287826"/>
        <n v="193.308057308197"/>
        <n v="379.965552568435"/>
        <n v="216.983174324035"/>
        <n v="252.877917051315"/>
        <n v="280.018561124801"/>
        <n v="191.060869693756"/>
        <n v="534.470989227294"/>
        <n v="270.798076152801"/>
        <n v="250.053596735"/>
        <n v="238.05102610588"/>
        <n v="242.670192956924"/>
        <n v="228.20765376091"/>
        <n v="367.541404247284"/>
        <n v="503.331681489944"/>
        <n v="278.201009273529"/>
        <n v="324.418859481811"/>
        <n v="313.24099612236"/>
        <n v="388.040117263794"/>
        <n v="358.977462768554"/>
        <n v="270.748294591903"/>
        <n v="492.773555517196"/>
        <n v="434.815953731536"/>
        <n v="312.441928148269"/>
        <n v="292.785821437835"/>
        <n v="301.84619474411"/>
        <n v="278.018754720687"/>
        <n v="282.59375500679"/>
        <n v="303.932200431823"/>
        <n v="485.555902957916"/>
        <n v="421.798403263092"/>
        <n v="317.495987653732"/>
        <n v="292.32511639595"/>
        <n v="309.478456497192"/>
        <n v="443.66868185997"/>
        <n v="471.518280506134"/>
        <n v="402.515101671218"/>
        <n v="478.760348320007"/>
        <n v="333.083049535751"/>
        <n v="594.215485572814"/>
        <n v="391.780745029449"/>
        <n v="580.150256156921"/>
        <n v="535.66376709938"/>
        <n v="335.465470075607"/>
        <n v="399.610056877136"/>
        <n v="478.815776348114"/>
        <n v="332.780663251876"/>
        <n v="570.253054618835"/>
        <n v="371.052771806716"/>
        <n v="409.73616862297"/>
        <n v="424.138889074325"/>
        <n v="373.468246936798"/>
        <n v="451.218047380447"/>
        <n v="441.768632173538"/>
        <n v="338.482533454894"/>
        <n v="565.951588630676"/>
        <n v="417.447371959686"/>
        <n v="371.177466154098"/>
        <n v="339.10780596733"/>
        <n v="478.209981203079"/>
        <n v="365.276588201522"/>
        <n v="315.689528942108"/>
        <n v="356.878677606582"/>
        <n v="321.293144226074"/>
        <n v="355.793762683868"/>
        <n v="379.40372800827"/>
        <n v="342.154530286788"/>
        <n v="331.613605260849"/>
        <n v="556.152522087097"/>
        <n v="361.865264892578"/>
        <n v="327.948857069015"/>
        <n v="349.283378601074"/>
        <n v="402.372650146484"/>
        <n v="460.246818065643"/>
        <n v="440.490842580795"/>
        <n v="310.776235103607"/>
        <n v="317.204163312912"/>
        <n v="411.544617414474"/>
        <n v="365.4838078022"/>
        <n v="507.657413959503"/>
        <n v="293.42721915245"/>
        <n v="323.93676829338"/>
        <n v="321.069693803787"/>
        <n v="400.50374507904"/>
        <n v="293.916671514511"/>
        <n v="566.85396027565"/>
        <n v="532.308676004409"/>
        <n v="326.255316257476"/>
        <n v="342.641423225402"/>
        <n v="561.566846847534"/>
        <n v="366.058546066284"/>
        <n v="396.827187538147"/>
        <n v="313.270291566848"/>
        <n v="345.269530534744"/>
        <n v="477.728144407272"/>
        <n v="380.335689783096"/>
        <n v="695.853655338287"/>
        <n v="321.715619087219"/>
        <n v="331.599895715713"/>
        <n v="387.686758995056"/>
        <n v="304.418854475021"/>
        <n v="577.042129516601"/>
        <n v="524.872464179992"/>
        <n v="345.973960638046"/>
        <n v="297.609712839126"/>
        <n v="345.296833515167"/>
        <n v="292.053805589675"/>
        <n v="332.164730548858"/>
        <n v="315.143580675125"/>
        <n v="1054.16125106811"/>
        <n v="315.940466403961"/>
        <n v="283.602710962295"/>
        <n v="398.559418678283"/>
        <n v="283.987502336502"/>
        <n v="291.707999706268"/>
        <n v="283.90137887001"/>
        <n v="318.206380605697"/>
        <n v="285.117262601852"/>
        <n v="267.853813409805"/>
        <n v="261.74913406372"/>
        <n v="266.165281295776"/>
        <n v="316.171322107315"/>
        <n v="477.613874197006"/>
        <n v="684.798417091369"/>
        <n v="273.178369045257"/>
        <n v="721.467732429504"/>
        <n v="931.345431327819"/>
        <n v="279.803638219833"/>
        <n v="273.019433498382"/>
        <n v="247.536075830459"/>
        <n v="384.760251283645"/>
        <n v="438.825310707092"/>
        <n v="233.311869382858"/>
        <n v="268.990315437316"/>
        <n v="386.528562784194"/>
        <n v="278.073514461517"/>
        <n v="452.99579668045"/>
        <n v="272.937933921814"/>
        <n v="290.896736621856"/>
        <n v="251.804346084594"/>
        <n v="336.537147283554"/>
        <n v="324.565544605255"/>
        <n v="347.563567399978"/>
        <n v="230.620172739028"/>
        <n v="350.579867601394"/>
        <n v="327.026803493499"/>
        <n v="441.791090250015"/>
        <n v="814.788512468338"/>
        <n v="213.967853069305"/>
        <n v="283.315457105636"/>
        <n v="198.731450796127"/>
        <n v="347.321504116058"/>
        <n v="223.538521766662"/>
        <n v="205.792734384536"/>
        <n v="296.449123620986"/>
        <n v="302.529114961624"/>
        <n v="266.32879114151"/>
        <n v="265.17709159851"/>
        <n v="293.088992357253"/>
        <n v="285.678893089294"/>
        <n v="338.286688804626"/>
        <n v="223.869159221649"/>
        <n v="265.043925285339"/>
        <n v="285.091577291488"/>
        <n v="449.113486289978"/>
        <n v="244.52333164215"/>
        <n v="400.924966335296"/>
        <n v="238.531413793563"/>
        <n v="198.37413740158"/>
        <n v="315.963236570358"/>
        <n v="264.742893218994"/>
        <n v="192.156899690628"/>
        <n v="261.267032623291"/>
        <n v="238.553506374359"/>
        <n v="184.311017513275"/>
        <n v="192.593798875808"/>
        <n v="169.782907485961"/>
        <n v="179.219873666763"/>
        <n v="170.171241044998"/>
        <n v="423.177936553955"/>
        <n v="451.831175565719"/>
        <n v="244.721810579299"/>
        <n v="250.13357424736"/>
        <n v="264.228308200836"/>
        <n v="168.47805571556"/>
        <n v="248.75094628334"/>
        <n v="159.632578134536"/>
        <n v="205.662008285522"/>
        <n v="346.261936664581"/>
        <n v="219.564658880233"/>
        <n v="214.090088367462"/>
        <n v="438.245797634124"/>
        <n v="431.924121856689"/>
        <n v="177.924452543258"/>
        <n v="389.479318380355"/>
        <n v="312.968153476715"/>
        <n v="351.775849103927"/>
        <n v="417.303103685379"/>
        <n v="274.41589307785"/>
        <n v="418.804587364196"/>
        <n v="438.561162948608"/>
        <n v="345.164274692535"/>
        <n v="312.506279945373"/>
        <n v="338.043577909469"/>
        <n v="371.347908020019"/>
        <n v="406.531881093978"/>
        <n v="197.969529867172"/>
        <n v="222.277840614318"/>
        <n v="224.90317082405"/>
        <n v="204.712655305862"/>
        <n v="360.193366765975"/>
        <n v="213.387986421585"/>
        <n v="530.917804479599"/>
        <n v="279.803643941879"/>
        <n v="758.172943592071"/>
        <n v="202.93631529808"/>
        <n v="263.218985795974"/>
        <n v="249.595227956771"/>
        <n v="222.888922929763"/>
        <n v="580.591511011123"/>
        <n v="672.00045132637"/>
        <n v="221.957741498947"/>
        <n v="300.919146299362"/>
        <n v="211.318702220916"/>
        <n v="355.895695447921"/>
        <n v="425.0778195858"/>
        <n v="473.813758611679"/>
        <n v="568.431106090545"/>
        <n v="397.304580211639"/>
        <n v="355.35575556755"/>
        <n v="639.038811445236"/>
        <n v="257.856883049011"/>
        <n v="366.48908495903"/>
        <n v="370.870884180068"/>
        <n v="381.767779827117"/>
        <n v="446.043233633041"/>
        <n v="353.369481563568"/>
        <n v="396.643463373184"/>
        <n v="339.552884578704"/>
        <n v="317.315042972564"/>
        <n v="459.483391761779"/>
        <n v="323.036212205886"/>
        <n v="304.650032043457"/>
        <n v="373.543918609619"/>
        <n v="385.286484479904"/>
        <n v="393.529262542724"/>
        <n v="463.083832740783"/>
        <n v="264.374727487564"/>
        <n v="467.339594841003"/>
        <n v="279.843010425567"/>
        <n v="473.996476411819"/>
        <n v="391.762522220611"/>
        <n v="426.610791444778"/>
        <n v="264.100385189056"/>
        <n v="334.006987571716"/>
        <n v="381.866522312164"/>
        <n v="437.37230849266"/>
        <n v="355.551992177963"/>
        <n v="388.372352361679"/>
        <n v="473.225168466568"/>
        <n v="428.490764379501"/>
        <n v="464.110828876495"/>
        <n v="455.586959123611"/>
        <n v="431.483221292495"/>
        <n v="344.659185886383"/>
        <n v="474.778970479965"/>
        <n v="448.371389389038"/>
        <n v="381.210555553436"/>
        <n v="462.671827793121"/>
        <n v="453.529304742813"/>
        <n v="481.855017900466"/>
        <n v="480.877892971038"/>
        <n v="359.908591747283"/>
        <n v="481.949177980423"/>
        <n v="504.27281999588"/>
        <n v="483.360709190368"/>
        <n v="393.288240432739"/>
        <n v="453.626081943511"/>
        <n v="430.193147659301"/>
        <n v="386.530366420745"/>
        <n v="473.683884143829"/>
        <n v="504.67649936676"/>
        <n v="493.344441413879"/>
        <n v="525.999402999877"/>
        <n v="507.124596595764"/>
        <n v="438.640901327133"/>
        <n v="414.281253099441"/>
        <n v="505.227955579757"/>
        <n v="490.688227176666"/>
        <n v="506.17695403099"/>
        <n v="466.234631776809"/>
        <n v="411.813758134841"/>
        <n v="499.593088150024"/>
        <n v="462.172269105911"/>
        <n v="448.393062591552"/>
        <n v="486.970202922821"/>
        <n v="449.846481323242"/>
        <n v="435.783498764038"/>
        <n v="430.020756721496"/>
        <n v="368.240494966506"/>
        <n v="332.549351692199"/>
        <n v="315.601383447647"/>
        <n v="367.644173383712"/>
        <n v="270.585168600082"/>
        <n v="226.709086179733"/>
        <n v="476.330461025238"/>
        <n v="204.916393518447"/>
        <n v="411.652797460556"/>
        <n v="283.84865951538"/>
        <n v="191.696915149688"/>
        <n v="420.170732975006"/>
        <n v="470.85114789009"/>
        <n v="401.159892082214"/>
        <n v="428.602163314819"/>
        <n v="393.192910909652"/>
        <n v="371.159618377685"/>
        <n v="455.386838674545"/>
        <n v="370.609188795089"/>
        <n v="363.559841156005"/>
        <n v="387.534325361251"/>
        <n v="266.76355266571"/>
        <n v="265.973017454147"/>
        <n v="317.836824893951"/>
        <n v="407.004263401031"/>
        <n v="404.229379177093"/>
        <n v="328.835237503051"/>
        <n v="291.92569231987"/>
        <n v="342.313971281051"/>
        <n v="419.674478530883"/>
        <n v="341.998394012451"/>
        <n v="400.30340385437"/>
        <n v="417.552999973297"/>
        <n v="382.131850004196"/>
        <n v="322.854767799377"/>
        <n v="400.627521514892"/>
        <n v="412.030899524688"/>
        <n v="461.482846498489"/>
        <n v="404.974355697631"/>
        <n v="364.131821393966"/>
        <n v="322.599893569946"/>
        <n v="345.344095706939"/>
        <n v="381.656538009643"/>
        <n v="328.42606973648"/>
        <n v="372.574362039566"/>
        <n v="371.260541915893"/>
        <n v="318.398442745208"/>
        <n v="397.31099820137"/>
        <n v="316.856377601623"/>
        <n v="428.617656707763"/>
        <n v="330.407356023788"/>
        <n v="561.663446903228"/>
        <n v="416.274179458618"/>
        <n v="394.762972354888"/>
        <n v="406.772131204605"/>
        <n v="371.117895126342"/>
        <n v="409.282993555068"/>
        <n v="324.699288129806"/>
        <n v="333.715178728103"/>
        <n v="389.148879528045"/>
        <n v="378.374632835388"/>
        <n v="416.994431018829"/>
        <n v="354.74700975418"/>
        <n v="380.713009119033"/>
        <n v="354.108067274093"/>
        <n v="438.073874235153"/>
        <n v="396.751704931259"/>
        <n v="514.088353157043"/>
        <n v="439.658128976821"/>
        <n v="471.438350439071"/>
        <n v="432.426969766616"/>
        <n v="461.990093708038"/>
        <n v="414.432337999343"/>
        <n v="372.576365232467"/>
        <n v="423.939998149871"/>
        <n v="414.092035531997"/>
        <n v="486.803414821624"/>
        <n v="441.950152158737"/>
        <n v="450.746163606643"/>
        <n v="403.989971637725"/>
        <n v="425.462647676467"/>
        <n v="394.655927181243"/>
        <n v="387.339354276657"/>
        <n v="455.182849884033"/>
        <n v="404.796088695526"/>
        <n v="392.514290809631"/>
        <n v="373.873035192489"/>
        <n v="354.377363204956"/>
        <n v="704.860610246658"/>
        <n v="298.533630609512"/>
        <n v="308.300423383712"/>
        <n v="370.479832410812"/>
        <n v="270.30460858345"/>
        <n v="327.577467918396"/>
        <n v="320.955087184906"/>
        <n v="400.172843217849"/>
        <n v="262.364321231842"/>
        <n v="425.118416786193"/>
        <n v="347.252300500869"/>
        <n v="309.154572725295"/>
        <n v="285.965610980987"/>
        <n v="311.062137126922"/>
        <n v="296.330950975418"/>
        <n v="299.835499763488"/>
        <n v="306.180555820465"/>
        <n v="246.560455083847"/>
        <n v="325.721382856369"/>
        <n v="293.958544015884"/>
        <n v="322.482154846191"/>
        <n v="291.720934867858"/>
        <n v="312.216970205307"/>
        <n v="322.526485443115"/>
        <n v="336.164436817169"/>
        <n v="309.464659452438"/>
        <n v="323.179903745651"/>
        <n v="319.81967639923"/>
        <n v="308.97915816307"/>
        <n v="307.880160808563"/>
        <n v="304.455450296402"/>
        <n v="311.855508327484"/>
        <n v="459.312465429306"/>
        <n v="357.138406276702"/>
        <n v="433.720848798751"/>
        <n v="406.696353197097"/>
        <n v="434.50284576416"/>
        <n v="340.135957002639"/>
        <n v="288.417627811431"/>
        <n v="282.349870920181"/>
        <n v="410.498412847518"/>
        <n v="559.173815488815"/>
        <n v="452.244000673294"/>
        <n v="554.830485582351"/>
        <n v="513.108160734176"/>
        <n v="461.014479875564"/>
        <n v="441.99712729454"/>
        <n v="417.373759269714"/>
        <n v="507.456470966339"/>
        <n v="434.484637975692"/>
        <n v="480.83993768692"/>
        <n v="545.759110689163"/>
        <n v="547.511872529983"/>
        <n v="403.948972225189"/>
        <n v="551.512868165969"/>
        <n v="403.683766841888"/>
        <n v="507.100726604461"/>
        <n v="488.482372283935"/>
        <n v="440.21351480484"/>
        <n v="518.020322084426"/>
        <n v="502.317469358444"/>
        <n v="505.780264139175"/>
        <n v="403.448369503021"/>
        <n v="364.608571052551"/>
        <n v="417.496689558029"/>
        <n v="331.708560466766"/>
        <n v="395.065742969512"/>
        <n v="469.549376487731"/>
        <n v="457.549028873443"/>
        <n v="431.172643184661"/>
        <n v="325.497440338134"/>
        <n v="389.501911401748"/>
        <n v="355.936170339584"/>
        <n v="475.410597085952"/>
        <n v="493.853128194808"/>
        <n v="647.86693072319"/>
        <n v="382.592229127883"/>
        <n v="363.64578962326"/>
        <n v="365.833148956298"/>
        <n v="496.192534446716"/>
        <n v="349.627926826477"/>
        <n v="378.067452430725"/>
        <n v="329.265131473541"/>
        <n v="312.354523658752"/>
        <n v="294.645714521408"/>
        <n v="293.930285692214"/>
        <n v="303.872636318206"/>
        <n v="256.375929594039"/>
        <n v="244.424751043319"/>
        <n v="332.688544034957"/>
        <n v="260.652831554412"/>
        <n v="6547.51165962219"/>
        <n v="2956.76710820198"/>
        <n v="3688.34613132476"/>
        <n v="4452.59874367713"/>
        <n v="1945.19695854187"/>
        <n v="3352.02593636512"/>
        <n v="1545.9173913002"/>
        <n v="984.388498306274"/>
        <n v="3336.12234306335"/>
        <n v="5482.49032831192"/>
        <n v="11717.6867725849"/>
        <n v="10913.8795673847"/>
        <n v="49607.7118089199"/>
        <n v="8775.81643438339"/>
        <n v="3347.5606637001"/>
        <n v="4930.15555667877"/>
        <n v="22381.2093293666"/>
        <n v="8810.30550479889"/>
        <n v="6012.67983436584"/>
        <n v="9750.61502122879"/>
        <n v="17872.4032509326"/>
        <n v="31850.599707365"/>
        <n v="59186.6802649498"/>
        <n v="9143.57386946678"/>
        <n v="72768.0636460781"/>
        <n v="13535.7767059803"/>
        <n v="43286.574656248"/>
        <n v="7953.0671737194"/>
        <n v="30142.4186155796"/>
        <n v="9694.66656851768"/>
        <n v="49524.1005818843"/>
        <n v="19480.1776864528"/>
        <n v="19856.9100897312"/>
        <n v="23593.7919309139"/>
        <n v="135011.583873033"/>
        <n v="134865.869744539"/>
        <n v="23674.7940852642"/>
        <n v="23547.4865398407"/>
        <n v="23486.3762001991"/>
        <n v="31186.8922746181"/>
        <n v="53846.6258544921"/>
        <n v="36125.6152944564"/>
        <n v="32266.100017786"/>
        <n v="30185.9318861961"/>
        <n v="36439.8609833717"/>
        <n v="25647.0076787471"/>
        <n v="68239.3694684505"/>
        <n v="51375.2369613647"/>
        <n v="35942.0824768543"/>
        <n v="81862.1060149669"/>
        <n v="11126.8813958168"/>
        <n v="11017.1963763237"/>
        <n v="23185.1008968353"/>
        <n v="18502.5645010471"/>
        <n v="9512.95749759674"/>
        <n v="174877.281373262"/>
        <n v="5975.18788814544"/>
        <n v="34976.1631147861"/>
        <n v="20217.7332468032"/>
        <n v="14068.3936960697"/>
        <n v="45615.0262329578"/>
        <n v="21799.686961174"/>
        <n v="32790.5783605575"/>
        <n v="21945.1609754562"/>
        <n v="24848.7054271698"/>
        <n v="15709.3233330249"/>
        <n v="23148.1269614696"/>
        <n v="54519.4404041767"/>
        <n v="15892.3761641979"/>
        <n v="23540.6883993148"/>
        <n v="156960.449646949"/>
        <n v="44173.8041970729"/>
        <n v="257820.588721036"/>
        <n v="50139.8466312885"/>
        <n v="67533.2203884124"/>
        <n v="101479.593027353"/>
        <n v="158850.301755666"/>
        <n v="69817.2719049453"/>
        <n v="96621.4541549682"/>
        <n v="257217.558383226"/>
        <n v="312206.677920341"/>
        <n v="199999.729844808"/>
        <n v="102612.869300842"/>
        <n v="258709.566582679"/>
        <n v="123126.23060131"/>
        <n v="103796.161097526"/>
        <n v="298597.907844543"/>
        <n v="103140.819344759"/>
        <n v="105480.404407501"/>
        <n v="179775.950005531"/>
        <n v="446696.025070428"/>
        <n v="163571.506623506"/>
        <n v="164760.09065175"/>
        <n v="260565.885775089"/>
        <n v="229106.770157337"/>
        <n v="165292.925558567"/>
        <n v="226378.941763162"/>
        <n v="145020.185190439"/>
        <n v="196843.994508981"/>
        <n v="259280.093940019"/>
        <n v="32943.9148154258"/>
        <n v="60891.7297706604"/>
        <n v="42977.3566825389"/>
        <n v="145339.781603813"/>
        <n v="37052.2495622634"/>
        <n v="13607.1731805801"/>
        <n v="261614.451542615"/>
        <n v="337286.652956724"/>
        <n v="74152.869538784"/>
        <n v="37046.4657876491"/>
        <n v="181752.080298185"/>
        <n v="62744.1316764354"/>
        <n v="122610.307131528"/>
        <n v="174192.792241096"/>
        <n v="33630.4868707656"/>
        <n v="213938.164087533"/>
        <n v="51798.3795599937"/>
        <n v="173609.512429475"/>
        <n v="109471.409349679"/>
        <n v="209979.810292959"/>
        <n v="289283.926101446"/>
        <n v="189630.324727535"/>
        <n v="82089.0116140842"/>
        <n v="394493.469885349"/>
        <n v="190013.073707818"/>
        <n v="348320.575233221"/>
        <n v="189408.880739688"/>
        <n v="142761.65709114"/>
        <n v="326345.643028497"/>
        <n v="147503.724607706"/>
        <n v="282618.889522552"/>
        <n v="307438.020974397"/>
        <n v="362191.171660423"/>
        <n v="285784.853589296"/>
        <n v="94945.4762635231"/>
        <n v="452760.520760297"/>
        <n v="399680.361730575"/>
        <n v="428308.722104787"/>
        <n v="262569.973358631"/>
        <n v="392992.12886691"/>
        <n v="465551.311827897"/>
        <n v="546993.146243572"/>
        <n v="462604.534721612"/>
        <n v="557387.094096422"/>
        <n v="685764.503119707"/>
        <n v="555651.594188213"/>
        <n v="472190.913679599"/>
        <n v="426486.278591156"/>
        <n v="389143.078240394"/>
        <n v="557399.179974556"/>
        <n v="44766.6398265361"/>
        <n v="41583.0548360347"/>
        <n v="273564.174796342"/>
        <n v="56159.72747612"/>
        <n v="562915.523318529"/>
        <n v="38399.7407171726"/>
        <n v="44438.2096586227"/>
        <n v="70727.4971301555"/>
        <n v="55684.9636588096"/>
        <n v="37635.7544000148"/>
        <n v="21652.9633159637"/>
        <n v="249067.799945592"/>
        <n v="97560.8752043247"/>
        <n v="230838.532531023"/>
        <n v="147312.272316694"/>
        <n v="88596.2731556892"/>
        <n v="161248.109598875"/>
        <n v="259668.74534583"/>
        <n v="57780.1902163028"/>
        <n v="123706.298258304"/>
        <n v="274901.707825183"/>
        <n v="262131.02175045"/>
        <n v="216989.832594633"/>
        <n v="435446.846116066"/>
        <n v="461812.151235818"/>
        <n v="351220.447735309"/>
        <n v="305020.883167266"/>
        <n v="306342.460473298"/>
        <n v="103889.411685228"/>
        <n v="432658.99981594"/>
        <n v="386288.202287435"/>
        <n v="175653.501975536"/>
        <n v="504754.725307941"/>
        <n v="130318.679861307"/>
        <n v="480548.913672447"/>
        <n v="153192.257095575"/>
        <n v="464584.407915353"/>
        <n v="662685.189089298"/>
        <n v="425347.694007873"/>
        <n v="677676.636603355"/>
        <n v="665827.701756954"/>
        <n v="748799.574396133"/>
        <n v="744274.855061292"/>
        <n v="195404.057067632"/>
        <n v="224767.51840043"/>
        <n v="559333.713432312"/>
        <n v="635457.036026954"/>
        <n v="703573.218670845"/>
        <n v="614086.771057605"/>
        <n v="531601.581300973"/>
        <n v="56350.8919816017"/>
        <n v="99748.3359143734"/>
        <n v="251407.473361492"/>
        <n v="44757.8758752346"/>
        <n v="59789.1613202095"/>
        <n v="165636.662342786"/>
        <n v="55373.3530576229"/>
        <n v="99460.4794273376"/>
        <n v="229857.354870319"/>
        <n v="90233.474442482"/>
        <n v="168578.332118988"/>
        <n v="94594.7937748432"/>
        <n v="118029.369318962"/>
        <n v="93764.9458305835"/>
        <n v="162067.026061773"/>
        <n v="188718.837514877"/>
        <n v="306112.730515718"/>
        <n v="209284.481357812"/>
        <n v="227151.882121086"/>
        <n v="92478.4529840946"/>
        <n v="514847.712957382"/>
        <n v="669713.108543634"/>
        <n v="388150.399326801"/>
        <n v="230840.428617954"/>
        <n v="106292.843086004"/>
        <n v="175293.699448585"/>
        <n v="289347.398448705"/>
        <n v="96338.3624222278"/>
        <n v="353731.565550804"/>
        <n v="772927.712479114"/>
        <n v="174362.006904602"/>
        <n v="656893.701486349"/>
        <n v="246374.893662929"/>
        <n v="247632.476677417"/>
        <n v="261875.599467515"/>
        <n v="299001.717480182"/>
        <n v="692617.945101022"/>
        <n v="565451.295764923"/>
        <n v="249562.024068355"/>
        <n v="382453.663122892"/>
        <n v="290628.335658788"/>
        <n v="271839.112937212"/>
        <n v="248316.815762519"/>
        <n v="252350.442779064"/>
        <n v="744161.06334877"/>
        <n v="667348.306070327"/>
        <n v="662858.93170619"/>
        <n v="359525.286989688"/>
      </sharedItems>
    </cacheField>
    <cacheField name="cluster id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cluster's silhouette_mean" numFmtId="164">
      <sharedItems containsSemiMixedTypes="0" containsString="0" containsNumber="1">
        <n v="0.0446210941659551"/>
        <n v="0.760221667041484"/>
        <n v="0.789207519381099"/>
        <n v="0.764774222587685"/>
        <n v="0.764065479034882"/>
        <n v="0.789224602700892"/>
        <n v="0.765594436966386"/>
        <n v="0.759803123983624"/>
        <n v="0.745274560813746"/>
        <n v="0.0452799104937451"/>
        <n v="0.761698763077667"/>
        <n v="0.713604585977239"/>
        <n v="0.7644789629097"/>
        <n v="0.0393627915428402"/>
        <n v="0.789217754796202"/>
        <n v="0.799216396002928"/>
        <n v="0.761006664562526"/>
        <n v="0.0611812739330086"/>
        <n v="0.711048400334964"/>
        <n v="0.764710431533"/>
        <n v="0.0448682391488601"/>
        <n v="0.789247444720326"/>
        <n v="0.764240907541818"/>
        <n v="0.760000982256521"/>
        <n v="0.82874623791087"/>
        <n v="0.712135770149678"/>
        <n v="0.76414687960107"/>
        <n v="0.0610971304004684"/>
        <n v="0.761698189954899"/>
        <n v="0.815658615241251"/>
        <n v="0.789093964739579"/>
        <n v="0.759591961585983"/>
        <n v="0.800515985925824"/>
        <n v="0.76428945362753"/>
        <n v="0.0440375182505731"/>
        <n v="0.761710680625343"/>
        <n v="0.0515649884983158"/>
        <n v="0.713441759670361"/>
        <n v="0.828167673108892"/>
        <n v="0.78915289070255"/>
        <n v="0.0"/>
        <n v="0.798622949723748"/>
        <n v="0.0530093241704547"/>
        <n v="0.760536368403215"/>
        <n v="0.816540345407877"/>
        <n v="0.736506992144718"/>
        <n v="0.789422316842768"/>
        <n v="0.49429433022444"/>
        <n v="0.86811660528751"/>
        <n v="0.0932544512944988"/>
        <n v="0.0742149708951883"/>
        <n v="0.0768793112575291"/>
        <n v="0.762690462974479"/>
        <n v="0.817960315258776"/>
        <n v="0.30292206211411"/>
        <n v="0.724164756058782"/>
        <n v="0.790196581432206"/>
        <n v="0.191335971212599"/>
        <n v="0.132130900892101"/>
        <n v="0.809015880245961"/>
        <n v="0.136844107204272"/>
        <n v="0.038357394130371"/>
        <n v="0.826182805258848"/>
        <n v="0.740638391977182"/>
        <n v="0.791730881423909"/>
        <n v="0.301847889612921"/>
        <n v="0.76469151256436"/>
        <n v="0.78920590811958"/>
        <n v="0.0349561022969282"/>
        <n v="0.446268267591677"/>
        <n v="0.760223517090143"/>
        <n v="0.806160430467556"/>
        <n v="0.760117435751104"/>
        <n v="0.911784505222271"/>
        <n v="0.798744573118422"/>
        <n v="0.0624652426845586"/>
        <n v="0.425689749357818"/>
        <n v="0.389057545921609"/>
        <n v="0.0217096041431712"/>
        <n v="0.787799814468731"/>
        <n v="0.869301932923007"/>
        <n v="0.0424484079037537"/>
        <n v="0.789334283752771"/>
        <n v="0.741742846829176"/>
        <n v="0.75962138259042"/>
        <n v="0.809298290245105"/>
        <n v="0.828195045617193"/>
        <n v="0.0659903245655127"/>
        <n v="0.79075587988025"/>
        <n v="0.825468576399084"/>
        <n v="0.764237111471386"/>
        <n v="0.0776756859546917"/>
        <n v="0.891255018157978"/>
        <n v="0.799790786121841"/>
        <n v="0.758785306322754"/>
        <n v="0.238689170166714"/>
        <n v="0.828640877658365"/>
        <n v="0.90967723384514"/>
        <n v="0.0460525028336018"/>
        <n v="0.738633990821122"/>
        <n v="0.235678535392513"/>
        <n v="0.0561573534004413"/>
        <n v="0.78589366197448"/>
        <n v="0.811506308946292"/>
        <n v="0.325058375802435"/>
        <n v="0.828981665351805"/>
        <n v="0.237403382027128"/>
        <n v="0.645738749805867"/>
        <n v="0.106452512628503"/>
        <n v="0.757953570833003"/>
        <n v="0.0933422936356904"/>
        <n v="0.187177817508657"/>
        <n v="0.806561616688196"/>
        <n v="0.828270883790481"/>
        <n v="0.800284619775597"/>
        <n v="0.114759065388939"/>
        <n v="0.146219162560481"/>
        <n v="0.225201858639187"/>
        <n v="0.0845916402434371"/>
        <n v="0.644874844689422"/>
        <n v="0.812267201820062"/>
        <n v="0.806931662536621"/>
        <n v="0.799698692977446"/>
        <n v="0.0598583528427899"/>
        <n v="0.73809193085055"/>
        <n v="0.766225823502527"/>
        <n v="0.0237785703244576"/>
        <n v="0.76007092377567"/>
        <n v="0.789261234438416"/>
        <n v="0.787057993419479"/>
        <n v="0.891136176344802"/>
        <n v="0.207539419781957"/>
        <n v="0.0542495041372405"/>
        <n v="0.807080274397394"/>
        <n v="0.39800964659576"/>
        <n v="0.321054035957955"/>
        <n v="0.825017777053088"/>
        <n v="0.718353234966205"/>
        <n v="0.812832958803523"/>
        <n v="0.0613388559057288"/>
        <n v="0.262441697258848"/>
        <n v="0.0848637393036138"/>
        <n v="0.647543359793978"/>
        <n v="0.216856643733271"/>
        <n v="0.704050645924093"/>
        <n v="0.0210744636958436"/>
        <n v="0.0299696550431789"/>
        <n v="0.289081426818338"/>
        <n v="0.81163959549339"/>
        <n v="0.734835602766934"/>
        <n v="0.891410901219328"/>
        <n v="0.891102260554175"/>
        <n v="0.799751248137213"/>
        <n v="0.249206216909002"/>
        <n v="0.816996045167554"/>
        <n v="0.0676475682718227"/>
        <n v="0.8180342613645"/>
        <n v="0.245128947013332"/>
        <n v="0.810698076524455"/>
        <n v="0.113947263099303"/>
        <n v="0.210965029934192"/>
        <n v="0.765220974583081"/>
        <n v="0.0730893767513432"/>
        <n v="0.777321792694527"/>
        <n v="0.16794746075837"/>
        <n v="0.909229536531312"/>
        <n v="0.0489856943330864"/>
        <n v="0.734649961777479"/>
        <n v="0.768000257433247"/>
        <n v="0.734224398966009"/>
        <n v="0.81145932163769"/>
        <n v="0.0683076949253439"/>
        <n v="0.298584717933922"/>
        <n v="0.41837940107664"/>
        <n v="0.811356901187635"/>
        <n v="0.273580073085512"/>
        <n v="0.799143408374488"/>
        <n v="0.807584445480382"/>
        <n v="0.0720724578421631"/>
        <n v="0.8918835528149"/>
        <n v="0.818041374356613"/>
        <n v="0.0257224213152665"/>
        <n v="0.788208894532407"/>
        <n v="0.734325402003805"/>
        <n v="0.764812008482328"/>
        <n v="0.871095852356515"/>
        <n v="0.089331254387364"/>
        <n v="0.810383343783288"/>
        <n v="0.285355151850677"/>
        <n v="0.829553589528633"/>
        <n v="0.800268759726355"/>
        <n v="0.727321368013902"/>
        <n v="0.0431866011805837"/>
        <n v="0.798134628757334"/>
        <n v="0.911603370217023"/>
        <n v="0.790526116949813"/>
        <n v="0.0815159527973857"/>
        <n v="0.317967385665471"/>
        <n v="0.270817364072609"/>
        <n v="0.804254065141446"/>
        <n v="0.90359621541291"/>
        <n v="0.759869317784049"/>
        <n v="0.0818172810046951"/>
        <n v="0.235880621118546"/>
        <n v="0.816304685791747"/>
        <n v="0.809991050715394"/>
        <n v="0.778145489873477"/>
        <n v="0.799191287375"/>
        <n v="0.0771356248389325"/>
        <n v="0.76444198430695"/>
        <n v="0.135275257492694"/>
        <n v="0.0860697315906724"/>
        <n v="0.808430598166593"/>
        <n v="0.163636836235671"/>
        <n v="0.780523297781175"/>
        <n v="0.798378801981415"/>
        <n v="0.0764869693342654"/>
        <n v="-0.157616812328885"/>
        <n v="0.76882392180579"/>
        <n v="0.703376684634677"/>
        <n v="0.870315112663129"/>
        <n v="0.871546313331357"/>
        <n v="0.798923990096095"/>
        <n v="0.760122892168133"/>
        <n v="0.0591356840349448"/>
        <n v="0.806186486326221"/>
        <n v="0.238836298441633"/>
        <n v="0.81053529005174"/>
        <n v="0.0853159540085226"/>
        <n v="0.784107798533227"/>
        <n v="0.826339989130516"/>
        <n v="0.871091082308341"/>
        <n v="0.10889839513846"/>
        <n v="0.408292469597761"/>
        <n v="0.079445162736888"/>
        <n v="0.765290581212703"/>
        <n v="0.827439512978042"/>
        <n v="0.729093339161158"/>
        <n v="0.793612461941747"/>
        <n v="0.0104284247854455"/>
        <n v="0.383278784796757"/>
        <n v="0.909408049246492"/>
        <n v="0.287746826927742"/>
        <n v="0.705773790330555"/>
        <n v="0.195384545967411"/>
        <n v="0.0404975478658564"/>
        <n v="0.720025138845891"/>
        <n v="0.139620244312963"/>
        <n v="0.763314642556203"/>
        <n v="0.117294184792323"/>
        <n v="0.800265574078018"/>
        <n v="0.766204498143585"/>
        <n v="0.810067608841053"/>
        <n v="0.760366613579605"/>
        <n v="0.234057243588343"/>
        <n v="0.0816065355857301"/>
        <n v="0.139455892840269"/>
        <n v="0.086976743394505"/>
        <n v="0.790688161220717"/>
        <n v="0.809114871179043"/>
        <n v="0.909546547899603"/>
        <n v="0.826417666192858"/>
        <n v="0.087657718415126"/>
        <n v="0.330011719529935"/>
        <n v="0.16256095886227"/>
        <n v="0.781160519385375"/>
        <n v="0.759139041276486"/>
        <n v="0.789191171920334"/>
        <n v="0.909575663353712"/>
        <n v="0.0466740169752683"/>
        <n v="0.827077470166059"/>
        <n v="0.0519243356939081"/>
        <n v="0.799928047838344"/>
        <n v="0.788701155977379"/>
        <n v="0.911766670518557"/>
        <n v="0.75904752619287"/>
        <n v="0.0458074370089454"/>
        <n v="0.788897180813371"/>
        <n v="0.80100867717143"/>
        <n v="0.237603539854064"/>
        <n v="0.758865038348396"/>
        <n v="0.909416123598154"/>
        <n v="0.829546805220644"/>
        <n v="0.04064971887926"/>
        <n v="0.717538733808169"/>
        <n v="0.792028770397314"/>
        <n v="0.115641355856614"/>
        <n v="0.894600359669843"/>
        <n v="0.168283431212197"/>
        <n v="0.76311974959597"/>
        <n v="0.910142059264602"/>
        <n v="0.909938643258213"/>
        <n v="0.0919447693595645"/>
        <n v="0.79230598868846"/>
        <n v="0.154123108289796"/>
        <n v="0.840166623201382"/>
        <n v="0.826040841457423"/>
        <n v="0.172341581143175"/>
        <n v="0.86965335528023"/>
        <n v="0.816228669307242"/>
        <n v="0.047688212863162"/>
        <n v="0.208770046443533"/>
        <n v="0.0465035259102849"/>
        <n v="0.804341250617625"/>
        <n v="0.8550480239948"/>
        <n v="0.811971357829362"/>
        <n v="0.0562263593217826"/>
        <n v="0.753459901934233"/>
        <n v="0.798218649292964"/>
        <n v="0.825685907029012"/>
        <n v="0.806983696743165"/>
        <n v="0.764225642820169"/>
        <n v="0.86990270146226"/>
        <n v="0.0378697524135248"/>
        <n v="0.789101843642332"/>
        <n v="0.778838023992545"/>
        <n v="0.463348426024021"/>
        <n v="0.396143910609108"/>
        <n v="0.293390954069704"/>
        <n v="0.0293503941427972"/>
        <n v="0.820358759027166"/>
        <n v="0.075770447181745"/>
        <n v="0.403948672058905"/>
        <n v="0.829598272391939"/>
        <n v="0.243475474129723"/>
        <n v="0.824097689458054"/>
        <n v="0.789815113387724"/>
        <n v="0.754843992860884"/>
        <n v="0.869087395129235"/>
        <n v="0.0245866779414273"/>
        <n v="0.790245444731466"/>
        <n v="0.161778708223551"/>
        <n v="0.286416826423031"/>
        <n v="0.0650616994174649"/>
        <n v="0.78014070289784"/>
        <n v="0.809615331505841"/>
        <n v="0.790363441573298"/>
        <n v="0.827648656368314"/>
        <n v="0.0587358896024441"/>
        <n v="0.195429106674657"/>
        <n v="0.735159521645498"/>
        <n v="0.209580687892019"/>
        <n v="0.764710749777351"/>
        <n v="0.752519592648521"/>
        <n v="0.789520768746848"/>
        <n v="0.0487377203019846"/>
        <n v="0.421987826478288"/>
        <n v="0.250845524558255"/>
        <n v="0.810240831468526"/>
        <n v="0.0292878296614721"/>
        <n v="0.809841441640747"/>
        <n v="0.781841215517474"/>
        <n v="0.449192009184249"/>
        <n v="0.459214550993435"/>
        <n v="0.764506090091369"/>
        <n v="0.020643677563192"/>
        <n v="0.79020183712835"/>
        <n v="0.0655999093675612"/>
        <n v="0.762133809344908"/>
        <n v="0.284062015333112"/>
        <n v="0.799284666181037"/>
        <n v="0.775060547950909"/>
        <n v="0.0472843610612198"/>
        <n v="0.274670778390406"/>
        <n v="0.764168145537365"/>
        <n v="0.789958807092976"/>
        <n v="0.20039739935342"/>
        <n v="0.813052507676884"/>
        <n v="0.0834289738603551"/>
        <n v="0.799259639009833"/>
        <n v="0.734909582669937"/>
        <n v="0.789879915086838"/>
        <n v="0.748532506799895"/>
        <n v="0.811352489857087"/>
        <n v="0.173311633330862"/>
        <n v="0.0441817971810064"/>
        <n v="0.385241240926098"/>
        <n v="0.811416357403505"/>
        <n v="0.0170025731028359"/>
        <n v="0.794528331579761"/>
        <n v="0.77804217586821"/>
        <n v="-0.0084378616541101"/>
        <n v="0.0367676026903646"/>
        <n v="0.77586220540178"/>
        <n v="0.789348510081051"/>
        <n v="0.441404262552103"/>
        <n v="0.871597482664574"/>
        <n v="0.649918642715987"/>
        <n v="0.764042093566302"/>
        <n v="0.0739838305290223"/>
        <n v="0.798908815408609"/>
        <n v="0.743456742901009"/>
        <n v="0.452768018920335"/>
        <n v="0.0432494675486984"/>
        <n v="0.909446837488556"/>
        <n v="0.789935923464334"/>
        <n v="0.778234427224031"/>
        <n v="0.789012321357758"/>
        <n v="0.838071139308988"/>
        <n v="0.0522552476359509"/>
        <n v="0.137043733527475"/>
        <n v="0.234968827052492"/>
        <n v="0.764955814169224"/>
        <n v="0.819643552192455"/>
        <n v="0.0691904044082563"/>
        <n v="0.628323362079239"/>
        <n v="0.286742683145624"/>
        <n v="0.890201209276074"/>
        <n v="0.0871967364576057"/>
        <n v="0.205251841066453"/>
        <n v="0.277216149727394"/>
        <n v="0.892700887835125"/>
        <n v="0.791991723471294"/>
        <n v="0.789932458214811"/>
        <n v="0.0102796253321733"/>
        <n v="0.749505232059442"/>
        <n v="0.894535063495572"/>
        <n v="0.799814276606499"/>
        <n v="0.0496059817790491"/>
        <n v="0.763573615039534"/>
        <n v="0.748496737503487"/>
        <n v="0.169343295239165"/>
        <n v="0.798379290938017"/>
        <n v="0.301774258621931"/>
        <n v="0.0580217538409855"/>
        <n v="0.841744612286444"/>
        <n v="0.79455299549561"/>
        <n v="0.780802006432947"/>
        <n v="0.808592737719039"/>
        <n v="0.0227491181622998"/>
        <n v="0.892881835654388"/>
        <n v="0.825820698518942"/>
        <n v="0.0398275571414927"/>
        <n v="0.789670411892165"/>
        <n v="0.749369839314361"/>
        <n v="0.7982319952698"/>
        <n v="0.846653943977524"/>
        <n v="0.0271222718042867"/>
        <n v="0.799090226666341"/>
        <n v="0.789484435958267"/>
        <n v="0.794611407434841"/>
        <n v="0.648052659952743"/>
        <n v="0.147383418036799"/>
        <n v="0.200199111217517"/>
        <n v="0.104066123146868"/>
        <n v="0.909725154133609"/>
        <n v="0.795285882976689"/>
        <n v="0.790666948394069"/>
        <n v="0.735632764627601"/>
        <n v="0.785853851353646"/>
        <n v="0.0173939222920461"/>
        <n v="0.829278737092117"/>
        <n v="0.031459476514639"/>
        <n v="0.808275357103797"/>
        <n v="0.788719636742688"/>
        <n v="0.795719671559065"/>
        <n v="0.0427935845275544"/>
        <n v="0.944649007733568"/>
        <n v="0.738695612669688"/>
        <n v="0.819076491831842"/>
        <n v="0.0919666315660057"/>
        <n v="0.798921510301025"/>
        <n v="0.783591347434913"/>
        <n v="0.87197058481059"/>
        <n v="0.82595576961094"/>
        <n v="0.0412905923034011"/>
        <n v="0.128020607735586"/>
        <n v="0.122556029325857"/>
        <n v="0.909571592094537"/>
        <n v="0.43566181284639"/>
        <n v="0.80983348424038"/>
        <n v="0.785805673088037"/>
        <n v="0.909190210613192"/>
        <n v="0.795788368326983"/>
        <n v="0.744481724064671"/>
        <n v="-0.0193210503917873"/>
        <n v="0.743997070408286"/>
        <n v="0.773160255016584"/>
        <n v="0.0820811701945875"/>
        <n v="0.0804421265138702"/>
        <n v="0.357999431153734"/>
        <n v="0.237088251071496"/>
        <n v="0.0553826739333621"/>
        <n v="0.767004691946818"/>
        <n v="0.845788812051113"/>
        <n v="0.810381970437224"/>
        <n v="0.800100182464749"/>
        <n v="0.271317570090896"/>
        <n v="0.0373183960726946"/>
        <n v="0.812171954804833"/>
        <n v="0.424104065058378"/>
        <n v="0.807071346569274"/>
        <n v="0.268780234668176"/>
        <n v="0.791102636820196"/>
        <n v="0.8077249537589"/>
        <n v="0.0673674763345974"/>
        <n v="0.0292118363255217"/>
        <n v="0.811388871068915"/>
        <n v="0.796892213284999"/>
        <n v="0.893376208534461"/>
        <n v="0.789679397896575"/>
        <n v="0.821873755688479"/>
        <n v="0.0771349577234834"/>
        <n v="0.0839542869647453"/>
        <n v="0.891622682686867"/>
        <n v="0.165578577684658"/>
        <n v="0.788043710940553"/>
        <n v="0.0898008738127802"/>
        <n v="0.0461522975937486"/>
        <n v="0.647738147837916"/>
        <n v="0.780888471295066"/>
        <n v="0.810306066154639"/>
        <n v="0.438352848946628"/>
        <n v="0.180636190874337"/>
        <n v="0.829363182061354"/>
        <n v="0.0847113924482486"/>
        <n v="0.083695837942674"/>
        <n v="0.646525618846081"/>
        <n v="0.348231162839393"/>
        <n v="0.383517308776711"/>
        <n v="0.142971862250843"/>
        <n v="0.8091601564091"/>
        <n v="0.735248679566483"/>
        <n v="0.120435585080654"/>
        <n v="0.086723174546519"/>
        <n v="0.871667487014544"/>
        <n v="-0.00576023349547504"/>
        <n v="0.43006097191358"/>
        <n v="0.185373234619298"/>
        <n v="0.824653352384107"/>
        <n v="0.757175293685756"/>
        <n v="0.0698579150405604"/>
        <n v="0.789750614922789"/>
        <n v="0.0635303221705692"/>
        <n v="0.789381560622584"/>
        <n v="0.808346821745055"/>
        <n v="0.0603928886366666"/>
        <n v="0.11502860082573"/>
        <n v="0.838132942851533"/>
        <n v="0.766616618166495"/>
        <n v="0.854300490672809"/>
        <n v="-0.00147332668542161"/>
        <n v="0.399841894765718"/>
        <n v="0.219457100655678"/>
        <n v="0.472587096797599"/>
        <n v="0.894077808141893"/>
        <n v="0.0388798346587471"/>
        <n v="0.792582469171143"/>
        <n v="0.828683498808473"/>
        <n v="0.764207985583702"/>
        <n v="0.806881854584668"/>
        <n v="0.0250860016594875"/>
        <n v="0.275907123994583"/>
        <n v="0.827535029008025"/>
        <n v="0.755264749047092"/>
        <n v="0.7031713209546"/>
        <n v="0.0413703914422244"/>
        <n v="0.818866064959663"/>
        <n v="0.797889908749402"/>
        <n v="0.84881958108522"/>
        <n v="0.75412960915984"/>
        <n v="0.796036822053411"/>
        <n v="0.476199900943818"/>
        <n v="0.921060819231803"/>
        <n v="0.80882633280703"/>
        <n v="0.0473990445598575"/>
        <n v="0.797073056822195"/>
        <n v="0.894569798237203"/>
        <n v="0.0650527356741867"/>
        <n v="0.828706216744036"/>
        <n v="0.87136645238603"/>
        <n v="0.469945791454763"/>
        <n v="0.806034042696616"/>
        <n v="0.421253935106524"/>
        <n v="0.0731529737891089"/>
        <n v="0.0361230367991188"/>
        <n v="0.399116777605095"/>
        <n v="0.792904001323656"/>
        <n v="0.818649360676475"/>
        <n v="0.76417228788418"/>
        <n v="0.00717532193964322"/>
        <n v="0.0509313784269502"/>
        <n v="0.795509833088852"/>
        <n v="0.894471656253257"/>
        <n v="0.808867162494028"/>
        <n v="0.871161698240087"/>
        <n v="0.780649677444267"/>
        <n v="0.764001696949214"/>
        <n v="0.921193761738074"/>
        <n v="0.838855529758143"/>
        <n v="0.0404269606315311"/>
        <n v="0.415260312401066"/>
        <n v="0.818407740507902"/>
        <n v="0.0415292521967406"/>
        <n v="0.173857962956815"/>
        <n v="0.811108382908671"/>
        <n v="0.920870424339268"/>
        <n v="0.472022872840102"/>
        <n v="0.807392914048712"/>
        <n v="-7.92337540415522E-4"/>
        <n v="0.792541696184341"/>
        <n v="0.765971415450827"/>
        <n v="0.23831409130151"/>
        <n v="0.0400021328739234"/>
        <n v="0.80875778378633"/>
        <n v="0.793811270019732"/>
        <n v="0.763988254476167"/>
        <n v="0.837337274319807"/>
        <n v="0.826365220512379"/>
        <n v="0.077855305197103"/>
        <n v="0.160857906270598"/>
        <n v="0.826356852538821"/>
        <n v="0.752280147326256"/>
        <n v="0.817362238850221"/>
        <n v="0.806821522460512"/>
        <n v="0.0502194496273783"/>
        <n v="0.792679574098013"/>
        <n v="0.304975123644267"/>
        <n v="-0.0190751129794887"/>
        <n v="0.807386061551773"/>
        <n v="0.76490569284807"/>
        <n v="0.753346841501805"/>
        <n v="0.75320521428066"/>
        <n v="0.0371991541904771"/>
        <n v="0.806163505610961"/>
        <n v="0.5005314180949"/>
        <n v="0.418944003772356"/>
        <n v="0.806788756170309"/>
        <n v="-0.022630744234066"/>
        <n v="0.334683091514533"/>
        <n v="0.753844359871941"/>
        <n v="0.753099838993181"/>
        <n v="0.807541788479038"/>
        <n v="0.793352722590938"/>
        <n v="0.00288719526978591"/>
        <n v="0.817705879923467"/>
        <n v="0.871280611604717"/>
        <n v="0.219879201352558"/>
        <n v="0.826192244803629"/>
        <n v="0.469984151746737"/>
        <n v="0.0494770870698964"/>
        <n v="0.749681171485026"/>
        <n v="0.827187809048477"/>
        <n v="0.764065340539877"/>
        <n v="0.414387113023136"/>
        <n v="0.019856876684541"/>
        <n v="0.823092851805517"/>
        <n v="0.284038522509114"/>
        <n v="0.802253902397085"/>
        <n v="0.81344291758834"/>
        <n v="0.0423645242272113"/>
        <n v="0.123504197818636"/>
        <n v="0.826330395060151"/>
        <n v="0.764824148722246"/>
        <n v="0.0666665931325182"/>
        <n v="0.838440273970851"/>
        <n v="0.0507507893243976"/>
        <n v="-0.072676542392085"/>
        <n v="0.276984770606324"/>
        <n v="0.777789655456506"/>
        <n v="0.73607811955701"/>
        <n v="0.294577667518331"/>
        <n v="0.404400901874762"/>
        <n v="0.353334733386203"/>
        <n v="0.0237607055323009"/>
        <n v="0.811710855077107"/>
        <n v="0.74874485802791"/>
        <n v="0.797572280432112"/>
        <n v="0.0192833726034552"/>
        <n v="0.8084933298219"/>
        <n v="0.818550802711515"/>
        <n v="-0.00190047750740012"/>
        <n v="0.79466352013739"/>
        <n v="0.847179776683389"/>
        <n v="0.750553724407036"/>
        <n v="0.809662477620387"/>
        <n v="0.81015452716743"/>
        <n v="0.870154518890847"/>
        <n v="0.812542515287278"/>
        <n v="0.045814970578096"/>
        <n v="0.827488977888702"/>
        <n v="0.0596604493248279"/>
        <n v="0.827924333977121"/>
        <n v="0.131791611243856"/>
        <n v="0.202109353853641"/>
        <n v="0.817526303387165"/>
        <n v="0.747971674983956"/>
        <n v="0.82567331595025"/>
        <n v="0.813888889164487"/>
        <n v="0.428535178253041"/>
        <n v="-0.00489622444231633"/>
        <n v="0.0676246150252433"/>
        <n v="0.0501668374021675"/>
        <n v="0.827505535467298"/>
        <n v="0.811363234521024"/>
        <n v="0.743743246523129"/>
        <n v="0.400545997999759"/>
        <n v="0.827891044473939"/>
        <n v="0.763194091594323"/>
        <n v="0.822723669230281"/>
        <n v="0.0270174205192432"/>
        <n v="0.78716038032101"/>
        <n v="0.806728726268646"/>
        <n v="0.483270868325837"/>
        <n v="0.0429395648147162"/>
        <n v="0.87239845974257"/>
        <n v="0.747220052160162"/>
        <n v="-0.0183024216747721"/>
        <n v="0.39940253692503"/>
        <n v="0.7665466010072"/>
        <n v="0.407947709085415"/>
        <n v="0.085627585440523"/>
        <n v="0.842909566505842"/>
        <n v="0.811043388554502"/>
        <n v="0.0357757377851157"/>
        <n v="0.922654067401188"/>
        <n v="0.0314411988124516"/>
        <n v="0.871536806611383"/>
        <n v="0.827475122516199"/>
        <n v="0.814103635875349"/>
        <n v="0.799008817077657"/>
        <n v="0.320496664859675"/>
        <n v="0.81761951460079"/>
        <n v="0.020165519348268"/>
        <n v="0.306924286710773"/>
        <n v="0.825468682623472"/>
        <n v="0.426185487315384"/>
        <n v="0.739279603533354"/>
        <n v="0.797858593753025"/>
        <n v="0.0748002247269145"/>
        <n v="0.0919288520412923"/>
        <n v="0.422869618327254"/>
        <n v="0.0714041122728592"/>
        <n v="0.74474109828309"/>
        <n v="0.82961710580072"/>
        <n v="0.40127545947756"/>
        <n v="0.896608448619454"/>
        <n v="0.923163571129087"/>
        <n v="0.764463311530716"/>
        <n v="0.823570207024096"/>
        <n v="0.0640397955472607"/>
        <n v="0.0238710683308167"/>
        <n v="0.48929460555057"/>
        <n v="0.292156501401294"/>
        <n v="0.783736334702947"/>
        <n v="0.843938879530193"/>
        <n v="0.0115649295806851"/>
        <n v="0.747305854317891"/>
        <n v="0.827434293972118"/>
        <n v="0.894463245739345"/>
        <n v="0.815144972453492"/>
        <n v="0.409162555884898"/>
        <n v="0.0173488787425912"/>
        <n v="0.825309795990385"/>
        <n v="0.40312773771904"/>
        <n v="0.217656297513939"/>
        <n v="0.42002389009241"/>
        <n v="-0.00165437857877843"/>
        <n v="0.444815576749419"/>
        <n v="0.82744195882335"/>
        <n v="0.984392660436023"/>
        <n v="0.371209068674509"/>
        <n v="-0.0807431893473845"/>
        <n v="0.844600065309114"/>
        <n v="0.188910570674138"/>
        <n v="0.788844829425923"/>
        <n v="0.815537931800188"/>
        <n v="0.872441349969831"/>
        <n v="0.747314484082424"/>
        <n v="0.764297496715575"/>
        <n v="0.00970644975854328"/>
        <n v="0.766337612025367"/>
        <n v="0.740121773700336"/>
        <n v="-0.00182466761245012"/>
        <n v="0.394307352218378"/>
        <n v="0.0872573382773401"/>
        <n v="0.311646643450628"/>
        <n v="0.427293822950621"/>
        <n v="0.789863220409602"/>
        <n v="-0.0304814158921569"/>
        <n v="0.475203770036043"/>
        <n v="0.46997303607154"/>
        <n v="0.828690087430595"/>
        <n v="0.0221840673811769"/>
        <n v="0.157875654148889"/>
        <n v="0.825878472450817"/>
        <n v="0.807029442241579"/>
        <n v="0.424501346640372"/>
        <n v="0.828325275857056"/>
        <n v="0.0182800163620971"/>
        <n v="0.824449213628854"/>
        <n v="0.0415723202821238"/>
        <n v="0.779929173856364"/>
        <n v="0.822611995139958"/>
        <n v="0.870879368110323"/>
        <n v="0.819704224692439"/>
        <n v="0.397717307901548"/>
        <n v="-0.00622201436090517"/>
        <n v="0.820609190286035"/>
        <n v="0.150126660515684"/>
        <n v="0.839159673228918"/>
        <n v="0.794338108034906"/>
        <n v="0.830697858935716"/>
        <n v="0.806922566170015"/>
        <n v="0.304260914413285"/>
        <n v="-0.0235789769567311"/>
        <n v="0.819125395560355"/>
        <n v="0.809252982239157"/>
        <n v="0.0169777775603844"/>
        <n v="0.794909215057823"/>
        <n v="0.755988507621245"/>
        <n v="0.806659583386854"/>
        <n v="0.794297778264835"/>
        <n v="0.393059571835093"/>
        <n v="0.782423923407755"/>
        <n v="-0.0313470741439614"/>
        <n v="0.0104821754945694"/>
        <n v="0.23817177168681"/>
        <n v="0.296301103921002"/>
        <n v="0.797507297488358"/>
        <n v="0.646576304892817"/>
        <n v="0.0215213023348221"/>
        <n v="0.74325059406938"/>
        <n v="0.81957764023184"/>
        <n v="0.491799144935879"/>
        <n v="0.779935723217168"/>
        <n v="0.802540458570752"/>
        <n v="0.127024893879981"/>
        <n v="0.0404957704107913"/>
        <n v="0.818357197517068"/>
        <n v="0.751207347080859"/>
        <n v="0.777542790728446"/>
        <n v="0.0404320642373242"/>
        <n v="0.871684181793457"/>
        <n v="0.78032386038288"/>
        <n v="0.821899114458832"/>
        <n v="0.869863434495292"/>
        <n v="0.26650475643949"/>
        <n v="0.763086183757633"/>
        <n v="0.11519798327241"/>
        <n v="0.0549998428834333"/>
        <n v="0.0666210345537421"/>
        <n v="0.770788497801297"/>
        <n v="0.870393292086994"/>
        <n v="0.89591697435102"/>
        <n v="0.298708865894574"/>
        <n v="0.428708517070807"/>
        <n v="0.82116026210617"/>
        <n v="-0.0374630307826043"/>
        <n v="0.795200683793571"/>
        <n v="0.807795446842133"/>
        <n v="0.790730921773028"/>
        <n v="0.828863774904595"/>
        <n v="0.81972858797145"/>
        <n v="0.1352939821922"/>
        <n v="0.0657621426547046"/>
        <n v="0.840465084442439"/>
        <n v="0.81995459188462"/>
        <n v="0.427680326087222"/>
        <n v="0.807528745231145"/>
        <n v="-0.0080670389157985"/>
        <n v="0.826943681744496"/>
        <n v="0.469588982829731"/>
        <n v="0.646700978144076"/>
        <n v="0.897396971489007"/>
        <n v="0.052437127918417"/>
        <n v="0.0580420621736994"/>
        <n v="0.822632424293984"/>
        <n v="0.335544808943924"/>
        <n v="0.306473244968621"/>
        <n v="0.645944097625178"/>
        <n v="0.298558044769667"/>
        <n v="0.828601112763155"/>
        <n v="0.923071512181728"/>
        <n v="0.812957557181602"/>
        <n v="0.0382627564499899"/>
        <n v="0.107033028570809"/>
        <n v="0.0778428576092933"/>
        <n v="0.214579346254642"/>
        <n v="0.825252082315664"/>
        <n v="0.896206195142095"/>
        <n v="0.447897262100589"/>
        <n v="0.224106273991167"/>
        <n v="0.8261117565784"/>
        <n v="-0.00483603122275551"/>
        <n v="0.776054097999759"/>
        <n v="0.823900220687342"/>
        <n v="0.0397155480172968"/>
        <n v="0.872305646309951"/>
        <n v="0.777323785311659"/>
        <n v="0.798499059893346"/>
        <n v="0.166810713685229"/>
        <n v="0.155789689953363"/>
        <n v="0.459363368250244"/>
        <n v="0.82857636960682"/>
        <n v="0.0777541406559227"/>
        <n v="0.810327281850075"/>
        <n v="0.820455804779475"/>
        <n v="0.0364684504800259"/>
        <n v="0.822448708799321"/>
        <n v="0.827220094742313"/>
        <n v="0.784220559067562"/>
        <n v="0.822551524975143"/>
        <n v="0.296104832848363"/>
        <n v="0.400688305398827"/>
        <n v="-0.0438535468728571"/>
        <n v="0.871275752690675"/>
        <n v="0.827534943202"/>
        <n v="0.781343089162757"/>
        <n v="0.0453633769348078"/>
        <n v="0.822801050656724"/>
        <n v="0.0475269279769243"/>
        <n v="0.646770596347071"/>
        <n v="0.791278156311633"/>
        <n v="0.862333399146868"/>
        <n v="0.128308667081706"/>
        <n v="0.397255801673302"/>
        <n v="0.0158401263644061"/>
        <n v="0.300060529075563"/>
        <n v="0.829013158345679"/>
        <n v="0.819979170395649"/>
        <n v="0.77928961311223"/>
        <n v="0.801742270116797"/>
        <n v="0.0409853007420613"/>
        <n v="0.836689649284085"/>
        <n v="-0.0105307196005083"/>
        <n v="0.165552673786746"/>
        <n v="0.048873807565801"/>
        <n v="0.829479972423812"/>
        <n v="0.0482098427805405"/>
        <n v="0.792744038993959"/>
        <n v="-0.00278217147110006"/>
        <n v="0.680688477249623"/>
        <n v="0.432215060836965"/>
        <n v="0.22966799178575"/>
        <n v="0.781931122047425"/>
        <n v="0.816136222415724"/>
        <n v="0.785488573957233"/>
        <n v="0.800508394182231"/>
        <n v="-0.0503301138350972"/>
        <n v="0.825279216485742"/>
        <n v="-0.0638020303784374"/>
        <n v="0.431259272199611"/>
        <n v="0.872602627974272"/>
        <n v="0.296190106716047"/>
        <n v="0.746801729582031"/>
        <n v="0.391389181533374"/>
        <n v="0.0769949503073346"/>
        <n v="0.924466134935862"/>
        <n v="0.743495515620125"/>
        <n v="-0.0166538752563145"/>
        <n v="0.801327790193409"/>
        <n v="0.786840283620436"/>
        <n v="-0.0249672180341738"/>
        <n v="0.744884402039807"/>
        <n v="0.872705425714888"/>
        <n v="0.0531992476427607"/>
        <n v="0.747820270754661"/>
        <n v="0.641214168268985"/>
        <n v="0.0974522392551638"/>
        <n v="0.143766200485694"/>
        <n v="0.237492063685138"/>
        <n v="0.842388798123871"/>
        <n v="0.281158296762916"/>
        <n v="0.320776140354771"/>
        <n v="-0.021373863469799"/>
        <n v="0.766557740701582"/>
        <n v="0.814914852121748"/>
        <n v="0.79856367565803"/>
        <n v="0.193065480531152"/>
        <n v="-0.0640787538199028"/>
        <n v="0.845197582558439"/>
        <n v="0.0046304859108016"/>
        <n v="0.828301232276173"/>
        <n v="0.783852929620258"/>
        <n v="0.400157527978196"/>
        <n v="0.746777611800818"/>
        <n v="0.824266954091357"/>
        <n v="-0.072123503132859"/>
        <n v="0.397494114609965"/>
        <n v="0.313027786319404"/>
        <n v="0.845301911961025"/>
        <n v="0.823186722542567"/>
        <n v="0.479785559040699"/>
        <n v="0.924738257980959"/>
        <n v="0.0351728340167441"/>
        <n v="0.0591100631262168"/>
        <n v="0.823776151760667"/>
        <n v="0.824510986652108"/>
        <n v="0.789320319984613"/>
        <n v="0.828400747214439"/>
        <n v="0.300269397957144"/>
        <n v="0.823357708439914"/>
        <n v="0.47419287425466"/>
        <n v="-0.073766734401471"/>
        <n v="0.748415097414384"/>
        <n v="0.473306669456264"/>
        <n v="0.294008649085848"/>
        <n v="0.00302439540756143"/>
        <n v="0.408596126227846"/>
        <n v="0.785546425861681"/>
        <n v="0.47482441958172"/>
        <n v="0.788093714470415"/>
        <n v="0.823499793484874"/>
        <n v="0.819015217119129"/>
        <n v="-0.0105625038265696"/>
        <n v="0.787559389844343"/>
        <n v="-0.0933049211892281"/>
        <n v="0.426290820142886"/>
        <n v="0.322767088092171"/>
        <n v="0.744695027555239"/>
        <n v="0.204123674268815"/>
        <n v="0.322585484767859"/>
        <n v="0.0413755788623874"/>
        <n v="0.896679980033269"/>
        <n v="0.825065998733571"/>
        <n v="0.0484747532152473"/>
        <n v="0.824656616579898"/>
        <n v="0.788836855334201"/>
        <n v="0.750998631046934"/>
        <n v="0.82859564007547"/>
        <n v="0.0316837375471449"/>
        <n v="0.846568677746036"/>
        <n v="0.924738396128566"/>
        <n v="0.823200479605168"/>
        <n v="0.476600433513201"/>
        <n v="0.77164200447521"/>
        <n v="0.785934961291928"/>
        <n v="0.132292578536889"/>
        <n v="-0.0125305461799057"/>
        <n v="0.901716796777659"/>
        <n v="0.802414140902619"/>
        <n v="0.773201577402613"/>
        <n v="-0.0191947202615374"/>
        <n v="0.7877333049969"/>
        <n v="0.743255250218481"/>
        <n v="0.0296094389583519"/>
        <n v="0.755244593859119"/>
        <n v="0.839112178305029"/>
        <n v="0.871107469835625"/>
        <n v="0.79788869626582"/>
        <n v="0.755032944003375"/>
        <n v="0.838774491970189"/>
        <n v="0.217511117974123"/>
        <n v="-0.0277491118115819"/>
        <n v="0.214203935610144"/>
        <n v="0.781898374942769"/>
        <n v="-0.0282066915190862"/>
        <n v="0.414566201699711"/>
        <n v="0.452850006263241"/>
        <n v="0.819870728035896"/>
        <n v="0.400114374715638"/>
        <n v="0.838361362400744"/>
        <n v="0.0930785855448806"/>
        <n v="0.850757411664192"/>
        <n v="0.0498060624470881"/>
        <n v="0.418385464264532"/>
        <n v="0.0527852325237175"/>
        <n v="0.803593155593243"/>
        <n v="0.794678419857547"/>
        <n v="0.0915130146791072"/>
        <n v="-0.0253401533444378"/>
        <n v="0.79752321302756"/>
        <n v="0.754375766989255"/>
        <n v="0.778193708397489"/>
        <n v="0.398246306245397"/>
        <n v="0.306600272669641"/>
        <n v="0.895114250537194"/>
        <n v="0.363781529707723"/>
        <n v="0.0136210401933843"/>
        <n v="0.763536198504747"/>
        <n v="0.395622556592757"/>
        <n v="0.0495901790640809"/>
        <n v="0.465057173272364"/>
        <n v="0.121212133685383"/>
        <n v="0.858826313612774"/>
        <n v="0.87042302032593"/>
        <n v="0.0545149480525159"/>
        <n v="0.750859307314161"/>
        <n v="0.817454580336086"/>
        <n v="0.140724046055605"/>
        <n v="0.754792831031482"/>
        <n v="0.85261604348289"/>
        <n v="0.00641440840639082"/>
        <n v="0.397129951839904"/>
        <n v="0.739077395722005"/>
        <n v="0.0503206031815589"/>
        <n v="0.750799698764405"/>
        <n v="0.850824974348147"/>
        <n v="0.0953474239223046"/>
        <n v="0.647285829453721"/>
        <n v="0.82020141614331"/>
        <n v="0.427822737640739"/>
        <n v="0.00159334694319905"/>
        <n v="0.807585089152048"/>
        <n v="0.897920730349111"/>
        <n v="0.797808535523663"/>
        <n v="0.820489479051762"/>
        <n v="-0.0330748386662805"/>
        <n v="0.280888945400955"/>
        <n v="0.840431246779919"/>
        <n v="0.852568147637135"/>
        <n v="0.219386413987639"/>
        <n v="0.829694719643013"/>
        <n v="-0.0375245304172678"/>
        <n v="0.753982049704985"/>
        <n v="0.821686893439536"/>
        <n v="0.47755940013783"/>
        <n v="0.399650973744646"/>
        <n v="0.392169678460383"/>
        <n v="-0.0263089705939119"/>
        <n v="0.840820577608119"/>
        <n v="0.79777789103024"/>
        <n v="0.032303753794557"/>
        <n v="0.797934868510045"/>
        <n v="0.871041143925921"/>
        <n v="-0.0144988512404627"/>
        <n v="0.270003979034663"/>
        <n v="0.752069614252099"/>
        <n v="0.171876838521884"/>
        <n v="0.825933274686589"/>
        <n v="0.411854451146499"/>
        <n v="0.75242635579708"/>
        <n v="0.468565328663741"/>
        <n v="0.487754748895505"/>
        <n v="-0.0430280720630119"/>
        <n v="-0.0374231252289284"/>
        <n v="0.753120196242468"/>
        <n v="0.820676460127974"/>
        <n v="0.8074449332915"/>
        <n v="0.412526975432513"/>
        <n v="0.798038941175082"/>
        <n v="0.3981616244923"/>
        <n v="0.922611308193032"/>
        <n v="-0.0227930215920806"/>
        <n v="0.752771695369801"/>
        <n v="0.821304623790952"/>
        <n v="0.0616041288519628"/>
        <n v="0.104791514957072"/>
        <n v="0.297227643552656"/>
        <n v="0.779820279396903"/>
        <n v="-0.0161605126399215"/>
        <n v="0.288392930312091"/>
        <n v="0.781964654368558"/>
        <n v="0.502925588053304"/>
        <n v="0.257980178236081"/>
        <n v="0.414608976047248"/>
        <n v="0.821739657237974"/>
        <n v="0.747614138959305"/>
        <n v="0.783063217769353"/>
        <n v="-0.0497273238233879"/>
        <n v="0.282378087749141"/>
        <n v="-0.00285119990770257"/>
        <n v="0.837736077765095"/>
        <n v="0.849201194772513"/>
        <n v="0.0659241185657021"/>
        <n v="0.800963659990716"/>
        <n v="0.398013037933376"/>
        <n v="-0.0472548131391684"/>
        <n v="0.832660498727538"/>
        <n v="0.749074496879416"/>
        <n v="0.104792334472226"/>
        <n v="0.900152502847397"/>
        <n v="0.839202690321407"/>
        <n v="0.0595577267522839"/>
        <n v="0.7750891048399"/>
        <n v="0.829195040458465"/>
        <n v="0.821273628288362"/>
        <n v="0.810218396984802"/>
        <n v="-0.0214794782157953"/>
        <n v="0.414329140411161"/>
        <n v="-0.0151935904284018"/>
        <n v="0.137157159791334"/>
        <n v="0.411414506642305"/>
        <n v="0.747577406216525"/>
        <n v="0.277081575012714"/>
        <n v="0.0557175036886371"/>
        <n v="0.299955048813285"/>
        <n v="0.92344793795908"/>
        <n v="0.863775194483994"/>
        <n v="0.743966361321395"/>
        <n v="0.7783307313496"/>
        <n v="0.746247804978591"/>
        <n v="0.00328180984432602"/>
        <n v="0.782815547435887"/>
        <n v="0.798901588774548"/>
        <n v="0.805081324496527"/>
        <n v="0.872768194685761"/>
        <n v="-1.13388260406871E-4"/>
        <n v="0.785138945621112"/>
        <n v="0.834250327845823"/>
        <n v="0.776398344309022"/>
        <n v="0.330220529737091"/>
        <n v="0.0327474778892799"/>
        <n v="0.812895933836992"/>
        <n v="0.788967200366508"/>
        <n v="0.399954781937886"/>
        <n v="0.802956710292152"/>
        <n v="0.823147432077626"/>
        <n v="0.85512660282481"/>
        <n v="-0.0464691005030109"/>
        <n v="-0.0340629371220605"/>
        <n v="0.83552867234669"/>
        <n v="0.783378590854244"/>
        <n v="0.433495482236571"/>
        <n v="0.802506893249041"/>
        <n v="0.301133574809727"/>
        <n v="0.814580195052017"/>
        <n v="0.292620500803179"/>
        <n v="0.898475661416972"/>
        <n v="-0.062956923547089"/>
        <n v="-0.0464938329082641"/>
        <n v="0.46555453691582"/>
        <n v="0.417833947140622"/>
        <n v="0.803392493886615"/>
        <n v="0.787620875539339"/>
        <n v="0.743464315375255"/>
        <n v="0.0610678031231156"/>
        <n v="0.0810941588569812"/>
        <n v="0.0946912209686836"/>
        <n v="0.775482187580569"/>
        <n v="0.815973132134216"/>
        <n v="-0.0439176327393412"/>
        <n v="0.775815202839729"/>
        <n v="0.745977965567232"/>
        <n v="0.787420765102836"/>
        <n v="0.845303860866702"/>
        <n v="0.803216384929255"/>
        <n v="-0.0175088933802255"/>
        <n v="0.776340854327279"/>
        <n v="0.816300993560027"/>
        <n v="0.0322087824798157"/>
        <n v="0.24797540019883"/>
        <n v="0.833870336379443"/>
        <n v="0.820619496737134"/>
        <n v="0.00755671048655181"/>
        <n v="0.818571601465106"/>
        <n v="-0.0679733636203825"/>
        <n v="0.420329390905806"/>
        <n v="0.74696166793825"/>
        <n v="0.924382901263788"/>
        <n v="0.815593918675359"/>
        <n v="0.419796345800996"/>
        <n v="0.747391127735375"/>
        <n v="0.464036003792298"/>
        <n v="-0.070445595456867"/>
        <n v="0.818794317201299"/>
        <n v="0.786637424594931"/>
        <n v="0.462784551404416"/>
        <n v="0.804899505922651"/>
        <n v="-0.0650019696094682"/>
        <n v="0.898509415297103"/>
        <n v="0.822690992604861"/>
        <n v="0.814593063800259"/>
        <n v="0.0507646585008345"/>
        <n v="0.0371296646119408"/>
        <n v="0.829947864980709"/>
        <n v="0.306358823987854"/>
        <n v="-0.0453264054241486"/>
        <n v="0.885541860960893"/>
        <n v="0.337440167948611"/>
        <n v="0.860202540140367"/>
        <n v="0.0161744356728032"/>
        <n v="0.20980493387913"/>
        <n v="0.750684960775389"/>
        <n v="0.747172103042575"/>
        <n v="-0.0519211273495542"/>
        <n v="0.822956163440959"/>
        <n v="0.399831680581718"/>
        <n v="0.80352857958024"/>
        <n v="0.746485749320176"/>
        <n v="0.419047160117618"/>
        <n v="0.644756378147894"/>
        <n v="0.77522988705744"/>
        <n v="0.815028937406256"/>
        <n v="0.0166005134681025"/>
        <n v="0.261058384057513"/>
        <n v="0.785275137302555"/>
        <n v="-0.0202064832097924"/>
        <n v="0.804554691755091"/>
        <n v="0.737695225071522"/>
        <n v="0.492901084295841"/>
        <n v="0.43980606454219"/>
        <n v="0.299721033195179"/>
        <n v="0.898561109944779"/>
        <n v="-0.061260193305198"/>
        <n v="0.718481002801356"/>
        <n v="0.809039765155728"/>
        <n v="0.389315289540655"/>
        <n v="0.984393049726752"/>
        <n v="0.05121027948309"/>
        <n v="0.772994101317923"/>
        <n v="0.85544041141155"/>
        <n v="0.105342577978474"/>
        <n v="0.0642826011360915"/>
        <n v="0.879602522018356"/>
        <n v="0.825990757551239"/>
        <n v="0.0827168153171706"/>
        <n v="0.429269550004232"/>
        <n v="0.749637402471435"/>
        <n v="0.173664355903362"/>
        <n v="0.91315182797376"/>
        <n v="0.0814320826643218"/>
        <n v="0.831291314823059"/>
        <n v="0.398557875410423"/>
        <n v="0.807319489258816"/>
        <n v="0.0605742293150929"/>
        <n v="0.771437827701225"/>
        <n v="0.263730779194149"/>
        <n v="0.391473125251986"/>
        <n v="0.27698505277261"/>
        <n v="0.0571179646494982"/>
        <n v="0.822206873525544"/>
        <n v="0.769504532537424"/>
        <n v="0.763369127777421"/>
        <n v="0.829700047908551"/>
        <n v="0.859979443191165"/>
        <n v="0.0619398248724609"/>
        <n v="0.831144672089956"/>
        <n v="0.401574277233003"/>
        <n v="0.770210410096756"/>
        <n v="0.0917089957168123"/>
        <n v="0.824639443512473"/>
        <n v="0.21603385771699"/>
        <n v="0.811305254992411"/>
        <n v="0.336579697551963"/>
        <n v="0.0639205396993567"/>
        <n v="0.825608934051912"/>
        <n v="0.82847699556964"/>
        <n v="0.715940372072002"/>
        <n v="0.619562586047798"/>
        <n v="0.722570917991482"/>
        <n v="0.831595129033699"/>
        <n v="0.821717581506826"/>
        <n v="0.0362611130229696"/>
        <n v="0.267652889572655"/>
        <n v="0.751415624169234"/>
        <n v="0.72225363833804"/>
        <n v="0.0738046744908747"/>
        <n v="0.76552822016922"/>
        <n v="0.823048969055102"/>
        <n v="0.0563766858049047"/>
        <n v="0.721193826851142"/>
        <n v="0.770446467278473"/>
        <n v="0.835184272071352"/>
        <n v="0.789507225524301"/>
        <n v="0.775986209452524"/>
        <n v="0.410817901925452"/>
        <n v="0.736125182059701"/>
        <n v="0.344001195184859"/>
        <n v="0.0514789256040886"/>
        <n v="0.813220544152522"/>
        <n v="0.827688808528685"/>
        <n v="0.0678997179512542"/>
        <n v="0.721780002123158"/>
        <n v="0.882088951813851"/>
        <n v="0.0623089502305979"/>
        <n v="0.808420383900435"/>
        <n v="0.773548733283967"/>
        <n v="0.789980991408507"/>
        <n v="0.751299868899684"/>
        <n v="0.763180738750472"/>
        <n v="0.825681887657164"/>
        <n v="0.751193083549927"/>
        <n v="0.0556365830015822"/>
        <n v="0.770946017998028"/>
        <n v="0.789719655734115"/>
        <n v="0.0573290404845909"/>
        <n v="0.770501292383617"/>
        <n v="0.805292480445407"/>
        <n v="0.825674332412821"/>
        <n v="0.270893661995341"/>
        <n v="0.768887580851569"/>
        <n v="0.514289431242019"/>
        <n v="0.308830377746293"/>
        <n v="0.104103034697409"/>
        <n v="0.721600197909957"/>
        <n v="0.834921728668228"/>
        <n v="0.113554779868564"/>
        <n v="0.373480033220221"/>
        <n v="0.22535752978434"/>
        <n v="0.738183885504333"/>
        <n v="0.858407465161574"/>
        <n v="0.770899086078419"/>
        <n v="0.105803858404982"/>
        <n v="0.151280909246903"/>
        <n v="0.48438989010005"/>
        <n v="0.088389928975135"/>
        <n v="0.763811780906271"/>
        <n v="0.128950392335093"/>
        <n v="0.821236949140458"/>
        <n v="0.748864533782487"/>
        <n v="0.82481329397833"/>
        <n v="0.799581093210295"/>
        <n v="0.257303924266794"/>
        <n v="0.0612155533277567"/>
        <n v="0.765540405429146"/>
        <n v="0.858493096604415"/>
        <n v="0.715258837696213"/>
        <n v="0.806435996527053"/>
        <n v="0.0623555161278702"/>
        <n v="0.807521760521027"/>
        <n v="0.841556796318667"/>
        <n v="0.0746371420339422"/>
        <n v="0.913179316740548"/>
        <n v="0.814414195177318"/>
        <n v="0.0492065927623146"/>
        <n v="0.761490923479996"/>
        <n v="0.751565300338236"/>
        <n v="0.645911169310116"/>
        <n v="0.788027914852244"/>
        <n v="0.912917376155169"/>
        <n v="0.828213199396444"/>
        <n v="0.721938251028851"/>
        <n v="0.813344323215311"/>
        <n v="0.0674310125916454"/>
        <n v="0.721062185873972"/>
        <n v="0.826445988785211"/>
        <n v="0.752166941390628"/>
        <n v="0.858917324884259"/>
        <n v="0.0709765965189082"/>
        <n v="0.828236040135852"/>
        <n v="0.0665744000713997"/>
        <n v="0.751109203963464"/>
        <n v="0.823141899098654"/>
        <n v="0.79077002490047"/>
        <n v="0.829627459977929"/>
        <n v="0.882224351339637"/>
        <n v="0.0793333244748138"/>
        <n v="0.807709439189678"/>
        <n v="0.826479064908795"/>
        <n v="0.751424232613822"/>
        <n v="0.217289993281785"/>
        <n v="0.0415056418306274"/>
        <n v="0.809743708946575"/>
        <n v="0.77429532601651"/>
        <n v="0.81088934035187"/>
        <n v="0.0792765217131639"/>
        <n v="0.821629499447338"/>
        <n v="0.119969914335282"/>
        <n v="0.806712286221866"/>
        <n v="0.770467844417434"/>
        <n v="0.789404198914051"/>
        <n v="0.71793364036829"/>
        <n v="0.724150243428998"/>
        <n v="0.0562890436148963"/>
        <n v="0.764280845725643"/>
        <n v="0.827266120132843"/>
        <n v="0.912595475300721"/>
        <n v="0.0651927238008011"/>
        <n v="0.790756349188281"/>
        <n v="0.0776529984813215"/>
        <n v="0.811683464844971"/>
        <n v="0.860271171338652"/>
        <n v="0.766996760308611"/>
        <n v="0.826905435435571"/>
        <n v="0.719019854987777"/>
        <n v="0.237511383533074"/>
        <n v="0.0691523226018719"/>
        <n v="0.753000919203061"/>
        <n v="0.764070160187383"/>
        <n v="0.765235897857569"/>
        <n v="0.42704527211217"/>
        <n v="0.826691989253157"/>
        <n v="0.800783902922371"/>
        <n v="0.0759475650755625"/>
        <n v="0.75075398522308"/>
        <n v="0.0653276856176873"/>
        <n v="0.82387038806973"/>
        <n v="0.773601828305571"/>
        <n v="0.834615493827247"/>
        <n v="0.403269896809184"/>
        <n v="0.822327913809828"/>
        <n v="0.763973653908952"/>
        <n v="0.0545133427016205"/>
        <n v="0.789652196114942"/>
        <n v="0.826143697839416"/>
        <n v="0.090184565773599"/>
        <n v="0.830567727703482"/>
        <n v="0.762071735686545"/>
        <n v="0.278866713961675"/>
        <n v="0.719954811164496"/>
        <n v="0.0669992348249651"/>
        <n v="0.771740193066598"/>
        <n v="0.76414049515059"/>
        <n v="0.884812939398031"/>
        <n v="0.774542994661828"/>
        <n v="0.883738588246783"/>
        <n v="0.813984143187016"/>
        <n v="0.80897918884859"/>
        <n v="0.0669083235985675"/>
        <n v="0.21875902943996"/>
        <n v="0.0840405453892907"/>
        <n v="0.67986940112241"/>
        <n v="0.146368298857314"/>
        <n v="0.393173902224997"/>
        <n v="0.824915943647464"/>
        <n v="0.285352633001001"/>
        <n v="0.0772436037986115"/>
        <n v="0.749419644445253"/>
        <n v="0.786301235353697"/>
        <n v="0.91274238398777"/>
        <n v="0.82384605895193"/>
        <n v="0.0555084233804258"/>
        <n v="0.183874009696553"/>
        <n v="0.751103336645348"/>
        <n v="0.433120303570629"/>
        <n v="0.192453643603167"/>
        <n v="0.811555335204366"/>
        <n v="0.263549593204973"/>
        <n v="0.123503430028768"/>
        <n v="0.192303847089051"/>
        <n v="0.789953906086156"/>
        <n v="0.0644346847386601"/>
        <n v="0.763396873446731"/>
        <n v="0.858403570522208"/>
        <n v="0.720230138752036"/>
        <n v="0.0766058872366585"/>
        <n v="0.814090292006702"/>
        <n v="0.855126856651767"/>
        <n v="0.243271994640831"/>
        <n v="0.828531757837297"/>
        <n v="0.769992082159773"/>
        <n v="0.0602126668756366"/>
        <n v="0.855817307108572"/>
        <n v="0.78956012033318"/>
        <n v="0.0585085014406281"/>
        <n v="0.854559018204709"/>
        <n v="0.764808517218085"/>
        <n v="0.912559466260097"/>
        <n v="0.806167643291783"/>
        <n v="0.0986946614979593"/>
        <n v="0.740869062167409"/>
        <n v="0.187061284272697"/>
        <n v="0.82885472324869"/>
        <n v="0.808281810384241"/>
        <n v="0.765286573392575"/>
        <n v="0.0655084290062039"/>
        <n v="0.857893718293945"/>
        <n v="0.750928192755208"/>
        <n v="0.790984764272453"/>
        <n v="0.853452434331081"/>
        <n v="0.342028228027018"/>
        <n v="0.78490799932585"/>
        <n v="0.073348853769234"/>
        <n v="0.839834560026266"/>
        <n v="0.0568808972786658"/>
        <n v="0.717141876692362"/>
        <n v="0.825342479180138"/>
        <n v="0.645090536408107"/>
        <n v="0.763458119846045"/>
        <n v="0.152640834816136"/>
        <n v="0.81093259559902"/>
        <n v="0.721189477534205"/>
        <n v="0.85862442414275"/>
        <n v="0.103119402528893"/>
        <n v="0.181791762799374"/>
        <n v="0.717513260272656"/>
        <n v="0.055683147266806"/>
        <n v="0.812736255838429"/>
        <n v="0.645347442700527"/>
        <n v="0.352337415581527"/>
        <n v="0.0771844342463278"/>
        <n v="0.15274188330178"/>
        <n v="0.806147330413362"/>
        <n v="0.807042090876137"/>
        <n v="0.0387447212390205"/>
        <n v="0.769727979752409"/>
        <n v="0.669333392945698"/>
        <n v="0.27169388901"/>
        <n v="0.813324809603418"/>
        <n v="0.82782099475296"/>
        <n v="0.722357516032121"/>
        <n v="0.396123445450352"/>
        <n v="0.0813116828025258"/>
        <n v="0.532354801728478"/>
        <n v="0.827760621418595"/>
        <n v="0.725069501746455"/>
        <n v="0.764703488028028"/>
        <n v="0.072262841782588"/>
        <n v="0.720825753306125"/>
        <n v="0.764734964131194"/>
        <n v="0.0443842571748631"/>
        <n v="0.762719803987229"/>
        <n v="0.844422633885806"/>
        <n v="0.88284519060983"/>
        <n v="0.821672423366506"/>
        <n v="0.765539784640591"/>
        <n v="0.716272210518636"/>
        <n v="0.81331311181134"/>
        <n v="0.0607856826393319"/>
        <n v="0.862900162675735"/>
        <n v="0.828387461901892"/>
        <n v="0.138915233499617"/>
        <n v="0.128046349672072"/>
        <n v="0.751940111424286"/>
        <n v="0.254306010176222"/>
        <n v="0.313219703849703"/>
        <n v="0.309683356475826"/>
        <n v="0.810735600883823"/>
        <n v="0.0818932657781009"/>
        <n v="0.773030609646872"/>
        <n v="0.719483744282178"/>
        <n v="0.91244975104686"/>
        <n v="0.751064637926632"/>
        <n v="0.0671522192634472"/>
        <n v="0.769116633873671"/>
        <n v="0.0746642069461631"/>
        <n v="0.829014408892979"/>
        <n v="0.858651389778559"/>
        <n v="0.507498512196501"/>
        <n v="0.714564010652995"/>
        <n v="0.658201470413556"/>
        <n v="0.398470515312333"/>
        <n v="0.76579933055203"/>
        <n v="0.0628551885203251"/>
        <n v="0.720360486237966"/>
        <n v="0.173619302710639"/>
        <n v="0.102330761157778"/>
        <n v="0.807760802408152"/>
        <n v="0.517929625035611"/>
        <n v="0.829004450083426"/>
        <n v="0.823225087816038"/>
        <n v="0.306451319741387"/>
        <n v="0.0871778323104419"/>
        <n v="0.720805653586567"/>
        <n v="0.51145468261582"/>
        <n v="0.0581863139249896"/>
        <n v="0.76266054380574"/>
        <n v="0.813305543194249"/>
        <n v="0.800732005721057"/>
        <n v="0.75049288346829"/>
        <n v="0.400761275910416"/>
        <n v="0.773024607307709"/>
        <n v="0.823545246100621"/>
        <n v="0.0771004721218954"/>
        <n v="0.859997065076019"/>
        <n v="0.752153195601142"/>
        <n v="0.0811641721495206"/>
        <n v="0.76910233315496"/>
        <n v="0.807850500253981"/>
        <n v="0.0643408591500423"/>
        <n v="0.828130663057674"/>
        <n v="0.762737252618429"/>
        <n v="0.825470301784796"/>
        <n v="0.487925129666466"/>
        <n v="0.828237164917213"/>
        <n v="0.0794515058005993"/>
        <n v="0.766322732999561"/>
        <n v="0.49976964889477"/>
        <n v="0.807569880027531"/>
        <n v="0.762723187637028"/>
        <n v="0.0659251458276747"/>
        <n v="0.806201487783312"/>
        <n v="0.827199007560124"/>
        <n v="0.488115192487609"/>
        <n v="0.190049706773173"/>
        <n v="0.113600231704112"/>
        <n v="0.484869018126905"/>
        <n v="0.721062847216726"/>
        <n v="0.811648938246983"/>
        <n v="0.0794228472781169"/>
        <n v="0.48751913660041"/>
        <n v="0.300664068241195"/>
        <n v="0.88180520129621"/>
        <n v="0.808452171088018"/>
        <n v="0.770469198971283"/>
        <n v="0.390463346705208"/>
        <n v="0.858190645391269"/>
        <n v="0.912251234444091"/>
        <n v="0.0466248360096445"/>
        <n v="0.82679548049226"/>
        <n v="0.06383083651259"/>
        <n v="0.790799627549301"/>
        <n v="0.812306637155678"/>
        <n v="0.828222608965676"/>
        <n v="0.319346822694986"/>
        <n v="0.813082076644349"/>
        <n v="0.0394620086220261"/>
        <n v="0.380688135323486"/>
        <n v="0.847831590500413"/>
        <n v="0.119971080407241"/>
        <n v="0.810335645823854"/>
        <n v="0.155797745666561"/>
        <n v="0.717633473183004"/>
        <n v="0.644385090704911"/>
        <n v="0.765556462489162"/>
        <n v="0.857641486878302"/>
        <n v="0.0489152416565007"/>
        <n v="0.716581080613461"/>
        <n v="0.789105884216914"/>
        <n v="0.0575302088747883"/>
        <n v="0.82889156264826"/>
        <n v="0.772595788208826"/>
        <n v="0.763424033375372"/>
        <n v="0.808624083105214"/>
        <n v="0.182453515511741"/>
        <n v="0.811948563164839"/>
        <n v="0.807551139639601"/>
        <n v="0.721448669808626"/>
        <n v="0.110526566288949"/>
        <n v="0.0665529686151971"/>
        <n v="0.788696838319834"/>
        <n v="0.724358617005264"/>
        <n v="0.720393518563242"/>
        <n v="0.45202112746879"/>
        <n v="0.0648256390486749"/>
        <n v="0.248965972098452"/>
        <n v="0.396046603721409"/>
        <n v="0.912452374827024"/>
        <n v="0.822644765989517"/>
        <n v="0.790183641816776"/>
        <n v="0.451217859786854"/>
        <n v="0.76313448994502"/>
        <n v="0.0708929499256452"/>
        <n v="0.750861599792312"/>
        <n v="0.858333275604275"/>
        <n v="0.403155808354166"/>
        <n v="0.751111202483635"/>
        <n v="0.069597438965627"/>
        <n v="0.823706935133433"/>
        <n v="0.0687425709751285"/>
        <n v="0.715106698913611"/>
        <n v="0.446634392866283"/>
        <n v="0.765409474277289"/>
        <n v="0.761939595847721"/>
        <n v="0.737975973145848"/>
        <n v="0.45381035392873"/>
        <n v="0.311447262729729"/>
        <n v="0.112590301806988"/>
        <n v="0.28682351429464"/>
        <n v="0.828389648218724"/>
        <n v="0.20078336524342"/>
        <n v="0.438357351893422"/>
        <n v="0.881709059730815"/>
        <n v="0.0858010677424993"/>
        <n v="0.0661104784436509"/>
        <n v="0.827171211039276"/>
        <n v="0.43474778880015"/>
        <n v="0.762984864900586"/>
        <n v="0.912570546862925"/>
        <n v="0.0455883733103622"/>
        <n v="0.82713324594718"/>
        <n v="0.789133950231353"/>
        <n v="0.392809958582557"/>
        <n v="0.79550180450163"/>
        <n v="0.649108156753401"/>
        <n v="0.764460879553517"/>
        <n v="0.828449052591891"/>
        <n v="0.822900418728099"/>
        <n v="0.0795232649537548"/>
        <n v="0.432731293260077"/>
        <n v="0.827465528183481"/>
        <n v="0.751841945334734"/>
        <n v="0.0805078008046613"/>
        <n v="0.399454007368608"/>
        <n v="0.432658597395417"/>
        <n v="0.0803743518977449"/>
        <n v="0.751440869329085"/>
        <n v="0.720184214699721"/>
        <n v="0.824061375836137"/>
        <n v="0.352262650034939"/>
        <n v="0.0963525029719579"/>
        <n v="0.752510915312278"/>
        <n v="0.268792427503325"/>
        <n v="0.809530099050681"/>
        <n v="0.752299386730007"/>
        <n v="0.0657801881203578"/>
        <n v="0.456938848407149"/>
        <n v="0.790101402053294"/>
        <n v="0.813550834083599"/>
        <n v="0.913167919245534"/>
        <n v="0.283336026999897"/>
        <n v="0.0858163529673306"/>
        <n v="0.811866836785774"/>
        <n v="0.766672808343627"/>
        <n v="0.268457023286778"/>
        <n v="0.788826193517913"/>
        <n v="0.423084697384001"/>
        <n v="0.0853106491085933"/>
        <n v="0.770087307047991"/>
        <n v="0.0691039272363892"/>
        <n v="0.258396952404418"/>
        <n v="0.764100385809894"/>
        <n v="0.719870894256738"/>
        <n v="0.272521294962039"/>
        <n v="0.398253521593846"/>
        <n v="0.191341227280995"/>
        <n v="0.884297840780197"/>
        <n v="0.0501711405280099"/>
        <n v="0.863934879380697"/>
        <n v="0.714728590703086"/>
        <n v="0.765563510634786"/>
        <n v="0.771061154539579"/>
        <n v="0.0547122501307246"/>
        <n v="0.912175926680836"/>
        <n v="0.399951910041223"/>
        <n v="0.229945951314803"/>
        <n v="0.097747448307141"/>
        <n v="0.884453653991446"/>
        <n v="0.864422600493336"/>
        <n v="0.39762652446575"/>
        <n v="0.912571862989181"/>
        <n v="0.82266003555817"/>
        <n v="0.0650776508590331"/>
        <n v="0.807164727630734"/>
        <n v="0.765562724608272"/>
        <n v="0.771292142457467"/>
        <n v="0.0234513610271707"/>
        <n v="0.717760725494264"/>
        <n v="0.820385927829057"/>
        <n v="0.165915381186642"/>
        <n v="0.436125202560484"/>
        <n v="0.770142862980353"/>
        <n v="0.0423027712933164"/>
        <n v="0.807372842772841"/>
        <n v="0.913018204614203"/>
        <n v="0.366187396346214"/>
        <n v="0.0909051846232744"/>
        <n v="0.880007321181467"/>
        <n v="0.209209987082779"/>
        <n v="0.0836797030334735"/>
        <n v="0.249232859356521"/>
        <n v="0.749050910075055"/>
        <n v="0.351283005012396"/>
        <n v="0.770542091463178"/>
        <n v="0.0817450250790048"/>
        <n v="0.815616491237537"/>
        <n v="0.216897462437715"/>
        <n v="0.456330877913422"/>
        <n v="0.863695383114454"/>
        <n v="0.0577344009894585"/>
        <n v="0.750809327466682"/>
        <n v="0.764731667535426"/>
        <n v="0.827197824104511"/>
        <n v="0.821474898609579"/>
        <n v="0.0521240638093924"/>
        <n v="0.73744321354206"/>
        <n v="0.715392297618864"/>
        <n v="0.764999190612579"/>
        <n v="0.386057610019618"/>
        <n v="0.0826521624861368"/>
        <n v="0.234327321900993"/>
        <n v="0.263689056872402"/>
        <n v="0.80317070166002"/>
        <n v="0.862956197022365"/>
        <n v="0.157523921403934"/>
        <n v="0.749985173610334"/>
        <n v="0.813107663551382"/>
        <n v="0.0980522304788998"/>
        <n v="0.720416239094799"/>
        <n v="0.722014865292226"/>
        <n v="0.81312549055577"/>
        <n v="0.0948673366982169"/>
        <n v="0.828297717406851"/>
        <n v="0.226876478638109"/>
        <n v="0.651811471143143"/>
        <n v="0.885217556348077"/>
        <n v="0.766654880700513"/>
        <n v="0.806833468445386"/>
        <n v="0.0775618836180789"/>
        <n v="0.807124127314199"/>
        <n v="0.722149418103269"/>
        <n v="0.813956077998526"/>
        <n v="0.44891447674171"/>
        <n v="0.057549506251066"/>
        <n v="0.1797545833757"/>
        <n v="0.717032206070309"/>
        <n v="0.384524343556898"/>
        <n v="0.761265462863656"/>
        <n v="0.0899153631769736"/>
        <n v="0.399330660917179"/>
        <n v="0.040573615632611"/>
        <n v="0.863803087150907"/>
        <n v="0.773479704481477"/>
        <n v="0.808553436670557"/>
        <n v="0.806670862213771"/>
        <n v="0.798777899930848"/>
        <n v="0.0703221497508437"/>
        <n v="0.283376405116223"/>
        <n v="0.234882801562202"/>
        <n v="0.824706954401503"/>
        <n v="0.822466657757365"/>
        <n v="0.806271865615578"/>
        <n v="0.056057703342352"/>
        <n v="0.863778654551621"/>
        <n v="0.0817033656582427"/>
        <n v="0.649977938574579"/>
        <n v="0.331949870833281"/>
        <n v="0.720679904903504"/>
        <n v="0.751496802354834"/>
        <n v="0.819975548840089"/>
        <n v="0.2461055484508"/>
        <n v="0.138972714302009"/>
        <n v="0.799843503132339"/>
        <n v="0.117669376086247"/>
        <n v="0.12459377134579"/>
        <n v="0.762248774750263"/>
        <n v="0.0952159761951718"/>
        <n v="0.810767851437121"/>
        <n v="0.362761764661362"/>
        <n v="0.0110891643021267"/>
        <n v="0.830443130381624"/>
        <n v="0.837333143553574"/>
        <n v="0.81076317068049"/>
        <n v="0.764049344328346"/>
        <n v="0.394785162951222"/>
        <n v="0.717926829173635"/>
        <n v="0.0517162408472293"/>
        <n v="0.863904524924818"/>
        <n v="0.398781780911777"/>
        <n v="0.830251513425668"/>
        <n v="0.825602688610338"/>
        <n v="0.0550473339021293"/>
        <n v="0.722593914008877"/>
        <n v="0.429502386937564"/>
        <n v="0.864080986811779"/>
        <n v="0.800307169281315"/>
        <n v="0.763527550185436"/>
        <n v="0.0514066030492896"/>
        <n v="0.770561250601589"/>
        <n v="0.185293122197072"/>
        <n v="0.066778266163585"/>
        <n v="0.764872308606885"/>
        <n v="0.717865328587705"/>
        <n v="0.340216343442703"/>
        <n v="0.765092863543905"/>
        <n v="0.834777640577648"/>
        <n v="0.056337199056781"/>
        <n v="0.806398204137656"/>
        <n v="0.825754645477583"/>
        <n v="0.164550185865957"/>
        <n v="0.772106332288119"/>
        <n v="0.826007641848868"/>
        <n v="0.0890485792362614"/>
        <n v="0.864183718497139"/>
        <n v="0.864207540374891"/>
        <n v="0.822631587227797"/>
        <n v="0.0707194858868884"/>
        <n v="0.388967710409108"/>
        <n v="0.198119743032854"/>
        <n v="0.813723209366781"/>
        <n v="0.0484726031511748"/>
        <n v="0.392149114499593"/>
        <n v="0.721415879783186"/>
        <n v="0.354477327783877"/>
        <n v="0.828601783304645"/>
        <n v="0.0838055335611375"/>
        <n v="0.811781856119079"/>
        <n v="0.375304639097181"/>
        <n v="0.866109907869547"/>
        <n v="0.149960914933702"/>
        <n v="0.235690050853451"/>
        <n v="0.823320891979727"/>
        <n v="0.220101349075199"/>
        <n v="0.811985135723206"/>
        <n v="0.841422267275032"/>
        <n v="0.806104484597768"/>
        <n v="0.751988849163485"/>
        <n v="0.0493698877966144"/>
        <n v="0.720168488736737"/>
        <n v="0.824075545832275"/>
        <n v="0.731777967078197"/>
        <n v="0.0868026042631677"/>
        <n v="0.264694307438247"/>
        <n v="0.26066223983703"/>
        <n v="0.80867791434617"/>
        <n v="0.288804854578338"/>
        <n v="0.0647282735532075"/>
        <n v="0.381994068560885"/>
        <n v="0.764883307692431"/>
        <n v="0.163676391950608"/>
        <n v="0.401977272234831"/>
        <n v="0.679244883900555"/>
        <n v="0.82255239074271"/>
        <n v="0.0873670519005807"/>
        <n v="0.719666289172529"/>
        <n v="0.302057793287465"/>
        <n v="0.297881696015798"/>
        <n v="0.813919138840603"/>
        <n v="0.0633294780210346"/>
        <n v="0.808429378544812"/>
        <n v="0.301891157710655"/>
        <n v="0.3087245546442"/>
        <n v="0.764453050191962"/>
        <n v="0.0691411344467313"/>
        <n v="0.0620440774338977"/>
        <n v="0.838755249444455"/>
        <n v="0.15118009429893"/>
        <n v="0.763449358972424"/>
        <n v="0.883932693136203"/>
        <n v="0.826540736979532"/>
        <n v="0.884251983267869"/>
        <n v="0.314226549352761"/>
        <n v="0.0720415021215862"/>
        <n v="0.397237884439466"/>
        <n v="0.834007778632874"/>
        <n v="0.101254591873234"/>
        <n v="0.828441312960723"/>
        <n v="0.224951601248335"/>
        <n v="0.225257598101822"/>
        <n v="0.116384702084663"/>
        <n v="0.825858256853304"/>
        <n v="0.277966076246981"/>
        <n v="0.648099959367622"/>
        <n v="0.181329968924065"/>
        <n v="0.738095748679697"/>
        <n v="0.0642858482895751"/>
        <n v="0.648833701968457"/>
        <n v="0.7716321551136"/>
        <n v="0.829273084271561"/>
        <n v="0.885473107023156"/>
        <n v="0.764923059453953"/>
        <n v="0.192521386633646"/>
        <n v="0.816480377357423"/>
        <n v="0.100301796993873"/>
        <n v="0.765517943487829"/>
        <n v="0.0623950367986137"/>
        <n v="0.822745434220885"/>
        <n v="0.75250657064769"/>
        <n v="0.715838281434099"/>
        <n v="0.288022491976827"/>
        <n v="0.089666975388842"/>
        <n v="0.763082907095574"/>
        <n v="0.822649276241656"/>
        <n v="0.276030898427787"/>
        <n v="0.774014430924302"/>
        <n v="0.885427747922657"/>
        <n v="0.650163862882786"/>
        <n v="0.0659363413941548"/>
        <n v="0.807963872756972"/>
        <n v="0.801651021705833"/>
        <n v="0.299641208498739"/>
        <n v="0.772217684204373"/>
        <n v="0.751407581827369"/>
        <n v="0.0628063797979867"/>
        <n v="0.721049293855984"/>
        <n v="0.183047591147721"/>
        <n v="0.069626307426828"/>
        <n v="0.822304506897887"/>
        <n v="0.805132350184229"/>
        <n v="0.885836941320191"/>
        <n v="0.0667107729822096"/>
        <n v="0.762902253835028"/>
        <n v="0.245518787629894"/>
        <n v="0.828216757338471"/>
        <n v="0.751716157472819"/>
        <n v="0.402769360561924"/>
        <n v="0.0507170097329236"/>
        <n v="0.806459760436276"/>
        <n v="0.843058312900325"/>
        <n v="0.079040205168817"/>
        <n v="0.40623191309779"/>
        <n v="0.722366735163569"/>
        <n v="0.751566815825116"/>
        <n v="0.823160575207358"/>
        <n v="0.283852741046456"/>
        <n v="0.77062488053338"/>
        <n v="0.0821955492114318"/>
        <n v="0.761270082128298"/>
        <n v="0.887468567578181"/>
        <n v="0.912558206864541"/>
        <n v="0.0592346842922836"/>
        <n v="0.360973255722802"/>
        <n v="0.822398554506333"/>
        <n v="0.294040781366352"/>
        <n v="0.765186245036937"/>
        <n v="0.865403037177842"/>
        <n v="0.913187169961931"/>
        <n v="0.0619556423637275"/>
        <n v="0.844154663108358"/>
        <n v="0.518390644382707"/>
        <n v="0.72181332084901"/>
        <n v="0.82088007470527"/>
        <n v="0.649302941050221"/>
        <n v="0.0585739950939442"/>
        <n v="0.913195915745148"/>
        <n v="0.864609784989853"/>
        <n v="0.723573241473902"/>
        <n v="0.0753062885895581"/>
        <n v="0.808059204430748"/>
        <n v="0.874779483934939"/>
        <n v="0.0645183490613942"/>
        <n v="0.912805210480497"/>
        <n v="0.340694431760174"/>
        <n v="0.113695942822423"/>
        <n v="0.778889920394114"/>
        <n v="0.30015923313004"/>
        <n v="0.301919866029525"/>
        <n v="0.0413158670215018"/>
        <n v="0.73990028497204"/>
        <n v="0.821674264375921"/>
        <n v="0.716449006669255"/>
        <n v="0.76559243882721"/>
        <n v="0.840565113050758"/>
        <n v="0.032406656231171"/>
        <n v="0.811560445999147"/>
        <n v="0.913174203870354"/>
        <n v="0.066524011868005"/>
        <n v="0.649921100667682"/>
        <n v="0.386090028890608"/>
        <n v="0.772316696159764"/>
        <n v="0.0638818342268318"/>
        <n v="0.827480830147832"/>
        <n v="0.736785015770771"/>
        <n v="0.720345749218702"/>
        <n v="0.247663264266983"/>
        <n v="0.825847748077142"/>
        <n v="0.069496764836103"/>
        <n v="0.351113176745256"/>
        <n v="0.721991810291889"/>
        <n v="0.828519768921011"/>
        <n v="0.223672308388787"/>
        <n v="0.0825961199986652"/>
        <n v="0.718695446132133"/>
        <n v="0.825787349304436"/>
        <n v="0.0778345739285287"/>
        <n v="0.462272791567972"/>
        <n v="0.153544395808905"/>
        <n v="0.912791515004804"/>
        <n v="0.807921819939757"/>
        <n v="0.0822065270108515"/>
        <n v="0.829320801575373"/>
        <n v="0.824097489385884"/>
        <n v="0.766149902772289"/>
        <n v="0.751845734467051"/>
        <n v="0.400951170639014"/>
        <n v="0.76404839306457"/>
        <n v="0.0630332554392325"/>
        <n v="0.771266234254997"/>
        <n v="0.316936777818786"/>
        <n v="0.829411957806951"/>
        <n v="0.476076716360425"/>
        <n v="0.0494419047401761"/>
        <n v="0.886349753176374"/>
        <n v="0.840346542472861"/>
        <n v="0.0645286122874647"/>
        <n v="0.751355078160864"/>
        <n v="0.825957576967043"/>
        <n v="0.391311710796859"/>
        <n v="0.71745938795853"/>
        <n v="0.0173326604909908"/>
        <n v="0.763059047337637"/>
        <n v="0.812474660558224"/>
        <n v="0.827096356093724"/>
        <n v="0.839309116224876"/>
        <n v="0.318601901158552"/>
        <n v="0.822230363735557"/>
        <n v="0.067439252415254"/>
        <n v="0.348822508114185"/>
        <n v="0.732240269897"/>
        <n v="0.839302848072428"/>
        <n v="0.808304359556121"/>
        <n v="0.0222415531484951"/>
        <n v="0.774061946716399"/>
        <n v="0.721437832549731"/>
        <n v="0.344789951654268"/>
        <n v="0.765185884119376"/>
        <n v="0.825837818709301"/>
        <n v="0.0324999428498503"/>
        <n v="0.715800712804721"/>
        <n v="0.752690324284533"/>
        <n v="0.283716890239378"/>
        <n v="0.0614120057115517"/>
        <n v="0.809217391093591"/>
        <n v="0.828501090197581"/>
        <n v="0.751927271081782"/>
        <n v="0.912572133819499"/>
        <n v="0.827472044543844"/>
        <n v="0.764400567235371"/>
        <n v="0.0600079609891299"/>
        <n v="0.719874484137322"/>
        <n v="0.0331775192516261"/>
        <n v="0.82160635219271"/>
        <n v="0.401354012509705"/>
        <n v="0.741696913096512"/>
        <n v="0.73728818229845"/>
        <n v="0.101953286593746"/>
        <n v="0.188801220922653"/>
        <n v="0.82918166485934"/>
        <n v="0.811753711014678"/>
        <n v="0.825404451404004"/>
        <n v="0.294413231269016"/>
        <n v="0.079141555776424"/>
        <n v="0.800086718956691"/>
        <n v="0.243179597762272"/>
        <n v="0.859957672050039"/>
        <n v="0.767244164702854"/>
        <n v="0.763440648412312"/>
        <n v="0.806174881007387"/>
        <n v="0.00613922982534998"/>
        <n v="0.354106375372893"/>
        <n v="0.813651579409781"/>
        <n v="0.770910683573717"/>
        <n v="0.828982552744512"/>
        <n v="0.0760732845090941"/>
        <n v="0.0992196047385854"/>
        <n v="0.828870648534147"/>
        <n v="0.912890368689096"/>
        <n v="0.752088148309506"/>
        <n v="0.207477472793022"/>
        <n v="0.858826637851034"/>
        <n v="0.192900740329332"/>
        <n v="0.0342452257258465"/>
        <n v="0.865109107979436"/>
        <n v="0.648313683678147"/>
        <n v="0.360745451675946"/>
        <n v="0.750593382755029"/>
        <n v="0.0723915986471118"/>
        <n v="0.674313936306235"/>
        <n v="0.86400855211093"/>
        <n v="0.810242846118935"/>
        <n v="0.0497329238278758"/>
        <n v="0.828643162855991"/>
        <n v="0.222865817926747"/>
        <n v="0.864556855541946"/>
        <n v="0.811399664905264"/>
        <n v="0.829239729724452"/>
        <n v="0.35981927210103"/>
        <n v="0.306454986721576"/>
        <n v="0.0975983823109756"/>
        <n v="0.721454255502715"/>
        <n v="0.066524904544427"/>
        <n v="0.772793440855134"/>
        <n v="0.912451991644913"/>
        <n v="0.822265045624769"/>
        <n v="0.822702568314804"/>
        <n v="0.808862851890529"/>
        <n v="0.353399455945051"/>
        <n v="0.0632442448456925"/>
        <n v="0.764049389518203"/>
        <n v="0.772335755807269"/>
        <n v="0.396936394717981"/>
        <n v="0.350849872216558"/>
        <n v="0.823641537434002"/>
        <n v="0.0860740643263003"/>
        <n v="0.34892782878994"/>
        <n v="0.0800573053667892"/>
        <n v="0.765883096820795"/>
        <n v="0.773373602866863"/>
        <n v="0.808806963277961"/>
        <n v="0.912876224611087"/>
        <n v="0.152325837170729"/>
        <n v="0.751564392598884"/>
        <n v="0.82802137893392"/>
        <n v="0.0983369453077812"/>
        <n v="0.688729547061718"/>
        <n v="0.0581900239151423"/>
        <n v="0.714983317691262"/>
        <n v="0.763149494161304"/>
        <n v="0.765824145479032"/>
        <n v="0.766806842025975"/>
        <n v="0.0730001233407992"/>
        <n v="0.822639353979261"/>
        <n v="0.40317612027973"/>
        <n v="0.806826268332056"/>
        <n v="0.720227077463257"/>
        <n v="0.34878426164658"/>
        <n v="0.912820149487458"/>
        <n v="0.0788849283310108"/>
        <n v="0.762562887897051"/>
        <n v="0.0802775390524786"/>
        <n v="0.751036734775609"/>
        <n v="0.76306535015942"/>
        <n v="0.346241982004836"/>
        <n v="0.772304822113609"/>
        <n v="0.247073182925891"/>
        <n v="0.732358683614859"/>
        <n v="0.800355751775148"/>
        <n v="0.341221084680609"/>
        <n v="0.0760896502504786"/>
        <n v="0.0720486442677858"/>
        <n v="0.864613880643759"/>
        <n v="0.307243870411902"/>
        <n v="0.828617507511102"/>
        <n v="0.912720879697877"/>
        <n v="0.0938418522342832"/>
        <n v="0.270280387496337"/>
        <n v="0.807175244277064"/>
        <n v="0.751901865366777"/>
        <n v="0.764047318053172"/>
        <n v="0.764397164075825"/>
        <n v="0.771361926737336"/>
        <n v="0.0334720789344491"/>
        <n v="0.864285237244627"/>
        <n v="0.157686155187285"/>
        <n v="0.0473892694408508"/>
        <n v="0.193190409627888"/>
        <n v="0.722445472572679"/>
        <n v="0.912581402635254"/>
        <n v="0.847324048700082"/>
        <n v="0.765562846535608"/>
        <n v="0.715744862686665"/>
        <n v="0.0559507106461889"/>
        <n v="0.771371449866964"/>
        <n v="0.821566245273337"/>
        <n v="0.771712080111987"/>
        <n v="0.0758929776295508"/>
        <n v="0.750891132075247"/>
        <n v="0.370201991530382"/>
        <n v="0.769607563389803"/>
        <n v="0.834127585642448"/>
        <n v="0.068808157035982"/>
        <n v="0.772530353442133"/>
        <n v="0.769357903322556"/>
        <n v="0.827500758799252"/>
        <n v="0.296555131326955"/>
        <n v="0.884181096537022"/>
        <n v="0.296570335255046"/>
        <n v="0.848720408122794"/>
        <n v="0.0641698061048991"/>
        <n v="0.056452910338898"/>
        <n v="0.763442308231994"/>
        <n v="0.832970922538881"/>
        <n v="0.773047917557162"/>
        <n v="0.812373108634527"/>
        <n v="0.0358745509777047"/>
        <n v="0.85058602633929"/>
        <n v="0.763991577445707"/>
        <n v="0.772906026298276"/>
        <n v="0.812373537877599"/>
        <n v="0.912892366301634"/>
        <n v="0.721846509090866"/>
        <n v="0.231743452924565"/>
        <n v="0.0887590944349194"/>
        <n v="0.884553089941819"/>
        <n v="0.667716025729939"/>
        <n v="0.850090285907506"/>
        <n v="0.0478482441394832"/>
        <n v="0.765234063143038"/>
        <n v="0.229913701415464"/>
        <n v="0.374447481456482"/>
        <n v="0.768800629471623"/>
        <n v="0.0736016736813429"/>
        <n v="0.721117967184532"/>
        <n v="0.912763181929423"/>
        <n v="0.810109598802856"/>
        <n v="0.0852486757697083"/>
        <n v="0.831719783159529"/>
        <n v="0.769851116222307"/>
        <n v="0.223930450091312"/>
        <n v="0.810610541663314"/>
        <n v="0.373114511317555"/>
        <n v="0.0396338807680744"/>
        <n v="0.772229453844937"/>
        <n v="0.864822297573681"/>
        <n v="0.391006853445885"/>
        <n v="0.832262519816953"/>
        <n v="0.0653089779742274"/>
        <n v="0.821667204817373"/>
        <n v="0.719181400786127"/>
        <n v="0.21629572968451"/>
        <n v="0.789824374057549"/>
        <n v="0.0578097996248643"/>
        <n v="0.428937095987319"/>
        <n v="0.279880545917201"/>
        <n v="0.0806673323073154"/>
        <n v="0.770243067059131"/>
        <n v="0.278884027831594"/>
        <n v="0.864051991104615"/>
        <n v="0.81366955865138"/>
        <n v="0.912644954572433"/>
        <n v="0.463119665731943"/>
        <n v="0.735622871397899"/>
        <n v="0.0609392404482586"/>
        <n v="0.257426668337631"/>
        <n v="0.772330302701183"/>
        <n v="0.721377431359351"/>
        <n v="0.827859375050821"/>
        <n v="0.822015079992798"/>
        <n v="0.0675417711137017"/>
        <n v="0.0733068233262899"/>
        <n v="0.190804637240958"/>
        <n v="0.847096903380133"/>
        <n v="0.865733001588941"/>
        <n v="0.41259669570051"/>
        <n v="0.751403311481345"/>
        <n v="0.832550173681141"/>
        <n v="0.823333169069315"/>
        <n v="0.270607487313252"/>
        <n v="0.0752556749414562"/>
        <n v="0.720672055876775"/>
        <n v="0.776022960980337"/>
        <n v="0.456267665053812"/>
        <n v="0.0807880632747945"/>
        <n v="-0.0517004836521424"/>
        <n v="0.353869120909907"/>
        <n v="0.764131153659588"/>
        <n v="0.051164146090325"/>
        <n v="0.822336402074121"/>
        <n v="0.77081202014781"/>
        <n v="0.763318463529003"/>
        <n v="0.321869649081382"/>
        <n v="0.233076817333233"/>
        <n v="0.804622627238544"/>
        <n v="0.0515778693017911"/>
        <n v="0.81271960734568"/>
        <n v="0.0639436830369873"/>
        <n v="0.764452024398643"/>
        <n v="0.870880993437256"/>
        <n v="0.225920691768086"/>
        <n v="0.751183066880301"/>
        <n v="0.832651706867578"/>
        <n v="0.363282116620377"/>
        <n v="0.823394769878844"/>
        <n v="0.0809407643990344"/>
        <n v="0.80450718054552"/>
        <n v="0.812994362601234"/>
        <n v="-0.039675363487319"/>
        <n v="0.831302157723785"/>
        <n v="0.762623747537652"/>
        <n v="0.717677566151324"/>
        <n v="0.771846903150815"/>
        <n v="0.0452283160068425"/>
        <n v="0.765561100449474"/>
        <n v="0.265088102970986"/>
        <n v="0.719830046452059"/>
        <n v="0.812607868620374"/>
        <n v="0.912866773008356"/>
        <n v="0.208778504519237"/>
        <n v="0.0926944256767218"/>
        <n v="0.86320851177634"/>
        <n v="0.356013473245065"/>
        <n v="0.254074925256847"/>
        <n v="0.0770597656048362"/>
        <n v="0.798747550200015"/>
        <n v="0.767798435338378"/>
        <n v="0.0852634682347185"/>
        <n v="0.885426690687474"/>
        <n v="0.832424483816103"/>
        <n v="0.253051956199017"/>
        <n v="0.0615586334861097"/>
        <n v="0.716453231230112"/>
        <n v="0.821674712546356"/>
        <n v="0.827692573172822"/>
        <n v="0.765597444531864"/>
        <n v="0.345438529990296"/>
        <n v="0.75236912374816"/>
        <n v="0.458025875784324"/>
        <n v="0.81435045387831"/>
        <n v="0.0893590514838974"/>
        <n v="0.860066848457657"/>
        <n v="0.811395597531158"/>
        <n v="0.0227259046295045"/>
        <n v="0.752183910971334"/>
        <n v="0.720345521549464"/>
        <n v="0.0767251268947679"/>
        <n v="0.823557934502479"/>
        <n v="0.833751707652803"/>
        <n v="0.770327241290888"/>
        <n v="0.814815806156802"/>
        <n v="0.833713884873718"/>
        <n v="0.114955125586171"/>
        <n v="0.81440974244561"/>
        <n v="0.75164566574538"/>
        <n v="0.183573877426324"/>
        <n v="0.0470752302084821"/>
        <n v="0.341843068337411"/>
        <n v="0.81379963299722"/>
        <n v="0.773495587760633"/>
        <n v="0.407767069838987"/>
        <n v="0.719559415443351"/>
        <n v="-3.61545043287534E-4"/>
        <n v="0.859713930029542"/>
        <n v="0.884181493236671"/>
        <n v="0.765078184280105"/>
        <n v="0.0713624250010577"/>
        <n v="0.316031880727897"/>
        <n v="0.88259800110349"/>
        <n v="0.271011723361069"/>
        <n v="0.903162777019048"/>
        <n v="0.81296751603938"/>
        <n v="0.885927376421567"/>
        <n v="0.77647080970672"/>
        <n v="0.808805864232232"/>
        <n v="0.0648138433148017"/>
        <n v="0.0578388373575416"/>
        <n v="0.799559602945002"/>
        <n v="0.336977792182372"/>
        <n v="0.309397043369158"/>
        <n v="0.837635872819539"/>
        <n v="0.0669324043617951"/>
        <n v="0.716169030598702"/>
        <n v="0.723042015157212"/>
        <n v="0.774262807733246"/>
        <n v="0.750573335245247"/>
        <n v="0.0545065683029871"/>
        <n v="0.833621846841819"/>
        <n v="0.763202385816633"/>
        <n v="0.216385479353188"/>
        <n v="0.336558678358288"/>
        <n v="0.0813057942309822"/>
        <n v="0.75396751039864"/>
        <n v="0.285985342078364"/>
        <n v="0.834240959550384"/>
        <n v="0.814617730688154"/>
        <n v="0.0982710646215207"/>
        <n v="0.823252447452239"/>
        <n v="0.202886154815475"/>
        <n v="0.864566806860864"/>
        <n v="0.811860801295997"/>
        <n v="0.865520461172214"/>
        <n v="0.772552078246634"/>
        <n v="0.811258130124488"/>
        <n v="0.722026068529759"/>
        <n v="0.0711716500549324"/>
        <n v="0.780532969406339"/>
        <n v="0.832944167967523"/>
        <n v="0.0645162994499267"/>
        <n v="0.322294111757702"/>
        <n v="0.345755127925096"/>
        <n v="0.100467629406577"/>
        <n v="0.196125284036383"/>
        <n v="0.811155666988736"/>
        <n v="0.771254065533069"/>
        <n v="0.768153461923844"/>
        <n v="0.773103666298521"/>
        <n v="0.0623437719686842"/>
        <n v="0.813800626821295"/>
        <n v="0.240586149099333"/>
        <n v="0.750552502611509"/>
        <n v="0.823611324152712"/>
        <n v="0.0914481305778268"/>
        <n v="0.371470354298458"/>
        <n v="0.772212029118374"/>
        <n v="0.335587313063743"/>
        <n v="0.0606260605799214"/>
        <n v="0.648467639096194"/>
        <n v="0.822160145779146"/>
        <n v="0.390331341715411"/>
        <n v="0.337676416154408"/>
        <n v="0.806953787331746"/>
        <n v="0.415348988010035"/>
        <n v="0.747677668423088"/>
        <n v="0.276784678960026"/>
        <n v="0.0697149437364861"/>
        <n v="0.212908664931847"/>
        <n v="0.829396902091617"/>
        <n v="0.0207469831782064"/>
        <n v="0.73822557191005"/>
        <n v="0.807982447656272"/>
        <n v="0.710923563714857"/>
        <n v="0.773919794314792"/>
        <n v="0.905186092419406"/>
        <n v="0.025858875646328"/>
        <n v="0.742059034466512"/>
        <n v="0.304761483272492"/>
        <n v="0.0636171768831255"/>
        <n v="0.235686764671254"/>
        <n v="0.837742730325838"/>
        <n v="0.219272301779288"/>
        <n v="0.0819148441547434"/>
        <n v="0.828256121218101"/>
        <n v="0.682294686286963"/>
        <n v="0.723483383433802"/>
        <n v="0.370251532918679"/>
        <n v="0.773387626258644"/>
        <n v="0.0978291505652213"/>
        <n v="0.152863809484054"/>
        <n v="0.790316178224289"/>
        <n v="0.678017689310108"/>
        <n v="0.210825787696822"/>
        <n v="0.816329456221899"/>
        <n v="0.789840698974092"/>
        <n v="0.659043793776104"/>
        <n v="0.0475922946304235"/>
        <n v="0.620164520022908"/>
        <n v="0.789881821949086"/>
        <n v="0.796947305104879"/>
        <n v="0.0653036381853636"/>
        <n v="0.662025212958795"/>
        <n v="0.904692226299977"/>
        <n v="0.18701581984289"/>
        <n v="0.0912277392913672"/>
        <n v="0.43447359421462"/>
        <n v="0.738593752405121"/>
        <n v="0.909867198295746"/>
        <n v="0.806911124060961"/>
        <n v="0.317883045640362"/>
        <n v="0.552380592571685"/>
        <n v="0.0792646705218774"/>
        <n v="0.811710125256837"/>
        <n v="0.693473036651815"/>
        <n v="0.0300603779772921"/>
        <n v="0.673080493118102"/>
        <n v="0.339618892136639"/>
        <n v="0.137930890500309"/>
        <n v="0.468718353906764"/>
        <n v="0.800617689116393"/>
        <n v="0.809660121563693"/>
        <n v="0.153312836790278"/>
        <n v="0.827676066221266"/>
        <n v="0.0614307231799626"/>
        <n v="0.738574532085961"/>
        <n v="0.0548922571454892"/>
        <n v="0.231244588243672"/>
        <n v="0.153483012141092"/>
        <n v="0.825849796237937"/>
        <n v="0.803358810183191"/>
        <n v="0.0806188451885366"/>
        <n v="0.385499505722333"/>
        <n v="0.0912787416766021"/>
        <n v="0.671522703968796"/>
        <n v="0.737511150469391"/>
        <n v="0.90953851858282"/>
        <n v="0.0573494013810899"/>
        <n v="0.732510280831581"/>
        <n v="0.00988762070948179"/>
        <n v="0.669444213272632"/>
        <n v="0.742175295524001"/>
        <n v="0.798633646777389"/>
        <n v="0.759100595557589"/>
        <n v="0.419585814220266"/>
        <n v="0.0464229481409315"/>
        <n v="0.811196834474373"/>
        <n v="0.600613101595287"/>
        <n v="0.183204924467043"/>
        <n v="0.799622596593711"/>
        <n v="0.75988992421151"/>
        <n v="0.736240237655867"/>
        <n v="0.0359763793451106"/>
        <n v="0.816431354704544"/>
        <n v="0.811581351952554"/>
        <n v="0.711824256330397"/>
        <n v="0.347174794238041"/>
        <n v="0.018520902993774"/>
        <n v="0.13673912118842"/>
        <n v="0.124220167406921"/>
        <n v="0.71443452704912"/>
        <n v="0.809649762714852"/>
        <n v="0.82838310325041"/>
        <n v="0.0588527753167347"/>
        <n v="0.39279482295251"/>
        <n v="0.25150807804804"/>
        <n v="0.733067073376798"/>
        <n v="0.795620146327302"/>
        <n v="0.00761648065264709"/>
        <n v="0.632777331632162"/>
        <n v="0.859601125974272"/>
        <n v="0.263054449017766"/>
        <n v="0.289516030376646"/>
        <n v="0.0419087890424426"/>
        <n v="0.212390694433005"/>
        <n v="0.816848192134695"/>
        <n v="0.799554628616173"/>
        <n v="0.197876783719604"/>
        <n v="0.282376838751526"/>
        <n v="0.0443394052371241"/>
        <n v="0.811626435772665"/>
        <n v="0.67856733043868"/>
        <n v="-0.0374267535388548"/>
        <n v="0.832328081895587"/>
        <n v="0.0937222411421186"/>
        <n v="0.168652308846393"/>
        <n v="0.901952704637944"/>
        <n v="0.347121989057895"/>
        <n v="0.759463882485318"/>
        <n v="0.0322296342723705"/>
        <n v="0.810364911316006"/>
        <n v="0.129635381015842"/>
        <n v="0.186077834883281"/>
        <n v="0.829649240772733"/>
        <n v="0.799578948103862"/>
        <n v="0.673947814832928"/>
        <n v="0.117756316746319"/>
        <n v="0.184429675187118"/>
        <n v="0.817403565775831"/>
        <n v="0.199759084783211"/>
        <n v="0.0475295704741524"/>
        <n v="0.684537573817476"/>
        <n v="0.136069321725848"/>
        <n v="0.688036324777229"/>
        <n v="0.0765604044131935"/>
        <n v="0.263806884860633"/>
        <n v="0.834771097266"/>
        <n v="0.745464845079331"/>
        <n v="0.127950289985691"/>
        <n v="0.844897557503508"/>
        <n v="0.407249538466998"/>
        <n v="0.086189587427876"/>
        <n v="0.790195177547092"/>
        <n v="0.247147037781045"/>
        <n v="0.0707208429871892"/>
        <n v="0.617764116274194"/>
        <n v="0.809659630209483"/>
        <n v="0.864414451986685"/>
        <n v="0.794157320657679"/>
        <n v="0.378432446732198"/>
        <n v="0.79709729030102"/>
        <n v="0.204575244531102"/>
        <n v="0.0309360176628078"/>
        <n v="0.0796484158979537"/>
        <n v="0.776137899688523"/>
        <n v="0.831743149996651"/>
        <n v="0.334414412305692"/>
        <n v="0.693966843227858"/>
        <n v="0.14776234615252"/>
        <n v="0.378501113263019"/>
        <n v="0.0887557933522503"/>
        <n v="0.80600601721297"/>
        <n v="0.789411139861544"/>
        <n v="0.430684289056504"/>
        <n v="0.811271382199585"/>
        <n v="0.160258433339966"/>
        <n v="0.78950215235851"/>
        <n v="0.0691939475814752"/>
        <n v="0.311143395878213"/>
        <n v="-0.06842414866341"/>
        <n v="0.109607011733659"/>
        <n v="0.283043996088879"/>
        <n v="0.281104624559549"/>
        <n v="0.581212834083528"/>
        <n v="0.118117597238003"/>
        <n v="-0.0729791953673212"/>
        <n v="0.761207261353692"/>
        <n v="0.423040119300307"/>
        <n v="0.107391265029598"/>
        <n v="0.759500700539553"/>
        <n v="0.909506223817767"/>
        <n v="0.432947008474056"/>
        <n v="0.137348242835398"/>
        <n v="0.115700988831694"/>
        <n v="0.790361722233324"/>
        <n v="0.605993272987786"/>
        <n v="0.792177398194174"/>
        <n v="0.0715808092727727"/>
        <n v="0.816896187372553"/>
        <n v="0.0914228942645742"/>
        <n v="0.138535496032826"/>
        <n v="0.912094777346585"/>
        <n v="0.647305513595098"/>
        <n v="0.166660105415648"/>
        <n v="0.788755293397089"/>
        <n v="0.0634973970527632"/>
        <n v="0.645884328896795"/>
        <n v="0.429711324076376"/>
        <n v="0.109086116871996"/>
        <n v="0.1605951891493"/>
        <n v="0.809569380729858"/>
        <n v="0.828280412529366"/>
        <n v="0.733848848903124"/>
        <n v="0.462840639106079"/>
        <n v="0.909511928245683"/>
        <n v="0.110776273499933"/>
        <n v="0.146834282779732"/>
        <n v="0.157448664903264"/>
        <n v="0.835294179482765"/>
        <n v="0.0708868262561689"/>
        <n v="0.177800249309953"/>
        <n v="0.354446554299732"/>
        <n v="0.806738208965061"/>
        <n v="0.455532565364097"/>
        <n v="0.0722379075996829"/>
        <n v="0.842991982353359"/>
        <n v="0.834218701912862"/>
        <n v="0.350875320050143"/>
        <n v="0.104467003620535"/>
        <n v="0.80962477057984"/>
        <n v="0.190884931303358"/>
        <n v="0.829244402402817"/>
        <n v="0.162142746359284"/>
        <n v="0.798566151770176"/>
        <n v="0.109406873085545"/>
        <n v="0.157328129926234"/>
        <n v="0.9118713741994"/>
        <n v="0.732669636362987"/>
        <n v="0.832378028710392"/>
        <n v="0.0570026299540852"/>
        <n v="0.44324773249312"/>
        <n v="0.312693191779759"/>
        <n v="0.810971049310694"/>
        <n v="0.811169574788332"/>
        <n v="0.644841619338832"/>
        <n v="0.0584665835435666"/>
        <n v="0.37483340182652"/>
        <n v="0.647492770165157"/>
        <n v="0.832362248050058"/>
        <n v="0.811146838604301"/>
        <n v="0.323611671568266"/>
        <n v="0.0740079655759041"/>
        <n v="0.148924453231961"/>
        <n v="0.59617915846604"/>
        <n v="0.818346445939214"/>
        <n v="0.0558790777027926"/>
        <n v="0.337223600558578"/>
        <n v="0.170800109322642"/>
        <n v="0.369732520633585"/>
        <n v="0.278546316750745"/>
        <n v="0.796014931471091"/>
        <n v="0.0280163308247651"/>
        <n v="0.804046056253577"/>
        <n v="0.896949780717479"/>
        <n v="0.772304077021296"/>
        <n v="0.0286599738017478"/>
        <n v="0.331752837907437"/>
        <n v="0.731271180373349"/>
        <n v="0.341235825502567"/>
        <n v="0.372493432384969"/>
        <n v="0.16218604442956"/>
        <n v="-0.0271667516264257"/>
        <n v="0.89530761235368"/>
        <n v="0.0557712306313829"/>
        <n v="0.717530780557702"/>
        <n v="0.355063448496423"/>
        <n v="0.870793693979227"/>
        <n v="0.764504374370197"/>
        <n v="0.871064020899902"/>
        <n v="0.64751736355253"/>
        <n v="0.0836418895851378"/>
        <n v="0.175868133193673"/>
        <n v="0.573799642558432"/>
        <n v="-0.050057850980164"/>
        <n v="0.580362810402354"/>
        <n v="0.115226757935964"/>
        <n v="0.869228710212891"/>
        <n v="0.283599097651197"/>
        <n v="0.798523394850226"/>
        <n v="0.711044078350908"/>
        <n v="0.826050386942022"/>
        <n v="0.0572149753668955"/>
        <n v="0.117153832812674"/>
        <n v="0.249948957233511"/>
        <n v="0.238689462555803"/>
        <n v="0.645872870380768"/>
        <n v="0.806071989332827"/>
        <n v="-0.00311222433526439"/>
        <n v="0.841186822480514"/>
        <n v="0.0648315181496644"/>
        <n v="0.412450179335676"/>
        <n v="0.348311967625524"/>
        <n v="0.894633437583727"/>
        <n v="0.909629090247692"/>
        <n v="0.601202062969096"/>
        <n v="0.00893852399785919"/>
        <n v="0.772866805585328"/>
        <n v="0.709612323311302"/>
        <n v="0.834978127978322"/>
        <n v="0.471136991564525"/>
        <n v="0.31372108390812"/>
        <n v="0.0724960702083921"/>
        <n v="0.606714954962423"/>
        <n v="1.47028794287357E-4"/>
        <n v="0.350835131364837"/>
        <n v="0.811714036030534"/>
        <n v="0.861805648141182"/>
        <n v="0.329214430799474"/>
        <n v="0.560585044132758"/>
        <n v="0.0207835300075533"/>
        <n v="0.385841138097249"/>
        <n v="0.800440390493131"/>
        <n v="0.789571859068092"/>
        <n v="0.814020939416116"/>
        <n v="0.262738944424831"/>
        <n v="0.590597568262566"/>
        <n v="0.0698085568388595"/>
        <n v="0.811921208076119"/>
        <n v="0.811866303799997"/>
        <n v="0.254446082702203"/>
        <n v="0.0693505177344626"/>
        <n v="0.620167798832867"/>
        <n v="0.796146096694933"/>
        <n v="0.0928105136686582"/>
        <n v="0.82790293127783"/>
        <n v="0.719938320042836"/>
        <n v="0.511106818286133"/>
        <n v="0.105141833442331"/>
        <n v="0.645079116721222"/>
        <n v="0.0278719218658522"/>
        <n v="0.75936672833847"/>
        <n v="0.622597863952317"/>
        <n v="0.76439477491024"/>
        <n v="0.0558926571579503"/>
        <n v="0.11209272004045"/>
        <n v="0.111366452382799"/>
        <n v="0.762566834891427"/>
        <n v="0.794862013837175"/>
        <n v="0.00107343362076113"/>
        <n v="0.78987868873162"/>
        <n v="0.811224108250319"/>
        <n v="0.525845129656281"/>
        <n v="0.334429315594093"/>
        <n v="0.103884784352285"/>
        <n v="0.860469712061043"/>
        <n v="0.257078087068116"/>
        <n v="0.0945147814240996"/>
        <n v="0.909924193692662"/>
        <n v="0.240868612902445"/>
        <n v="0.324420919683694"/>
        <n v="0.72269627344138"/>
        <n v="0.809537945757799"/>
        <n v="-0.145794143516563"/>
        <n v="0.807382034435467"/>
        <n v="0.82854774807999"/>
        <n v="0.709429651128058"/>
        <n v="0.136333257338468"/>
        <n v="0.034187142214475"/>
        <n v="0.827657656663588"/>
        <n v="0.0379236909266692"/>
        <n v="-0.0368966385389768"/>
        <n v="0.244671648970379"/>
        <n v="0.694660686541887"/>
        <n v="0.306599936115941"/>
        <n v="0.175473635256946"/>
        <n v="0.782077812559273"/>
        <n v="0.24909056525478"/>
        <n v="0.0949701108521914"/>
        <n v="0.640207230992177"/>
        <n v="0.661814908921879"/>
        <n v="0.42838795325801"/>
        <n v="0.0314949676219723"/>
        <n v="0.458639147411972"/>
        <n v="0.103026996381606"/>
        <n v="0.154354816880132"/>
        <n v="0.348405384522708"/>
        <n v="0.803194209404106"/>
        <n v="-0.0341894692418213"/>
        <n v="0.203333879860132"/>
        <n v="-0.0351030628476157"/>
        <n v="0.229943954101416"/>
        <n v="0.83488400869764"/>
        <n v="0.36243832234932"/>
        <n v="0.812116094424349"/>
        <n v="0.35383457583726"/>
        <n v="0.0534150457639867"/>
        <n v="0.802912169825002"/>
        <n v="0.223838811074062"/>
        <n v="0.0553064162582778"/>
        <n v="0.90973680708922"/>
        <n v="0.809981511027943"/>
        <n v="0.727572314439487"/>
        <n v="0.224493941231208"/>
        <n v="0.0307265167791189"/>
        <n v="0.811584817186864"/>
        <n v="0.0486693907281833"/>
        <n v="0.712652066747639"/>
        <n v="0.707730787106141"/>
        <n v="0.810986968794356"/>
        <n v="0.335185076052844"/>
        <n v="0.911718322322447"/>
        <n v="0.120150934355054"/>
        <n v="0.0920189456174533"/>
        <n v="0.646317213859078"/>
        <n v="0.124850760400227"/>
        <n v="0.0887696198984984"/>
        <n v="0.335763380419064"/>
        <n v="0.797988419656671"/>
        <n v="0.829321428311099"/>
        <n v="0.816285763395577"/>
        <n v="0.492512659011522"/>
        <n v="0.12835676956836"/>
        <n v="0.104192138422261"/>
        <n v="0.794876196581564"/>
        <n v="0.111130941380653"/>
        <n v="0.34662938634494"/>
        <n v="0.0937923740092253"/>
        <n v="-0.0222002375291818"/>
        <n v="0.762856793082263"/>
        <n v="0.11180069804726"/>
        <n v="0.79891166751263"/>
        <n v="0.112769326961703"/>
        <n v="0.493292325976963"/>
        <n v="0.161068894184502"/>
        <n v="0.773090619603499"/>
        <n v="0.0719426417940246"/>
        <n v="0.841381198301537"/>
        <n v="0.343871014275077"/>
        <n v="0.0878553655502096"/>
        <n v="0.615227690021673"/>
        <n v="0.806870783652399"/>
        <n v="0.789285242764009"/>
        <n v="0.172543890863307"/>
        <n v="0.437860562335166"/>
        <n v="0.0847780689064"/>
        <n v="0.825911664421401"/>
        <n v="0.29902160640221"/>
        <n v="0.442022196740953"/>
        <n v="0.625531916185795"/>
        <n v="0.119917325400207"/>
        <n v="0.789504559518869"/>
        <n v="0.089304153989254"/>
        <n v="0.911786759373643"/>
        <n v="0.0784693454554984"/>
        <n v="0.83136185130124"/>
        <n v="0.82301194289732"/>
        <n v="0.223740197569941"/>
        <n v="0.282967083662157"/>
        <n v="0.829939391496972"/>
        <n v="0.0649709443597586"/>
        <n v="0.648054236639093"/>
        <n v="0.308767842853863"/>
        <n v="0.812236427935214"/>
        <n v="0.157775387669339"/>
        <n v="0.10478644680904"/>
        <n v="0.109404300137735"/>
        <n v="0.809916050500722"/>
        <n v="0.796195484208229"/>
        <n v="0.104045645987997"/>
        <n v="0.701844468362619"/>
        <n v="0.117432044087998"/>
        <n v="0.828098220307143"/>
        <n v="0.763648274055496"/>
        <n v="0.0756321353294197"/>
        <n v="0.318499540535853"/>
        <n v="0.82645796021176"/>
        <n v="0.789369652294883"/>
        <n v="0.360304587339386"/>
        <n v="0.853025133292676"/>
        <n v="0.158889704706846"/>
        <n v="0.107348194246906"/>
        <n v="0.326386022199179"/>
        <n v="0.417792289032508"/>
        <n v="0.102700514022445"/>
        <n v="0.124975938262332"/>
        <n v="0.909857127317799"/>
        <n v="0.310506233765121"/>
        <n v="0.806972711224315"/>
        <n v="0.77429478306835"/>
        <n v="0.0726296201813369"/>
        <n v="0.348377751042758"/>
        <n v="0.803898864015224"/>
        <n v="0.465719851360301"/>
        <n v="0.255979338699309"/>
        <n v="0.369897848207706"/>
        <n v="0.161333864433327"/>
        <n v="0.0953370959854448"/>
        <n v="0.338373451286516"/>
        <n v="0.28953660805445"/>
        <n v="0.132780664585343"/>
        <n v="0.158268064005193"/>
        <n v="0.120828560594535"/>
        <n v="0.346919103433762"/>
        <n v="0.797730282088833"/>
        <n v="0.762632266943083"/>
        <n v="0.0709244731326501"/>
        <n v="0.720754816967126"/>
        <n v="0.238281572307425"/>
        <n v="0.191690047141184"/>
        <n v="0.086894569356673"/>
        <n v="0.910106722251517"/>
        <n v="0.211675944098252"/>
        <n v="0.762078923420676"/>
        <n v="0.0501971171648643"/>
        <n v="0.803286519845768"/>
        <n v="0.639588901174144"/>
        <n v="0.173182968987738"/>
        <n v="0.0986241947904016"/>
        <n v="-0.0484903087195133"/>
        <n v="0.388019035168436"/>
        <n v="0.827416236506366"/>
        <n v="0.180119294055241"/>
        <n v="0.328275383307146"/>
        <n v="-0.0333526314061741"/>
        <n v="0.236990655075103"/>
        <n v="0.390034904243655"/>
        <n v="0.503189804058826"/>
        <n v="0.640064199861125"/>
        <n v="0.781056802056461"/>
        <n v="-0.0735309764609152"/>
        <n v="0.696060512486138"/>
        <n v="0.607136260251738"/>
        <n v="0.806607946656765"/>
        <n v="-0.0263036019736817"/>
        <n v="0.391970681151531"/>
        <n v="0.260086061013543"/>
        <n v="0.61340992087331"/>
        <n v="0.901872827271121"/>
        <n v="0.560116133908044"/>
        <n v="0.0413763075844084"/>
        <n v="0.0774274825167191"/>
        <n v="0.801045514124504"/>
        <n v="0.0971670677935035"/>
        <n v="0.103923451930093"/>
        <n v="-0.0651889749640701"/>
        <n v="0.801831361820789"/>
        <n v="0.0688498877501263"/>
        <n v="0.369140024657574"/>
        <n v="-0.0258178744977326"/>
        <n v="0.824093839624416"/>
        <n v="0.347400643372546"/>
        <n v="0.220717033476181"/>
        <n v="0.780323012696543"/>
        <n v="0.421035262040969"/>
        <n v="0.763061977888923"/>
        <n v="0.04930267313253"/>
        <n v="0.372983583227398"/>
        <n v="0.840699257091051"/>
        <n v="-0.0529808895679276"/>
        <n v="0.772670084729417"/>
        <n v="0.124411033820789"/>
        <n v="0.164235550758156"/>
        <n v="0.812791693666547"/>
        <n v="0.627325284390028"/>
        <n v="0.567071408958496"/>
        <n v="-0.0326335974928944"/>
        <n v="0.867605906185746"/>
        <n v="0.808068345548969"/>
        <n v="0.201653982975927"/>
        <n v="0.755013266241873"/>
        <n v="0.212607651601499"/>
        <n v="0.306316215295664"/>
        <n v="7.78743865980246E-4"/>
        <n v="0.150119601698908"/>
        <n v="0.813641073604949"/>
        <n v="0.266043453710282"/>
        <n v="0.773553052237723"/>
        <n v="-0.0606347400002622"/>
        <n v="0.205040578088305"/>
        <n v="0.144525392231939"/>
        <n v="0.769171099859285"/>
        <n v="-0.0713111922443913"/>
        <n v="0.806769883805869"/>
        <n v="0.827871999935424"/>
        <n v="0.90957887435467"/>
        <n v="0.678891456044792"/>
        <n v="0.23982405363823"/>
        <n v="-0.0047707778829959"/>
        <n v="0.910159661911074"/>
        <n v="0.21087694583653"/>
        <n v="0.831323763244018"/>
        <n v="0.0408347753854427"/>
        <n v="0.494888865564499"/>
        <n v="0.226943576141138"/>
        <n v="0.210708381612232"/>
        <n v="0.384543931572957"/>
        <n v="0.239544069100307"/>
        <n v="-0.0361337377096166"/>
        <n v="0.356597737637634"/>
        <n v="-0.0321315164396668"/>
        <n v="0.831911015718917"/>
        <n v="0.808418324512137"/>
        <n v="0.521826572112502"/>
        <n v="0.341776979606851"/>
        <n v="0.858377104750399"/>
        <n v="0.0430130910132141"/>
        <n v="0.056274462903279"/>
        <n v="0.319008020297433"/>
        <n v="0.0259127740698455"/>
        <n v="0.224203264804523"/>
        <n v="0.670327500652966"/>
        <n v="0.795759243187648"/>
        <n v="0.764960834798177"/>
        <n v="0.852308316517778"/>
        <n v="0.298357555819103"/>
        <n v="0.340779620718969"/>
        <n v="0.0458933224297114"/>
        <n v="0.788945711019146"/>
        <n v="0.0394232019026675"/>
        <n v="0.44966715430129"/>
        <n v="0.824558888320836"/>
        <n v="0.811379824469717"/>
        <n v="0.550666888906932"/>
        <n v="0.570956228086087"/>
        <n v="0.00612462775878514"/>
        <n v="0.820495157334561"/>
        <n v="0.839768851897402"/>
        <n v="0.324637874447061"/>
        <n v="0.022412236820327"/>
        <n v="0.297641286409727"/>
        <n v="0.825712365721271"/>
        <n v="0.0781726417888996"/>
        <n v="0.828420256439036"/>
        <n v="0.829828471425869"/>
        <n v="0.670145244012799"/>
        <n v="0.0324009632013214"/>
        <n v="0.763787132129428"/>
        <n v="0.00711517056698216"/>
        <n v="0.832258825466695"/>
        <n v="0.81873496774796"/>
        <n v="0.235495362312576"/>
        <n v="0.188264879419696"/>
        <n v="0.0584907780086956"/>
        <n v="0.619202818516948"/>
        <n v="0.484756199410684"/>
        <n v="0.80626110399411"/>
        <n v="0.827572014303998"/>
        <n v="-0.00482783279185191"/>
        <n v="0.395995066990015"/>
        <n v="0.207605945730389"/>
        <n v="0.0165146500368016"/>
        <n v="0.0393033984148933"/>
        <n v="0.838337939812403"/>
        <n v="0.343270504545976"/>
        <n v="0.831062036311488"/>
        <n v="0.771839444389975"/>
        <n v="0.271631440338856"/>
        <n v="0.0636569107775496"/>
        <n v="0.760644281468505"/>
        <n v="0.12155213177583"/>
        <n v="-0.0107543907032817"/>
        <n v="0.205166296027866"/>
        <n v="0.658277416767297"/>
        <n v="0.115504980680768"/>
        <n v="0.663564178215389"/>
        <n v="0.214789416831753"/>
        <n v="0.0487261228203035"/>
        <n v="0.345133756558474"/>
        <n v="0.829095953850973"/>
        <n v="0.0340831842835232"/>
        <n v="0.191885052570556"/>
        <n v="0.160691986400889"/>
        <n v="0.829621868862291"/>
        <n v="0.650131007724056"/>
        <n v="0.82895545537292"/>
        <n v="-0.00573746112883437"/>
        <n v="0.342049156088595"/>
        <n v="0.266458830888787"/>
        <n v="0.767566839102765"/>
        <n v="0.0701822794055577"/>
        <n v="0.126269394922536"/>
        <n v="0.348294681552368"/>
        <n v="0.368621658391967"/>
        <n v="0.802565126835878"/>
        <n v="0.478000712119287"/>
        <n v="0.0260013202834839"/>
        <n v="0.316329852368331"/>
        <n v="0.338124768630817"/>
        <n v="0.370755345016204"/>
        <n v="0.0806272179225481"/>
        <n v="0.807700627973818"/>
        <n v="0.165094821810634"/>
        <n v="0.266593619333273"/>
        <n v="0.325200995611024"/>
        <n v="0.771332708255221"/>
        <n v="0.345041847968054"/>
        <n v="0.168962405992659"/>
        <n v="0.0363512062889576"/>
        <n v="0.23312629218041"/>
        <n v="0.207038311947665"/>
        <n v="0.0436154403181944"/>
        <n v="0.829748285528944"/>
        <n v="0.341210777311779"/>
        <n v="0.168676746198244"/>
        <n v="0.218472839735008"/>
        <n v="0.456485681903169"/>
        <n v="0.0485880916080241"/>
        <n v="0.818586791599302"/>
        <n v="0.260404283078907"/>
        <n v="0.826736600762991"/>
        <n v="0.466468660089827"/>
        <n v="0.0306371951466819"/>
        <n v="0.824931173198543"/>
        <n v="0.307500452192935"/>
        <n v="0.0624768093072535"/>
        <n v="0.209184680972725"/>
        <n v="0.461138040426609"/>
        <n v="0.765276300544683"/>
        <n v="0.477153053221381"/>
        <n v="0.323891045192741"/>
        <n v="0.0384052256075505"/>
        <n v="0.333748812511741"/>
        <n v="0.189310067633446"/>
        <n v="0.827673586145317"/>
        <n v="0.379082785419487"/>
        <n v="0.165718639193706"/>
        <n v="0.266360748301586"/>
        <n v="0.0804503488264553"/>
        <n v="0.0867496706993856"/>
        <n v="0.853247660026013"/>
        <n v="0.300674963846824"/>
        <n v="0.338226361790322"/>
        <n v="0.840854269673773"/>
        <n v="0.810682719723203"/>
        <n v="0.0834185116798211"/>
        <n v="0.352015835319618"/>
        <n v="0.294550090611283"/>
        <n v="0.149862188685349"/>
        <n v="0.156683888086281"/>
        <n v="0.169648747364731"/>
        <n v="0.0195578844102325"/>
        <n v="0.86017532872654"/>
        <n v="0.85707786568033"/>
        <n v="0.0611147437620537"/>
        <n v="0.85358622802503"/>
        <n v="0.331908327530893"/>
        <n v="0.133097021981371"/>
        <n v="0.818343671112126"/>
        <n v="0.368564967846828"/>
        <n v="0.80720314446281"/>
        <n v="0.147533746447958"/>
        <n v="0.347346584555901"/>
        <n v="0.0742664085927534"/>
        <n v="0.143137318730523"/>
        <n v="0.835517097341555"/>
        <n v="0.800510771002375"/>
        <n v="0.0239619880231037"/>
        <n v="0.259521670737786"/>
        <n v="0.841485834598924"/>
        <n v="0.764655532413377"/>
        <n v="0.355538700946666"/>
        <n v="0.394095916670885"/>
        <n v="-0.0399635456230499"/>
        <n v="0.788004995558028"/>
        <n v="0.573353887805701"/>
        <n v="-0.00663258817092161"/>
        <n v="0.446806942198094"/>
        <n v="0.824240513968568"/>
        <n v="0.320235122854866"/>
        <n v="0.415595513951528"/>
        <n v="-0.0408663157856435"/>
        <n v="0.27056384293316"/>
        <n v="0.853521404637371"/>
        <n v="0.147388378772901"/>
        <n v="0.270579940859726"/>
        <n v="-0.00528478825288673"/>
        <n v="0.793595216971906"/>
        <n v="0.734973648897548"/>
        <n v="0.0637015948597407"/>
        <n v="0.849608249607827"/>
        <n v="0.0470509976093505"/>
        <n v="0.339680690637564"/>
        <n v="0.751078075789844"/>
        <n v="0.826199897321217"/>
        <n v="0.401080502897342"/>
        <n v="-0.0137842479610457"/>
        <n v="0.365573471878285"/>
        <n v="0.779561549067213"/>
        <n v="0.523524660217564"/>
        <n v="0.787851210618401"/>
        <n v="0.570774842016915"/>
        <n v="0.779167960487313"/>
        <n v="-0.00341312169242557"/>
        <n v="0.75048345903403"/>
        <n v="0.381551035830722"/>
        <n v="0.865314352383241"/>
        <n v="0.32129526926941"/>
        <n v="-0.00391816398566694"/>
        <n v="0.840535906879532"/>
        <n v="0.0742069941928196"/>
        <n v="0.0386259911640569"/>
        <n v="0.829343753951116"/>
        <n v="0.575055997241498"/>
        <n v="0.840228231848392"/>
        <n v="0.0660965193251604"/>
        <n v="0.425885449212918"/>
        <n v="0.321808946592686"/>
        <n v="0.143138381096786"/>
        <n v="0.659722402967721"/>
        <n v="0.809756337489714"/>
        <n v="-0.0560462991675834"/>
        <n v="0.287698156837527"/>
        <n v="0.868754290265793"/>
        <n v="0.877863172609671"/>
        <n v="0.034228520876561"/>
        <n v="0.0416926991860461"/>
        <n v="0.193485957473565"/>
        <n v="0.751841005731965"/>
        <n v="0.173202819276367"/>
        <n v="0.071789830036809"/>
        <n v="0.221844627107562"/>
        <n v="0.853482175619803"/>
        <n v="0.840413959776357"/>
        <n v="0.339815313255327"/>
        <n v="0.387928595711155"/>
        <n v="0.223886404477277"/>
        <n v="0.89770093287405"/>
        <n v="-0.0433759143038851"/>
        <n v="0.234144870918431"/>
        <n v="0.027208144771119"/>
        <n v="0.81242304029325"/>
        <n v="0.117968335710264"/>
        <n v="0.812450237404462"/>
        <n v="0.432789254930614"/>
        <n v="0.36029325360324"/>
        <n v="0.0125480113654718"/>
        <n v="0.764246687693121"/>
        <n v="0.037591047116662"/>
        <n v="0.74769855999217"/>
        <n v="0.039485652841282"/>
        <n v="0.297567738928801"/>
        <n v="0.165270056432445"/>
        <n v="0.0327042945850909"/>
        <n v="-0.0181036916963343"/>
        <n v="0.840786140023909"/>
        <n v="0.181270302064539"/>
        <n v="0.854020836241213"/>
        <n v="0.236769915609794"/>
        <n v="-0.0428814127988949"/>
        <n v="0.871810766033808"/>
        <n v="0.597007316442838"/>
        <n v="0.546192830009113"/>
        <n v="0.832372823706744"/>
        <n v="0.812172736244742"/>
        <n v="0.135520581391161"/>
        <n v="0.362450962022979"/>
        <n v="0.0480600737201375"/>
        <n v="-0.0378245079841286"/>
        <n v="-0.00404740373426615"/>
        <n v="0.127894357360828"/>
        <n v="0.829782408811061"/>
        <n v="0.727597589265791"/>
        <n v="0.305468344747389"/>
        <n v="0.336957849213459"/>
        <n v="0.0560162337928464"/>
        <n v="0.495281764210573"/>
        <n v="0.206056471974741"/>
        <n v="0.852847390891783"/>
        <n v="0.363131240567698"/>
        <n v="0.718379826520965"/>
        <n v="0.0116000117291035"/>
        <n v="0.861358213884302"/>
        <n v="0.319193425971877"/>
        <n v="0.0011535085728393"/>
        <n v="0.0406180826655028"/>
        <n v="0.787809799498699"/>
        <n v="0.323190252481481"/>
        <n v="0.866453833921169"/>
        <n v="0.495342713200999"/>
        <n v="-0.0756220666711682"/>
        <n v="0.469771543325678"/>
        <n v="0.731639715239217"/>
        <n v="0.84094618644793"/>
        <n v="0.846325934878817"/>
        <n v="0.180268796589463"/>
        <n v="-0.0353705905347544"/>
        <n v="0.122257109917188"/>
        <n v="0.829688108413167"/>
        <n v="0.416921283174644"/>
        <n v="0.0401553842489178"/>
        <n v="0.134657995353303"/>
        <n v="0.224401728748834"/>
        <n v="0.909460118041252"/>
        <n v="0.208077439280896"/>
        <n v="0.0923470422423968"/>
        <n v="0.359697325656491"/>
        <n v="0.910002073287639"/>
        <n v="0.12263969275933"/>
        <n v="0.439740543457615"/>
        <n v="0.784455475027632"/>
        <n v="0.192806536345296"/>
        <n v="0.827558186065355"/>
        <n v="-0.0947630435133637"/>
        <n v="0.336441055909697"/>
        <n v="0.784146204172606"/>
        <n v="0.303816968852024"/>
        <n v="-0.117936697898692"/>
        <n v="0.498516529028334"/>
        <n v="0.356984054034643"/>
        <n v="0.173325128041427"/>
        <n v="0.423653420114226"/>
        <n v="0.910075938291483"/>
        <n v="0.0767960822766869"/>
        <n v="0.3155482614844"/>
        <n v="0.871229312119308"/>
        <n v="0.0197776875759673"/>
        <n v="0.854401144675989"/>
        <n v="0.493371995109566"/>
        <n v="0.103522264992913"/>
        <n v="0.699348137666233"/>
        <n v="0.808048287210132"/>
        <n v="0.0262928635847644"/>
        <n v="0.337841664670524"/>
        <n v="0.37162841390114"/>
        <n v="-0.0177375163142216"/>
        <n v="0.676395532867415"/>
        <n v="0.397217119392087"/>
        <n v="0.106568570563101"/>
        <n v="0.423603615061057"/>
        <n v="0.329502151856595"/>
        <n v="0.169193590137073"/>
        <n v="0.0775594937837577"/>
        <n v="0.839674416119858"/>
        <n v="0.298960181040534"/>
        <n v="0.839721336920748"/>
        <n v="0.331500287657647"/>
        <n v="0.116395814906537"/>
        <n v="0.0854844107795179"/>
        <n v="0.34968512524155"/>
        <n v="0.138070515693267"/>
        <n v="0.0348326683011678"/>
        <n v="0.799594041183748"/>
        <n v="0.423019047591841"/>
        <n v="-0.0540673825893802"/>
        <n v="0.849759385818318"/>
        <n v="0.162119432040386"/>
        <n v="0.460384814442707"/>
        <n v="0.293183833042965"/>
        <n v="0.0185532840709104"/>
        <n v="0.221481717424137"/>
        <n v="0.8285481933537"/>
        <n v="0.153874547031041"/>
        <n v="0.617140830248024"/>
        <n v="-0.11324599949672"/>
        <n v="0.182679036222877"/>
        <n v="0.15694228580106"/>
        <n v="0.676194619865542"/>
        <n v="0.420314593970811"/>
        <n v="0.854605484512904"/>
        <n v="0.336185741860378"/>
        <n v="0.0656806321490287"/>
        <n v="0.175685127233654"/>
        <n v="0.877240624601882"/>
        <n v="0.0773706436255331"/>
        <n v="0.339263508871429"/>
        <n v="0.0344529362417472"/>
        <n v="0.491911434082681"/>
        <n v="0.424506518281845"/>
        <n v="0.423786988778686"/>
        <n v="0.0740572343300458"/>
        <n v="0.358569133376893"/>
        <n v="0.805822244123516"/>
        <n v="0.174559398103243"/>
        <n v="0.0418853752432612"/>
        <n v="0.074997047972268"/>
        <n v="0.910047104978904"/>
        <n v="0.211033386673284"/>
        <n v="0.161493013572772"/>
        <n v="0.0688286981578727"/>
        <n v="0.877658692042235"/>
        <n v="0.854657831640885"/>
        <n v="0.145132273534298"/>
        <n v="0.337003540280512"/>
        <n v="0.0660923823509105"/>
        <n v="0.872060233944582"/>
        <n v="0.25924135841921"/>
        <n v="0.477879007067533"/>
        <n v="0.496500208401626"/>
        <n v="0.176238552841947"/>
        <n v="0.877241714281842"/>
        <n v="0.0656795938813657"/>
        <n v="0.854604455429305"/>
        <n v="0.336177553203081"/>
        <n v="0.424105744683264"/>
        <n v="0.169801053239789"/>
        <n v="0.235368496735558"/>
        <n v="0.0576249198525483"/>
        <n v="0.0861575949415198"/>
        <n v="0.373137970856656"/>
        <n v="0.782091053927157"/>
        <n v="0.352336925274713"/>
        <n v="0.82692975662525"/>
        <n v="-0.0259056522634658"/>
        <n v="0.409783208308341"/>
        <n v="0.791479542605091"/>
        <n v="-0.0483816933966268"/>
        <n v="0.627610642438189"/>
        <n v="0.909434687163649"/>
        <n v="0.249959562121471"/>
        <n v="0.822222123010345"/>
        <n v="0.330021915005328"/>
        <n v="-0.0313384613195308"/>
        <n v="0.909387233346488"/>
        <n v="0.641852179328433"/>
        <n v="0.54783484406545"/>
        <n v="0.841911349231554"/>
        <n v="0.842198601540166"/>
        <n v="-0.00995177255171159"/>
        <n v="0.879993070267657"/>
        <n v="0.241975313735182"/>
        <n v="0.774902731800785"/>
        <n v="0.146843746638707"/>
        <n v="0.0491273263859026"/>
        <n v="-0.0557392567282698"/>
        <n v="0.219601035528065"/>
        <n v="0.368423117391325"/>
        <n v="0.83812748065962"/>
        <n v="0.41584522113704"/>
        <n v="0.550970990109991"/>
        <n v="0.351017082990839"/>
        <n v="0.842146005746275"/>
        <n v="0.842372165426721"/>
        <n v="-0.0217661417000488"/>
        <n v="0.468012103397684"/>
        <n v="0.836191593684189"/>
        <n v="0.0604438336731261"/>
        <n v="0.01700675759568"/>
        <n v="0.232039961667811"/>
        <n v="0.252093457577246"/>
        <n v="0.630999151511845"/>
        <n v="-0.097298490404078"/>
        <n v="0.801233636146092"/>
        <n v="0.792308424906001"/>
        <n v="0.465692941649199"/>
        <n v="0.740736252115272"/>
        <n v="0.842205413059877"/>
        <n v="0.235624295854159"/>
        <n v="-0.0614623682341818"/>
        <n v="0.818404087475468"/>
        <n v="0.811080656653979"/>
        <n v="0.309785215493611"/>
        <n v="0.198524216192324"/>
        <n v="-0.0730771275005052"/>
        <n v="0.865784492612535"/>
        <n v="0.830148487373728"/>
        <n v="-0.016594625557281"/>
        <n v="0.594830923994726"/>
        <n v="0.406601673362752"/>
        <n v="0.277253962689527"/>
        <n v="0.0544650916493256"/>
        <n v="0.174307786257258"/>
        <n v="0.868867032594164"/>
        <n v="0.83703707348659"/>
        <n v="0.427143417346784"/>
        <n v="0.87748357981497"/>
        <n v="0.72400890297561"/>
        <n v="0.590615827411018"/>
        <n v="-0.0206581846969098"/>
        <n v="-0.03515549436782"/>
        <n v="0.819007456555581"/>
        <n v="0.903212563531126"/>
        <n v="0.239632087380776"/>
        <n v="0.528914641202617"/>
        <n v="0.00869498309524558"/>
        <n v="0.873909646508848"/>
        <n v="0.613312915188742"/>
        <n v="0.910027463977974"/>
        <n v="0.348030361639824"/>
        <n v="0.604238002844371"/>
        <n v="0.865391066577629"/>
        <n v="-0.00746198477951977"/>
        <n v="0.253618259589342"/>
        <n v="0.829341122335148"/>
        <n v="0.810827277774097"/>
        <n v="0.828093730111132"/>
        <n v="0.221591298370596"/>
        <n v="-0.072592265554673"/>
        <n v="0.290928286839189"/>
        <n v="0.58384730777357"/>
        <n v="-0.0741488295130845"/>
        <n v="0.814313927159096"/>
        <n v="0.599693977625775"/>
        <n v="0.830335319410017"/>
        <n v="0.869854068608496"/>
        <n v="-0.0168027460898317"/>
        <n v="0.824477327506351"/>
        <n v="0.626342327240266"/>
        <n v="0.316110655439596"/>
        <n v="0.794000021634278"/>
        <n v="0.213474128491839"/>
        <n v="0.305578825000706"/>
        <n v="-0.168849863687475"/>
        <n v="0.385553633265386"/>
        <n v="0.36362968748447"/>
        <n v="-0.124821263435226"/>
        <n v="0.784320410740109"/>
        <n v="0.10090214841489"/>
        <n v="0.44722386377454"/>
        <n v="0.410580303781119"/>
        <n v="0.0268086715760946"/>
        <n v="0.127111196218773"/>
        <n v="0.804894037517507"/>
        <n v="0.214345111900121"/>
        <n v="0.504639565913481"/>
        <n v="0.803978692756421"/>
        <n v="-0.0680874155685373"/>
        <n v="0.781343326584106"/>
        <n v="0.224211239601583"/>
        <n v="0.710209508995694"/>
        <n v="2.48137858121377E-4"/>
        <n v="0.217126757605389"/>
        <n v="0.350859012696633"/>
        <n v="0.116687100855675"/>
        <n v="0.417009156927239"/>
        <n v="0.125000952373978"/>
        <n v="0.162097789277354"/>
        <n v="0.00627888201662256"/>
        <n v="0.801302787378942"/>
        <n v="-0.0629646047480995"/>
        <n v="0.861345966162648"/>
        <n v="0.710793345610203"/>
        <n v="0.312335024123857"/>
        <n v="0.55507643927933"/>
        <n v="0.806791589032534"/>
        <n v="0.768662686619859"/>
        <n v="0.223617511305316"/>
        <n v="0.11230869077941"/>
        <n v="0.0551400925400609"/>
        <n v="0.58201300708607"/>
        <n v="0.744759984001076"/>
        <n v="0.15716982081164"/>
        <n v="-0.190078965619857"/>
        <n v="0.318946956869422"/>
        <n v="0.221198794322555"/>
        <n v="0.096604363559933"/>
        <n v="-0.0796802255895089"/>
        <n v="0.654871616526789"/>
        <n v="0.806042504766596"/>
        <n v="0.0573638253868597"/>
        <n v="0.322496256655096"/>
        <n v="0.174273341342352"/>
        <n v="0.910126613935892"/>
        <n v="0.55219925330764"/>
        <n v="0.0455090898353652"/>
        <n v="0.808049902378035"/>
        <n v="0.239114297307896"/>
        <n v="0.338804395231112"/>
        <n v="0.329820790236761"/>
        <n v="0.0563619734081531"/>
        <n v="0.814728627900422"/>
        <n v="0.763873486934431"/>
        <n v="0.0806930017935525"/>
        <n v="0.325797426580274"/>
        <n v="0.017486419866237"/>
        <n v="0.837469306086964"/>
        <n v="0.169869288916481"/>
        <n v="0.331319029905979"/>
        <n v="0.818524199105853"/>
        <n v="0.332360809400901"/>
        <n v="0.306550951643868"/>
        <n v="0.814319663000288"/>
        <n v="0.00767871029095496"/>
        <n v="0.214967736106404"/>
        <n v="0.718067638822908"/>
        <n v="-0.161543450824712"/>
        <n v="0.128710725334176"/>
        <n v="0.186940011724289"/>
        <n v="0.740915702476188"/>
        <n v="0.0343415929455048"/>
        <n v="0.588167805791176"/>
        <n v="0.353530337355102"/>
        <n v="0.769157660642685"/>
        <n v="0.0906033496142807"/>
        <n v="0.334669880292956"/>
        <n v="0.333039978214662"/>
        <n v="0.0448609944101586"/>
        <n v="0.815029919941407"/>
        <n v="0.308770610296527"/>
        <n v="0.0127861459024303"/>
        <n v="0.161062766038895"/>
        <n v="0.840391772793495"/>
        <n v="0.00906644145357723"/>
        <n v="0.345479656629598"/>
        <n v="0.302498372081207"/>
        <n v="0.314335089976195"/>
        <n v="0.0634352689578747"/>
        <n v="0.830616183817645"/>
        <n v="0.362174260505558"/>
        <n v="0.0404374507120608"/>
        <n v="0.16063386113624"/>
        <n v="0.921414617757189"/>
        <n v="0.151178440558011"/>
        <n v="0.170537561827193"/>
        <n v="0.608551299875435"/>
        <n v="0.33137264061082"/>
        <n v="0.204904173957191"/>
        <n v="0.341519380318163"/>
        <n v="0.0543780761818427"/>
        <n v="0.920375438700602"/>
        <n v="0.0637652187696266"/>
        <n v="0.163523207393177"/>
        <n v="0.425075544792775"/>
        <n v="0.0309415350134613"/>
        <n v="0.443442809513732"/>
        <n v="0.104020326375068"/>
        <n v="0.572713605103037"/>
        <n v="0.0598329755885519"/>
        <n v="0.0532650866137"/>
        <n v="0.123683879290485"/>
        <n v="0.0484750301484662"/>
        <n v="0.326584803328681"/>
        <n v="0.219988657262492"/>
        <n v="0.34454398031161"/>
        <n v="0.318864126720186"/>
        <n v="0.32931816734556"/>
        <n v="0.043508176679905"/>
        <n v="0.0469591045749318"/>
        <n v="0.341180050310719"/>
        <n v="0.32927430508126"/>
        <n v="0.0453257635067036"/>
        <n v="0.331660122320992"/>
        <n v="0.0463583366103502"/>
        <n v="0.342289514945514"/>
        <n v="0.0415773758818775"/>
        <n v="0.467788188744274"/>
        <n v="0.525586220583893"/>
        <n v="0.0689053418645132"/>
        <n v="0.155745662304661"/>
      </sharedItems>
    </cacheField>
    <cacheField name="cluster's silhouette_std" numFmtId="164">
      <sharedItems containsSemiMixedTypes="0" containsString="0" containsNumber="1">
        <n v="0.0413155809911206"/>
        <n v="0.13285089230911"/>
        <n v="0.0994579430691059"/>
        <n v="0.133283138829996"/>
        <n v="0.123011595330594"/>
        <n v="0.0993675582889994"/>
        <n v="0.122854665727104"/>
        <n v="0.13364193368228"/>
        <n v="0.137059528613377"/>
        <n v="0.0401486048556297"/>
        <n v="0.135922513601227"/>
        <n v="0.154856515525255"/>
        <n v="0.122952968982454"/>
        <n v="0.0316867612203039"/>
        <n v="0.0994814002600882"/>
        <n v="0.119456313211363"/>
        <n v="0.137965997373687"/>
        <n v="0.0603950785603887"/>
        <n v="0.156464034202375"/>
        <n v="0.122920230885553"/>
        <n v="0.0403314338981937"/>
        <n v="0.0992472910250379"/>
        <n v="0.123409530903334"/>
        <n v="0.13285298484836"/>
        <n v="0.0976313940614709"/>
        <n v="0.155838044331567"/>
        <n v="0.122558541153297"/>
        <n v="0.0581960795452363"/>
        <n v="0.135951714663007"/>
        <n v="0.106475866007911"/>
        <n v="0.0999373090048988"/>
        <n v="0.134723148863011"/>
        <n v="0.118145616818928"/>
        <n v="0.123595844629684"/>
        <n v="0.04055017121472"/>
        <n v="0.135535674247364"/>
        <n v="0.0450018796193647"/>
        <n v="0.153552515983002"/>
        <n v="0.0975951816683771"/>
        <n v="0.0993998351954079"/>
        <n v="0.0921848320835585"/>
        <n v="0.120022128391596"/>
        <n v="0.0998191410281432"/>
        <n v="0.14523391414535"/>
        <n v="0.0684555746233853"/>
        <n v="0.118693585885401"/>
        <n v="0.109612804041674"/>
        <n v="0.137583798640986"/>
        <n v="0.105399754478849"/>
        <n v="0.15195328722541"/>
        <n v="0.106626083010994"/>
        <n v="0.179742814025691"/>
        <n v="0.106366157061038"/>
        <n v="0.168395340255708"/>
        <n v="0.0540068608835617"/>
        <n v="0.0621234492630997"/>
        <n v="0.136309979417759"/>
        <n v="0.105623924914182"/>
        <n v="0.184133671962287"/>
        <n v="0.159501645365288"/>
        <n v="0.100428238146639"/>
        <n v="0.101792336084334"/>
        <n v="0.110941867094924"/>
        <n v="0.0802455088485627"/>
        <n v="0.0770848463000174"/>
        <n v="0.161041409000625"/>
        <n v="0.0921069472818289"/>
        <n v="0.14246308701014"/>
        <n v="0.120781585866164"/>
        <n v="0.106052104539063"/>
        <n v="0.133553957011948"/>
        <n v="0.0994940512547377"/>
        <n v="0.035779780401238"/>
        <n v="0.263320487819283"/>
        <n v="0.13289602970804"/>
        <n v="0.11702082703708"/>
        <n v="0.136114206325449"/>
        <n v="0.0352980593144745"/>
        <n v="0.118380931970496"/>
        <n v="0.0490455847301695"/>
        <n v="0.103823878960813"/>
        <n v="0.0616974337308346"/>
        <n v="0.149761871716552"/>
        <n v="0.115416137316837"/>
        <n v="0.100622674778202"/>
        <n v="0.111276251131877"/>
        <n v="0.116975252481109"/>
        <n v="0.150886015998051"/>
        <n v="0.133710325967451"/>
        <n v="0.123630633503144"/>
        <n v="0.0975544320133002"/>
        <n v="0.0481212258005405"/>
        <n v="0.100555161227678"/>
        <n v="0.0931190390536699"/>
        <n v="0.133161912955182"/>
        <n v="0.0716040854783289"/>
        <n v="0.120074286034009"/>
        <n v="0.117470864299167"/>
        <n v="0.138254100294088"/>
        <n v="0.127487805810678"/>
        <n v="0.0978851848703252"/>
        <n v="0.0448006725224627"/>
        <n v="0.140824334363507"/>
        <n v="0.141636567062698"/>
        <n v="0.082431379273437"/>
        <n v="0.13442796352138"/>
        <n v="0.119184734539406"/>
        <n v="0.0765605961104642"/>
        <n v="0.141604234469347"/>
        <n v="0.0983397925073731"/>
        <n v="0.0722051780937758"/>
        <n v="0.126683432283124"/>
        <n v="0.181074875237695"/>
        <n v="0.141439070170567"/>
        <n v="0.0775625385975892"/>
        <n v="0.134065570519954"/>
        <n v="0.127059923102626"/>
        <n v="0.100720427513712"/>
        <n v="0.119956182706402"/>
        <n v="0.0683400427822713"/>
        <n v="0.113249351538836"/>
        <n v="0.0756708654861046"/>
        <n v="0.0538556296318493"/>
        <n v="0.127924906703013"/>
        <n v="0.121344009594091"/>
        <n v="0.118754646728141"/>
        <n v="0.118566490170218"/>
        <n v="0.114112494540225"/>
        <n v="0.140076695439095"/>
        <n v="0.135387575221447"/>
        <n v="0.125727488423171"/>
        <n v="0.132591745783358"/>
        <n v="0.0992190915014112"/>
        <n v="0.118230151239959"/>
        <n v="0.120377006131885"/>
        <n v="0.0734484244077974"/>
        <n v="0.0374763666723946"/>
        <n v="0.117335856785715"/>
        <n v="0.129003138541767"/>
        <n v="0.337653916706838"/>
        <n v="0.100127280449994"/>
        <n v="0.184271545981885"/>
        <n v="0.0774434517004369"/>
        <n v="0.0477401928909113"/>
        <n v="0.122703233533155"/>
        <n v="0.0818299548558312"/>
        <n v="0.126677539025514"/>
        <n v="0.114815765261174"/>
        <n v="0.146467580375261"/>
        <n v="0.386228717805897"/>
        <n v="0.153494030526839"/>
        <n v="0.079253544721667"/>
        <n v="0.0758319975567607"/>
        <n v="0.14571999380209"/>
        <n v="0.119996537994695"/>
        <n v="0.121517380021066"/>
        <n v="0.132738868909831"/>
        <n v="0.0865772350668372"/>
        <n v="0.103011971774877"/>
        <n v="0.069376283459829"/>
        <n v="0.103528451540868"/>
        <n v="0.083466960849378"/>
        <n v="0.116001716623921"/>
        <n v="0.0765910239154483"/>
        <n v="0.152896498175049"/>
        <n v="0.130923806270139"/>
        <n v="0.0629918459872007"/>
        <n v="0.121601360093231"/>
        <n v="0.307424657733944"/>
        <n v="0.0460705339997763"/>
        <n v="0.121933113704915"/>
        <n v="0.143481710968595"/>
        <n v="0.133549585517937"/>
        <n v="0.17027463434188"/>
        <n v="0.0791586703909132"/>
        <n v="0.111996118503928"/>
        <n v="0.0806889317042243"/>
        <n v="0.131711847584165"/>
        <n v="0.0771169956843754"/>
        <n v="0.0708686124868657"/>
        <n v="0.118949101503801"/>
        <n v="0.116813889597368"/>
        <n v="0.0659760647601116"/>
        <n v="0.119584663702993"/>
        <n v="0.136657446013083"/>
        <n v="0.182102592495779"/>
        <n v="0.118995598063839"/>
        <n v="0.144829092178311"/>
        <n v="0.133980848132027"/>
        <n v="0.101128429034698"/>
        <n v="0.0757979448339862"/>
        <n v="0.116213132814294"/>
        <n v="0.124002958864374"/>
        <n v="0.0985161596251872"/>
        <n v="0.11762749203671"/>
        <n v="0.154702196080294"/>
        <n v="0.139035104818206"/>
        <n v="0.12286268345318"/>
        <n v="0.0384688321814956"/>
        <n v="0.126172798664267"/>
        <n v="0.0774898192167901"/>
        <n v="0.0997010238503684"/>
        <n v="0.145162742797708"/>
        <n v="0.114654245517303"/>
        <n v="0.110488859830384"/>
        <n v="0.135854802010986"/>
        <n v="0.0742602071239539"/>
        <n v="0.104083789745065"/>
        <n v="0.103881358541326"/>
        <n v="0.114815571544197"/>
        <n v="0.126502897774885"/>
        <n v="0.119704619382167"/>
        <n v="0.071292794093857"/>
        <n v="0.133087849830753"/>
        <n v="0.330775945775866"/>
        <n v="0.0698898718279431"/>
        <n v="0.124119817402181"/>
        <n v="0.354759951686954"/>
        <n v="0.126142122274091"/>
        <n v="0.120048194747292"/>
        <n v="0.058000028763904"/>
        <n v="0.445401076216499"/>
        <n v="0.126152355756163"/>
        <n v="0.15083653269385"/>
        <n v="0.099870000120867"/>
        <n v="0.0991833392846291"/>
        <n v="0.117655309501766"/>
        <n v="0.136120870782385"/>
        <n v="0.0784385456623081"/>
        <n v="0.116939331608187"/>
        <n v="0.270279196453363"/>
        <n v="0.115889249303516"/>
        <n v="0.0633277249655332"/>
        <n v="0.131408257729611"/>
        <n v="0.093062963547476"/>
        <n v="0.100463777089257"/>
        <n v="0.227429476784114"/>
        <n v="0.131037159907962"/>
        <n v="0.0645041222541775"/>
        <n v="0.132089262005492"/>
        <n v="0.0914991070394211"/>
        <n v="0.154616105162044"/>
        <n v="0.124425130639926"/>
        <n v="0.204267792697426"/>
        <n v="0.0713472297517928"/>
        <n v="0.0459569866415252"/>
        <n v="0.0797204164889368"/>
        <n v="0.155639212046571"/>
        <n v="0.435859797050341"/>
        <n v="0.0393132471418762"/>
        <n v="0.160292209211015"/>
        <n v="0.0770755366332767"/>
        <n v="0.13629560801726"/>
        <n v="0.0740671812270133"/>
        <n v="0.13198323551487"/>
        <n v="0.133064118260665"/>
        <n v="0.116457095567261"/>
        <n v="0.135555155610169"/>
        <n v="0.1045103452472"/>
        <n v="0.0743984497626998"/>
        <n v="0.102698886642963"/>
        <n v="0.076494059919808"/>
        <n v="0.100697549863588"/>
        <n v="0.0797998794788209"/>
        <n v="0.0442713369605829"/>
        <n v="0.0923575340883212"/>
        <n v="0.0753569317590925"/>
        <n v="0.14030717396494"/>
        <n v="0.226977044431708"/>
        <n v="0.142094536385306"/>
        <n v="0.134192787544685"/>
        <n v="0.0991156459500647"/>
        <n v="0.0435833717568192"/>
        <n v="0.0519140721646074"/>
        <n v="0.135818860466694"/>
        <n v="0.0434681268429548"/>
        <n v="0.117252574401555"/>
        <n v="0.100225369339493"/>
        <n v="0.0353408603945838"/>
        <n v="0.134746770357567"/>
        <n v="0.0338072654751764"/>
        <n v="0.100178844118907"/>
        <n v="0.116224042315348"/>
        <n v="0.104889208420317"/>
        <n v="0.136880618841576"/>
        <n v="0.0461098376756021"/>
        <n v="0.0978832266474021"/>
        <n v="0.143209257578483"/>
        <n v="0.159260738726741"/>
        <n v="0.127961927245608"/>
        <n v="0.0858986005691055"/>
        <n v="0.120767290494741"/>
        <n v="0.100282898560844"/>
        <n v="0.13706700142265"/>
        <n v="0.0445516533994472"/>
        <n v="0.0446076506680993"/>
        <n v="0.0753572736617869"/>
        <n v="0.120866747616471"/>
        <n v="0.196990538349526"/>
        <n v="0.0952212480664987"/>
        <n v="0.103753810320311"/>
        <n v="0.130646650781321"/>
        <n v="0.100554201090474"/>
        <n v="0.0957875820343264"/>
        <n v="0.122256416476968"/>
        <n v="0.109431933941837"/>
        <n v="0.123469393974473"/>
        <n v="0.114012710717351"/>
        <n v="0.079110016073704"/>
        <n v="0.0756145314357943"/>
        <n v="0.115392504987733"/>
        <n v="0.13550744810331"/>
        <n v="0.120716708426176"/>
        <n v="0.123750731381606"/>
        <n v="0.116977533858021"/>
        <n v="0.134334795595367"/>
        <n v="0.10595448480328"/>
        <n v="0.111115298161011"/>
        <n v="0.100059900223719"/>
        <n v="0.128700308845325"/>
        <n v="0.149496629286546"/>
        <n v="0.0592044141329629"/>
        <n v="0.0841496361379519"/>
        <n v="0.130175064750596"/>
        <n v="0.125769647895278"/>
        <n v="0.0817083567824062"/>
        <n v="0.0856664262047479"/>
        <n v="0.0965280551611499"/>
        <n v="0.0819830164842995"/>
        <n v="0.0961550338604226"/>
        <n v="0.100032133620902"/>
        <n v="0.134791810765885"/>
        <n v="0.104284379920092"/>
        <n v="0.166497564422516"/>
        <n v="0.115834374908212"/>
        <n v="0.114782616719225"/>
        <n v="0.0921987483309801"/>
        <n v="0.190075860425214"/>
        <n v="0.128800951784449"/>
        <n v="0.116061180116556"/>
        <n v="0.103532540406841"/>
        <n v="0.0991187654313706"/>
        <n v="0.0469306513763555"/>
        <n v="0.223482694662889"/>
        <n v="0.191626550687256"/>
        <n v="0.0824519874151512"/>
        <n v="0.133433070534738"/>
        <n v="0.136044373259621"/>
        <n v="0.101051140452101"/>
        <n v="0.13826618967846"/>
        <n v="0.0832266759725395"/>
        <n v="0.144801960969523"/>
        <n v="0.0729671878351099"/>
        <n v="0.0901396895901125"/>
        <n v="0.0827529939462247"/>
        <n v="0.129778035446602"/>
        <n v="0.16680941287835"/>
        <n v="0.14654465202432"/>
        <n v="0.134476712481975"/>
        <n v="0.149524605863544"/>
        <n v="0.101439848490296"/>
        <n v="0.0972091000807341"/>
        <n v="0.137418701984813"/>
        <n v="0.100578589189915"/>
        <n v="0.118516209917362"/>
        <n v="0.135103052875082"/>
        <n v="0.0463796942287973"/>
        <n v="0.304567085345607"/>
        <n v="0.133231442427216"/>
        <n v="0.101138655166439"/>
        <n v="0.101033203634971"/>
        <n v="0.123208793859206"/>
        <n v="0.0794690764705294"/>
        <n v="0.118442458064182"/>
        <n v="0.156029234504619"/>
        <n v="0.100021257566588"/>
        <n v="0.136463111856475"/>
        <n v="0.0758963424898896"/>
        <n v="0.210623848853047"/>
        <n v="0.0317020879787045"/>
        <n v="0.0822556922999857"/>
        <n v="0.0758622324874326"/>
        <n v="0.165109819003148"/>
        <n v="0.120818363415554"/>
        <n v="0.133206634164211"/>
        <n v="0.312844572271479"/>
        <n v="0.0297132387753783"/>
        <n v="0.120518736425794"/>
        <n v="0.100488668683436"/>
        <n v="0.14274191026609"/>
        <n v="0.102087456610759"/>
        <n v="0.124887744098037"/>
        <n v="0.139837701339108"/>
        <n v="0.0734657012871603"/>
        <n v="0.12401157773158"/>
        <n v="0.148343713086354"/>
        <n v="0.14759523531451"/>
        <n v="0.0826930390397257"/>
        <n v="0.0461575985247434"/>
        <n v="0.0991510422817567"/>
        <n v="0.121347664703645"/>
        <n v="0.100329713745294"/>
        <n v="0.099514191865284"/>
        <n v="0.0498811152978635"/>
        <n v="0.395948688367984"/>
        <n v="0.0777478102384117"/>
        <n v="0.139408826399824"/>
        <n v="0.125761320455348"/>
        <n v="0.0690654476953011"/>
        <n v="0.14834687495551"/>
        <n v="0.113900659664682"/>
        <n v="0.130600378792155"/>
        <n v="0.057484415420552"/>
        <n v="0.214082785869416"/>
        <n v="0.107362603800317"/>
        <n v="0.120588960490102"/>
        <n v="0.118794017284349"/>
        <n v="0.0991636512504153"/>
        <n v="0.189868721791144"/>
        <n v="0.141160240129637"/>
        <n v="0.12078986845172"/>
        <n v="0.118489200176456"/>
        <n v="0.139011635569653"/>
        <n v="0.138322845086215"/>
        <n v="0.140376272626656"/>
        <n v="0.120567140143944"/>
        <n v="0.120392838619016"/>
        <n v="0.107581894815802"/>
        <n v="0.17981104783576"/>
        <n v="0.0973747989887186"/>
        <n v="0.118649737840862"/>
        <n v="0.130634515811737"/>
        <n v="0.12334065348222"/>
        <n v="0.165155136558689"/>
        <n v="0.119929648792418"/>
        <n v="0.0920137062392828"/>
        <n v="0.140651206309295"/>
        <n v="0.100745942674317"/>
        <n v="0.139793108085275"/>
        <n v="0.117849207529049"/>
        <n v="0.0956448781803019"/>
        <n v="0.17273706002996"/>
        <n v="0.119606624656774"/>
        <n v="0.10013857267216"/>
        <n v="0.123896004192725"/>
        <n v="0.125337831785248"/>
        <n v="0.196755111508098"/>
        <n v="0.0832296417952769"/>
        <n v="0.0928999897306658"/>
        <n v="0.0452376060158891"/>
        <n v="0.123450416008903"/>
        <n v="0.10280021746424"/>
        <n v="0.196521822538558"/>
        <n v="0.143086117108524"/>
        <n v="0.176568667517747"/>
        <n v="0.0975235410283455"/>
        <n v="0.164661283314958"/>
        <n v="0.137781097429335"/>
        <n v="0.140036563753127"/>
        <n v="0.121557074363269"/>
        <n v="0.256552568118626"/>
        <n v="0.0123002228651643"/>
        <n v="0.148441279430087"/>
        <n v="0.128496585828447"/>
        <n v="0.0680619455589837"/>
        <n v="0.117587971421617"/>
        <n v="0.133574237829161"/>
        <n v="0.0990766216195762"/>
        <n v="0.091977637560075"/>
        <n v="0.130534409055556"/>
        <n v="0.105788308119998"/>
        <n v="0.143169700359403"/>
        <n v="0.0465620229547292"/>
        <n v="0.138443105072219"/>
        <n v="0.114969566137717"/>
        <n v="0.133749735982702"/>
        <n v="0.0460374629668309"/>
        <n v="0.121360300486696"/>
        <n v="0.156790459544038"/>
        <n v="0.228465202431282"/>
        <n v="0.142104247197375"/>
        <n v="0.130712178277984"/>
        <n v="0.313363145248858"/>
        <n v="0.0638555265012174"/>
        <n v="0.0977577206174601"/>
        <n v="0.0791290601850469"/>
        <n v="0.124293953967822"/>
        <n v="0.132079686846282"/>
        <n v="0.0976267936015646"/>
        <n v="0.115103342811436"/>
        <n v="0.117707045439835"/>
        <n v="0.0839138569384569"/>
        <n v="0.142625699546351"/>
        <n v="0.0758142211400498"/>
        <n v="0.134795574979139"/>
        <n v="0.117319531384844"/>
        <n v="0.128731804114407"/>
        <n v="0.138829269844543"/>
        <n v="0.138599188524758"/>
        <n v="0.127293171331029"/>
        <n v="0.155989742588463"/>
        <n v="0.0757326932708068"/>
        <n v="0.124039699341959"/>
        <n v="0.12055876987281"/>
        <n v="0.0992806955302264"/>
        <n v="0.0948614457530199"/>
        <n v="0.0634095722844376"/>
        <n v="0.252546750618668"/>
        <n v="0.126850254295755"/>
        <n v="0.106638655644805"/>
        <n v="0.104614330664486"/>
        <n v="0.358303723151934"/>
        <n v="0.0453134932499346"/>
        <n v="0.124599676707019"/>
        <n v="0.128025853414961"/>
        <n v="0.114845617240289"/>
        <n v="0.135060251716908"/>
        <n v="0.200600549882608"/>
        <n v="0.09696210171109"/>
        <n v="0.0918179785603482"/>
        <n v="0.0682715539858431"/>
        <n v="0.128943490672006"/>
        <n v="0.080930288259836"/>
        <n v="0.12205242382436"/>
        <n v="0.283586909660753"/>
        <n v="0.115976883829989"/>
        <n v="0.154177338110828"/>
        <n v="0.284089525834465"/>
        <n v="0.0796415894133645"/>
        <n v="0.0997531654461887"/>
        <n v="0.198575465278835"/>
        <n v="0.101659029841964"/>
        <n v="0.0991053814091622"/>
        <n v="0.110919885221086"/>
        <n v="0.147602580871808"/>
        <n v="0.0575254780896597"/>
        <n v="0.126759107017252"/>
        <n v="0.291286043400705"/>
        <n v="0.0999247302366255"/>
        <n v="0.124161759560164"/>
        <n v="0.0421295163277588"/>
        <n v="0.149687389967728"/>
        <n v="0.0994963841489554"/>
        <n v="0.132236838900461"/>
        <n v="0.0847945471826561"/>
        <n v="0.1532920862021"/>
        <n v="0.0597166858133949"/>
        <n v="0.0855210853004256"/>
        <n v="0.159672947780642"/>
        <n v="0.119607766157846"/>
        <n v="0.1433970530211"/>
        <n v="0.114604890261268"/>
        <n v="0.097865028707328"/>
        <n v="0.133023630140634"/>
        <n v="0.0933570479937523"/>
        <n v="0.0994577124695024"/>
        <n v="0.0560759177612205"/>
        <n v="0.100121041616675"/>
        <n v="0.159112965185552"/>
        <n v="0.136154115497412"/>
        <n v="0.140026433415075"/>
        <n v="0.128016509388224"/>
        <n v="0.118262720730025"/>
        <n v="0.122571614106162"/>
        <n v="0.136982678360329"/>
        <n v="0.113202265429044"/>
        <n v="0.171059873389578"/>
        <n v="0.0350525394414817"/>
        <n v="0.123398405131564"/>
        <n v="0.136183762100528"/>
        <n v="0.118098178630783"/>
        <n v="0.119316035349084"/>
        <n v="0.115900754433323"/>
        <n v="0.0985530197389918"/>
        <n v="0.0987445602273992"/>
        <n v="0.161602450477392"/>
        <n v="0.0946276424832465"/>
        <n v="0.128756695632952"/>
        <n v="0.0640112647798844"/>
        <n v="0.179801341090526"/>
        <n v="0.0587553337099372"/>
        <n v="0.113621156360801"/>
        <n v="0.117223916927148"/>
        <n v="0.135637719175047"/>
        <n v="0.160661879973358"/>
        <n v="0.127682566444758"/>
        <n v="0.113296461251806"/>
        <n v="0.119112970688517"/>
        <n v="0.123266247122368"/>
        <n v="0.0984399713613619"/>
        <n v="0.129146667839033"/>
        <n v="0.134046021700192"/>
        <n v="0.0316658368191778"/>
        <n v="0.100491273473134"/>
        <n v="0.132521161754339"/>
        <n v="0.124821585349551"/>
        <n v="0.113889564359358"/>
        <n v="0.0360009920473477"/>
        <n v="0.234445898835126"/>
        <n v="0.113707142106431"/>
        <n v="0.0350015671558116"/>
        <n v="0.162248937848639"/>
        <n v="0.0934111106922327"/>
        <n v="0.173531744217554"/>
        <n v="0.115796845716889"/>
        <n v="0.132768152447114"/>
        <n v="0.0991283780909654"/>
        <n v="0.164500421931011"/>
        <n v="0.125304453601016"/>
        <n v="0.116784431889468"/>
        <n v="0.134588380245213"/>
        <n v="0.100577427618663"/>
        <n v="0.0923716125267197"/>
        <n v="0.0656082296387282"/>
        <n v="0.190674111476454"/>
        <n v="0.0928732248316065"/>
        <n v="0.135499164819644"/>
        <n v="0.116266418217462"/>
        <n v="0.117395129097107"/>
        <n v="0.138340760187072"/>
        <n v="0.11567120502919"/>
        <n v="0.110216075282679"/>
        <n v="0.175073875897413"/>
        <n v="0.0937688352173801"/>
        <n v="0.132901028768297"/>
        <n v="0.135111883593398"/>
        <n v="0.171235324450275"/>
        <n v="0.154554742327077"/>
        <n v="0.118629325101429"/>
        <n v="0.172134287568768"/>
        <n v="0.080010913140683"/>
        <n v="0.120754038978764"/>
        <n v="0.171659847091922"/>
        <n v="0.144432224195443"/>
        <n v="0.137305953487268"/>
        <n v="0.136839578364911"/>
        <n v="0.093550401077892"/>
        <n v="0.115265783970104"/>
        <n v="0.204389199640258"/>
        <n v="0.116826020589598"/>
        <n v="0.0997831344989168"/>
        <n v="0.0879152066072975"/>
        <n v="0.0922200801016712"/>
        <n v="0.16156026252539"/>
        <n v="0.147602292914576"/>
        <n v="0.139687254331855"/>
        <n v="0.100208922654523"/>
        <n v="0.13396716727233"/>
        <n v="0.0864478352652999"/>
        <n v="0.169561230239003"/>
        <n v="0.114306242122816"/>
        <n v="0.120088060031921"/>
        <n v="0.115248350844152"/>
        <n v="0.0890495828915156"/>
        <n v="0.128090278494381"/>
        <n v="0.146725874846834"/>
        <n v="0.0923697858841343"/>
        <n v="0.133810605218408"/>
        <n v="0.0505750106010127"/>
        <n v="0.102828137085445"/>
        <n v="0.040763255542709"/>
        <n v="0.312118830451792"/>
        <n v="0.0931228167100899"/>
        <n v="0.132200457418829"/>
        <n v="0.149151342819069"/>
        <n v="0.0962720075407783"/>
        <n v="0.0868397241491721"/>
        <n v="0.153553210469358"/>
        <n v="0.123999492420698"/>
        <n v="0.12763610395748"/>
        <n v="0.141370877530618"/>
        <n v="0.117249762578573"/>
        <n v="0.199379154116013"/>
        <n v="0.124134025465691"/>
        <n v="0.118542711244413"/>
        <n v="0.203092135532458"/>
        <n v="0.116823412898015"/>
        <n v="0.124822011521521"/>
        <n v="0.141320917305985"/>
        <n v="0.0936934804710803"/>
        <n v="0.093729457665928"/>
        <n v="0.103950846663784"/>
        <n v="0.129233057473619"/>
        <n v="0.119401430533142"/>
        <n v="0.0982508967263029"/>
        <n v="0.0391250373652371"/>
        <n v="0.0898412938872841"/>
        <n v="0.160949772204494"/>
        <n v="0.0633264910018092"/>
        <n v="0.117512860283686"/>
        <n v="0.145804243482891"/>
        <n v="0.0923912676271949"/>
        <n v="0.0935722728764058"/>
        <n v="0.120785237740425"/>
        <n v="0.209982533324373"/>
        <n v="0.252493580005707"/>
        <n v="0.0379700115120496"/>
        <n v="0.089654002522664"/>
        <n v="0.0940021304396563"/>
        <n v="0.14611893111338"/>
        <n v="0.0583190158677641"/>
        <n v="0.0994844597351449"/>
        <n v="0.136587590114103"/>
        <n v="0.11961371550264"/>
        <n v="0.134681600386945"/>
        <n v="0.138443882831764"/>
        <n v="0.116855011590353"/>
        <n v="0.15588017241405"/>
        <n v="0.138306586430598"/>
        <n v="0.101427708756824"/>
        <n v="0.147851548595527"/>
        <n v="0.204391168131233"/>
        <n v="0.0643970316734133"/>
        <n v="0.160959370200564"/>
        <n v="0.0622684187596226"/>
        <n v="0.0777243777268074"/>
        <n v="0.103928907190271"/>
        <n v="0.0945939106235242"/>
        <n v="0.235253303002404"/>
        <n v="0.0318791874250461"/>
        <n v="0.163403253682203"/>
        <n v="0.104298111892963"/>
        <n v="0.0983307291289162"/>
        <n v="0.0935517701553649"/>
        <n v="0.126940429207426"/>
        <n v="0.0812053454739694"/>
        <n v="0.0885212563668809"/>
        <n v="0.172830138488238"/>
        <n v="0.12610839881843"/>
        <n v="0.116624184830195"/>
        <n v="0.114605455216131"/>
        <n v="0.149916523715435"/>
        <n v="0.126922860186764"/>
        <n v="0.285653610085801"/>
        <n v="0.0829582744259082"/>
        <n v="0.0644273143462586"/>
        <n v="0.104439678069121"/>
        <n v="0.165248211946693"/>
        <n v="0.0985175880747738"/>
        <n v="0.0828533455727774"/>
        <n v="0.12015697343532"/>
        <n v="0.031367390228619"/>
        <n v="0.13761206014796"/>
        <n v="0.118908659791018"/>
        <n v="0.111841628009779"/>
        <n v="0.173808530536067"/>
        <n v="0.159025254395721"/>
        <n v="0.161734939922343"/>
        <n v="0.153360240599834"/>
        <n v="0.113895196936504"/>
        <n v="0.191680396847183"/>
        <n v="0.14979282424827"/>
        <n v="0.0985495307211978"/>
        <n v="0.12037644533103"/>
        <n v="0.0937632117396164"/>
        <n v="0.0663329702851703"/>
        <n v="0.148869118729062"/>
        <n v="0.118612643734054"/>
        <n v="0.0552480935785822"/>
        <n v="0.109505039179516"/>
        <n v="0.106398257617133"/>
        <n v="0.16076894871658"/>
        <n v="0.163249988379389"/>
        <n v="0.0994588277525327"/>
        <n v="0.0152725926447406"/>
        <n v="0.103379074520797"/>
        <n v="0.225664909087466"/>
        <n v="0.107615461869149"/>
        <n v="0.0798862800239505"/>
        <n v="0.130873910681806"/>
        <n v="0.0937926682479391"/>
        <n v="0.106105627441992"/>
        <n v="0.149604368024346"/>
        <n v="0.134231281029315"/>
        <n v="0.197078444908939"/>
        <n v="0.132652323646608"/>
        <n v="0.153709425471883"/>
        <n v="0.237525106993282"/>
        <n v="0.0609916742204474"/>
        <n v="0.062448778869677"/>
        <n v="0.125647361286234"/>
        <n v="0.0975388538591484"/>
        <n v="0.142470335085958"/>
        <n v="0.179628072632869"/>
        <n v="0.163376068623161"/>
        <n v="0.163140119148041"/>
        <n v="0.0980063496018441"/>
        <n v="0.147682380643925"/>
        <n v="0.0861658945413644"/>
        <n v="0.0933809805217713"/>
        <n v="0.0957842398396282"/>
        <n v="0.114960374015929"/>
        <n v="0.0973299744493498"/>
        <n v="0.147970147821453"/>
        <n v="0.103316809251506"/>
        <n v="0.133645729054151"/>
        <n v="0.130186570157238"/>
        <n v="0.104901667789027"/>
        <n v="0.0985481944598298"/>
        <n v="0.113545611418159"/>
        <n v="0.0622935890151143"/>
        <n v="0.155172828336884"/>
        <n v="0.114124685968469"/>
        <n v="0.062198358411603"/>
        <n v="0.0993828247095709"/>
        <n v="0.114191727641318"/>
        <n v="0.0951455814570588"/>
        <n v="0.0963634121141977"/>
        <n v="0.106614181069707"/>
        <n v="0.186274536565106"/>
        <n v="0.117029696281921"/>
        <n v="0.0965857738741128"/>
        <n v="0.183250840290057"/>
        <n v="0.113426538513001"/>
        <n v="0.186604779717529"/>
        <n v="0.095976218669675"/>
        <n v="0.113703890779123"/>
        <n v="0.10080009454698"/>
        <n v="0.127976150008736"/>
        <n v="0.203357649046142"/>
        <n v="0.168003085579605"/>
        <n v="0.10277244322832"/>
        <n v="0.0848936276939316"/>
        <n v="0.121101463644119"/>
        <n v="0.123368495503034"/>
        <n v="0.14935688663207"/>
        <n v="0.148737955188648"/>
        <n v="0.113943822925243"/>
        <n v="0.167529143547979"/>
        <n v="0.130399702215606"/>
        <n v="0.0969529628948856"/>
        <n v="0.296566532527796"/>
        <n v="0.0306379180803273"/>
        <n v="0.113956410449066"/>
        <n v="0.134589353777419"/>
        <n v="0.137275132164339"/>
        <n v="0.133673953300829"/>
        <n v="0.100550910416663"/>
        <n v="0.128765080819946"/>
        <n v="0.10753471359679"/>
        <n v="0.103004096057594"/>
        <n v="0.130518393153409"/>
        <n v="0.155416496049175"/>
        <n v="0.167957520189517"/>
        <n v="0.0425732602230707"/>
        <n v="0.103030051603716"/>
        <n v="0.153304791682062"/>
        <n v="0.103417054288927"/>
        <n v="0.126824232072221"/>
        <n v="0.0974568645734814"/>
        <n v="0.122109037356305"/>
        <n v="0.113958973415832"/>
        <n v="0.208574249617194"/>
        <n v="0.114235330446459"/>
        <n v="0.0970275560589934"/>
        <n v="0.114636209413415"/>
        <n v="0.0993191301694629"/>
        <n v="0.114332576053717"/>
        <n v="0.265748729496758"/>
        <n v="0.0658467603514088"/>
        <n v="0.0989808486457973"/>
        <n v="0.114673534538863"/>
        <n v="0.121303181602748"/>
        <n v="0.0971313583325384"/>
        <n v="0.195309395587521"/>
        <n v="0.102722774431043"/>
        <n v="0.163845497873069"/>
        <n v="0.123481367842372"/>
        <n v="0.119391320786257"/>
        <n v="0.101017415882618"/>
        <n v="0.0904530756242409"/>
        <n v="0.111053056356891"/>
        <n v="0.14360563148998"/>
        <n v="0.147106944142407"/>
        <n v="0.126627200783531"/>
        <n v="0.0827787976688024"/>
        <n v="0.0973992817520837"/>
        <n v="0.0274945048679254"/>
        <n v="0.131773165680483"/>
        <n v="0.104972248459318"/>
        <n v="0.101048235539218"/>
        <n v="0.0417917454949669"/>
        <n v="0.076681601582007"/>
        <n v="0.11959956639421"/>
        <n v="0.124545316658943"/>
        <n v="0.134922697561252"/>
        <n v="0.0712559712416561"/>
        <n v="0.105455465257682"/>
        <n v="0.118367847547809"/>
        <n v="0.0679946880860951"/>
        <n v="0.111692724829023"/>
        <n v="0.160110590572143"/>
        <n v="0.100639386838636"/>
        <n v="0.137278409179535"/>
        <n v="0.114697792913621"/>
        <n v="0.0675667551087691"/>
        <n v="0.190038984886423"/>
        <n v="0.112098916273444"/>
        <n v="0.098433027787214"/>
        <n v="0.0623107210239805"/>
        <n v="0.097965042355989"/>
        <n v="0.115119235843565"/>
        <n v="0.158597614947732"/>
        <n v="0.105789081213164"/>
        <n v="0.100026953343065"/>
        <n v="0.131084991481399"/>
        <n v="0.114168226538523"/>
        <n v="0.0875174650827777"/>
        <n v="0.119784596124095"/>
        <n v="0.194623337895255"/>
        <n v="0.0986098693908658"/>
        <n v="0.0984421941072321"/>
        <n v="0.130270354315153"/>
        <n v="0.121223369348119"/>
        <n v="0.104465710651867"/>
        <n v="0.0435997625902923"/>
        <n v="0.122787969784393"/>
        <n v="0.124836734832604"/>
        <n v="0.0782998164013419"/>
        <n v="0.332060623244355"/>
        <n v="0.0644158808252878"/>
        <n v="0.149929470855293"/>
        <n v="0.109269782119128"/>
        <n v="0.0978016375238039"/>
        <n v="0.116798050654132"/>
        <n v="0.128928969539867"/>
        <n v="0.099811958267017"/>
        <n v="0.034635762810156"/>
        <n v="0.103406208050372"/>
        <n v="0.362752846063644"/>
        <n v="0.0561505617092086"/>
        <n v="0.23627504939135"/>
        <n v="0.0967886635900397"/>
        <n v="0.0372864711998038"/>
        <n v="0.1242414885806"/>
        <n v="0.152858791339763"/>
        <n v="0.14234355957489"/>
        <n v="0.0812645107573981"/>
        <n v="0.078246491025911"/>
        <n v="0.130775338364876"/>
        <n v="0.0995731705426782"/>
        <n v="0.132826875063756"/>
        <n v="0.119544143123923"/>
        <n v="0.248119372158056"/>
        <n v="0.11677768611976"/>
        <n v="0.216837706270469"/>
        <n v="0.118394378153532"/>
        <n v="0.099895010939373"/>
        <n v="0.0848075218429423"/>
        <n v="0.147639576839576"/>
        <n v="0.069102920658517"/>
        <n v="0.0623690732261731"/>
        <n v="0.0273344539044567"/>
        <n v="0.148475464212904"/>
        <n v="0.230357501518476"/>
        <n v="0.117811813601255"/>
        <n v="0.13348834581851"/>
        <n v="0.237665532038176"/>
        <n v="0.156756701276564"/>
        <n v="0.0988682946806077"/>
        <n v="0.186873314884341"/>
        <n v="0.146230198963"/>
        <n v="0.129034975097287"/>
        <n v="0.0576671310586843"/>
        <n v="0.0915890266204231"/>
        <n v="0.0768403269865618"/>
        <n v="0.113351837920659"/>
        <n v="0.138789724107941"/>
        <n v="0.120031921495244"/>
        <n v="0.188206055795888"/>
        <n v="0.155603701626422"/>
        <n v="0.100242604416057"/>
        <n v="0.120293605446658"/>
        <n v="0.0951291326187652"/>
        <n v="0.233226188651398"/>
        <n v="0.103967665565834"/>
        <n v="0.170727367591865"/>
        <n v="0.0976691848073305"/>
        <n v="0.142728021227199"/>
        <n v="0.065395068115722"/>
        <n v="0.148141714957194"/>
        <n v="0.117531168180356"/>
        <n v="0.226488020458015"/>
        <n v="0.0689176012785966"/>
        <n v="0.114211146272057"/>
        <n v="0.103210402164397"/>
        <n v="0.105049185858711"/>
        <n v="0.154248053886345"/>
        <n v="0.0269794915889386"/>
        <n v="0.162755490397952"/>
        <n v="0.130468658128374"/>
        <n v="0.105027113055107"/>
        <n v="0.116913729175556"/>
        <n v="0.139498507532104"/>
        <n v="0.100274099377167"/>
        <n v="0.103360651899115"/>
        <n v="0.106489895894179"/>
        <n v="0.152183716454659"/>
        <n v="0.222548386225355"/>
        <n v="0.150386247628152"/>
        <n v="0.164315798573094"/>
        <n v="0.0825297463617836"/>
        <n v="0.17112169243761"/>
        <n v="0.0553264463568706"/>
        <n v="0.144393782338571"/>
        <n v="0.163160881160616"/>
        <n v="0.142713139862651"/>
        <n v="0.104499909682869"/>
        <n v="0.100121231883733"/>
        <n v="0.203828806873998"/>
        <n v="0.134039598765439"/>
        <n v="0.247767249219433"/>
        <n v="0.115430655581671"/>
        <n v="0.121784384889202"/>
        <n v="0.159368703640847"/>
        <n v="0.0956965195962691"/>
        <n v="0.126646331295106"/>
        <n v="0.116426374330031"/>
        <n v="0.124823359809053"/>
        <n v="0.110699579735198"/>
        <n v="0.140515615526842"/>
        <n v="0.118914056956786"/>
        <n v="0.140769772883469"/>
        <n v="0.160292529717826"/>
        <n v="0.100920779747827"/>
        <n v="0.168239599531591"/>
        <n v="0.105033582104667"/>
        <n v="0.0269764641970999"/>
        <n v="0.105030453792875"/>
        <n v="0.151261110735676"/>
        <n v="0.143631533466699"/>
        <n v="0.131681846302186"/>
        <n v="0.056186973668089"/>
        <n v="0.191891301450996"/>
        <n v="0.0232064193142593"/>
        <n v="0.130867135314295"/>
        <n v="0.14258515379852"/>
        <n v="0.237149478331934"/>
        <n v="0.134172354474874"/>
        <n v="0.16191984905056"/>
        <n v="0.178163254319596"/>
        <n v="0.134557122805881"/>
        <n v="0.101170209137773"/>
        <n v="0.0986982129409264"/>
        <n v="0.10904415179997"/>
        <n v="0.13446305679868"/>
        <n v="0.101732115331592"/>
        <n v="0.0618317191721734"/>
        <n v="0.185846876800235"/>
        <n v="0.0900530039204117"/>
        <n v="0.130004188980594"/>
        <n v="0.177739621367603"/>
        <n v="0.0691344915186183"/>
        <n v="0.164509758836495"/>
        <n v="0.114892937945068"/>
        <n v="0.0717293859676304"/>
        <n v="0.0991357044870805"/>
        <n v="0.233803015446663"/>
        <n v="0.0924360083885407"/>
        <n v="0.0295271968688891"/>
        <n v="0.0736870074114947"/>
        <n v="0.0435615563097274"/>
        <n v="0.0962366617654123"/>
        <n v="0.110410528022927"/>
        <n v="0.299176826019002"/>
        <n v="0.195722588482383"/>
        <n v="0.109946168725763"/>
        <n v="0.137594710566579"/>
        <n v="0.136779838410966"/>
        <n v="0.0632483947802471"/>
        <n v="0.078567322453684"/>
        <n v="0.136258169438568"/>
        <n v="0.0739406097128707"/>
        <n v="0.147827464295748"/>
        <n v="0.12963393014811"/>
        <n v="0.0680929309448379"/>
        <n v="0.0337807096809748"/>
        <n v="0.161837903471781"/>
        <n v="0.17159158929888"/>
        <n v="0.105179949944875"/>
        <n v="0.0995820292801508"/>
        <n v="0.0491349228503551"/>
        <n v="0.134683905832786"/>
        <n v="0.11481837066895"/>
        <n v="0.249727210609495"/>
        <n v="0.136381184170015"/>
        <n v="0.0881541694971679"/>
        <n v="0.167819690799505"/>
        <n v="0.0637691442626481"/>
        <n v="0.162649530781531"/>
        <n v="0.0333504699449042"/>
        <n v="0.13732176859567"/>
        <n v="0.0926935359437862"/>
        <n v="0.203240719134634"/>
        <n v="0.124335845223613"/>
        <n v="0.113532365318462"/>
        <n v="0.121297450966597"/>
        <n v="0.176000149390031"/>
        <n v="0.0970710731475977"/>
        <n v="0.116765889204798"/>
        <n v="0.111294831306093"/>
        <n v="0.115723288359077"/>
        <n v="0.19581477042627"/>
        <n v="0.0688686169041281"/>
        <n v="0.0991828944941187"/>
        <n v="0.0894115508183764"/>
        <n v="0.0615950139911435"/>
        <n v="0.11058120834071"/>
        <n v="0.202098035578866"/>
        <n v="0.135805698127455"/>
        <n v="0.129257431577822"/>
        <n v="0.160898467879725"/>
        <n v="0.0628506552105584"/>
        <n v="0.0924676863467407"/>
        <n v="0.161051167167969"/>
        <n v="0.0984404221357808"/>
        <n v="0.110804836263589"/>
        <n v="0.176163348487621"/>
        <n v="0.122648784562308"/>
        <n v="0.0987587102294871"/>
        <n v="0.174763579992277"/>
        <n v="0.0564999124639259"/>
        <n v="0.138660202449232"/>
        <n v="0.0466206069347018"/>
        <n v="0.122521616119135"/>
        <n v="0.0945010229671384"/>
        <n v="0.139624142176665"/>
        <n v="0.146390296292134"/>
        <n v="0.160836284965685"/>
        <n v="0.194037705726133"/>
        <n v="0.207660442324124"/>
        <n v="0.138705305574801"/>
        <n v="0.113524949585503"/>
        <n v="0.0974609585779183"/>
        <n v="0.0942305980588057"/>
        <n v="0.11079937278126"/>
        <n v="0.064015091366903"/>
        <n v="0.0312634794485766"/>
        <n v="0.191338943048206"/>
        <n v="0.139502101155783"/>
        <n v="0.114836334836928"/>
        <n v="0.0390772111823474"/>
        <n v="0.175911617394273"/>
        <n v="0.0860856603777467"/>
        <n v="0.137924177532011"/>
        <n v="0.172536164229044"/>
        <n v="0.0795264595659992"/>
        <n v="0.130486091836218"/>
        <n v="0.174953326550469"/>
        <n v="0.0496596232537746"/>
        <n v="0.0721541102309245"/>
        <n v="0.11503469245745"/>
        <n v="0.149236993692664"/>
        <n v="0.132862654323057"/>
        <n v="0.214978007264514"/>
        <n v="0.079599369462468"/>
        <n v="0.272656356569762"/>
        <n v="0.103642189535698"/>
        <n v="0.0941930694412376"/>
        <n v="0.0618359675049858"/>
        <n v="0.113646638449119"/>
        <n v="0.0658197506085539"/>
        <n v="0.223078062150522"/>
        <n v="0.114926411666554"/>
        <n v="0.143801522978953"/>
        <n v="0.187127224998325"/>
        <n v="0.114651067652624"/>
        <n v="0.102078360897385"/>
        <n v="0.0446366566814622"/>
        <n v="0.139724109774696"/>
        <n v="0.115648485507396"/>
        <n v="0.115114766132479"/>
        <n v="0.0984437391323026"/>
        <n v="0.201440823122607"/>
        <n v="0.0971485387603985"/>
        <n v="0.137148626308158"/>
        <n v="0.0643144204283063"/>
        <n v="0.0500999558990803"/>
        <n v="0.144335399027746"/>
        <n v="0.1374687175134"/>
        <n v="0.116342025204716"/>
        <n v="0.114812883091887"/>
        <n v="0.0281439260272004"/>
        <n v="0.0817094479433844"/>
        <n v="0.158504250751727"/>
        <n v="0.137644664296799"/>
        <n v="0.151218637301427"/>
        <n v="0.207806372839737"/>
        <n v="0.132235884820529"/>
        <n v="0.123349059348041"/>
        <n v="0.116872252708855"/>
        <n v="0.0985198560865845"/>
        <n v="0.207344894590626"/>
        <n v="0.131725256576536"/>
        <n v="0.118612336536255"/>
        <n v="0.139765960513335"/>
        <n v="0.137580186700856"/>
        <n v="0.164242745573462"/>
        <n v="0.133171386499738"/>
        <n v="0.138074228642582"/>
        <n v="0.0664304696972915"/>
        <n v="0.116804510649441"/>
        <n v="0.11952574842519"/>
        <n v="0.0994108825494057"/>
        <n v="0.231091921489224"/>
        <n v="0.21525003747915"/>
        <n v="0.110333296877221"/>
        <n v="0.135232896777288"/>
        <n v="0.126297715860603"/>
        <n v="0.12680090449786"/>
        <n v="0.100026259919839"/>
        <n v="0.100750697692501"/>
        <n v="0.106697919994175"/>
        <n v="0.117234589681673"/>
        <n v="0.20456210246878"/>
        <n v="0.22690260747418"/>
        <n v="0.141500726949483"/>
        <n v="0.134996922429727"/>
        <n v="0.125854907614381"/>
        <n v="0.131755346902083"/>
        <n v="0.14642874366274"/>
        <n v="0.271485483643567"/>
        <n v="0.0586123426728976"/>
        <n v="0.0509768958693631"/>
        <n v="0.139521319047299"/>
        <n v="0.0997208261393603"/>
        <n v="0.248459015058676"/>
        <n v="0.141138380332228"/>
        <n v="0.15506556725785"/>
        <n v="0.132510919963349"/>
        <n v="0.103663839278226"/>
        <n v="0.116453744437417"/>
        <n v="0.239741468749676"/>
        <n v="0.139573807501724"/>
        <n v="0.0994598703505636"/>
        <n v="0.0243723828009128"/>
        <n v="0.0620384411197"/>
        <n v="0.121406368676265"/>
        <n v="0.118733442104772"/>
        <n v="0.215666230579072"/>
        <n v="0.10088847740639"/>
        <n v="0.240798716959696"/>
        <n v="0.10800292046251"/>
        <n v="0.153658889568308"/>
        <n v="0.0280947784109032"/>
        <n v="0.136769182132686"/>
        <n v="0.109185274510497"/>
        <n v="0.154387249419438"/>
        <n v="0.139943826639955"/>
        <n v="0.221180842963198"/>
        <n v="0.10042753731618"/>
        <n v="0.132420336954009"/>
        <n v="0.151334958627875"/>
        <n v="0.119613992045753"/>
        <n v="0.254595872289165"/>
        <n v="0.117061941006183"/>
        <n v="0.117886961336561"/>
        <n v="0.10109668577375"/>
        <n v="0.269733363644254"/>
        <n v="0.0240004387226192"/>
        <n v="0.0928649536876806"/>
        <n v="0.0797533808847753"/>
        <n v="0.22248284839687"/>
        <n v="0.0641685847481852"/>
        <n v="0.116986196830537"/>
        <n v="0.096298949103272"/>
        <n v="0.208165359227238"/>
        <n v="0.0670101231414211"/>
        <n v="0.16400923828044"/>
        <n v="0.149700261395702"/>
        <n v="0.239599018207312"/>
        <n v="0.119439527176891"/>
        <n v="0.0702127585547624"/>
        <n v="0.129213346692624"/>
        <n v="0.154079999602352"/>
        <n v="0.108734653566135"/>
        <n v="0.124412688564546"/>
        <n v="0.142496844962801"/>
        <n v="0.131666295478123"/>
        <n v="0.150078114023213"/>
        <n v="0.0777324007032197"/>
        <n v="0.134844470353827"/>
        <n v="0.217181108077096"/>
        <n v="0.118971177040876"/>
        <n v="0.160094853804812"/>
        <n v="0.16436424262408"/>
        <n v="0.132398617475734"/>
        <n v="0.103789640885098"/>
        <n v="0.117103368272182"/>
        <n v="0.176080569300929"/>
        <n v="0.144841122161294"/>
        <n v="0.114117079370171"/>
        <n v="0.0627683536629373"/>
        <n v="0.015266941201576"/>
        <n v="0.0499850991462134"/>
        <n v="0.139905904259702"/>
        <n v="0.0583429487147734"/>
        <n v="0.0698592818578291"/>
        <n v="0.0967518341349444"/>
        <n v="0.129615320798071"/>
        <n v="0.111938993225349"/>
        <n v="0.0469217589965803"/>
        <n v="0.146052265399963"/>
        <n v="0.142287588054325"/>
        <n v="0.143076373833837"/>
        <n v="0.0342398591818178"/>
        <n v="0.0586570002055228"/>
        <n v="0.0925044021278073"/>
        <n v="0.12721624475895"/>
        <n v="0.117429613422229"/>
        <n v="0.0765462376602942"/>
        <n v="0.120197621203368"/>
        <n v="0.0886689766829485"/>
        <n v="0.0611452764397643"/>
        <n v="0.110408948976918"/>
        <n v="0.0748199715148913"/>
        <n v="0.100773971483246"/>
        <n v="0.121734997978153"/>
        <n v="0.132950302546373"/>
        <n v="0.0966258747453107"/>
        <n v="0.0979074329893277"/>
        <n v="0.0861083725378371"/>
        <n v="0.0915210187361964"/>
        <n v="0.104637321513793"/>
        <n v="0.12065236588591"/>
        <n v="0.0582964842618292"/>
        <n v="0.0958237270774287"/>
        <n v="0.0979800256603627"/>
        <n v="0.0795686685881201"/>
        <n v="0.355599934801988"/>
        <n v="0.0531774063280922"/>
        <n v="0.0933820431030063"/>
        <n v="0.0976292020811919"/>
        <n v="0.150886459784378"/>
        <n v="0.239625484029334"/>
        <n v="0.141079691097169"/>
        <n v="0.0907681083395654"/>
        <n v="0.103251495579421"/>
        <n v="0.0625806847988097"/>
        <n v="0.0512334973564762"/>
        <n v="0.134258277145203"/>
        <n v="0.142881493627711"/>
        <n v="0.0636971607581257"/>
        <n v="0.133630129744553"/>
        <n v="0.102946133784757"/>
        <n v="0.0811774610029339"/>
        <n v="0.141508555266211"/>
        <n v="0.120842189694507"/>
        <n v="0.0867619443119684"/>
        <n v="0.100537427601821"/>
        <n v="0.129335178810335"/>
        <n v="0.0479273314317642"/>
        <n v="0.170258244361571"/>
        <n v="0.0742098972726694"/>
        <n v="0.0480983317297994"/>
        <n v="0.0807340851515325"/>
        <n v="0.090807549943901"/>
        <n v="0.051837465249274"/>
        <n v="0.141220107468805"/>
        <n v="0.120097451282442"/>
        <n v="0.0702520328243581"/>
        <n v="0.124119130240761"/>
        <n v="0.121857239739659"/>
        <n v="0.0994414862981508"/>
        <n v="0.135836641856478"/>
        <n v="0.133738354448081"/>
        <n v="0.0924423290588797"/>
        <n v="0.136132768892473"/>
        <n v="0.0724699051527271"/>
        <n v="0.120929023722714"/>
        <n v="0.0995821981518152"/>
        <n v="0.0618773504329104"/>
        <n v="0.120249230609757"/>
        <n v="0.132619168289078"/>
        <n v="0.0922176344461619"/>
        <n v="0.121381621961685"/>
        <n v="0.130992682418814"/>
        <n v="0.174824850305195"/>
        <n v="0.127401339906405"/>
        <n v="0.120219377192975"/>
        <n v="0.139756778749361"/>
        <n v="0.0906837833478207"/>
        <n v="0.0849773689780585"/>
        <n v="0.0710134576657421"/>
        <n v="0.122526719120184"/>
        <n v="0.153891687859148"/>
        <n v="0.100877754636509"/>
        <n v="0.121606892297699"/>
        <n v="0.0870377375851476"/>
        <n v="0.0795073822328309"/>
        <n v="0.164279032514209"/>
        <n v="0.0593237920718217"/>
        <n v="0.136561536927473"/>
        <n v="0.15482507434202"/>
        <n v="0.107768811426067"/>
        <n v="0.141454002045009"/>
        <n v="0.112289508494504"/>
        <n v="0.106100350580483"/>
        <n v="0.146381865916179"/>
        <n v="0.0623454343277741"/>
        <n v="0.134559795535702"/>
        <n v="0.10011485600046"/>
        <n v="0.153125178450604"/>
        <n v="0.11656680383325"/>
        <n v="0.0633094755485826"/>
        <n v="0.116904961055792"/>
        <n v="0.0808696602859886"/>
        <n v="0.0555168113381487"/>
        <n v="0.0342081659292451"/>
        <n v="0.0751530670392171"/>
        <n v="0.0570769877563959"/>
        <n v="0.138452765409138"/>
        <n v="0.133378726543709"/>
        <n v="0.126028358545424"/>
        <n v="0.103806875768026"/>
        <n v="0.0346318198914354"/>
        <n v="0.098429098812719"/>
        <n v="0.141042014898258"/>
        <n v="0.121981231572427"/>
        <n v="0.0493333629368066"/>
        <n v="0.143221456075736"/>
        <n v="0.0921194301252837"/>
        <n v="0.132314645841858"/>
        <n v="0.10036995219221"/>
        <n v="0.0582094094543647"/>
        <n v="0.0975061308668048"/>
        <n v="0.0598147277460812"/>
        <n v="0.131964173600944"/>
        <n v="0.0995443207929096"/>
        <n v="0.100483040962518"/>
        <n v="0.097244647372179"/>
        <n v="0.120080624246984"/>
        <n v="0.0469149480631009"/>
        <n v="0.116465692262383"/>
        <n v="0.0937842626361685"/>
        <n v="0.136323111874495"/>
        <n v="0.0631154055971571"/>
        <n v="0.0702135019431293"/>
        <n v="0.122641201713506"/>
        <n v="0.121287084582859"/>
        <n v="0.0851414236807404"/>
        <n v="0.0552613598953575"/>
        <n v="0.111681300200883"/>
        <n v="0.0548214858093734"/>
        <n v="0.128923035977004"/>
        <n v="0.12243859853106"/>
        <n v="0.101129851740385"/>
        <n v="0.153192242859306"/>
        <n v="0.14312505556843"/>
        <n v="0.0727635013456589"/>
        <n v="0.133005399510998"/>
        <n v="0.0988093538028083"/>
        <n v="0.0342897284997079"/>
        <n v="0.0480413026335168"/>
        <n v="0.100571261680562"/>
        <n v="0.0493810365762995"/>
        <n v="0.121242096732282"/>
        <n v="0.101708986021191"/>
        <n v="0.132990582330521"/>
        <n v="0.0922050753928076"/>
        <n v="0.145446253221985"/>
        <n v="0.0838165204804204"/>
        <n v="0.0790844816349846"/>
        <n v="0.132742093051513"/>
        <n v="0.134837003109724"/>
        <n v="0.134142810570577"/>
        <n v="0.148770719456596"/>
        <n v="0.0922795528476309"/>
        <n v="0.142134489299316"/>
        <n v="0.0541781487281841"/>
        <n v="0.137219943006519"/>
        <n v="0.0688943786532889"/>
        <n v="0.0993374133186947"/>
        <n v="0.120327992131137"/>
        <n v="0.0939505566896605"/>
        <n v="0.103370236114917"/>
        <n v="0.101371718923595"/>
        <n v="0.133707316321972"/>
        <n v="0.0615865704899056"/>
        <n v="0.0992489959744494"/>
        <n v="0.0933860721520474"/>
        <n v="0.0707573594048612"/>
        <n v="0.0961636627431407"/>
        <n v="0.136477371841437"/>
        <n v="0.082439883710251"/>
        <n v="0.143301978819169"/>
        <n v="0.0712705833934877"/>
        <n v="0.120881848548723"/>
        <n v="0.1352282292352"/>
        <n v="0.119489299201066"/>
        <n v="0.121338933973049"/>
        <n v="0.118271365233775"/>
        <n v="0.0752648815608569"/>
        <n v="0.123206419213895"/>
        <n v="0.063555459814274"/>
        <n v="0.0725165514525453"/>
        <n v="0.0503972085339821"/>
        <n v="0.144561243722735"/>
        <n v="0.070295391661843"/>
        <n v="0.0615892233582607"/>
        <n v="0.114959508418088"/>
        <n v="0.0941243925575445"/>
        <n v="0.0524628670071424"/>
        <n v="0.143207387189166"/>
        <n v="0.148540199918431"/>
        <n v="0.0345567999136266"/>
        <n v="0.0993306914381671"/>
        <n v="0.0651543489809375"/>
        <n v="0.0531371789940472"/>
        <n v="0.1330787905724"/>
        <n v="0.247469976032763"/>
        <n v="0.0534574831251185"/>
        <n v="0.079713565126355"/>
        <n v="0.0664061050638465"/>
        <n v="0.102413309576571"/>
        <n v="0.0812562987123586"/>
        <n v="0.1008433088745"/>
        <n v="0.0693493457370545"/>
        <n v="0.135016328251052"/>
        <n v="0.106352628433068"/>
        <n v="0.143572554686801"/>
        <n v="0.0968116092803261"/>
        <n v="0.0754185052689639"/>
        <n v="0.0589243758592273"/>
        <n v="0.0977231064934642"/>
        <n v="0.0993082109740101"/>
        <n v="0.121985616523981"/>
        <n v="0.0775600241876964"/>
        <n v="0.0561854005017545"/>
        <n v="0.100326886563744"/>
        <n v="0.0646252491277376"/>
        <n v="0.0587200438498255"/>
        <n v="0.132619307665374"/>
        <n v="0.0342606768510661"/>
        <n v="0.117025028402905"/>
        <n v="0.0832698383885397"/>
        <n v="0.154481312671799"/>
        <n v="0.0773201007658553"/>
        <n v="0.0984378425078737"/>
        <n v="0.117795800956794"/>
        <n v="0.133237942302312"/>
        <n v="0.0560232878841261"/>
        <n v="0.106469831378429"/>
        <n v="0.13247745438371"/>
        <n v="0.100975421366344"/>
        <n v="0.0717663179670896"/>
        <n v="0.130378069124268"/>
        <n v="0.152418337628188"/>
        <n v="0.0531617120751075"/>
        <n v="0.0844526897731268"/>
        <n v="0.0530943003904447"/>
        <n v="0.145576000489421"/>
        <n v="0.0943152854344285"/>
        <n v="0.126639793155231"/>
        <n v="0.138943168689137"/>
        <n v="0.076712529850506"/>
        <n v="0.11434037429052"/>
        <n v="0.139502480582773"/>
        <n v="0.100641644897884"/>
        <n v="0.0801663669036821"/>
        <n v="0.0580517134369039"/>
        <n v="0.145099877070847"/>
        <n v="0.0459135890623903"/>
        <n v="0.122994309572297"/>
        <n v="0.127313379890237"/>
        <n v="0.250920728950237"/>
        <n v="0.0562573590631103"/>
        <n v="0.116943367035516"/>
        <n v="0.0877074091741804"/>
        <n v="0.134913927190993"/>
        <n v="0.0564251609419602"/>
        <n v="0.121753807431588"/>
        <n v="0.146248783083153"/>
        <n v="0.0606575721222233"/>
        <n v="0.075556748309822"/>
        <n v="0.100237442605858"/>
        <n v="0.143053119913731"/>
        <n v="0.131716142892011"/>
        <n v="0.0591438057049037"/>
        <n v="0.280369699030142"/>
        <n v="0.100050864666315"/>
        <n v="0.143008968651785"/>
        <n v="0.134410952024585"/>
        <n v="0.055071757034232"/>
        <n v="0.149542405755385"/>
        <n v="0.132956731248507"/>
        <n v="0.125862231037277"/>
        <n v="0.138521347028143"/>
        <n v="0.100163860992566"/>
        <n v="0.120911582678857"/>
        <n v="0.103301955751003"/>
        <n v="0.134568792275543"/>
        <n v="0.152663541297731"/>
        <n v="0.0753037268251616"/>
        <n v="0.065636208126136"/>
        <n v="0.114341917281797"/>
        <n v="0.0990537689569496"/>
        <n v="0.0697719062273864"/>
        <n v="0.107965243613908"/>
        <n v="0.132538905238491"/>
        <n v="0.0858027520699066"/>
        <n v="0.144120125724142"/>
        <n v="0.109316594263032"/>
        <n v="0.116572754737527"/>
        <n v="0.0803107335304347"/>
        <n v="0.119916508456247"/>
        <n v="0.14439057304392"/>
        <n v="0.0374087756516581"/>
        <n v="0.137424783407406"/>
        <n v="0.0718019244309875"/>
        <n v="0.121043050290234"/>
        <n v="0.058009782722577"/>
        <n v="0.098846756222032"/>
        <n v="0.0997301344441975"/>
        <n v="0.302132824813168"/>
        <n v="0.155745960499503"/>
        <n v="0.170691841928108"/>
        <n v="0.0770871099113935"/>
        <n v="0.135221546368868"/>
        <n v="0.0618658176474343"/>
        <n v="0.13980747207034"/>
        <n v="0.0728998495193697"/>
        <n v="0.057003972065977"/>
        <n v="0.11759124232525"/>
        <n v="0.269988611264192"/>
        <n v="0.0994513202187697"/>
        <n v="0.101449906459884"/>
        <n v="0.16234998785413"/>
        <n v="0.054340989045187"/>
        <n v="0.139284008048208"/>
        <n v="0.286559390489873"/>
        <n v="0.0485359009408527"/>
        <n v="0.134615297789375"/>
        <n v="0.0752614169521035"/>
        <n v="0.139772968183246"/>
        <n v="0.137808936795562"/>
        <n v="0.0726712276961933"/>
        <n v="0.120373884164589"/>
        <n v="0.0994770007836029"/>
        <n v="0.0746733951373413"/>
        <n v="0.101916464504382"/>
        <n v="0.132861018949288"/>
        <n v="0.0556023079160686"/>
        <n v="0.131967972030463"/>
        <n v="0.117961442935384"/>
        <n v="0.0531576808528933"/>
        <n v="0.0985966961090436"/>
        <n v="0.133246289512716"/>
        <n v="0.0935246709077686"/>
        <n v="0.26851381957674"/>
        <n v="0.100240635353514"/>
        <n v="0.0530408377856535"/>
        <n v="0.134900640574465"/>
        <n v="0.245452708522719"/>
        <n v="0.118588735806664"/>
        <n v="0.133290711608096"/>
        <n v="0.0555185964715189"/>
        <n v="0.116933630793022"/>
        <n v="0.0998516833341553"/>
        <n v="0.268754812417869"/>
        <n v="0.0991621014911505"/>
        <n v="0.0835059362319333"/>
        <n v="0.276512462672198"/>
        <n v="0.142883534169311"/>
        <n v="0.0793972424347012"/>
        <n v="0.0676355684856791"/>
        <n v="0.26922705022216"/>
        <n v="0.0994082123314572"/>
        <n v="0.12062575387691"/>
        <n v="0.117191182001779"/>
        <n v="0.119813334061156"/>
        <n v="0.0615413613444648"/>
        <n v="0.101081923194447"/>
        <n v="0.0370387077158044"/>
        <n v="0.059937910299889"/>
        <n v="0.0915640957279494"/>
        <n v="0.0468626742543112"/>
        <n v="0.100296972978989"/>
        <n v="0.0814314532222712"/>
        <n v="0.097502974252231"/>
        <n v="0.125885720779102"/>
        <n v="0.113311482422513"/>
        <n v="0.169712512371543"/>
        <n v="0.0689255407041603"/>
        <n v="0.103459039944184"/>
        <n v="0.0727473406281428"/>
        <n v="0.11773677417923"/>
        <n v="0.0840167403370263"/>
        <n v="0.145270011360607"/>
        <n v="0.12917138079761"/>
        <n v="0.134636723548267"/>
        <n v="0.10483236210165"/>
        <n v="0.0584241668627042"/>
        <n v="0.152407667878154"/>
        <n v="0.100173575654834"/>
        <n v="0.0720666150951349"/>
        <n v="0.0975720232952915"/>
        <n v="0.122172639495529"/>
        <n v="0.132984765515894"/>
        <n v="0.123235018098218"/>
        <n v="0.120774622429317"/>
        <n v="0.0794322499425991"/>
        <n v="0.117825269084501"/>
        <n v="0.142920244465774"/>
        <n v="0.0787976516744741"/>
        <n v="0.0572365417314451"/>
        <n v="0.103682278290368"/>
        <n v="0.14166669517222"/>
        <n v="0.149375612613879"/>
        <n v="0.24755120174779"/>
        <n v="0.0693494475377709"/>
        <n v="0.119978306018964"/>
        <n v="0.0605310457530732"/>
        <n v="0.0353296188852442"/>
        <n v="0.100262846765311"/>
        <n v="0.10245403271301"/>
        <n v="0.249908375264929"/>
        <n v="0.135965940862216"/>
        <n v="0.0545787893990288"/>
        <n v="0.132650582997229"/>
        <n v="0.101892121081828"/>
        <n v="0.0752089759015065"/>
        <n v="0.133884602821298"/>
        <n v="0.0736047095451674"/>
        <n v="0.0991202790456166"/>
        <n v="0.0590857390978198"/>
        <n v="0.153734773229272"/>
        <n v="0.26361256449724"/>
        <n v="0.135030271291906"/>
        <n v="0.137900416647423"/>
        <n v="0.155185291743858"/>
        <n v="0.14733309751109"/>
        <n v="0.140505001781874"/>
        <n v="0.0793378191342572"/>
        <n v="0.171713619038359"/>
        <n v="0.0992565047714963"/>
        <n v="0.0721237924988757"/>
        <n v="0.23530778576389"/>
        <n v="0.120695374728181"/>
        <n v="0.0681459500384427"/>
        <n v="0.0503014301313443"/>
        <n v="0.0998785491528824"/>
        <n v="0.244109967133323"/>
        <n v="0.133201375821275"/>
        <n v="0.0342503583493427"/>
        <n v="0.0467183209016202"/>
        <n v="0.0999339417200491"/>
        <n v="0.0998871114461809"/>
        <n v="0.08422574096487"/>
        <n v="0.145838389644348"/>
        <n v="0.125147990868328"/>
        <n v="0.136810785701945"/>
        <n v="0.101683502219162"/>
        <n v="0.103843723205664"/>
        <n v="0.0549144846021224"/>
        <n v="0.2517323713994"/>
        <n v="0.0999294897691247"/>
        <n v="0.132228762750784"/>
        <n v="0.0632961706329626"/>
        <n v="0.105048040329004"/>
        <n v="0.261643255561919"/>
        <n v="0.048782264826537"/>
        <n v="0.133351896489986"/>
        <n v="0.141128210335642"/>
        <n v="0.0998943410901323"/>
        <n v="0.16100632074043"/>
        <n v="0.0654731419191855"/>
        <n v="0.131643747143917"/>
        <n v="0.161914272613405"/>
        <n v="0.0844199796855787"/>
        <n v="0.132860439585239"/>
        <n v="0.0715229508122146"/>
        <n v="0.153497312966019"/>
        <n v="0.100035241658831"/>
        <n v="0.0752806905878025"/>
        <n v="0.03422753870241"/>
        <n v="0.137093656759869"/>
        <n v="0.0490619791994982"/>
        <n v="0.0824605429934091"/>
        <n v="0.133488319561829"/>
        <n v="0.0785326017717639"/>
        <n v="0.102038984836879"/>
        <n v="0.272385742982833"/>
        <n v="0.0687274939733106"/>
        <n v="0.121781417560407"/>
        <n v="0.0667834433954227"/>
        <n v="0.044400361707206"/>
        <n v="0.134127754200056"/>
        <n v="0.140603488179298"/>
        <n v="0.0538157953125577"/>
        <n v="0.307347460680466"/>
        <n v="0.0435913262544055"/>
        <n v="0.118756513863758"/>
        <n v="0.036834565832212"/>
        <n v="0.0946450727289654"/>
        <n v="0.154943422871298"/>
        <n v="0.135023015468556"/>
        <n v="0.120339808968247"/>
        <n v="0.0747914880608865"/>
        <n v="0.0373649517741626"/>
        <n v="0.127394279736678"/>
        <n v="0.103076462439298"/>
        <n v="0.0864295472654111"/>
        <n v="0.119870917948647"/>
        <n v="0.0952782350513777"/>
        <n v="0.0866396062266336"/>
        <n v="0.0351189157549236"/>
        <n v="0.0998515143410319"/>
        <n v="0.0641140323374856"/>
        <n v="0.119245157708488"/>
        <n v="0.135040063876099"/>
        <n v="0.120020959934963"/>
        <n v="0.103554363146524"/>
        <n v="0.15286705702422"/>
        <n v="0.0739021051334782"/>
        <n v="0.0906493485729778"/>
        <n v="0.145517422049065"/>
        <n v="0.128047378266639"/>
        <n v="0.0498379430614787"/>
        <n v="0.133654413226278"/>
        <n v="0.0345508746104319"/>
        <n v="0.0647868713596845"/>
        <n v="0.0592042776679496"/>
        <n v="0.137801450513806"/>
        <n v="0.0487266967283881"/>
        <n v="0.102853813072382"/>
        <n v="0.105223600374988"/>
        <n v="0.143374618705423"/>
        <n v="0.202117981420978"/>
        <n v="0.131706111275935"/>
        <n v="0.0700643317467151"/>
        <n v="0.0758100623563151"/>
        <n v="0.272481172897226"/>
        <n v="0.152684880813008"/>
        <n v="0.0945825777111047"/>
        <n v="0.0918497858720734"/>
        <n v="0.13256767179016"/>
        <n v="0.133117374631767"/>
        <n v="0.0988191324576063"/>
        <n v="0.0740218840635257"/>
        <n v="0.0423265329124866"/>
        <n v="0.154842028764412"/>
        <n v="0.153996768845487"/>
        <n v="0.135783176537097"/>
        <n v="0.291099000114375"/>
        <n v="0.0826533467926593"/>
        <n v="0.0723205314109909"/>
        <n v="0.10070985511098"/>
        <n v="0.132258699598483"/>
        <n v="0.100245212384726"/>
        <n v="0.0387608161685615"/>
        <n v="0.147201412367301"/>
        <n v="0.123372725408055"/>
        <n v="0.0546857719427227"/>
        <n v="0.139731502596974"/>
        <n v="0.142295671233366"/>
        <n v="0.123050358537234"/>
        <n v="0.0614584166812075"/>
        <n v="0.100060370998661"/>
        <n v="0.107101941598377"/>
        <n v="0.124948436197872"/>
        <n v="0.122071070457133"/>
        <n v="0.136421974197869"/>
        <n v="0.121302611877615"/>
        <n v="0.0507402578138826"/>
        <n v="0.116781480758347"/>
        <n v="0.141082733885649"/>
        <n v="0.0752283900218011"/>
        <n v="0.113590526740463"/>
        <n v="0.111426343715163"/>
        <n v="0.0704704219662756"/>
        <n v="0.14346485306119"/>
        <n v="0.291674043007902"/>
        <n v="0.138280794205113"/>
        <n v="0.0752967304267812"/>
        <n v="0.0589650644119599"/>
        <n v="0.0770361350422079"/>
        <n v="0.0943334536877777"/>
        <n v="0.12000493084937"/>
        <n v="0.123376406895515"/>
        <n v="0.129066753953384"/>
        <n v="0.108472048125977"/>
        <n v="0.0796972734932395"/>
        <n v="0.0915725011735425"/>
        <n v="0.133727430841972"/>
        <n v="0.0699640608370061"/>
        <n v="0.0995581273044978"/>
        <n v="0.116889491417034"/>
        <n v="0.0936804820551726"/>
        <n v="0.0942379515903724"/>
        <n v="0.0783910208875315"/>
        <n v="0.125857660170035"/>
        <n v="0.143733889947097"/>
        <n v="0.146082220229991"/>
        <n v="0.13659700714676"/>
        <n v="0.112043747521417"/>
        <n v="0.134997793021678"/>
        <n v="0.120068222755517"/>
        <n v="0.0970989285404669"/>
        <n v="0.0963183938133565"/>
        <n v="0.0639694822199549"/>
        <n v="0.137823631263006"/>
        <n v="0.0521424128370904"/>
        <n v="0.123207685480431"/>
        <n v="0.263767297013706"/>
        <n v="0.200502818760979"/>
        <n v="0.0631120739329386"/>
        <n v="0.100015515387112"/>
        <n v="0.121217217201294"/>
        <n v="0.135570112820066"/>
        <n v="0.131125615962754"/>
        <n v="0.147863892364699"/>
        <n v="0.0800374586879823"/>
        <n v="0.09487929031691"/>
        <n v="0.0610849265586788"/>
        <n v="0.063717947731781"/>
        <n v="0.092607651756149"/>
        <n v="0.102558653331427"/>
        <n v="0.142759682323131"/>
        <n v="0.14994893756686"/>
        <n v="0.0942811616768609"/>
        <n v="0.14055055496857"/>
        <n v="0.134118195832862"/>
        <n v="0.0709581280831325"/>
        <n v="0.12034966250696"/>
        <n v="0.0708267270519162"/>
        <n v="0.0655316380605191"/>
        <n v="0.134342728982757"/>
        <n v="0.143652678928546"/>
        <n v="0.301756381205202"/>
        <n v="0.13245454385846"/>
        <n v="0.0938409476136213"/>
        <n v="0.0509991011693097"/>
        <n v="0.116458906243513"/>
        <n v="0.0927822444428461"/>
        <n v="0.138015753479601"/>
        <n v="0.120222188986336"/>
        <n v="0.0926610560424128"/>
        <n v="0.0587160512891892"/>
        <n v="0.0953251030091304"/>
        <n v="0.0945170944585963"/>
        <n v="0.100084591523234"/>
        <n v="0.0506360312051157"/>
        <n v="0.0663156078002623"/>
        <n v="0.230432593088937"/>
        <n v="0.0754165277601415"/>
        <n v="0.0336178466632093"/>
        <n v="0.0859133721925697"/>
        <n v="0.143992668348496"/>
        <n v="0.187512235520504"/>
        <n v="0.0986503376781906"/>
        <n v="0.0570831717666793"/>
        <n v="0.12091195622734"/>
        <n v="0.0679428747776949"/>
        <n v="0.0940059701753106"/>
        <n v="0.0966869841430604"/>
        <n v="0.136175060966642"/>
        <n v="0.100532653580705"/>
        <n v="0.142092908036452"/>
        <n v="0.0795898593289771"/>
        <n v="0.044467193287561"/>
        <n v="0.117272412526743"/>
        <n v="0.131616184238752"/>
        <n v="0.112697056644989"/>
        <n v="0.142115150298276"/>
        <n v="0.102144381344647"/>
        <n v="0.136793312059371"/>
        <n v="0.0638336821538896"/>
        <n v="0.124280158161618"/>
        <n v="0.0454390790696321"/>
        <n v="0.116627383562232"/>
        <n v="0.274926454111233"/>
        <n v="0.049968966947749"/>
        <n v="0.0691908619833341"/>
        <n v="0.134431000312669"/>
        <n v="0.0771648978782732"/>
        <n v="0.106526699075916"/>
        <n v="0.147932803284308"/>
        <n v="0.101876884416328"/>
        <n v="0.0699570587517675"/>
        <n v="0.1445191250263"/>
        <n v="0.256926153349501"/>
        <n v="0.0998624155387961"/>
        <n v="0.0756269501216091"/>
        <n v="0.0452509204075854"/>
        <n v="0.119157724424539"/>
        <n v="0.100286106823233"/>
        <n v="0.242638462363466"/>
        <n v="0.135491871446513"/>
        <n v="0.0482124287150213"/>
        <n v="0.0482268642111848"/>
        <n v="0.032559572906649"/>
        <n v="0.2862808264762"/>
        <n v="0.132027846126136"/>
        <n v="0.119372521730672"/>
        <n v="0.0934590991094834"/>
        <n v="0.12059849645774"/>
        <n v="0.226176846344966"/>
        <n v="0.0449266591440675"/>
        <n v="0.0678017156477021"/>
        <n v="0.0334969723799487"/>
        <n v="0.0814421252196206"/>
        <n v="0.0985283115795497"/>
        <n v="0.381598461889488"/>
        <n v="0.105817329811811"/>
        <n v="0.0919997019888384"/>
        <n v="0.0948214475505348"/>
        <n v="0.11652144626236"/>
        <n v="0.12670535375396"/>
        <n v="0.112955799420166"/>
        <n v="0.154296365971803"/>
        <n v="0.0627130828408547"/>
        <n v="0.125124244336257"/>
        <n v="0.12563047355138"/>
        <n v="0.100406435491127"/>
        <n v="0.12141223880185"/>
        <n v="0.135479026250411"/>
        <n v="0.0800627581780786"/>
        <n v="0.119335894483596"/>
        <n v="0.0766840925261204"/>
        <n v="0.135038116719667"/>
        <n v="0.0729760456134366"/>
        <n v="0.102495927639724"/>
        <n v="0.132144660037389"/>
        <n v="0.154407421012629"/>
        <n v="0.0821684962916312"/>
        <n v="0.0722775023290059"/>
        <n v="0.135755929019826"/>
        <n v="0.101965665231999"/>
        <n v="0.285512941138814"/>
        <n v="0.125969138577968"/>
        <n v="0.119850801190277"/>
        <n v="0.124591331757279"/>
        <n v="0.0647804213481393"/>
        <n v="0.126501655503007"/>
        <n v="0.138019654111055"/>
        <n v="0.209138469286334"/>
        <n v="0.120517509138715"/>
        <n v="0.136343416471862"/>
        <n v="0.0441927261906841"/>
        <n v="0.138084444837748"/>
        <n v="0.428217837695488"/>
        <n v="0.0505500063140052"/>
        <n v="0.100375337887693"/>
        <n v="0.0823765595155963"/>
        <n v="0.119742236229283"/>
        <n v="0.0495971265955308"/>
        <n v="0.13753355355301"/>
        <n v="0.195941123074978"/>
        <n v="0.10014672218823"/>
        <n v="0.132221945208731"/>
        <n v="0.105971991182539"/>
        <n v="0.148407618732598"/>
        <n v="0.117310338908523"/>
        <n v="0.098306465978669"/>
        <n v="0.0658738024228954"/>
        <n v="0.109671342914421"/>
        <n v="0.142666642067835"/>
        <n v="0.13370276876365"/>
        <n v="0.102520813109416"/>
        <n v="0.165712187457697"/>
        <n v="0.120614443384821"/>
        <n v="0.0688115940665843"/>
        <n v="0.137555240608638"/>
        <n v="0.117524924632701"/>
        <n v="0.0342944562324252"/>
        <n v="0.0473208301173729"/>
        <n v="0.0903552037077609"/>
        <n v="0.100022424822013"/>
        <n v="0.330695740167388"/>
        <n v="0.136552815393045"/>
        <n v="0.0963017109845048"/>
        <n v="0.0341825978929528"/>
        <n v="0.125129097785986"/>
        <n v="0.0994215585862644"/>
        <n v="0.272835138408331"/>
        <n v="0.141744832538628"/>
        <n v="0.105792384541921"/>
        <n v="0.125533492000928"/>
        <n v="0.0608079043413563"/>
        <n v="0.0341565072988385"/>
        <n v="0.0946512399480436"/>
        <n v="0.13733732769672"/>
        <n v="0.0510006627839064"/>
        <n v="0.125544434123535"/>
        <n v="0.051762569889662"/>
        <n v="0.0440725615725863"/>
        <n v="0.034491901892093"/>
        <n v="0.0998744184535952"/>
        <n v="0.157246481089484"/>
        <n v="0.11404271020358"/>
        <n v="0.276992440334073"/>
        <n v="0.104860940587425"/>
        <n v="0.0586871239530594"/>
        <n v="0.13549547048072"/>
        <n v="0.103301595434053"/>
        <n v="0.152656079632648"/>
        <n v="0.134601141256269"/>
        <n v="0.0978978475595586"/>
        <n v="0.169045710662312"/>
        <n v="0.121510460316193"/>
        <n v="0.0341892463063671"/>
        <n v="0.0876186287279635"/>
        <n v="0.125198817777477"/>
        <n v="0.0662929534195731"/>
        <n v="0.119802157680205"/>
        <n v="0.0657997074321772"/>
        <n v="0.090749206785946"/>
        <n v="0.157793692926554"/>
        <n v="0.143316046666012"/>
        <n v="0.336891248348735"/>
        <n v="0.0926489210754804"/>
        <n v="0.068621815947222"/>
        <n v="0.0540487898945699"/>
        <n v="0.140480684489929"/>
        <n v="0.0991224840109901"/>
        <n v="0.0728103586529599"/>
        <n v="0.0762827937058928"/>
        <n v="0.142038867726218"/>
        <n v="0.0938122076999049"/>
        <n v="0.0560209397091688"/>
        <n v="0.139760715702325"/>
        <n v="0.297482822842894"/>
        <n v="0.0342612160528465"/>
        <n v="0.12438664913063"/>
        <n v="0.0596192540141598"/>
        <n v="0.0979824073954484"/>
        <n v="0.100341668549664"/>
        <n v="0.133568815081067"/>
        <n v="0.13377244422893"/>
        <n v="0.10545158958757"/>
        <n v="0.134812494095974"/>
        <n v="0.0900809072964723"/>
        <n v="0.138772505972656"/>
        <n v="0.13871212701903"/>
        <n v="0.0987938651064783"/>
        <n v="0.167896903299926"/>
        <n v="0.164238620697124"/>
        <n v="0.116815321868588"/>
        <n v="0.0984573910610509"/>
        <n v="0.0737159488526736"/>
        <n v="0.134132764981704"/>
        <n v="0.0922618923424454"/>
        <n v="0.0867207946114325"/>
        <n v="0.147811079746706"/>
        <n v="0.158765419159535"/>
        <n v="0.131674341320772"/>
        <n v="0.0807623035538369"/>
        <n v="0.0906397724714825"/>
        <n v="0.0684790442507446"/>
        <n v="0.328503999379245"/>
        <n v="0.101380767645344"/>
        <n v="0.056345212642208"/>
        <n v="0.0848392270976266"/>
        <n v="0.134986781679178"/>
        <n v="0.067892112422258"/>
        <n v="0.124144644163629"/>
        <n v="0.173704933782671"/>
        <n v="0.119986891472404"/>
        <n v="0.141145789977911"/>
        <n v="0.143662942679374"/>
        <n v="0.13524924710214"/>
        <n v="0.0922936980553409"/>
        <n v="0.117405398019752"/>
        <n v="0.153024098373177"/>
        <n v="0.130352631122847"/>
        <n v="0.127426152885214"/>
        <n v="0.0592026896925493"/>
        <n v="0.114344640379303"/>
        <n v="0.0976272184677111"/>
        <n v="0.131030938332234"/>
        <n v="0.0342312405544341"/>
        <n v="0.0985649813106207"/>
        <n v="0.133802313586244"/>
        <n v="0.060157040833827"/>
        <n v="0.14536383937233"/>
        <n v="0.0916193766087191"/>
        <n v="0.10333147635423"/>
        <n v="0.0764796508844415"/>
        <n v="0.151801352147474"/>
        <n v="0.157479344721166"/>
        <n v="0.0603922111001211"/>
        <n v="0.0980872945358257"/>
        <n v="0.0984348067340878"/>
        <n v="0.0802918806767254"/>
        <n v="0.114377330928226"/>
        <n v="0.156732918951702"/>
        <n v="0.085585488454857"/>
        <n v="0.0975924662593226"/>
        <n v="0.140142625073335"/>
        <n v="0.0464777346503923"/>
        <n v="0.131699090955337"/>
        <n v="0.131623100202753"/>
        <n v="0.11890708437378"/>
        <n v="0.186004946694969"/>
        <n v="0.194172350166656"/>
        <n v="0.076110108907421"/>
        <n v="0.120319917211741"/>
        <n v="0.0984328448311366"/>
        <n v="0.0617295312777814"/>
        <n v="0.0765731709356307"/>
        <n v="0.0981172041136154"/>
        <n v="0.0346872606066385"/>
        <n v="0.13199724365221"/>
        <n v="0.0976019868040451"/>
        <n v="0.0492205549705294"/>
        <n v="0.050141351580967"/>
        <n v="0.192858139961618"/>
        <n v="0.0945500378105564"/>
        <n v="0.124596453884529"/>
        <n v="0.186789768218451"/>
        <n v="0.134234208831328"/>
        <n v="0.0518733212954024"/>
        <n v="0.138486829710083"/>
        <n v="0.0963707941647897"/>
        <n v="0.113397633344638"/>
        <n v="0.0858959331073936"/>
        <n v="0.0977576902857176"/>
        <n v="0.0748238006719913"/>
        <n v="0.0945016708994444"/>
        <n v="0.0802655962139942"/>
        <n v="0.098085036587919"/>
        <n v="0.182374294936754"/>
        <n v="0.128596432845322"/>
        <n v="0.0758422187104672"/>
        <n v="0.141890111403869"/>
        <n v="0.0743260869535869"/>
        <n v="0.119852870188587"/>
        <n v="0.0374078011384666"/>
        <n v="0.103516284742725"/>
        <n v="0.100006030052007"/>
        <n v="0.114479636044743"/>
        <n v="0.188229963363449"/>
        <n v="0.0523369996400673"/>
        <n v="0.131791639062913"/>
        <n v="0.119563075646206"/>
        <n v="0.130046712483358"/>
        <n v="0.203499170631566"/>
        <n v="0.0995104765382449"/>
        <n v="0.0690182861489328"/>
        <n v="0.189297357410265"/>
        <n v="0.0651553385603087"/>
        <n v="0.132989926801824"/>
        <n v="0.120479512432945"/>
        <n v="0.125370812836263"/>
        <n v="0.0345214090993925"/>
        <n v="0.0756288902301522"/>
        <n v="0.13242314901184"/>
        <n v="0.0990580820703108"/>
        <n v="0.0689683031780183"/>
        <n v="0.138969313718738"/>
        <n v="0.0596276713174659"/>
        <n v="0.154427742847619"/>
        <n v="0.136512023612916"/>
        <n v="0.134703916037804"/>
        <n v="0.132258603245569"/>
        <n v="0.067708250801068"/>
        <n v="0.101422117672771"/>
        <n v="0.105360252183944"/>
        <n v="0.11825145876677"/>
        <n v="0.145597776736255"/>
        <n v="0.160914781015518"/>
        <n v="0.0347029739429183"/>
        <n v="0.0695326650093846"/>
        <n v="0.13635552161556"/>
        <n v="0.0654448027839045"/>
        <n v="0.13727039953894"/>
        <n v="0.135395178358662"/>
        <n v="0.198221443369593"/>
        <n v="0.119852346853867"/>
        <n v="0.150364551964088"/>
        <n v="0.136749263164263"/>
        <n v="0.0952317967782085"/>
        <n v="0.202561036327058"/>
        <n v="0.0688890623494432"/>
        <n v="0.0683284369769761"/>
        <n v="0.0943824553084659"/>
        <n v="0.099467359641509"/>
        <n v="0.0980938465381486"/>
        <n v="0.0348957823169652"/>
        <n v="0.063888633457439"/>
        <n v="0.148720754582466"/>
        <n v="0.118862801544986"/>
        <n v="0.132589724407478"/>
        <n v="0.135746807366937"/>
        <n v="0.132589326338458"/>
        <n v="0.120197474116921"/>
        <n v="0.0519363969603536"/>
        <n v="0.0944091207164282"/>
        <n v="0.156180602321291"/>
        <n v="0.0303832605300673"/>
        <n v="0.205646874411579"/>
        <n v="0.140838406866332"/>
        <n v="0.0350290878064448"/>
        <n v="0.0913577945370703"/>
        <n v="0.135031470996052"/>
        <n v="0.154498995531401"/>
        <n v="0.0816770443840792"/>
        <n v="0.120220349661744"/>
        <n v="0.103596403869088"/>
        <n v="0.119747721660229"/>
        <n v="0.0656508666310186"/>
        <n v="0.137249026277398"/>
        <n v="0.212053754865764"/>
        <n v="0.132899181105933"/>
        <n v="0.0946348666869829"/>
        <n v="0.0709250363301191"/>
        <n v="0.120786515102372"/>
        <n v="0.133161405311335"/>
        <n v="0.0914944674893548"/>
        <n v="0.188204114981693"/>
        <n v="0.118679429931643"/>
        <n v="0.119277681213066"/>
        <n v="0.0955534611389203"/>
        <n v="0.0440095812807663"/>
        <n v="0.076828713277834"/>
        <n v="0.132976765553185"/>
        <n v="0.0955335153375207"/>
        <n v="0.12174066200494"/>
        <n v="0.122422063428866"/>
        <n v="0.147078904314318"/>
        <n v="0.090724533139302"/>
        <n v="0.132512123176173"/>
        <n v="0.121084467370681"/>
        <n v="0.122423257946443"/>
        <n v="0.0347532772287472"/>
        <n v="0.141316196095354"/>
        <n v="0.137435706393517"/>
        <n v="0.067494330508316"/>
        <n v="0.118638773705876"/>
        <n v="0.149657038555728"/>
        <n v="0.0908973133581369"/>
        <n v="0.158421689417557"/>
        <n v="0.13383403160439"/>
        <n v="0.107061440491736"/>
        <n v="0.187395142710207"/>
        <n v="0.1337090025921"/>
        <n v="0.0604263907516637"/>
        <n v="0.141289031266253"/>
        <n v="0.0346747722270102"/>
        <n v="0.119579136981896"/>
        <n v="0.095508540281365"/>
        <n v="0.0977301591990627"/>
        <n v="0.133676622795683"/>
        <n v="0.0715292675551501"/>
        <n v="0.117259623422775"/>
        <n v="0.0621098697123594"/>
        <n v="0.122013767613849"/>
        <n v="0.131735768955542"/>
        <n v="0.0963559247622171"/>
        <n v="0.0862432838888176"/>
        <n v="0.0971221399030242"/>
        <n v="0.0798754473453506"/>
        <n v="0.103929110712571"/>
        <n v="0.145439584249279"/>
        <n v="0.070318993289874"/>
        <n v="0.149588781678436"/>
        <n v="0.0377513440406664"/>
        <n v="0.0971647133814483"/>
        <n v="0.31511364287116"/>
        <n v="0.0658667985935805"/>
        <n v="0.120538689347781"/>
        <n v="0.176063120260596"/>
        <n v="0.0944110243467261"/>
        <n v="0.0752324648714309"/>
        <n v="0.0347069467320276"/>
        <n v="0.262344742937737"/>
        <n v="0.133017709982426"/>
        <n v="0.063599770274278"/>
        <n v="0.126142941820408"/>
        <n v="0.11981299165155"/>
        <n v="0.141866519244286"/>
        <n v="0.0903350739380981"/>
        <n v="0.103433949654996"/>
        <n v="0.073680654977271"/>
        <n v="0.182743591545314"/>
        <n v="0.0734933122121244"/>
        <n v="0.0911812210980937"/>
        <n v="0.0932983090614991"/>
        <n v="0.146720703688303"/>
        <n v="0.133371120944423"/>
        <n v="0.0963480809418789"/>
        <n v="0.100112606599448"/>
        <n v="0.0684159293644562"/>
        <n v="0.0883455058129679"/>
        <n v="0.14186024990721"/>
        <n v="0.0867347848816823"/>
        <n v="0.152548129645601"/>
        <n v="0.0817594731331574"/>
        <n v="0.436212119303957"/>
        <n v="0.209236854948538"/>
        <n v="0.132085650737754"/>
        <n v="0.0464895895127099"/>
        <n v="0.100250834656526"/>
        <n v="0.120113277289136"/>
        <n v="0.134899778216841"/>
        <n v="0.13326279550394"/>
        <n v="0.129065353474201"/>
        <n v="0.139710319918726"/>
        <n v="0.0387265170486833"/>
        <n v="0.113077363744842"/>
        <n v="0.0525406348071136"/>
        <n v="0.131850683048815"/>
        <n v="0.0273810763120605"/>
        <n v="0.279145326226962"/>
        <n v="0.132281633710045"/>
        <n v="0.0955389467168717"/>
        <n v="0.195192645816862"/>
        <n v="0.0996323878865993"/>
        <n v="0.058634913933558"/>
        <n v="0.084455242549469"/>
        <n v="0.0760603810931836"/>
        <n v="0.257372904548229"/>
        <n v="0.0969695819886939"/>
        <n v="0.132121346547288"/>
        <n v="0.153110376294551"/>
        <n v="0.119914872362662"/>
        <n v="0.0356538908291713"/>
        <n v="0.135048045453864"/>
        <n v="0.173715832040243"/>
        <n v="0.140122928728408"/>
        <n v="0.115750089375668"/>
        <n v="0.0347183918708505"/>
        <n v="0.0974370518249011"/>
        <n v="0.0719033390793458"/>
        <n v="0.0991164839123685"/>
        <n v="0.206702405751401"/>
        <n v="0.143883918843065"/>
        <n v="0.0626744018227674"/>
        <n v="0.0960843471838818"/>
        <n v="0.135441276902682"/>
        <n v="0.0682352075597729"/>
        <n v="0.120007751187499"/>
        <n v="0.0964338287283844"/>
        <n v="0.116957731665289"/>
        <n v="0.0656027422112213"/>
        <n v="0.152645190975659"/>
        <n v="0.10329990620781"/>
        <n v="0.0900298683397951"/>
        <n v="0.134584180765877"/>
        <n v="0.197322193622014"/>
        <n v="0.133082021636837"/>
        <n v="0.153042123277244"/>
        <n v="0.116561365879783"/>
        <n v="0.0733788333907278"/>
        <n v="0.085706010122777"/>
        <n v="0.116309557793695"/>
        <n v="0.216434765310485"/>
        <n v="0.132756352403626"/>
        <n v="0.140864622223552"/>
        <n v="0.0614027098723694"/>
        <n v="0.101295244422968"/>
        <n v="0.0958919935866498"/>
        <n v="0.133489607962971"/>
        <n v="0.128741810376188"/>
        <n v="0.0961644236669783"/>
        <n v="0.0971527628844714"/>
        <n v="0.114301134414706"/>
        <n v="0.133504358556759"/>
        <n v="0.076524891129577"/>
        <n v="0.0364716944015192"/>
        <n v="0.20169647481654"/>
        <n v="0.121530127899644"/>
        <n v="0.120753188270043"/>
        <n v="0.103359595610213"/>
        <n v="0.141063044449147"/>
        <n v="0.220677329530003"/>
        <n v="0.0858032221509969"/>
        <n v="0.118654332285848"/>
        <n v="0.13448723683962"/>
        <n v="0.0634111276747419"/>
        <n v="0.107565657209099"/>
        <n v="0.125555135521831"/>
        <n v="0.121921471492504"/>
        <n v="0.0234768344915484"/>
        <n v="0.122432366431129"/>
        <n v="0.118170423311381"/>
        <n v="0.120110977102519"/>
        <n v="0.130077478216456"/>
        <n v="0.0658008748152095"/>
        <n v="0.0504414233765432"/>
        <n v="0.104523004589762"/>
        <n v="0.203268800374953"/>
        <n v="0.108210800599591"/>
        <n v="0.0928544091955076"/>
        <n v="0.0756514110381904"/>
        <n v="0.155706087768475"/>
        <n v="0.145456237063607"/>
        <n v="0.120948611463678"/>
        <n v="0.138621813769392"/>
        <n v="0.0373081415694574"/>
        <n v="0.0948398759347941"/>
        <n v="0.134362004594915"/>
        <n v="0.0812701031953437"/>
        <n v="0.191526104275866"/>
        <n v="0.0742011385609271"/>
        <n v="0.153990345768487"/>
        <n v="0.0889608065238683"/>
        <n v="0.0948762974464356"/>
        <n v="0.114442147128704"/>
        <n v="0.072629501334921"/>
        <n v="0.0999343667346179"/>
        <n v="0.108674835882153"/>
        <n v="0.0946591849955957"/>
        <n v="0.0793076280916871"/>
        <n v="0.0965668639731325"/>
        <n v="0.132711442856306"/>
        <n v="0.117257913098169"/>
        <n v="0.141793771490712"/>
        <n v="0.0662427076360904"/>
        <n v="0.130757981003952"/>
        <n v="0.0960308443943133"/>
        <n v="0.0571429172387349"/>
        <n v="0.129852644778795"/>
        <n v="0.186807474985981"/>
        <n v="0.0742939634506144"/>
        <n v="0.155725770726412"/>
        <n v="0.0825419887462436"/>
        <n v="0.121305914853454"/>
        <n v="0.134978135690367"/>
        <n v="0.119289505081507"/>
        <n v="0.0453887776989668"/>
        <n v="0.075353342115947"/>
        <n v="0.12624123357814"/>
        <n v="0.136973938074319"/>
        <n v="0.0996615427799019"/>
        <n v="0.0727101025002312"/>
        <n v="0.0722775676018693"/>
        <n v="0.119417160727365"/>
        <n v="0.203386954712211"/>
        <n v="0.0465064861951199"/>
        <n v="0.12498812403931"/>
        <n v="0.102953382935475"/>
        <n v="0.090193087865038"/>
        <n v="0.188765360595311"/>
        <n v="0.129052312748444"/>
        <n v="0.100626122826736"/>
        <n v="0.143706420315675"/>
        <n v="0.126059414430794"/>
        <n v="0.0715219439090598"/>
        <n v="0.0880449176932585"/>
        <n v="0.0964770967115392"/>
        <n v="0.0650455490493942"/>
        <n v="0.168356073858532"/>
        <n v="0.116858043337254"/>
        <n v="0.192908442434815"/>
        <n v="0.12370704127283"/>
        <n v="0.114823547223051"/>
        <n v="0.170387516939642"/>
        <n v="0.181941436438"/>
        <n v="0.111008107808903"/>
        <n v="0.0541195634559287"/>
        <n v="0.0905957593276985"/>
        <n v="0.136224951836801"/>
        <n v="0.150387582910537"/>
        <n v="0.0503636787846891"/>
        <n v="0.0906333046093799"/>
        <n v="0.227802925233488"/>
        <n v="0.159193239126354"/>
        <n v="0.125703440309929"/>
        <n v="0.131773862075738"/>
        <n v="0.0690585282881351"/>
        <n v="0.105405006369503"/>
        <n v="0.101297837213896"/>
        <n v="0.23253299520776"/>
        <n v="0.0937542287972808"/>
        <n v="0.103866301416746"/>
        <n v="0.0998453667931638"/>
        <n v="0.24035783545162"/>
        <n v="0.0407396869142741"/>
        <n v="0.267952485812557"/>
        <n v="0.105116251468965"/>
        <n v="0.122730004654653"/>
        <n v="0.0517857788480264"/>
        <n v="0.235159444580463"/>
        <n v="0.11474585403765"/>
        <n v="0.160962276589436"/>
        <n v="0.0821806859263474"/>
        <n v="0.169241121027627"/>
        <n v="0.15271062377616"/>
        <n v="0.0452556025401511"/>
        <n v="0.117783316702245"/>
        <n v="0.144577855111664"/>
        <n v="0.254108449743435"/>
        <n v="0.0559067395567559"/>
        <n v="0.0741252196227175"/>
        <n v="0.194933211467862"/>
        <n v="0.153474241413154"/>
        <n v="0.192120230663811"/>
        <n v="0.0959164762406022"/>
        <n v="0.115308301522349"/>
        <n v="0.194687081338509"/>
        <n v="0.117234289107752"/>
        <n v="0.115630377554282"/>
        <n v="0.0863731813196414"/>
        <n v="0.0903048767103983"/>
        <n v="0.051199560273317"/>
        <n v="0.128273106321168"/>
        <n v="0.354581669675968"/>
        <n v="0.090585163879432"/>
        <n v="0.185615366842932"/>
        <n v="0.0929976818873559"/>
        <n v="0.123452928955336"/>
        <n v="0.0777031661496285"/>
        <n v="0.187716806752807"/>
        <n v="0.069944275099627"/>
        <n v="0.252447585685622"/>
        <n v="0.128770506504859"/>
        <n v="0.0459695430564643"/>
        <n v="0.354703796178447"/>
        <n v="0.190371332067396"/>
        <n v="0.206216443911016"/>
        <n v="0.181846192030137"/>
        <n v="0.139423954646207"/>
        <n v="0.118929117349709"/>
        <n v="0.138121661504262"/>
        <n v="0.212279725948392"/>
        <n v="0.121157934987945"/>
        <n v="0.076724294550023"/>
        <n v="0.224942707227677"/>
        <n v="0.0509901327626197"/>
        <n v="0.117966006594582"/>
        <n v="0.135097139982741"/>
        <n v="0.17024326957684"/>
        <n v="0.0916228885770185"/>
        <n v="0.104169701988293"/>
        <n v="0.0759711232870285"/>
        <n v="0.188858880251969"/>
        <n v="0.0877415653789025"/>
        <n v="0.137447374343162"/>
        <n v="0.0836127241490048"/>
        <n v="0.0957601944545645"/>
        <n v="0.184478494152296"/>
        <n v="0.114675627887701"/>
        <n v="0.0980869013191372"/>
        <n v="0.0448823242460955"/>
        <n v="0.0755744526094506"/>
        <n v="0.0987586428512008"/>
        <n v="0.161410963989084"/>
        <n v="0.140559170239841"/>
        <n v="0.193958028272524"/>
        <n v="0.143591972142287"/>
        <n v="0.143644792174747"/>
        <n v="0.153527911523992"/>
        <n v="0.0930116563453996"/>
        <n v="0.0536011408491034"/>
        <n v="0.123469801260519"/>
        <n v="0.104291936996046"/>
        <n v="0.133851241753684"/>
        <n v="0.0847590808441141"/>
        <n v="0.0909695932677214"/>
        <n v="0.0519887105710302"/>
        <n v="0.0762792867353553"/>
        <n v="0.139667774906155"/>
        <n v="0.403253952596654"/>
        <n v="0.0975975376701097"/>
        <n v="0.0509282482245386"/>
        <n v="0.0713918600443744"/>
        <n v="0.0232194283158024"/>
        <n v="0.105101843359174"/>
        <n v="0.139217108329956"/>
        <n v="0.0438453321612682"/>
        <n v="0.116009696355242"/>
        <n v="0.0889520271439374"/>
        <n v="0.13959489659418"/>
        <n v="0.0991242441061571"/>
        <n v="0.119540245364283"/>
        <n v="0.239491570173667"/>
        <n v="0.0888521068801027"/>
        <n v="0.0954002990168179"/>
        <n v="0.104366505831588"/>
        <n v="0.0836900246926146"/>
        <n v="0.0610177081712383"/>
        <n v="0.145484217987651"/>
        <n v="0.288145386752883"/>
        <n v="0.229268643159114"/>
        <n v="0.0471465484135176"/>
        <n v="0.177930695673777"/>
        <n v="0.0895887821967044"/>
        <n v="0.142164313028163"/>
        <n v="0.297504434786236"/>
        <n v="0.120931792385351"/>
        <n v="0.223379906789994"/>
        <n v="0.0810607045036199"/>
        <n v="0.101198085489636"/>
        <n v="0.126637330311648"/>
        <n v="0.145294448241542"/>
        <n v="0.242461868339938"/>
        <n v="0.0824756015490539"/>
        <n v="0.137019345823243"/>
        <n v="0.145009688404073"/>
        <n v="0.0875641479982061"/>
        <n v="0.121000457027859"/>
        <n v="0.0848490300600724"/>
        <n v="0.207614129300295"/>
        <n v="0.0492359468380016"/>
        <n v="0.129268605373026"/>
        <n v="0.100329457223901"/>
        <n v="0.135380544203701"/>
        <n v="0.234452277060407"/>
        <n v="0.0759465157706259"/>
        <n v="0.182351656490118"/>
        <n v="0.0590551690041622"/>
        <n v="0.119949689971415"/>
        <n v="0.102779120843122"/>
        <n v="0.167283327829596"/>
        <n v="0.0762855623934034"/>
        <n v="0.0872636883324111"/>
        <n v="0.100637853183916"/>
        <n v="0.0476512487607621"/>
        <n v="0.0887577942314525"/>
        <n v="0.158493451173315"/>
        <n v="0.0739270380858599"/>
        <n v="0.0983200773112242"/>
        <n v="0.0736033817500674"/>
        <n v="0.148301917016735"/>
        <n v="0.0987808444906246"/>
        <n v="0.346317076333174"/>
        <n v="0.137835227770179"/>
        <n v="0.172302295369172"/>
        <n v="0.0802991336658302"/>
        <n v="0.140280526021291"/>
        <n v="0.0443673890695439"/>
        <n v="0.223199636340268"/>
        <n v="0.0857259872952131"/>
        <n v="0.0952082294060891"/>
        <n v="0.102159470313915"/>
        <n v="0.251188248834774"/>
        <n v="0.157373471624858"/>
        <n v="0.254551499126499"/>
        <n v="0.104278638668149"/>
        <n v="0.0595743970887167"/>
        <n v="0.0602863105697087"/>
        <n v="0.0355106338946022"/>
        <n v="0.240819487946588"/>
        <n v="0.0905605325148741"/>
        <n v="0.104337691655109"/>
        <n v="0.0510760568598608"/>
        <n v="0.126440787202157"/>
        <n v="0.169119641867916"/>
        <n v="0.0760509381472267"/>
        <n v="0.108771454075025"/>
        <n v="0.115288843675973"/>
        <n v="0.0984504103863109"/>
        <n v="0.175489013123916"/>
        <n v="0.153761471364283"/>
        <n v="0.0463558149069565"/>
        <n v="0.0916282435143335"/>
        <n v="0.0627406182870283"/>
        <n v="0.0856691416040774"/>
        <n v="0.0977963179898167"/>
        <n v="0.0455295142083859"/>
        <n v="0.0655101030807264"/>
        <n v="0.104453593071081"/>
        <n v="0.0968250799070831"/>
        <n v="0.245163740248534"/>
        <n v="0.0460714699606068"/>
        <n v="0.0767878454560714"/>
        <n v="0.0907877426207181"/>
        <n v="0.116362345015291"/>
        <n v="0.0696381959146655"/>
        <n v="0.119268461750897"/>
        <n v="0.117474430190771"/>
        <n v="0.100917716282866"/>
        <n v="0.0661110759512823"/>
        <n v="0.119466011153345"/>
        <n v="0.0922710274531616"/>
        <n v="0.0847388656595513"/>
        <n v="0.0357987699174414"/>
        <n v="0.177388490552403"/>
        <n v="0.0888784179834267"/>
        <n v="0.0481536192915855"/>
        <n v="0.164070714621602"/>
        <n v="0.0958817126789181"/>
        <n v="0.0728862068886113"/>
        <n v="0.0775404371640183"/>
        <n v="0.128829647908646"/>
        <n v="0.0415477282496168"/>
        <n v="0.0907325174925648"/>
        <n v="0.241364734608386"/>
        <n v="0.0888379678393545"/>
        <n v="0.0738196720573416"/>
        <n v="0.102057317668482"/>
        <n v="0.0490794288255486"/>
        <n v="0.0747352711965284"/>
        <n v="0.189151290015705"/>
        <n v="0.0619069999016083"/>
        <n v="0.0423146477355361"/>
        <n v="0.0851933852426495"/>
        <n v="0.0691704406755432"/>
        <n v="0.119158446088368"/>
        <n v="0.177249863245975"/>
        <n v="0.125889058049259"/>
        <n v="0.133513625036848"/>
        <n v="0.126137905153845"/>
        <n v="0.13991391159795"/>
        <n v="0.132620388897656"/>
        <n v="0.159830358388092"/>
        <n v="0.0897004199064228"/>
        <n v="0.193010448504942"/>
        <n v="0.0744252307904448"/>
        <n v="0.0677036291328674"/>
        <n v="0.0703396774849065"/>
        <n v="0.171719059192247"/>
        <n v="0.139263660521769"/>
        <n v="0.122490615021045"/>
        <n v="0.190681554039138"/>
        <n v="0.147349538098264"/>
        <n v="0.111291007542326"/>
        <n v="0.134944380882715"/>
        <n v="0.107445766136791"/>
        <n v="0.127846135746967"/>
        <n v="0.144090687732427"/>
        <n v="0.11005893437992"/>
        <n v="0.246266863929884"/>
        <n v="0.214024117725372"/>
        <n v="0.267159969909241"/>
        <n v="0.0508559799789228"/>
        <n v="0.106767764351657"/>
        <n v="0.0779733580619884"/>
        <n v="0.118412129462697"/>
        <n v="0.195472307767427"/>
        <n v="0.0923080319406438"/>
        <n v="0.0420626754308944"/>
        <n v="0.12847596438913"/>
        <n v="0.0827614125045708"/>
        <n v="0.122343398029378"/>
        <n v="0.127595072443698"/>
        <n v="0.122330653562069"/>
        <n v="0.11412181197188"/>
        <n v="0.0803198182565972"/>
        <n v="0.0980327859777622"/>
        <n v="0.248293171587641"/>
        <n v="0.129388007577713"/>
        <n v="0.141948168937386"/>
        <n v="0.0436026296631683"/>
        <n v="0.249583461565872"/>
        <n v="0.180336530539836"/>
        <n v="0.137140870211522"/>
        <n v="0.192378498777701"/>
        <n v="0.0878381585080707"/>
        <n v="0.190020454731591"/>
        <n v="0.110894092517658"/>
        <n v="0.0524003541342736"/>
        <n v="0.177700842881047"/>
        <n v="0.177612617996694"/>
        <n v="0.0856572712376019"/>
        <n v="0.074027566664897"/>
        <n v="0.115860133663722"/>
        <n v="0.0927286435829178"/>
        <n v="0.247176493423097"/>
        <n v="0.144938263229946"/>
        <n v="0.149664529147305"/>
        <n v="0.118871547782722"/>
        <n v="0.102978000650375"/>
        <n v="0.113338027166021"/>
        <n v="0.131570073380548"/>
        <n v="0.256941144193643"/>
        <n v="0.0502004791475385"/>
        <n v="0.0742680377508936"/>
        <n v="0.0749424584071382"/>
        <n v="0.1209512612937"/>
        <n v="0.051642856878785"/>
        <n v="0.256779081748035"/>
        <n v="0.136986402609659"/>
        <n v="0.0851800528005786"/>
        <n v="0.0912993937485697"/>
        <n v="0.168112837089896"/>
        <n v="0.241690906348078"/>
        <n v="0.174985232997066"/>
        <n v="0.240427540665659"/>
        <n v="0.198270695471488"/>
        <n v="0.136087325662166"/>
        <n v="0.233247918171361"/>
        <n v="0.138707026338461"/>
        <n v="0.0470181065732266"/>
        <n v="0.098285669215675"/>
        <n v="0.197693071976924"/>
        <n v="0.133086523044944"/>
        <n v="0.0954320519932954"/>
        <n v="0.169792764513559"/>
        <n v="0.102079328625554"/>
        <n v="0.0765135122005212"/>
        <n v="0.278638528769775"/>
        <n v="0.0978250185824808"/>
        <n v="0.0446830510672771"/>
        <n v="0.112046402754368"/>
        <n v="0.0875834544504356"/>
        <n v="0.154027535277178"/>
        <n v="0.0439804389573294"/>
        <n v="0.128033662405343"/>
        <n v="0.12197574720308"/>
        <n v="0.143812169286748"/>
        <n v="0.12222238801374"/>
        <n v="0.272281246498322"/>
        <n v="0.116888888306211"/>
        <n v="0.0979501191089112"/>
        <n v="0.192836910701458"/>
        <n v="0.113357095085455"/>
        <n v="0.0556378888198806"/>
        <n v="0.0905939534727319"/>
        <n v="0.0565214179118565"/>
        <n v="0.342027186141802"/>
        <n v="0.126495785884664"/>
        <n v="0.149711080847592"/>
        <n v="0.133284239060968"/>
        <n v="0.110429435347739"/>
        <n v="0.129832465667392"/>
        <n v="0.0778052165186154"/>
        <n v="0.0810475390185397"/>
        <n v="0.134036938908859"/>
        <n v="0.136194397797146"/>
        <n v="0.26126506696198"/>
        <n v="0.163506748606304"/>
        <n v="0.19597319588268"/>
        <n v="0.0574881961164397"/>
        <n v="0.112137757750783"/>
        <n v="0.11215889663558"/>
        <n v="0.115636115987418"/>
        <n v="0.212178395506242"/>
        <n v="0.0890708270871496"/>
        <n v="0.21991649261063"/>
        <n v="0.150094919928593"/>
        <n v="0.129995916639129"/>
        <n v="0.16063126200987"/>
        <n v="0.0748532759495555"/>
        <n v="0.22123823395204"/>
        <n v="0.0808450910671198"/>
        <n v="0.131674016732985"/>
        <n v="0.103345586759101"/>
        <n v="0.0722103716472628"/>
        <n v="0.0435877505413547"/>
        <n v="0.0840815639052776"/>
        <n v="0.189989452928478"/>
        <n v="0.0757247463850375"/>
        <n v="0.3276917345907"/>
        <n v="0.0763356609813861"/>
        <n v="0.0525159865849827"/>
        <n v="0.139692942672554"/>
        <n v="0.199123231592321"/>
        <n v="0.0746155727418218"/>
        <n v="0.0766990508457439"/>
        <n v="0.0355970814203293"/>
        <n v="0.0669398763517439"/>
        <n v="0.0560805788229592"/>
        <n v="0.127262667001956"/>
        <n v="0.0726010356944255"/>
        <n v="0.0856593992899784"/>
        <n v="0.169497839696831"/>
        <n v="0.124045518604768"/>
        <n v="0.0985935597790927"/>
        <n v="0.106792295461504"/>
        <n v="0.260901969534804"/>
        <n v="0.0618749047114166"/>
        <n v="0.0699704238161375"/>
        <n v="0.0967446287232594"/>
        <n v="0.059783699367401"/>
        <n v="0.079285694013571"/>
        <n v="0.0531753299125896"/>
        <n v="0.210181243895316"/>
        <n v="0.141482181156202"/>
        <n v="0.0770130509371236"/>
        <n v="0.12169472798458"/>
        <n v="0.0581184544757271"/>
        <n v="0.260073644592721"/>
        <n v="0.102614980768594"/>
        <n v="0.156088029262591"/>
        <n v="0.204886318676107"/>
        <n v="0.0792978208350282"/>
        <n v="0.0977165562034025"/>
        <n v="0.177566352820486"/>
        <n v="0.257363714001602"/>
        <n v="0.118845014463653"/>
        <n v="0.168760713717415"/>
        <n v="0.121593927475966"/>
        <n v="0.26921006654727"/>
        <n v="0.0827990609698595"/>
        <n v="0.0956468274953488"/>
        <n v="0.146116457755068"/>
        <n v="0.176754520788991"/>
        <n v="0.246459076399874"/>
        <n v="0.0676642495953795"/>
        <n v="0.102672885921162"/>
        <n v="0.0546549859992012"/>
        <n v="0.0355898501751864"/>
        <n v="0.0689920044108024"/>
        <n v="0.0988101054767839"/>
        <n v="0.108483183329968"/>
        <n v="0.105761018893007"/>
        <n v="0.152411838579838"/>
        <n v="0.100410104405917"/>
        <n v="0.0510589099077925"/>
        <n v="0.245039928358489"/>
        <n v="0.130512915436355"/>
        <n v="0.0742794406505843"/>
        <n v="0.0726159300677861"/>
        <n v="0.0651998219813367"/>
        <n v="0.0667568325820879"/>
        <n v="0.118695683343458"/>
        <n v="0.094633240327576"/>
        <n v="0.0773426664824959"/>
        <n v="0.198288909518665"/>
        <n v="0.0683188303913675"/>
        <n v="0.0997256540847026"/>
        <n v="0.135564972101476"/>
        <n v="0.0570265849815855"/>
        <n v="0.134329257509451"/>
        <n v="0.102658633880862"/>
        <n v="0.105561892153745"/>
        <n v="0.202788726415184"/>
        <n v="0.0729253824884012"/>
        <n v="0.0969755716710256"/>
        <n v="0.0550123311392349"/>
        <n v="0.110158001646722"/>
        <n v="0.0963279711199949"/>
        <n v="0.0744519236480485"/>
        <n v="0.0676128018406709"/>
        <n v="0.04551468826801"/>
        <n v="0.142313105134626"/>
        <n v="0.119837400145835"/>
        <n v="0.129309641807394"/>
        <n v="0.0517968380397172"/>
        <n v="0.0835510993554845"/>
        <n v="0.102044006167105"/>
        <n v="0.190950207120221"/>
        <n v="0.110413791510626"/>
        <n v="0.164182775540652"/>
        <n v="0.0590635506671687"/>
        <n v="0.0638968254546506"/>
        <n v="0.0642378891107413"/>
        <n v="0.0669716240396122"/>
        <n v="0.0604390425560582"/>
        <n v="0.0633605921673297"/>
        <n v="0.0725825664079374"/>
        <n v="0.0688481271409225"/>
        <n v="0.135679414026874"/>
        <n v="0.141389454520881"/>
        <n v="0.0522205828097935"/>
        <n v="0.191205955807343"/>
        <n v="0.104673713862352"/>
        <n v="0.128289776259361"/>
        <n v="0.0951903963997764"/>
        <n v="0.0439661580270338"/>
        <n v="0.126969770236128"/>
        <n v="0.145221663232396"/>
        <n v="0.0573009814674547"/>
        <n v="0.104375974126495"/>
        <n v="0.122731411825438"/>
        <n v="0.0680674214847472"/>
        <n v="0.191712418269792"/>
        <n v="0.160409756338321"/>
        <n v="0.0553140398394219"/>
        <n v="0.0904366618412029"/>
        <n v="0.0671724594690711"/>
        <n v="0.157847587330571"/>
        <n v="0.15219057447675"/>
        <n v="0.0927698068311567"/>
        <n v="0.0637097144127475"/>
        <n v="0.263406952141051"/>
        <n v="0.125421941169565"/>
        <n v="0.123315487629726"/>
        <n v="0.265761570032751"/>
        <n v="0.208184632978014"/>
        <n v="0.242502259538516"/>
        <n v="0.101757757998512"/>
        <n v="0.202427412028824"/>
        <n v="0.0591083590706139"/>
        <n v="0.122017468516706"/>
        <n v="0.228430124523507"/>
        <n v="0.124124418625182"/>
        <n v="0.273408940944188"/>
        <n v="0.0421206573282494"/>
        <n v="0.329153048614428"/>
        <n v="0.100616370185521"/>
        <n v="0.0316403479336801"/>
        <n v="0.0467330801050965"/>
        <n v="0.244392734830585"/>
        <n v="0.0996315005855416"/>
        <n v="0.0722829538818565"/>
        <n v="0.0878924183469898"/>
        <n v="0.211978168144632"/>
        <n v="0.0962285499642719"/>
        <n v="0.181500099277004"/>
        <n v="0.087035473399575"/>
        <n v="0.119926227557695"/>
        <n v="0.290391563666644"/>
        <n v="0.140412973167417"/>
        <n v="0.154318015525928"/>
        <n v="0.178946263624129"/>
        <n v="0.0996598665665088"/>
        <n v="0.259906442562293"/>
        <n v="0.120445185710669"/>
        <n v="0.0853157497820727"/>
        <n v="0.0748936656342423"/>
        <n v="0.094664406966558"/>
        <n v="0.225048421360503"/>
        <n v="0.273605397131311"/>
        <n v="0.245022582065097"/>
        <n v="0.110599749768837"/>
        <n v="0.104321303754069"/>
        <n v="0.0953449893073635"/>
        <n v="0.151982250152547"/>
        <n v="0.087785388391306"/>
        <n v="0.0835627921618716"/>
        <n v="0.170988837600053"/>
        <n v="0.0925997795236149"/>
        <n v="0.0951592956297708"/>
        <n v="0.110499907610148"/>
        <n v="0.122613096535886"/>
        <n v="0.248633141987006"/>
        <n v="0.145334626889811"/>
        <n v="0.0691170697993202"/>
        <n v="0.122120900613167"/>
        <n v="0.279925251414981"/>
        <n v="0.121285548821994"/>
        <n v="0.0905399472089054"/>
        <n v="0.0465088244669422"/>
        <n v="0.226692272295671"/>
        <n v="0.101866153668012"/>
        <n v="0.167322002883635"/>
        <n v="0.0438708454240817"/>
        <n v="0.0986646612725942"/>
        <n v="0.104238866704913"/>
        <n v="0.175636382987722"/>
        <n v="0.259498160380193"/>
        <n v="0.0754194152857639"/>
        <n v="0.134183976584938"/>
        <n v="0.0924618372858812"/>
        <n v="0.0782115603578911"/>
        <n v="0.179371524859027"/>
        <n v="0.0978014908068381"/>
        <n v="0.228264653474258"/>
        <n v="0.103267816307243"/>
        <n v="0.121292319025063"/>
        <n v="0.276460752399522"/>
        <n v="0.137992845335336"/>
        <n v="0.0746862882364417"/>
        <n v="0.0458408256720066"/>
        <n v="0.269207352691161"/>
        <n v="0.103455560941374"/>
        <n v="0.189649858847708"/>
        <n v="0.124352887621743"/>
        <n v="0.228741709023397"/>
        <n v="0.118247189066406"/>
        <n v="0.135342337368544"/>
        <n v="0.0743333332667339"/>
        <n v="0.146689135732005"/>
        <n v="0.105761911090724"/>
        <n v="0.155903564776102"/>
        <n v="0.140223850326519"/>
        <n v="0.154925709869642"/>
        <n v="0.232817211512727"/>
        <n v="0.097670280527443"/>
        <n v="0.111354444351284"/>
        <n v="0.263212641788882"/>
        <n v="0.265359190554433"/>
        <n v="0.215188898631589"/>
        <n v="0.111755003269546"/>
        <n v="0.0680180544559599"/>
        <n v="0.122830236330044"/>
        <n v="0.0298354523669698"/>
        <n v="0.149430598788601"/>
        <n v="0.094783784468407"/>
        <n v="0.139225521889892"/>
        <n v="0.100165585476251"/>
        <n v="0.097974008112221"/>
        <n v="0.228251139279317"/>
        <n v="0.0420805816895555"/>
        <n v="0.14626725866755"/>
        <n v="0.218637729111929"/>
        <n v="0.0977800372875977"/>
        <n v="0.11150484294623"/>
        <n v="0.117033769535609"/>
        <n v="0.0902812886111326"/>
        <n v="0.178936058664428"/>
        <n v="0.241016388325243"/>
        <n v="0.220142406480032"/>
        <n v="0.120689855238346"/>
        <n v="0.102154572179293"/>
        <n v="0.211709406850995"/>
        <n v="0.0591667345031877"/>
        <n v="0.0846365706026395"/>
        <n v="0.201951254125269"/>
        <n v="0.0398951604884948"/>
        <n v="0.0661821675886819"/>
        <n v="0.119497944614836"/>
        <n v="0.10330131509689"/>
        <n v="0.142385009532705"/>
        <n v="0.166108479567955"/>
        <n v="0.097308384164613"/>
        <n v="0.152595737971579"/>
        <n v="0.0714917185301091"/>
        <n v="0.25195163235312"/>
        <n v="0.095344558596431"/>
        <n v="0.155505544899241"/>
        <n v="0.0789743384213516"/>
        <n v="0.156244765141647"/>
        <n v="0.0434885729861876"/>
        <n v="0.177299881995492"/>
        <n v="0.102137971066027"/>
        <n v="0.100001076716969"/>
        <n v="0.184766003156548"/>
        <n v="0.0832111711392461"/>
        <n v="0.0721677117321812"/>
        <n v="0.100794842867963"/>
        <n v="0.242964485779638"/>
        <n v="0.101032378250121"/>
        <n v="0.195924556681191"/>
        <n v="0.0972336665836476"/>
        <n v="0.11526542313544"/>
        <n v="0.150190512644836"/>
        <n v="0.0664677492591238"/>
        <n v="0.050448811206351"/>
        <n v="0.0808892227911606"/>
        <n v="0.159481663579684"/>
        <n v="0.172669204814424"/>
        <n v="0.140756514990941"/>
        <n v="0.187466891829343"/>
        <n v="0.155808889518637"/>
        <n v="0.0994352111687956"/>
        <n v="0.164765363145761"/>
        <n v="0.0559510281248975"/>
        <n v="0.129249404367182"/>
        <n v="0.0676617215098466"/>
        <n v="0.114287140089066"/>
        <n v="0.11708306965093"/>
        <n v="0.137178537253545"/>
        <n v="0.0831383685817861"/>
        <n v="0.104107177057466"/>
        <n v="0.12996893442382"/>
        <n v="0.0370266684843059"/>
        <n v="0.0660698908799922"/>
        <n v="0.0999896491020591"/>
        <n v="0.11316471709196"/>
        <n v="0.0766056732294643"/>
        <n v="0.0717123477151972"/>
        <n v="0.0912862800305178"/>
        <n v="0.124703275474388"/>
        <n v="0.0780549471277295"/>
        <n v="0.0611008193263358"/>
        <n v="0.109978792473952"/>
        <n v="0.113775446589438"/>
        <n v="0.243375844785919"/>
        <n v="0.194699609964885"/>
        <n v="0.0966295575356462"/>
        <n v="0.143521838032897"/>
        <n v="0.126760814498068"/>
        <n v="0.173651471827845"/>
        <n v="0.0931527574814212"/>
        <n v="0.141292547649878"/>
        <n v="0.152368709666701"/>
        <n v="0.104760003806243"/>
        <n v="0.144014915000134"/>
        <n v="0.0627357157901775"/>
        <n v="0.0889649406182506"/>
        <n v="0.111816784633628"/>
        <n v="0.171761624821525"/>
        <n v="0.0631513149453398"/>
        <n v="0.11495933735801"/>
        <n v="0.0559469912917028"/>
        <n v="0.0498552398278723"/>
        <n v="0.0722253484270751"/>
        <n v="0.120891935367808"/>
        <n v="0.127859293783525"/>
        <n v="0.0811009584858792"/>
        <n v="0.116738805604566"/>
        <n v="0.0523182302300617"/>
        <n v="0.0886913540629298"/>
        <n v="0.0680827005344142"/>
        <n v="0.103022307459826"/>
        <n v="0.0552347686081781"/>
        <n v="0.0760178386767208"/>
        <n v="0.208792185860017"/>
        <n v="0.0621973507845821"/>
        <n v="0.115584179062629"/>
        <n v="0.0456334315527376"/>
        <n v="0.0718533358588105"/>
        <n v="0.11634099595832"/>
        <n v="0.0648369215994873"/>
        <n v="0.0617748293678684"/>
        <n v="0.159363182925832"/>
        <n v="0.120469231167677"/>
        <n v="0.100988863077968"/>
        <n v="0.0821445991292621"/>
        <n v="0.0548928793241029"/>
        <n v="0.107811673069977"/>
        <n v="0.103273152889747"/>
        <n v="0.123688719747195"/>
        <n v="0.191873360104489"/>
        <n v="0.109819364872602"/>
        <n v="0.0989072250603461"/>
        <n v="0.13351861287257"/>
        <n v="0.09282813362905"/>
        <n v="0.285810826766357"/>
        <n v="0.226260802003432"/>
        <n v="0.123582319808932"/>
        <n v="0.251922258710567"/>
        <n v="0.237396869484586"/>
        <n v="0.249658297608427"/>
        <n v="0.121033875488244"/>
        <n v="0.0931720269530456"/>
        <n v="0.113773654221701"/>
        <n v="0.154673323058797"/>
        <n v="0.0890706464796768"/>
        <n v="0.0710027554812407"/>
        <n v="0.105009480565523"/>
        <n v="0.114219960690909"/>
        <n v="0.197603293591247"/>
        <n v="0.120701667979384"/>
        <n v="0.144458687244232"/>
        <n v="0.21874307458624"/>
        <n v="0.0893855260453446"/>
        <n v="0.0408279595148231"/>
        <n v="0.102584037455623"/>
        <n v="0.132173144996753"/>
        <n v="0.112895927735189"/>
        <n v="0.274392237617852"/>
        <n v="0.217219641605271"/>
        <n v="0.112411004075541"/>
        <n v="0.130370755343735"/>
        <n v="0.263496259520231"/>
        <n v="0.122799122656574"/>
        <n v="0.26023875152446"/>
        <n v="0.132324525535769"/>
        <n v="0.233626740062411"/>
        <n v="0.135476895419674"/>
        <n v="0.109029054044871"/>
        <n v="0.0750540875462565"/>
        <n v="0.105196374000493"/>
        <n v="0.193634724745178"/>
        <n v="0.0984112061958514"/>
        <n v="0.204600354343067"/>
        <n v="0.0330003201376859"/>
        <n v="0.0983812237970932"/>
        <n v="0.239466919157766"/>
        <n v="0.0788693165554506"/>
        <n v="0.0546377401179125"/>
        <n v="0.107702011548213"/>
        <n v="0.0989071864676862"/>
        <n v="0.0739424979235272"/>
        <n v="0.225748121551385"/>
        <n v="0.0957747460996112"/>
        <n v="0.282166004043828"/>
        <n v="0.110018838958404"/>
        <n v="0.0638514746933981"/>
        <n v="0.0933252316552319"/>
        <n v="0.24170330998348"/>
        <n v="0.0405084688577948"/>
        <n v="0.141122125955135"/>
        <n v="0.132573480779236"/>
        <n v="0.0700299125113996"/>
        <n v="0.0586502455956327"/>
        <n v="0.120858449816458"/>
        <n v="0.0760488091818489"/>
        <n v="0.079954456212146"/>
        <n v="0.122072954370305"/>
        <n v="0.0458298050629359"/>
        <n v="0.0699006068543423"/>
        <n v="0.1339605915707"/>
        <n v="0.195243661911222"/>
        <n v="0.115689850961446"/>
        <n v="0.159822374410447"/>
        <n v="0.143565067800867"/>
        <n v="0.0845980808788233"/>
        <n v="0.0902849532776705"/>
        <n v="0.11592621149892"/>
        <n v="0.255483924544675"/>
        <n v="0.237220163429873"/>
        <n v="0.135374330094257"/>
        <n v="0.0388360728751063"/>
        <n v="0.162053294232616"/>
        <n v="0.0422006996546361"/>
        <n v="0.0954050836523069"/>
        <n v="0.0974407420081935"/>
        <n v="0.212368929822877"/>
        <n v="0.177646427932786"/>
        <n v="0.0974689026889453"/>
        <n v="0.0610113423912573"/>
        <n v="0.0698149995320422"/>
        <n v="0.116680077884047"/>
        <n v="0.269403180954058"/>
        <n v="0.107128293905954"/>
        <n v="0.238978950959179"/>
        <n v="0.239793375315659"/>
        <n v="0.105170089262672"/>
        <n v="0.118269201346099"/>
        <n v="0.0643777143754612"/>
        <n v="0.0532118469212599"/>
        <n v="0.0424448210114764"/>
        <n v="0.235164473242784"/>
        <n v="0.198101166532815"/>
        <n v="0.103737440397363"/>
        <n v="0.101387495611097"/>
        <n v="0.15049522082077"/>
        <n v="0.121976876732834"/>
        <n v="0.120090654732488"/>
        <n v="0.110936711392172"/>
        <n v="0.180018802607749"/>
        <n v="0.133167302064464"/>
        <n v="0.0748420475637168"/>
        <n v="0.210908671351005"/>
        <n v="0.144395367077438"/>
        <n v="0.231407486064601"/>
        <n v="0.071990730330425"/>
        <n v="0.138033519151144"/>
        <n v="0.270436016054193"/>
        <n v="0.05793413195857"/>
        <n v="0.108326759497055"/>
        <n v="0.117014962055448"/>
        <n v="0.077025513238615"/>
        <n v="0.284045266935503"/>
        <n v="0.288461167837022"/>
        <n v="0.219545843531808"/>
        <n v="0.152872443437401"/>
        <n v="0.10810085129168"/>
        <n v="0.0995846637685076"/>
        <n v="0.0530034780807413"/>
        <n v="0.125092363685949"/>
        <n v="0.0643868320670743"/>
        <n v="0.100316432225896"/>
        <n v="0.038664456538946"/>
        <n v="0.0784331147025776"/>
        <n v="0.0714899729265952"/>
        <n v="0.0483716835108577"/>
        <n v="0.0437700683767782"/>
        <n v="0.0240783330253816"/>
        <n v="0.0642668838948179"/>
        <n v="0.06522851245693"/>
        <n v="0.0437429543323325"/>
        <n v="0.0576516459883999"/>
        <n v="0.222453640601613"/>
        <n v="0.129944400687802"/>
        <n v="0.0643514902802975"/>
        <n v="0.103167530748274"/>
        <n v="0.241675628260894"/>
        <n v="0.0607603195672456"/>
        <n v="0.130923860918379"/>
        <n v="0.102069398835337"/>
        <n v="0.235400873559495"/>
        <n v="0.275422820649977"/>
        <n v="0.0756437826336616"/>
        <n v="0.0635375037792384"/>
        <n v="0.044516256568021"/>
        <n v="0.0435901126611862"/>
        <n v="0.0485651334116609"/>
        <n v="0.14547270477412"/>
        <n v="0.0783067701575215"/>
        <n v="0.225693350455238"/>
        <n v="0.0950007121312529"/>
        <n v="0.263273195502006"/>
        <n v="0.109593675751504"/>
        <n v="0.176743660187399"/>
        <n v="0.082042842356407"/>
        <n v="0.169565164426662"/>
        <n v="0.100762199739997"/>
        <n v="0.198626433047329"/>
        <n v="0.198096243776408"/>
        <n v="0.184104378901165"/>
        <n v="0.115173398971894"/>
        <n v="0.101975436652106"/>
        <n v="0.0458606523805807"/>
        <n v="0.115590691926315"/>
        <n v="0.0715673073812386"/>
        <n v="0.0522353123733958"/>
        <n v="0.0815977462108711"/>
        <n v="0.100435513732817"/>
        <n v="0.0812921049866351"/>
        <n v="0.108938054116198"/>
        <n v="0.0668729559171768"/>
        <n v="0.0653100371141865"/>
        <n v="0.0889566727795155"/>
        <n v="0.0590095503890153"/>
        <n v="0.17565745612633"/>
        <n v="0.166731076081223"/>
        <n v="0.046020450526154"/>
        <n v="0.170394460897856"/>
        <n v="0.105149486432326"/>
        <n v="0.0801113909664974"/>
        <n v="0.242958808566413"/>
        <n v="0.071216576273526"/>
        <n v="0.169966899288794"/>
        <n v="0.125968172929095"/>
        <n v="0.106493760672126"/>
        <n v="0.109885989388757"/>
        <n v="0.1667362707811"/>
        <n v="0.237545981909366"/>
        <n v="0.0623883479036989"/>
        <n v="0.0846956924800275"/>
        <n v="0.159529237455504"/>
        <n v="0.0771245256194198"/>
        <n v="0.0723293774436738"/>
        <n v="0.135233772069259"/>
        <n v="0.0883982693787864"/>
        <n v="0.0703144626551742"/>
        <n v="0.0746234712742937"/>
        <n v="0.119150938281668"/>
        <n v="0.0732314041737881"/>
        <n v="0.119821593125525"/>
        <n v="0.13382457881202"/>
        <n v="0.109763746850396"/>
        <n v="0.0444544843561829"/>
        <n v="0.0476772667203712"/>
        <n v="0.0757247611503486"/>
        <n v="0.142733853015311"/>
        <n v="0.0637431141057063"/>
        <n v="0.0672020081877887"/>
        <n v="0.078538338203925"/>
        <n v="0.0530507556069544"/>
        <n v="0.0773852709435059"/>
        <n v="0.0861487221876953"/>
        <n v="0.0886077696715212"/>
        <n v="0.0720912423589955"/>
        <n v="0.0718451262632201"/>
        <n v="0.0632550020906134"/>
        <n v="0.135474490080207"/>
        <n v="0.101092289583212"/>
        <n v="0.0786502495693408"/>
        <n v="0.0974756051209843"/>
        <n v="0.271584322067369"/>
        <n v="0.0805723164563277"/>
        <n v="0.0703108472010662"/>
        <n v="0.0746157934383174"/>
        <n v="0.0883984550702818"/>
        <n v="0.0723372407285629"/>
        <n v="0.135231553400411"/>
        <n v="0.0436767749052616"/>
        <n v="0.0660222198584588"/>
        <n v="0.0750537360909027"/>
        <n v="0.0425045380721117"/>
        <n v="0.0553713075099513"/>
        <n v="0.263798515746717"/>
        <n v="0.129823346532747"/>
        <n v="0.0943160323839521"/>
        <n v="0.112203285870076"/>
        <n v="0.215427024534278"/>
        <n v="0.184109743719303"/>
        <n v="0.114785780947012"/>
        <n v="0.237471007319844"/>
        <n v="0.24638715129657"/>
        <n v="0.0475865685120382"/>
        <n v="0.0728432313235404"/>
        <n v="0.0839730805976612"/>
        <n v="0.079285626326186"/>
        <n v="0.186371526157413"/>
        <n v="0.046065108632159"/>
        <n v="0.228996048141472"/>
        <n v="0.254682409627019"/>
        <n v="0.102314985180197"/>
        <n v="0.098577072947837"/>
        <n v="0.233417227302409"/>
        <n v="0.106934080797691"/>
        <n v="0.0698616769380367"/>
        <n v="0.155551836945781"/>
        <n v="0.0628122077145324"/>
        <n v="0.155237393257821"/>
        <n v="0.198663291390177"/>
        <n v="0.060134304530529"/>
        <n v="0.104484598021702"/>
        <n v="0.122849341785899"/>
        <n v="0.113436609548275"/>
        <n v="0.248610423658757"/>
        <n v="0.109628830391038"/>
        <n v="0.100839540754747"/>
        <n v="0.0972742880775386"/>
        <n v="0.228851344438419"/>
        <n v="0.156361618126407"/>
        <n v="0.122205501542542"/>
        <n v="0.0607214241304516"/>
        <n v="0.272563089637962"/>
        <n v="0.0723731227828576"/>
        <n v="0.134187221487098"/>
        <n v="0.249218581116186"/>
        <n v="0.276284083902086"/>
        <n v="0.0991302195894818"/>
        <n v="0.112900764198013"/>
        <n v="0.278572655070115"/>
        <n v="0.144856924967562"/>
        <n v="0.0974498121010213"/>
        <n v="0.0720091862268718"/>
        <n v="0.222095272878184"/>
        <n v="0.0734547039169959"/>
        <n v="0.100073626945965"/>
        <n v="0.0791243901448306"/>
        <n v="0.0737657493810761"/>
        <n v="0.283350984515192"/>
        <n v="0.0993559504669437"/>
        <n v="0.115754004284554"/>
        <n v="0.235993892031494"/>
        <n v="0.247161202621993"/>
        <n v="0.221136524162636"/>
        <n v="0.0693840500408506"/>
        <n v="0.134320281828146"/>
        <n v="0.0673930964913818"/>
        <n v="0.10718539038337"/>
        <n v="0.120408561709929"/>
        <n v="0.253114969589473"/>
        <n v="0.0960132276534451"/>
        <n v="0.148377854328779"/>
        <n v="0.247612161225964"/>
        <n v="0.245146592495633"/>
        <n v="0.258228958316927"/>
        <n v="0.0736882540394326"/>
        <n v="0.129266971726037"/>
        <n v="0.126178966479281"/>
        <n v="0.238988889786943"/>
        <n v="0.203771028907926"/>
        <n v="0.104409129095953"/>
        <n v="0.239507520280367"/>
        <n v="0.0434962151648573"/>
        <n v="0.0865017387630603"/>
        <n v="0.250378693425962"/>
        <n v="0.100842937123506"/>
        <n v="0.225458385308249"/>
        <n v="0.110755080713783"/>
        <n v="0.123861464839612"/>
        <n v="0.138015363825288"/>
        <n v="0.12228661069803"/>
        <n v="0.0698170425365039"/>
        <n v="0.227039962347847"/>
        <n v="0.139950697245983"/>
        <n v="0.244893516556199"/>
        <n v="0.282991588277071"/>
        <n v="0.121211730125403"/>
        <n v="0.242637872525491"/>
        <n v="0.0952599809805671"/>
        <n v="0.0620967204433023"/>
        <n v="0.239552781305223"/>
        <n v="0.121246609877977"/>
        <n v="0.236547326161598"/>
        <n v="0.102345371317566"/>
        <n v="0.104461591152107"/>
        <n v="0.1022031530372"/>
        <n v="0.0922464791665337"/>
        <n v="0.260041289022393"/>
        <n v="0.132465951470868"/>
        <n v="0.0503875008993665"/>
        <n v="0.255020041106051"/>
        <n v="0.149415177362512"/>
        <n v="0.0524861731883863"/>
        <n v="0.220759083272267"/>
        <n v="0.0385216285208883"/>
        <n v="0.0878843218427295"/>
        <n v="0.0865369531101498"/>
        <n v="0.08464245696138"/>
        <n v="0.0973683848567525"/>
        <n v="0.254917195378789"/>
        <n v="0.143721942389495"/>
        <n v="0.289910565777571"/>
        <n v="0.16128151273154"/>
        <n v="0.0746509565261476"/>
        <n v="0.171674585493145"/>
        <n v="0.185276906513151"/>
        <n v="0.0500039275045693"/>
        <n v="0.0729932235260519"/>
        <n v="0.0445474184386025"/>
        <n v="0.0397501903584404"/>
        <n v="0.0717654487746392"/>
        <n v="0.0509120705675168"/>
        <n v="0.179497017086417"/>
        <n v="0.141788055013565"/>
        <n v="0.286850045744738"/>
        <n v="0.0733170434280927"/>
        <n v="0.155073017636154"/>
        <n v="0.111100454535541"/>
        <n v="0.245313744364481"/>
        <n v="0.0830062904668117"/>
        <n v="0.116645918798043"/>
        <n v="0.107445474068474"/>
        <n v="0.12870121733204"/>
        <n v="0.0872995923282074"/>
        <n v="0.154390776840903"/>
        <n v="0.149343047629167"/>
        <n v="0.084874367193403"/>
        <n v="0.291457311302523"/>
        <n v="0.0681456658801242"/>
        <n v="0.122340175878642"/>
        <n v="0.108558604446556"/>
        <n v="0.235605587921216"/>
        <n v="0.154810254984391"/>
        <n v="0.115401605595348"/>
        <n v="0.109458244085968"/>
        <n v="0.0651573147082486"/>
        <n v="0.0839440984870383"/>
        <n v="0.0434721414978117"/>
        <n v="0.132699336782296"/>
        <n v="0.0814716800527982"/>
        <n v="0.0838908737590325"/>
        <n v="0.0949368497317454"/>
        <n v="0.090095027664591"/>
        <n v="0.0826567908432301"/>
        <n v="0.0535994270999584"/>
        <n v="0.0872175209471696"/>
        <n v="0.131776274138736"/>
        <n v="0.119667779301114"/>
        <n v="0.0776216620076478"/>
        <n v="0.184768604135538"/>
        <n v="0.12705845995031"/>
        <n v="0.0778450045744358"/>
        <n v="0.116147344831911"/>
        <n v="0.0632866790944078"/>
        <n v="0.0747653846071429"/>
        <n v="0.121197988141511"/>
        <n v="0.084804299875889"/>
        <n v="0.102089681900531"/>
        <n v="0.0922591585198251"/>
        <n v="0.154017488737167"/>
        <n v="0.287645017425842"/>
        <n v="0.0628615080088823"/>
        <n v="0.0725169412176088"/>
        <n v="0.150204897572973"/>
        <n v="0.152897583602746"/>
        <n v="0.171124454272822"/>
        <n v="0.0907346000823819"/>
        <n v="0.112624391013241"/>
        <n v="0.103055941534861"/>
        <n v="0.064027130258556"/>
        <n v="0.078242888526861"/>
        <n v="0.0447693369393319"/>
        <n v="0.0839993859953904"/>
        <n v="0.122010860457708"/>
        <n v="0.0911120258470959"/>
        <n v="0.0738892655735833"/>
        <n v="0.0846016972697958"/>
        <n v="0.084065495094489"/>
        <n v="0.0516951904700978"/>
        <n v="0.114142296272192"/>
        <n v="0.138108331546103"/>
        <n v="0.0493065374032899"/>
        <n v="0.0888533720007095"/>
        <n v="0.0814479252080188"/>
        <n v="0.0687104382281128"/>
        <n v="0.0868311441323989"/>
        <n v="0.022937375156072"/>
        <n v="0.0996941623653588"/>
        <n v="0.0563474753443752"/>
        <n v="0.142746023417969"/>
        <n v="0.103626515467435"/>
        <n v="0.0522772605980794"/>
        <n v="0.0775767739622525"/>
        <n v="0.0967949437269295"/>
        <n v="0.0232356552749035"/>
        <n v="0.0606468584048768"/>
        <n v="0.0848672359029419"/>
        <n v="0.0465010850566049"/>
        <n v="0.0752700017804026"/>
        <n v="0.137985078288607"/>
        <n v="0.0601578946967908"/>
        <n v="0.120619089215067"/>
        <n v="0.0657724717666278"/>
        <n v="0.0576238095331908"/>
        <n v="0.0755408260271737"/>
        <n v="0.0493488007816965"/>
        <n v="0.109976200813935"/>
        <n v="0.0761845015424112"/>
        <n v="0.0630468340877653"/>
        <n v="0.0638343743746789"/>
        <n v="0.106938739301018"/>
        <n v="0.0422801151359666"/>
        <n v="0.0397068196536016"/>
        <n v="0.0676198279074677"/>
        <n v="0.106838294493391"/>
        <n v="0.0471223582342022"/>
        <n v="0.0745875790605955"/>
        <n v="0.0381912455382084"/>
        <n v="0.0651767364239345"/>
        <n v="0.113395610947836"/>
        <n v="0.170675136974266"/>
        <n v="0.133157416976071"/>
        <n v="0.124898921924128"/>
        <n v="0.0634477245675877"/>
      </sharedItems>
    </cacheField>
    <cacheField name="result's silhouette mean" numFmtId="164">
      <sharedItems containsSemiMixedTypes="0" containsString="0" containsNumber="1">
        <n v="0.6245779964422209"/>
        <n v="0.6210353269916786"/>
        <n v="0.6136725716607296"/>
        <n v="0.6194326332732853"/>
        <n v="0.6374207623156789"/>
        <n v="0.6229473170694734"/>
        <n v="0.6315057768258978"/>
        <n v="0.6288075985210925"/>
        <n v="0.0"/>
        <n v="0.6330431959700025"/>
        <n v="0.46386053490888096"/>
        <n v="0.5369233815327352"/>
        <n v="0.41190468819742776"/>
        <n v="0.5397514724806463"/>
        <n v="0.5590690615325377"/>
        <n v="0.6678544374487824"/>
        <n v="0.4987117293628673"/>
        <n v="0.6284890422642452"/>
        <n v="0.6549293875866852"/>
        <n v="0.5532391933447957"/>
        <n v="0.5517366281101485"/>
        <n v="0.5615194730950905"/>
        <n v="0.36817810178603827"/>
        <n v="0.547410800630374"/>
        <n v="0.3826309415905178"/>
        <n v="0.6341612925419868"/>
        <n v="0.6502609796605648"/>
        <n v="0.3575865761740613"/>
        <n v="0.5359969047974784"/>
        <n v="0.3348777704901599"/>
        <n v="0.5513874362682338"/>
        <n v="0.5649406678079533"/>
        <n v="0.4397547155871564"/>
        <n v="0.5385618282637267"/>
        <n v="0.6194639268295022"/>
        <n v="0.3740417576418106"/>
        <n v="0.6777450477737093"/>
        <n v="0.6368329157380643"/>
        <n v="0.5629784198552634"/>
        <n v="0.6541544170237312"/>
        <n v="0.47563019661796435"/>
        <n v="0.5407725912828862"/>
        <n v="0.5108379287774107"/>
        <n v="0.5274078531511053"/>
        <n v="0.4522771752217952"/>
        <n v="0.6591830731913502"/>
        <n v="0.5490270660331278"/>
        <n v="0.4466035381988306"/>
        <n v="0.5487705047326299"/>
        <n v="0.42776215206761126"/>
        <n v="0.5081039569170797"/>
        <n v="0.5304604999476632"/>
        <n v="0.5471564433068273"/>
        <n v="0.43756171647711284"/>
        <n v="0.6663314727383718"/>
        <n v="0.6622735472442116"/>
        <n v="0.5264363746392412"/>
        <n v="0.6578360303807083"/>
        <n v="0.5703573911198452"/>
        <n v="0.5576958265594831"/>
        <n v="0.5463905320102465"/>
        <n v="0.545326840959121"/>
        <n v="0.6481149028642313"/>
        <n v="0.6479875928661661"/>
        <n v="0.40051848877455926"/>
        <n v="0.47537811104407324"/>
        <n v="0.6457157248101473"/>
        <n v="0.42060265369354555"/>
        <n v="0.5214673231728423"/>
        <n v="0.5130139038733448"/>
        <n v="0.46444069076145766"/>
        <n v="0.4950795086699438"/>
        <n v="0.5402564474709937"/>
        <n v="0.5302285280065752"/>
        <n v="0.5262096205140858"/>
        <n v="0.5134516684511377"/>
        <n v="0.557246135776082"/>
        <n v="0.4069889438142377"/>
        <n v="0.6316901729768989"/>
        <n v="0.5877713980645864"/>
        <n v="0.5189233738108406"/>
        <n v="0.5034163919803333"/>
        <n v="0.3493217239346301"/>
        <n v="0.646881985382569"/>
        <n v="0.6512051348848281"/>
        <n v="0.43385264218530856"/>
        <n v="0.6599157386928567"/>
        <n v="0.640584100427352"/>
        <n v="0.651392457168252"/>
        <n v="0.4018852932975072"/>
        <n v="0.6249666739288102"/>
        <n v="0.6506905758024611"/>
        <n v="0.5274362656657315"/>
        <n v="0.6643459608921738"/>
        <n v="0.48112870524855006"/>
        <n v="0.6431889851402192"/>
        <n v="0.40753601065741235"/>
        <n v="0.5431292798880026"/>
        <n v="0.46900243369831013"/>
        <n v="0.5484093296302287"/>
        <n v="0.6641097054220942"/>
        <n v="0.4080328521496465"/>
        <n v="0.4705247002960128"/>
        <n v="0.4686739360970413"/>
        <n v="0.32098835813114035"/>
        <n v="0.52464701652346"/>
        <n v="0.4383005238214531"/>
        <n v="0.5041734469003115"/>
        <n v="0.5268943082306466"/>
        <n v="0.3968981147350933"/>
        <n v="0.6462471285613466"/>
        <n v="0.5173928449327575"/>
        <n v="0.6522151110792699"/>
        <n v="0.6099045839191838"/>
        <n v="0.6913536519727301"/>
        <n v="0.3613019559692261"/>
        <n v="0.5564035498858099"/>
        <n v="0.6841883457006348"/>
        <n v="0.669025525304246"/>
        <n v="0.45203273019423895"/>
        <n v="0.5984071139744016"/>
        <n v="0.5293713386864646"/>
        <n v="0.533280792155211"/>
        <n v="0.6506080421606376"/>
        <n v="0.5301742678325269"/>
        <n v="0.5700892267357606"/>
        <n v="0.45832589341901464"/>
        <n v="0.6349174850512821"/>
        <n v="0.4873626593155075"/>
        <n v="0.5550356621562115"/>
        <n v="0.5530385437054535"/>
        <n v="0.5239531217408804"/>
        <n v="0.3537853585104306"/>
        <n v="0.3775569726777408"/>
        <n v="0.6385289287193785"/>
        <n v="0.6400318042681604"/>
        <n v="0.6732311019624706"/>
        <n v="0.40780241035732223"/>
        <n v="0.5622345667818835"/>
        <n v="0.5000806937877724"/>
        <n v="0.5682744447635091"/>
        <n v="0.5984995998945559"/>
        <n v="0.4605628955006069"/>
        <n v="0.5396020691374341"/>
        <n v="0.6687131161786078"/>
        <n v="0.4581349336285955"/>
        <n v="0.42601055227399404"/>
        <n v="0.4939814788322966"/>
        <n v="0.6943690667701227"/>
        <n v="0.48659947790316416"/>
        <n v="0.6591826592127062"/>
        <n v="0.3745210531701707"/>
        <n v="0.5350039415044847"/>
        <n v="0.42256426894725996"/>
        <n v="0.6418595424653122"/>
        <n v="0.3972398817217942"/>
        <n v="0.3947052081909474"/>
        <n v="0.4609202634966036"/>
        <n v="0.5805170589459917"/>
        <n v="0.6669394164162415"/>
        <n v="0.44027816351425597"/>
        <n v="0.5425280941194381"/>
        <n v="0.6392507756077929"/>
        <n v="0.549018756550115"/>
        <n v="0.39780773069671127"/>
        <n v="0.5712168809578178"/>
        <n v="0.5079251334918903"/>
        <n v="0.6583764023201878"/>
        <n v="0.4139304401696517"/>
        <n v="0.5804857329375255"/>
        <n v="0.5630803758060153"/>
        <n v="0.5280758818991955"/>
        <n v="0.5775123417459255"/>
        <n v="0.5786135484251453"/>
        <n v="0.43372732760108124"/>
        <n v="0.5802901966692284"/>
        <n v="0.4241827019785006"/>
        <n v="0.4538666718894319"/>
        <n v="0.6623488520439189"/>
        <n v="0.33765885643031573"/>
        <n v="0.663384068130242"/>
        <n v="0.45194233508340753"/>
        <n v="0.6696636425293928"/>
        <n v="0.49524354937284043"/>
        <n v="0.47242975717091984"/>
        <n v="0.4896352227309331"/>
        <n v="0.37697206711017167"/>
        <n v="0.42434409608973256"/>
        <n v="0.6354164586411666"/>
        <n v="0.4566103412187047"/>
        <n v="0.42393838142807627"/>
        <n v="0.6361581367068733"/>
        <n v="0.33669042528145293"/>
        <n v="0.3320882870913794"/>
        <n v="0.5018045990385218"/>
        <n v="0.5724279516687736"/>
        <n v="0.4418885927377369"/>
        <n v="0.6216370571083988"/>
        <n v="0.6650236537476089"/>
        <n v="0.4544936687329262"/>
        <n v="0.39289645320784006"/>
        <n v="0.5789741281659138"/>
        <n v="0.43760148088908213"/>
        <n v="0.4579661433331802"/>
        <n v="0.64831249925035"/>
        <n v="0.6205583449080232"/>
        <n v="0.515811158980356"/>
        <n v="0.6174819106518151"/>
        <n v="0.658592475444789"/>
        <n v="0.3995546755492498"/>
        <n v="0.48819572388450616"/>
        <n v="0.44642355935450856"/>
        <n v="0.4321910573836294"/>
        <n v="0.5405997682630527"/>
        <n v="0.4685306583225378"/>
        <n v="0.37806167124547174"/>
        <n v="0.5267951804168596"/>
        <n v="0.5500061260965343"/>
        <n v="0.47891570593402727"/>
        <n v="0.5910246640456813"/>
        <n v="0.5413086736180037"/>
        <n v="0.5236213601111007"/>
        <n v="0.4129515950376967"/>
        <n v="0.6679756469737763"/>
        <n v="0.4010769710509544"/>
        <n v="0.41551456248796254"/>
        <n v="0.5512690879731054"/>
        <n v="0.569758109527627"/>
        <n v="0.41294963810990915"/>
        <n v="0.3630205676660225"/>
        <n v="0.5434597332380984"/>
        <n v="0.4064776557889497"/>
        <n v="0.5466913760783755"/>
        <n v="0.5357588718466427"/>
        <n v="0.5707073455853989"/>
        <n v="0.31160741144689524"/>
        <n v="0.5773724092532782"/>
        <n v="0.6219154964765904"/>
        <n v="0.6594250808777631"/>
        <n v="0.5482458972277785"/>
        <n v="0.5669432853258927"/>
        <n v="0.5641693403128971"/>
        <n v="0.44877060170696126"/>
        <n v="0.4855816041148264"/>
        <n v="0.35115993718092087"/>
        <n v="0.6162538865809344"/>
        <n v="0.6447306400606075"/>
        <n v="0.3884461452563549"/>
        <n v="0.5684544395905136"/>
        <n v="0.47527436010943225"/>
        <n v="0.5616227659027657"/>
        <n v="0.5247375589629997"/>
        <n v="0.46279246249078365"/>
        <n v="0.5168077947020528"/>
        <n v="0.5441762091147078"/>
        <n v="0.5341325752394621"/>
        <n v="0.5136753909953777"/>
        <n v="0.4139458197345582"/>
        <n v="0.5904878773415162"/>
        <n v="0.5355324427724789"/>
        <n v="0.4522557762494877"/>
        <n v="0.606350518026076"/>
        <n v="0.3528402028470127"/>
        <n v="0.6483797092796877"/>
        <n v="0.5849697254966681"/>
        <n v="0.45605344989812985"/>
        <n v="0.6107018854881417"/>
        <n v="0.5359595262255263"/>
        <n v="0.6272102252444942"/>
        <n v="0.6345416955060346"/>
        <n v="0.4636818828453249"/>
        <n v="0.662535604913894"/>
        <n v="0.6371117855446382"/>
        <n v="0.6333276621914347"/>
        <n v="0.6497033602921102"/>
        <n v="0.3934008173065262"/>
        <n v="0.4537828538902621"/>
        <n v="0.5249150408792422"/>
        <n v="0.4573557882914014"/>
        <n v="0.5383556797131326"/>
        <n v="0.6416167704769394"/>
        <n v="0.6902618421583004"/>
        <n v="0.5992403801485814"/>
        <n v="0.6687688324774842"/>
        <n v="0.6459138074905957"/>
        <n v="0.6519663136339678"/>
        <n v="0.6850747279781706"/>
        <n v="0.518851780537864"/>
        <n v="0.527695512413904"/>
        <n v="0.6116489941487339"/>
        <n v="0.6720183028296578"/>
        <n v="0.6687019660818253"/>
        <n v="0.5085509281026334"/>
        <n v="0.579140925444166"/>
        <n v="0.6496338762086631"/>
        <n v="0.5667474006689053"/>
        <n v="0.5575668881929434"/>
        <n v="0.641529534720936"/>
        <n v="0.669630647708557"/>
        <n v="0.3044422354067943"/>
        <n v="0.5446466120492053"/>
        <n v="0.5454148425324054"/>
        <n v="0.36483646112238055"/>
        <n v="0.5336985763765613"/>
        <n v="0.5418650338575989"/>
        <n v="0.6608227868628918"/>
        <n v="0.6793206292830604"/>
        <n v="0.5327523083141993"/>
        <n v="0.646120335544077"/>
        <n v="0.5787144150958898"/>
        <n v="0.6015827818810635"/>
        <n v="0.5293013469242008"/>
        <n v="0.4826143737755585"/>
        <n v="0.4390906308838267"/>
        <n v="0.5125649585101091"/>
        <n v="0.5119936881532874"/>
        <n v="0.6221244412563582"/>
        <n v="0.6598213699577844"/>
        <n v="0.635516642595281"/>
        <n v="0.5420378638347204"/>
        <n v="0.353967587432735"/>
        <n v="0.6446361924331978"/>
        <n v="0.6077890303375746"/>
        <n v="0.5199781030902478"/>
        <n v="0.46440019551002915"/>
        <n v="0.553332868707572"/>
        <n v="0.5892678178523711"/>
        <n v="0.5649848969817863"/>
        <n v="0.6540534532471246"/>
        <n v="0.5937208412554814"/>
        <n v="0.596270186527935"/>
        <n v="0.5900328042591496"/>
        <n v="0.4642461484135798"/>
        <n v="0.51157268490079"/>
        <n v="0.595599852304299"/>
        <n v="0.664391038135101"/>
        <n v="0.480082126757052"/>
        <n v="0.48962460715711414"/>
        <n v="0.6355600311708679"/>
        <n v="0.646213135242492"/>
        <n v="0.5267856908827512"/>
        <n v="0.5504046139944655"/>
        <n v="0.4889870711370154"/>
        <n v="0.5652581082533213"/>
        <n v="0.5811809321082272"/>
        <n v="0.5515665465760065"/>
        <n v="0.380529481181187"/>
        <n v="0.48700809856577604"/>
        <n v="0.6007169780093177"/>
        <n v="0.5700334665146165"/>
        <n v="0.6288883545161326"/>
        <n v="0.4984001149903122"/>
        <n v="0.561743881831621"/>
        <n v="0.45588971897463615"/>
        <n v="0.5757341318788813"/>
        <n v="0.5721719888684326"/>
        <n v="0.4671531740690552"/>
        <n v="0.4167986909338956"/>
        <n v="0.47759972191274896"/>
        <n v="0.6436482865378024"/>
        <n v="0.49530431282958975"/>
        <n v="0.6010201603005736"/>
        <n v="0.6196905762832461"/>
        <n v="0.44437181215872723"/>
        <n v="0.4918656187695875"/>
        <n v="0.4407577137881248"/>
        <n v="0.4868570479564266"/>
        <n v="0.6443896237411313"/>
        <n v="0.5312032751205027"/>
        <n v="0.44935908798838337"/>
        <n v="0.5078170456278698"/>
        <n v="0.5370363777182346"/>
        <n v="0.6376158520510395"/>
        <n v="0.5699387212817539"/>
        <n v="0.4264983918087074"/>
        <n v="0.5771481009705461"/>
        <n v="0.43880602371477756"/>
        <n v="0.6746563671336838"/>
        <n v="0.507161576464888"/>
        <n v="0.4245133381622967"/>
        <n v="0.4311176276779416"/>
        <n v="0.6507355906492321"/>
        <n v="0.48542290776173624"/>
        <n v="0.5725995673769153"/>
        <n v="0.6499767119858817"/>
        <n v="0.41500507379959"/>
        <n v="0.6576721105587146"/>
        <n v="0.543179291547269"/>
        <n v="0.4689292133863077"/>
        <n v="0.46604762691692236"/>
        <n v="0.5931207439903179"/>
        <n v="0.44821166851305705"/>
        <n v="0.6338107955139273"/>
        <n v="0.43360253288978334"/>
        <n v="0.46181768374620624"/>
        <n v="0.43096359814585694"/>
        <n v="0.4393708790674859"/>
        <n v="0.45052785510767207"/>
        <n v="0.5398722946571819"/>
        <n v="0.49885973123224286"/>
        <n v="0.4427825765633976"/>
        <n v="0.409927792695327"/>
        <n v="0.610424107664578"/>
        <n v="0.5519399454924102"/>
        <n v="0.6238006533178233"/>
        <n v="0.44789050982613715"/>
        <n v="0.6367012511761744"/>
        <n v="0.5375447752068601"/>
        <n v="0.5202320099025298"/>
        <n v="0.5578371026211586"/>
        <n v="0.5709441202208535"/>
        <n v="0.5564732488925299"/>
        <n v="0.5570823640995494"/>
        <n v="0.4898410965504623"/>
        <n v="0.689977351529759"/>
        <n v="0.5537921952162305"/>
        <n v="0.6769488870458418"/>
        <n v="0.4612986836118854"/>
        <n v="0.4324370343094442"/>
        <n v="0.6353374958308631"/>
        <n v="0.5654539582591592"/>
        <n v="0.6241620251047802"/>
        <n v="0.44322255284347456"/>
        <n v="0.5358541985490064"/>
        <n v="0.4828730192499934"/>
        <n v="0.6507240910422898"/>
        <n v="0.46324716624331985"/>
        <n v="0.6163253749113575"/>
        <n v="0.5501224732341521"/>
        <n v="0.6518543681410904"/>
        <n v="0.45786685906410957"/>
        <n v="0.6330697080086349"/>
        <n v="0.5368228620275033"/>
        <n v="0.5471075403053269"/>
        <n v="0.6632759955339251"/>
        <n v="0.5435418562375751"/>
        <n v="0.5337956131377734"/>
        <n v="0.44844511103368145"/>
        <n v="0.6405913191995884"/>
        <n v="0.5687448951219994"/>
        <n v="0.5601092486128713"/>
        <n v="0.5198790791127591"/>
        <n v="0.5444105842990503"/>
        <n v="0.555208321254299"/>
        <n v="0.48090240715265953"/>
        <n v="0.6590979276343917"/>
        <n v="0.5624517021028559"/>
        <n v="0.485967524900422"/>
        <n v="0.5554097594244697"/>
        <n v="0.5486249557244802"/>
        <n v="0.5981753056616916"/>
        <n v="0.5744897415915643"/>
        <n v="0.5646558609650714"/>
        <n v="0.5425852856211905"/>
        <n v="0.4394196706493971"/>
        <n v="0.5970489565064852"/>
        <n v="0.5374493334855266"/>
        <n v="0.5182405124359044"/>
        <n v="0.5445861205953507"/>
        <n v="0.6260392230017526"/>
        <n v="0.5476611489473939"/>
        <n v="0.6544649516484743"/>
        <n v="0.4780393554693432"/>
        <n v="0.6476574334602925"/>
        <n v="0.6471463437877153"/>
        <n v="0.5679589025387607"/>
        <n v="0.512160464067086"/>
        <n v="0.5701461867446806"/>
        <n v="0.5441719248091424"/>
        <n v="0.5720821370335123"/>
        <n v="0.565885391368113"/>
        <n v="0.35454950905428867"/>
        <n v="0.5615031953908071"/>
        <n v="0.4859506800976329"/>
        <n v="0.6422247920435709"/>
        <n v="0.47790761224736633"/>
        <n v="0.5506299632973018"/>
        <n v="0.3964100523067152"/>
        <n v="0.5524625685763501"/>
        <n v="0.4348930852967906"/>
        <n v="0.5475833999973305"/>
        <n v="0.5702904849292268"/>
        <n v="0.6343504169841744"/>
        <n v="0.5130803977458883"/>
        <n v="0.5493555236553496"/>
        <n v="0.4698208452166206"/>
        <n v="0.5647930068551381"/>
        <n v="0.6385953189934527"/>
        <n v="0.49190860697699756"/>
        <n v="0.6333435566278235"/>
        <n v="0.6638355632995481"/>
        <n v="0.5396596592154406"/>
        <n v="0.4767961178285466"/>
        <n v="0.6456342955892762"/>
        <n v="0.4888333614425123"/>
        <n v="0.6697970819429402"/>
        <n v="0.46828182973472254"/>
        <n v="0.6061959186192404"/>
        <n v="0.44085499173458303"/>
        <n v="0.5540234673893049"/>
        <n v="0.5601674550092192"/>
        <n v="0.6485056776256055"/>
        <n v="0.4692085353013173"/>
        <n v="0.5294312215777218"/>
        <n v="0.5280773433598684"/>
        <n v="0.47886583024222273"/>
        <n v="0.4518523206650161"/>
        <n v="0.4632960132922762"/>
        <n v="0.5218521139535984"/>
        <n v="0.631589472112379"/>
        <n v="0.3322160913863995"/>
        <n v="0.5372401136024576"/>
        <n v="0.49848289076846336"/>
        <n v="0.5047264062598681"/>
        <n v="0.5868644996442063"/>
        <n v="0.471200626410795"/>
        <n v="0.5332613262181263"/>
        <n v="0.509588585028137"/>
        <n v="0.4740479783754874"/>
        <n v="0.3827636333752702"/>
        <n v="0.4497619938946179"/>
        <n v="0.4934401032157399"/>
        <n v="0.590530211423017"/>
        <n v="0.5273838587976893"/>
        <n v="0.5029868124546484"/>
        <n v="0.541106532043862"/>
        <n v="0.5226853363219446"/>
        <n v="0.4463685792042769"/>
        <n v="0.4105130835306986"/>
        <n v="0.4137158175891839"/>
        <n v="0.35589665133222803"/>
        <n v="0.4687554651159876"/>
        <n v="0.38355432879456347"/>
        <n v="0.5210723991285919"/>
        <n v="0.37705982331530363"/>
        <n v="0.5217279112792773"/>
        <n v="0.451296430186233"/>
        <n v="0.5219412158477192"/>
        <n v="0.44103966397696137"/>
        <n v="0.5431821442233356"/>
        <n v="0.44208728196846064"/>
        <n v="0.45218204090720804"/>
        <n v="0.183294975919378"/>
        <n v="0.3621197233216418"/>
        <n v="0.4693386881392744"/>
        <n v="0.4751628383039502"/>
        <n v="0.5212509737223272"/>
        <n v="0.4189016897677343"/>
        <n v="0.5282759896367287"/>
        <n v="0.3574823577069382"/>
        <n v="0.4490332036627359"/>
        <n v="0.5111712954560288"/>
        <n v="0.4192727708531668"/>
        <n v="0.5419684330688683"/>
        <n v="0.49125852644961004"/>
        <n v="0.5073607899324815"/>
        <n v="0.438010635406098"/>
        <n v="0.3956856783978534"/>
        <n v="0.4552712311867527"/>
        <n v="0.5521875699642618"/>
        <n v="0.34881123260887004"/>
        <n v="0.5527327056069864"/>
        <n v="0.47037820995793495"/>
        <n v="0.35967190504444846"/>
        <n v="0.501997333664545"/>
        <n v="0.38749421103352893"/>
        <n v="0.5122827850350211"/>
        <n v="0.6004497612222555"/>
        <n v="0.45980944572435645"/>
        <n v="0.4707432550260629"/>
        <n v="0.5114443923597566"/>
        <n v="0.5098174434036983"/>
        <n v="0.5103953599528925"/>
        <n v="0.4513800833435576"/>
        <n v="0.5638620811576203"/>
        <n v="0.36735613566196024"/>
        <n v="0.4924901351706149"/>
        <n v="0.4451743117196411"/>
        <n v="0.3903459216537509"/>
        <n v="0.5031759666392916"/>
        <n v="0.35360340891270925"/>
        <n v="0.32164241200782623"/>
        <n v="0.444108841641202"/>
        <n v="0.27495838758934615"/>
        <n v="0.3190994204321785"/>
        <n v="0.4492233393849319"/>
        <n v="0.5454181980092272"/>
        <n v="0.4622727157095892"/>
        <n v="0.4540120494284309"/>
        <n v="0.3987378788467077"/>
        <n v="0.47413375174176375"/>
        <n v="0.2648457321574401"/>
        <n v="0.45592616231616373"/>
        <n v="0.4382708736317279"/>
        <n v="0.49435659457031944"/>
        <n v="0.41791881976122597"/>
        <n v="0.5072089428935536"/>
        <n v="0.4479100841772313"/>
        <n v="0.5327937686569801"/>
        <n v="0.395615533865013"/>
        <n v="0.5030137305602506"/>
        <n v="0.4740527751422604"/>
        <n v="0.37268826869562294"/>
        <n v="0.45100250491840244"/>
        <n v="0.49298417393359395"/>
        <n v="0.24418431972246055"/>
        <n v="0.2096666001346566"/>
        <n v="0.5180646822878234"/>
        <n v="0.4324892412536604"/>
        <n v="0.35297594039258323"/>
        <n v="0.3350679280635351"/>
        <n v="0.34738538636650695"/>
        <n v="0.5634661089980374"/>
        <n v="0.42820717766716465"/>
        <n v="0.3154265011854358"/>
        <n v="0.25571115023890245"/>
        <n v="0.4293433309343907"/>
        <n v="0.4894165506761742"/>
        <n v="0.36422549468139626"/>
        <n v="0.5674874695180689"/>
        <n v="0.29527397199618866"/>
        <n v="0.3885444882503199"/>
        <n v="0.37083915234820136"/>
        <n v="0.530279121218024"/>
        <n v="0.4976168023883128"/>
        <n v="0.20512124414340346"/>
        <n v="0.4973244267083047"/>
        <n v="0.3236899317142352"/>
        <n v="0.4962327235026319"/>
        <n v="0.46525690530094155"/>
        <n v="0.5351391915802886"/>
        <n v="0.5123965479047793"/>
        <n v="0.4104717574358522"/>
        <n v="0.4606553962672799"/>
        <n v="0.42664896259112456"/>
        <n v="0.5465928606867776"/>
        <n v="0.29955140019690035"/>
        <n v="0.45629206727276894"/>
        <n v="0.3469771470672433"/>
        <n v="0.27754369102133747"/>
        <n v="0.40907560919364644"/>
        <n v="0.41637139778910476"/>
        <n v="0.3361869706750387"/>
        <n v="0.3922043560475593"/>
        <n v="0.33815432641129545"/>
        <n v="0.3293778328231831"/>
        <n v="0.3309478214573985"/>
        <n v="0.34216203020874947"/>
        <n v="0.48183558245539004"/>
        <n v="0.3611152566888411"/>
        <n v="0.2725016408333719"/>
        <n v="0.34385722157731025"/>
        <n v="0.48395058520726353"/>
        <n v="0.3381058692038548"/>
        <n v="0.41262874285362283"/>
        <n v="0.4396099984822947"/>
        <n v="0.3489829703812501"/>
        <n v="0.41252976916706857"/>
        <n v="0.4631624878013604"/>
        <n v="0.5251547502718938"/>
        <n v="0.36380991371825633"/>
        <n v="0.3882504794498388"/>
        <n v="0.4102239217008652"/>
        <n v="0.47172623464060226"/>
        <n v="0.5315811103295535"/>
        <n v="0.4629451905063472"/>
        <n v="0.47155372868580453"/>
        <n v="0.3594315056151885"/>
        <n v="0.5139769776786343"/>
        <n v="0.3798222711755616"/>
        <n v="0.4321466823633796"/>
        <n v="0.36119106640278476"/>
        <n v="0.4008389258195052"/>
        <n v="0.32149365094182175"/>
        <n v="0.2565452605559578"/>
        <n v="0.41894870044862415"/>
        <n v="0.5609004646787217"/>
        <n v="0.2640759690789782"/>
        <n v="0.39733905929016056"/>
        <n v="0.38943194201668047"/>
        <n v="0.4547325437347891"/>
        <n v="0.40384509542793817"/>
        <n v="0.4924156183085312"/>
        <n v="0.3886338718527761"/>
        <n v="0.34511930191339013"/>
        <n v="0.3385527146453506"/>
        <n v="0.4299595394765069"/>
        <n v="0.3609968120127938"/>
        <n v="0.3881669245516932"/>
        <n v="0.510865680193046"/>
        <n v="0.3950106436249133"/>
        <n v="0.3068144240819043"/>
        <n v="0.3679066533916681"/>
        <n v="0.3344124062609967"/>
        <n v="0.34904027960231476"/>
        <n v="0.34227601655099915"/>
        <n v="0.3679197144255625"/>
        <n v="0.264576907272714"/>
        <n v="0.46187952207156935"/>
        <n v="0.27350100822064705"/>
        <n v="0.36735899974247677"/>
        <n v="0.2798911856880978"/>
        <n v="0.4566562071311605"/>
        <n v="0.4343546380367723"/>
        <n v="0.4619883739275081"/>
        <n v="0.1946115618905358"/>
        <n v="0.4619883739275082"/>
        <n v="0.46171801088406206"/>
        <n v="0.5379852774237286"/>
        <n v="0.45605047443282026"/>
        <n v="0.5727690403227783"/>
        <n v="0.41856843776564673"/>
        <n v="0.357251519597556"/>
        <n v="0.5129480205147554"/>
        <n v="0.32273885000369806"/>
        <n v="0.4758672359474212"/>
        <n v="0.444559306888865"/>
        <n v="0.4129434096629754"/>
        <n v="0.536154190357292"/>
        <n v="0.44238618933537294"/>
        <n v="0.5197187085702945"/>
        <n v="0.49112225086045597"/>
        <n v="0.5507950740821268"/>
        <n v="0.5090252933133941"/>
        <n v="0.41576966550806826"/>
        <n v="0.5508083404910746"/>
        <n v="0.5239963265409754"/>
        <n v="0.3059513489409468"/>
        <n v="0.3142509693957566"/>
        <n v="0.3167478641987229"/>
        <n v="0.4492170818574107"/>
        <n v="0.27902610360230246"/>
        <n v="0.3023379135948271"/>
        <n v="0.4753172340855877"/>
        <n v="0.39330411405543597"/>
        <n v="0.3225621606296702"/>
        <n v="0.33980741071727283"/>
        <n v="0.40329185812556795"/>
        <n v="0.35225969499783377"/>
        <n v="0.40829090332336654"/>
        <n v="0.43493364877630275"/>
        <n v="0.3351755740884832"/>
        <n v="0.32261812550656976"/>
        <n v="0.36716014926974966"/>
        <n v="0.36727427663114215"/>
        <n v="0.27375735656359906"/>
        <n v="0.37461183506769596"/>
        <n v="0.28884038639813875"/>
        <n v="0.3081451141886903"/>
        <n v="0.32073618893392836"/>
        <n v="0.24665496063881776"/>
        <n v="0.21265527006834684"/>
        <n v="0.21596592512626037"/>
        <n v="0.21898160849296397"/>
        <n v="0.251920557875843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3791" sheet="ATSs_errors"/>
  </cacheSource>
  <cacheFields>
    <cacheField name="constraints_type" numFmtId="0">
      <sharedItems>
        <s v="kmeans-iter"/>
        <s v="kmeans"/>
        <s v="awaitingsml"/>
        <s v="easycategs"/>
        <s v="priority12x3x4"/>
      </sharedItems>
    </cacheField>
    <cacheField name="unique%" numFmtId="0">
      <sharedItems containsSemiMixedTypes="0" containsString="0" containsNumber="1">
        <n v="0.0"/>
        <n v="0.1"/>
        <n v="0.25"/>
        <n v="0.5"/>
        <n v="0.75"/>
        <n v="1.0"/>
      </sharedItems>
    </cacheField>
    <cacheField name="rep%" numFmtId="0">
      <sharedItems containsSemiMixedTypes="0" containsString="0" containsNumber="1">
        <n v="0.0"/>
        <n v="0.1"/>
        <n v="0.25"/>
        <n v="0.5"/>
        <n v="0.75"/>
        <n v="1.0"/>
      </sharedItems>
    </cacheField>
    <cacheField name="ru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group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MAPE_SET" numFmtId="0">
      <sharedItems containsSemiMixedTypes="0" containsString="0" containsNumber="1">
        <n v="3.61"/>
        <n v="8.16"/>
        <n v="1.35"/>
        <n v="2.49"/>
        <n v="0.65"/>
        <n v="1.35224836248878"/>
        <n v="0.65137378331599"/>
        <n v="8.14927675289396"/>
        <n v="4.66575292774046"/>
        <n v="3.37812176377814"/>
        <n v="8.20616189081472"/>
        <n v="1.71233390840819"/>
        <n v="0.651993091739278"/>
        <n v="3.82026564237486"/>
        <n v="7.3879357347271"/>
        <n v="8.20611783734031"/>
        <n v="3.02619695894114"/>
        <n v="1.70736050287242"/>
        <n v="0.651956825806734"/>
        <n v="3.73817382452879"/>
        <n v="0.651382921876665"/>
        <n v="0.712997756536142"/>
        <n v="1.70976412565835"/>
        <n v="0.65172119244634"/>
        <n v="3.5355555199338"/>
        <n v="0.84548789308218"/>
        <n v="8.15118760509514"/>
        <n v="7.40681908391703"/>
        <n v="0.651525494115797"/>
        <n v="3.18184844206942"/>
        <n v="8.20526233873179"/>
        <n v="3.47305516038037"/>
        <n v="1.71397110663499"/>
        <n v="0.712647031637279"/>
        <n v="1.35202678106678"/>
        <n v="1.07991001504809"/>
        <n v="7.01265567474776"/>
        <n v="0.985116609976925"/>
        <n v="3.76397207130682"/>
        <n v="3.26328737298378"/>
        <n v="0.712368747006467"/>
        <n v="4.14373373493813"/>
        <n v="1.3507722819561"/>
        <n v="2.48827350719733"/>
        <n v="1.08195642263574"/>
        <n v="11.9190454493249"/>
        <n v="1.3716334633934"/>
        <n v="3.31404673177645"/>
        <n v="7.09816200126475"/>
        <n v="4.37148805137248"/>
        <n v="0.467187299586246"/>
        <n v="1.33102326516281"/>
        <n v="7.37786326831844"/>
        <n v="1.81998741239277"/>
        <n v="0.504853984818287"/>
        <n v="3.5151631217667"/>
        <n v="7.23073733923704"/>
        <n v="4.38288668491336"/>
        <n v="7.17498667771855"/>
        <n v="2.04499043967802"/>
        <n v="2.48208363386629"/>
        <n v="0.317145370870006"/>
        <n v="1.35507764373592"/>
        <n v="0.712135447246169"/>
        <n v="3.87618353856537"/>
        <n v="3.02902844724778"/>
        <n v="0.693179654288497"/>
        <n v="0.985458202726284"/>
        <n v="4.51225839336008"/>
        <n v="2.48906956651208"/>
        <n v="3.30028713978402"/>
        <n v="7.37231374504142"/>
        <n v="0.523955411410544"/>
        <n v="3.90917686296029"/>
        <n v="7.38458703872145"/>
        <n v="1.35169134501324"/>
        <n v="0.505751904539808"/>
        <n v="7.3740281864186"/>
        <n v="0.932468858318588"/>
        <n v="3.42542526234905"/>
        <n v="2.64397974277779"/>
        <n v="6.7533339076563"/>
        <n v="3.70062793033225"/>
        <n v="3.29361040867042"/>
        <n v="0.546970887774615"/>
        <n v="2.49295294179258"/>
        <n v="1.90389793708783"/>
        <n v="8.95116464529891"/>
        <n v="0.236581835685098"/>
        <n v="0.550209859039871"/>
        <n v="2.92044378741145"/>
        <n v="0.985303433901234"/>
        <n v="1.09254770378033"/>
        <n v="9.32206271755476"/>
        <n v="3.09086087788896"/>
        <n v="1.79108390663721"/>
        <n v="1.5047821852132"/>
        <n v="0.595028494776259"/>
        <n v="4.3770766721414"/>
        <n v="7.28954039896145"/>
        <n v="0.224699165992594"/>
        <n v="10.0738734767799"/>
        <n v="3.14246690467679"/>
        <n v="1.47785437775851"/>
        <n v="5.49385456759632"/>
        <n v="3.41573192351869"/>
        <n v="0.458580232957979"/>
        <n v="0.986112075366586"/>
        <n v="1.47016830216035"/>
        <n v="0.720459175904405"/>
        <n v="3.78518130710861"/>
        <n v="4.02833577429058"/>
        <n v="0.458959857658938"/>
        <n v="3.92534305155847"/>
        <n v="0.986303004625677"/>
        <n v="3.12824046956476"/>
        <n v="0.525989595749123"/>
        <n v="1.66312762299351"/>
        <n v="9.16301455461578"/>
        <n v="0.499630513022576"/>
        <n v="2.70466299239299"/>
        <n v="9.97794291774998"/>
        <n v="3.30725085243066"/>
        <n v="0.45804006466034"/>
        <n v="10.1044766931556"/>
        <n v="8.38948199032622"/>
        <n v="0.71205655889852"/>
        <n v="4.06039194985872"/>
        <n v="1.68218622894862"/>
        <n v="0.548256113233087"/>
        <n v="0.525455129092184"/>
        <n v="3.01107413276164"/>
        <n v="1.68463117701819"/>
        <n v="0.548706575097071"/>
        <n v="3.47691230798591"/>
        <n v="4.97064487496663"/>
        <n v="9.46715165515033"/>
        <n v="3.02589782869785"/>
        <n v="2.90498772272088"/>
        <n v="1.97314594435854"/>
        <n v="3.13285625171389"/>
        <n v="0.487626577770051"/>
        <n v="0.988760372058673"/>
        <n v="3.0987372455765"/>
        <n v="9.38421914713412"/>
        <n v="0.324773335663883"/>
        <n v="1.73190477390966"/>
        <n v="3.21180273864392"/>
        <n v="5.01929536082832"/>
        <n v="1.79775886418498"/>
        <n v="0.207414646087391"/>
        <n v="1.72810638767294"/>
        <n v="0.466650291518434"/>
        <n v="4.36172697083116"/>
        <n v="0.00212414683868772"/>
        <n v="3.43833921423995"/>
        <n v="4.76512864525855"/>
        <n v="1.7306051565599"/>
        <n v="3.70399523489023"/>
        <n v="2.49024255419838"/>
        <n v="0.739421948270547"/>
        <n v="2.05967333721781"/>
        <n v="3.45037826108449"/>
        <n v="2.48999293857218"/>
        <n v="6.87903374264995"/>
        <n v="0.738388919616822"/>
        <n v="2.64804552822738"/>
        <n v="3.36770138630163"/>
        <n v="0.73653886038416"/>
        <n v="4.84233165792226"/>
        <n v="7.94112888342062"/>
        <n v="0.657420300529989"/>
        <n v="6.04241149059256"/>
        <n v="2.65066504174383"/>
        <n v="0.467489314643222"/>
        <n v="3.8915105014915"/>
        <n v="2.49104082008861"/>
        <n v="3.84970844975417"/>
        <n v="1.20160527221592"/>
        <n v="4.76175231870075"/>
        <n v="1.35192462201667"/>
        <n v="8.34683723880808"/>
        <n v="1.71978936464778"/>
        <n v="2.64145420487137"/>
        <n v="3.10026268487447"/>
        <n v="1.20213606898917"/>
        <n v="3.61095690564535"/>
        <n v="2.49606347355188"/>
        <n v="0.466491018990041"/>
        <n v="8.34840355721293"/>
        <n v="1.20204868480187"/>
        <n v="3.38333430074965"/>
        <n v="1.72358662523348"/>
        <n v="1.35262355792541"/>
        <n v="2.34757498401025"/>
        <n v="8.18248809995411"/>
        <n v="8.26825735609267"/>
        <n v="0.319096105615425"/>
        <n v="7.3593190546868"/>
        <n v="2.87353392331304"/>
        <n v="4.19513815267797"/>
        <n v="2.99193518507983"/>
        <n v="1.21437453905074"/>
        <n v="2.33372885291376"/>
        <n v="1.09487060506055"/>
        <n v="1.71877663299037"/>
        <n v="8.35222078375373"/>
        <n v="7.28530384552626"/>
        <n v="4.24186212405798"/>
        <n v="4.55295375095751"/>
        <n v="0.779857284654019"/>
        <n v="1.72899809618553"/>
        <n v="4.78946142392409"/>
        <n v="1.21593702315599"/>
        <n v="0.736192093514763"/>
        <n v="2.65282998188707"/>
        <n v="4.87241330033274"/>
        <n v="5.15421098934746"/>
        <n v="2.23195102157389"/>
        <n v="1.51936562727533"/>
        <n v="5.03697558492192"/>
        <n v="8.30317843880229"/>
        <n v="4.96910126788719"/>
        <n v="5.74201566233878"/>
        <n v="3.2754343283315"/>
        <n v="1.45711598952881"/>
        <n v="0.64751955706569"/>
        <n v="7.06715340681248"/>
        <n v="4.79436895443335"/>
        <n v="3.34654551201627"/>
        <n v="1.7621331729062"/>
        <n v="3.29104697709848"/>
        <n v="4.78558084907135"/>
        <n v="4.34559916551108"/>
        <n v="1.71649930589762"/>
        <n v="0.469849514427927"/>
        <n v="2.49616528274345"/>
        <n v="8.29762893643979"/>
        <n v="3.20458377153063"/>
        <n v="4.06475847647269"/>
        <n v="3.93228233600345"/>
        <n v="2.48808650494595"/>
        <n v="0.658374680523164"/>
        <n v="0.467682383480196"/>
        <n v="2.9418609180191"/>
        <n v="4.32850926488048"/>
        <n v="1.73248614803366"/>
        <n v="4.74082010853713"/>
        <n v="0.464154903697962"/>
        <n v="4.09306051243627"/>
        <n v="0.707145019473237"/>
        <n v="2.5374423959192"/>
        <n v="3.21667079172993"/>
        <n v="4.17881141297189"/>
        <n v="8.29945474064197"/>
        <n v="2.86614164197231"/>
        <n v="0.655970886342877"/>
        <n v="4.05590879051123"/>
        <n v="4.79051382898971"/>
        <n v="0.683567389399229"/>
        <n v="0.464894846971917"/>
        <n v="3.90138815137229"/>
        <n v="3.07575246177896"/>
        <n v="0.708177920832769"/>
        <n v="8.29395582759207"/>
        <n v="1.74665259385652"/>
        <n v="4.01212283749124"/>
        <n v="4.68522073682307"/>
        <n v="0.712828389333324"/>
        <n v="3.63722311591243"/>
        <n v="1.56051305344461"/>
        <n v="0.466787137040523"/>
        <n v="3.24874847242072"/>
        <n v="5.93065758421276"/>
        <n v="7.38849602320518"/>
        <n v="0.467064118593437"/>
        <n v="1.97638531984449"/>
        <n v="2.35222408159936"/>
        <n v="7.47233090482141"/>
        <n v="13.1021014418938"/>
        <n v="5.35828103348063"/>
        <n v="4.88937478477008"/>
        <n v="1.46633284946944"/>
        <n v="4.35231381316622"/>
        <n v="7.34755130331449"/>
        <n v="3.28845198509595"/>
        <n v="2.542579781591"/>
        <n v="3.3601739243726"/>
        <n v="4.72662471852741"/>
        <n v="1.54288964117404"/>
        <n v="5.17322506583071"/>
        <n v="5.15000957863232"/>
        <n v="2.65374786229564"/>
        <n v="0.466302059947925"/>
        <n v="7.60132618640073"/>
        <n v="1.75470108569779"/>
        <n v="9.71486634877425"/>
        <n v="3.26020200195476"/>
        <n v="4.4827099137854"/>
        <n v="2.88632867276444"/>
        <n v="8.03667898362176"/>
        <n v="0.515607342720771"/>
        <n v="0.46787001889004"/>
        <n v="3.15278586069549"/>
        <n v="1.36716286918696"/>
        <n v="9.10369240045279"/>
        <n v="0.318624724666863"/>
        <n v="3.38767093469968"/>
        <n v="3.7333890160516"/>
        <n v="0.470072223646614"/>
        <n v="3.26784742665797"/>
        <n v="8.31574893060283"/>
        <n v="9.05504069972896"/>
        <n v="1.36772879819817"/>
        <n v="6.27716078679253"/>
        <n v="3.93626924923667"/>
        <n v="1.70160670633501"/>
        <n v="2.49005011380896"/>
        <n v="3.61732417237487"/>
        <n v="0.48112165143282"/>
        <n v="4.98036370207272"/>
        <n v="3.8787517482756"/>
        <n v="0.615458530545492"/>
        <n v="3.867204605399"/>
        <n v="2.96220207060637"/>
        <n v="1.71451680456541"/>
        <n v="2.19661449563354"/>
        <n v="2.49007740517207"/>
        <n v="2.49364444754091"/>
        <n v="5.75617039358925"/>
        <n v="3.58346289242201"/>
        <n v="2.46177895921313"/>
        <n v="0.50572633656967"/>
        <n v="2.75913535454464"/>
        <n v="0.480297021125726"/>
        <n v="3.68862469297566"/>
        <n v="3.84827279770181"/>
        <n v="0.397667612026156"/>
        <n v="0.96900754444282"/>
        <n v="5.64556992732862"/>
        <n v="5.09221469153763"/>
        <n v="2.80686114696594"/>
        <n v="9.01352815684302"/>
        <n v="0.515336982948604"/>
        <n v="2.74548196918091"/>
        <n v="9.09544290462577"/>
        <n v="5.00656359174192"/>
        <n v="2.76411465144697"/>
        <n v="4.91870635066716"/>
        <n v="0.712862435196883"/>
        <n v="1.57536919769864"/>
        <n v="8.67036711413088"/>
        <n v="9.15993654676367"/>
        <n v="5.43181663438612"/>
        <n v="0.605604034949925"/>
        <n v="3.42447696481831"/>
        <n v="0.696332658760867"/>
        <n v="9.17672354867105"/>
        <n v="3.33607784968528"/>
        <n v="5.54433177508828"/>
        <n v="0.434269144776912"/>
        <n v="6.85167965845091"/>
        <n v="5.01165439425638"/>
        <n v="5.60776333176731"/>
        <n v="4.4973012276695"/>
        <n v="2.36076397338825"/>
        <n v="0.578395978654642"/>
        <n v="9.1154120540967"/>
        <n v="9.13135080815937"/>
        <n v="4.20652215090191"/>
        <n v="2.79339218464581"/>
        <n v="0.453794132316755"/>
        <n v="5.85967461094811"/>
        <n v="6.64539843650928"/>
        <n v="2.91215232703243"/>
        <n v="1.32052367994175"/>
        <n v="2.22694986785518"/>
        <n v="11.3396703510758"/>
        <n v="3.27833053726279"/>
        <n v="2.94360741762379"/>
        <n v="9.06053790305725"/>
        <n v="13.8739388214106"/>
        <n v="5.42246469496464"/>
        <n v="0.453966619139546"/>
        <n v="3.11131363514577"/>
        <n v="0.921000420857574"/>
        <n v="3.24003064919809"/>
        <n v="0.542100508846485"/>
        <n v="1.10047942340223"/>
        <n v="8.13289283524069"/>
        <n v="0.467788754977231"/>
        <n v="3.94679088272555"/>
        <n v="3.51354701381129"/>
        <n v="5.71470343911621"/>
        <n v="1.63631546203252"/>
        <n v="3.9751297884095"/>
        <n v="0.531156661387634"/>
        <n v="1.67872046377875"/>
        <n v="0.985273964131403"/>
        <n v="0.98741501077339"/>
        <n v="1.6616184985954"/>
        <n v="6.28613356713501"/>
        <n v="3.26009847238679"/>
        <n v="8.21880445515679"/>
        <n v="0.71308046422986"/>
        <n v="3.53282838009"/>
        <n v="11.7052434222253"/>
        <n v="0.504203366281277"/>
        <n v="1.49202420065743"/>
        <n v="2.57646824034666"/>
        <n v="4.38432485849919"/>
        <n v="8.91491667569673"/>
        <n v="3.67236181062981"/>
        <n v="2.44157698559805"/>
        <n v="0.536084505656006"/>
        <n v="8.5620787118494"/>
        <n v="3.73802620081837"/>
        <n v="1.35105551055397"/>
        <n v="1.69792433606575"/>
        <n v="7.35517505635339"/>
        <n v="4.25826598834738"/>
        <n v="3.17286220804346"/>
        <n v="2.49328034962596"/>
        <n v="0.524705654849702"/>
        <n v="0.467255932263021"/>
        <n v="4.49484823610542"/>
        <n v="0.504485153283034"/>
        <n v="2.80211948269696"/>
        <n v="1.35166836110729"/>
        <n v="3.84740282770275"/>
        <n v="0.538985417324699"/>
        <n v="7.17535466366705"/>
        <n v="1.68280638006119"/>
        <n v="1.4469599582603"/>
        <n v="0.534521270569295"/>
        <n v="3.83001612801733"/>
        <n v="9.16615260871227"/>
        <n v="4.64466852448533"/>
        <n v="1.08269881214681"/>
        <n v="2.99258327117184"/>
        <n v="1.5611052787877"/>
        <n v="9.37762773366589"/>
        <n v="1.03805262900056"/>
        <n v="3.41519399265854"/>
        <n v="0.72961317910372"/>
        <n v="0.712448233317858"/>
        <n v="5.23209394333619"/>
        <n v="9.31332216995043"/>
        <n v="3.54141785048227"/>
        <n v="1.30517712218869"/>
        <n v="3.05528871992544"/>
        <n v="2.95238027976266"/>
        <n v="0.987108773646402"/>
        <n v="8.92913084243715"/>
        <n v="0.598165738580412"/>
        <n v="4.71483283350876"/>
        <n v="0.459258338113383"/>
        <n v="3.35220343752929"/>
        <n v="0.0728591757066486"/>
        <n v="2.48157394263387"/>
        <n v="69.1298443530986"/>
        <n v="1.12574965338469"/>
        <n v="2.22070155934225"/>
        <n v="8.82449123201558"/>
        <n v="0.53731263473983"/>
        <n v="1.29295722222547"/>
        <n v="4.01145982330899"/>
        <n v="3.94768772106162"/>
        <n v="3.34906047027027"/>
        <n v="2.79865100113549"/>
        <n v="8.41116491282247"/>
        <n v="1.88170887762084"/>
        <n v="1.6841497197801"/>
        <n v="0.541763334421767"/>
        <n v="3.17370539624641"/>
        <n v="4.94098985530012"/>
        <n v="1.09730122678232"/>
        <n v="0.521648189718099"/>
        <n v="5.00803907655624"/>
        <n v="0.214556742404441"/>
        <n v="3.34665541091425"/>
        <n v="1.68602921468434"/>
        <n v="3.12241727996056"/>
        <n v="1.70315611369355"/>
        <n v="2.77002206942899"/>
        <n v="9.06998068053673"/>
        <n v="3.49997474198989"/>
        <n v="3.01425281934835"/>
        <n v="4.0020965337811"/>
        <n v="0.687098773833698"/>
        <n v="9.94183231453531"/>
        <n v="1.87059660195762"/>
        <n v="0.67898824785688"/>
        <n v="1.42907383020426"/>
        <n v="6.04895626380893"/>
        <n v="7.44611296012217"/>
        <n v="2.86620944522054"/>
        <n v="1.73367933799332"/>
        <n v="7.88283138203619"/>
        <n v="3.61074351895904"/>
        <n v="3.21102183890796"/>
        <n v="1.20054717121771"/>
        <n v="0.655265545492045"/>
        <n v="4.63353417568299"/>
        <n v="2.53556470853017"/>
        <n v="4.77447941072672"/>
        <n v="4.079088732194"/>
        <n v="3.55341675411528"/>
        <n v="0.656984185773061"/>
        <n v="1.7285988594902"/>
        <n v="4.02055817371685"/>
        <n v="0.655883500928274"/>
        <n v="6.07165317565294"/>
        <n v="5.86645125216966"/>
        <n v="1.24905051058985"/>
        <n v="0.712416211018699"/>
        <n v="0.466444497826358"/>
        <n v="8.27524406545836"/>
        <n v="2.74099835209853"/>
        <n v="4.63621379287052"/>
        <n v="6.05897582773374"/>
        <n v="4.77003735532766"/>
        <n v="1.97976977271765"/>
        <n v="0.655018534491334"/>
        <n v="4.09522761098389"/>
        <n v="3.37093241845278"/>
        <n v="3.49383002814335"/>
        <n v="4.95412374415906"/>
        <n v="4.44031492239039"/>
        <n v="3.16905438549563"/>
        <n v="6.02984202233938"/>
        <n v="2.8172644181075"/>
        <n v="3.91435408697053"/>
        <n v="2.18004249203631"/>
        <n v="5.00712131255459"/>
        <n v="3.20529116020575"/>
        <n v="3.83560171115438"/>
        <n v="4.77768105433788"/>
        <n v="1.4387833549495"/>
        <n v="1.44659944932569"/>
        <n v="4.09721506697676"/>
        <n v="4.25388651347573"/>
        <n v="0.655681282024199"/>
        <n v="3.80401265115033"/>
        <n v="1.21492982122998"/>
        <n v="0.466840794858009"/>
        <n v="3.75408539109291"/>
        <n v="6.31299528963051"/>
        <n v="2.4847097007738"/>
        <n v="2.84622402998788"/>
        <n v="1.84228150706425"/>
        <n v="7.23928104175812"/>
        <n v="0.656045938641958"/>
        <n v="2.33596424487544"/>
        <n v="4.78095345655024"/>
        <n v="3.31231425091935"/>
        <n v="7.23555343968996"/>
        <n v="3.3193026308867"/>
        <n v="2.02728135476882"/>
        <n v="3.7820087348325"/>
        <n v="4.20384384258104"/>
        <n v="4.97162916076811"/>
        <n v="4.65802229177641"/>
        <n v="3.37927766495043"/>
        <n v="0.654697047044499"/>
        <n v="5.69841344837801"/>
        <n v="4.5539896251579"/>
        <n v="4.10958575979338"/>
        <n v="0.73722706430504"/>
        <n v="3.67603728635504"/>
        <n v="8.29752599437251"/>
        <n v="0.656374006229817"/>
        <n v="2.73231897895114"/>
        <n v="4.40572979922534"/>
        <n v="4.20790133179542"/>
        <n v="2.53681272532025"/>
        <n v="3.44213265091057"/>
        <n v="1.72548160696841"/>
        <n v="1.71875595253763"/>
        <n v="0.567884562985726"/>
        <n v="0.681844111944223"/>
        <n v="4.28581170230841"/>
        <n v="5.09047007194607"/>
        <n v="3.17513100592166"/>
        <n v="1.72042551456287"/>
        <n v="1.08481939748021"/>
        <n v="8.35429703078711"/>
        <n v="3.8829943651554"/>
        <n v="5.0431176618699"/>
        <n v="1.36887210424973"/>
        <n v="0.656980776586676"/>
        <n v="0.463699646319632"/>
        <n v="5.30105788592121"/>
        <n v="4.78591889192065"/>
        <n v="7.32476618117347"/>
        <n v="2.66774778794052"/>
        <n v="1.36745989798555"/>
        <n v="5.91112290136851"/>
        <n v="3.59189275560228"/>
        <n v="1.44280476263996"/>
        <n v="9.97830674532176"/>
        <n v="2.02373169631406"/>
        <n v="4.46581692749757"/>
        <n v="6.28510455357759"/>
        <n v="12.0026573966706"/>
        <n v="7.4193085474811"/>
        <n v="5.2747028231173"/>
        <n v="2.63075705913639"/>
        <n v="2.77755347597274"/>
        <n v="2.64140171798701"/>
        <n v="13.2597495289661"/>
        <n v="1.61021434706137"/>
        <n v="1.35135249479007"/>
        <n v="3.68341752184206"/>
        <n v="4.4695799596726"/>
        <n v="7.92416117483728"/>
        <n v="1.37085430676844"/>
        <n v="3.35043180641962"/>
        <n v="9.87569712117818"/>
        <n v="5.56679949020352"/>
        <n v="3.27292892526219"/>
        <n v="2.97227417676313"/>
        <n v="8.82232989914943"/>
        <n v="2.12875014873419"/>
        <n v="2.60972071219273"/>
        <n v="0.956353237052047"/>
        <n v="7.87365847336387"/>
        <n v="3.56449409267047"/>
        <n v="3.83864271665813"/>
        <n v="3.82904692613106"/>
        <n v="0.512181990283797"/>
        <n v="2.12169846482785"/>
        <n v="3.57072710216212"/>
        <n v="7.31713267349705"/>
        <n v="2.44496086362788"/>
        <n v="7.44340735741912"/>
        <n v="2.49102071431737"/>
        <n v="3.2004165129046"/>
        <n v="2.17966282324248"/>
        <n v="5.92023578988077"/>
        <n v="3.37448538308478"/>
        <n v="3.44064138718447"/>
        <n v="4.5874591338415"/>
        <n v="0.396875747610982"/>
        <n v="1.20964113787787"/>
        <n v="4.95448560705703"/>
        <n v="2.42714131308145"/>
        <n v="4.57923569806067"/>
        <n v="9.00450516916783"/>
        <n v="9.16752049623499"/>
        <n v="0.470275114529804"/>
        <n v="2.50625702320649"/>
        <n v="5.55568479257886"/>
        <n v="3.27593673875487"/>
        <n v="5.49484940823509"/>
        <n v="7.62073983285599"/>
        <n v="0.854502484943144"/>
        <n v="3.72620092062816"/>
        <n v="1.37124054701157"/>
        <n v="5.86266739982574"/>
        <n v="0.471070973442021"/>
        <n v="2.59608612577505"/>
        <n v="3.66028986443031"/>
        <n v="2.77597410104117"/>
        <n v="7.6739002218221"/>
        <n v="2.22432698695751"/>
        <n v="5.22668285565583"/>
        <n v="9.12512637934778"/>
        <n v="5.55541113223407"/>
        <n v="4.73225583885052"/>
        <n v="4.86495840090206"/>
        <n v="4.38759294437365"/>
        <n v="3.8554079401797"/>
        <n v="2.78042751635169"/>
        <n v="5.35747405580026"/>
        <n v="6.45276690652418"/>
        <n v="3.4064415134625"/>
        <n v="3.00431493251002"/>
        <n v="2.30019588799911"/>
        <n v="3.13136077752197"/>
        <n v="8.07720243988608"/>
        <n v="5.657545396448"/>
        <n v="0.505451040792839"/>
        <n v="0.620563752896341"/>
        <n v="3.33541401891722"/>
        <n v="5.5665458571332"/>
        <n v="5.36472923522162"/>
        <n v="1.46294766308463"/>
        <n v="0.397432755899369"/>
        <n v="4.12601942227182"/>
        <n v="3.04289658770556"/>
        <n v="5.0067586359085"/>
        <n v="2.49880615875639"/>
        <n v="2.31399089044691"/>
        <n v="9.80245166516289"/>
        <n v="9.16641391325241"/>
        <n v="0.643130092843864"/>
        <n v="1.46015467921143"/>
        <n v="5.88330062601813"/>
        <n v="5.71661281720678"/>
        <n v="3.6904753811725"/>
        <n v="9.21932034230642"/>
        <n v="4.42595830501772"/>
        <n v="2.43527339883577"/>
        <n v="8.53051984228624"/>
        <n v="6.30120925547249"/>
        <n v="3.11119334689862"/>
        <n v="0.851530955718844"/>
        <n v="3.42856410462838"/>
        <n v="5.61391554626621"/>
        <n v="10.8647526855879"/>
        <n v="7.37133907076435"/>
        <n v="2.74203443535794"/>
        <n v="8.20521824017261"/>
        <n v="0.845579198303273"/>
        <n v="1.644043384285"/>
        <n v="2.75799724296232"/>
        <n v="8.1418640817812"/>
        <n v="1.86132172207362"/>
        <n v="5.18160027636229"/>
        <n v="4.47849753259411"/>
        <n v="1.29319247075519"/>
        <n v="1.66323803816497"/>
        <n v="2.54670957338868"/>
        <n v="11.8849256221375"/>
        <n v="3.14449050743678"/>
        <n v="7.36450680261876"/>
        <n v="0.508342031363887"/>
        <n v="4.98544116761595"/>
        <n v="1.82558489676887"/>
        <n v="1.10058937679691"/>
        <n v="3.68307625917702"/>
        <n v="2.49424802306819"/>
        <n v="6.38670897980269"/>
        <n v="4.22820801732876"/>
        <n v="0.551409259786348"/>
        <n v="4.00590997189613"/>
        <n v="1.61486942040425"/>
        <n v="3.78366081647381"/>
        <n v="1.09881660702641"/>
        <n v="8.59351105558272"/>
        <n v="2.77602975782259"/>
        <n v="2.78008208064142"/>
        <n v="5.00235920817242"/>
        <n v="2.41186680900729"/>
        <n v="2.68229763613849"/>
        <n v="8.42247213093762"/>
        <n v="6.14300156351493"/>
        <n v="3.61944303641768"/>
        <n v="4.09958199980173"/>
        <n v="4.73921646580727"/>
        <n v="1.08333620263985"/>
        <n v="0.534295662254596"/>
        <n v="5.5558819498562"/>
        <n v="9.21269234540256"/>
        <n v="3.24772078167012"/>
        <n v="1.73426863167234"/>
        <n v="0.467554939953217"/>
        <n v="1.70098806218075"/>
        <n v="1.07309209470465"/>
        <n v="4.48083938235187"/>
        <n v="3.71244783003052"/>
        <n v="3.44457495332081"/>
        <n v="1.50418391639045"/>
        <n v="1.79184363932154"/>
        <n v="2.2951177071166"/>
        <n v="9.46827607686259"/>
        <n v="3.13183148519407"/>
        <n v="0.540527840855597"/>
        <n v="2.63523877958625"/>
        <n v="8.92395987050521"/>
        <n v="9.17182730502589"/>
        <n v="3.16065829544187"/>
        <n v="7.13643506413623"/>
        <n v="7.36984431574421"/>
        <n v="3.99727829616315"/>
        <n v="2.42346560324849"/>
        <n v="3.5838254921389"/>
        <n v="1.14796970748887"/>
        <n v="3.71534199375834"/>
        <n v="3.0017812588746"/>
        <n v="0.584603986676187"/>
        <n v="6.35990960644171"/>
        <n v="1.71196915801694"/>
        <n v="6.06055733217808"/>
        <n v="0.458335966856052"/>
        <n v="1.32445210008015"/>
        <n v="3.1019948924556"/>
        <n v="1.80268451015998"/>
        <n v="1.68498228940222"/>
        <n v="4.3589035350592"/>
        <n v="2.90134350495629"/>
        <n v="3.38397656916267"/>
        <n v="9.21734120566558"/>
        <n v="5.58198815377169"/>
        <n v="2.61215820280343"/>
        <n v="1.49666806901561"/>
        <n v="2.85500552798257"/>
        <n v="2.53687627112856"/>
        <n v="8.83870692432736"/>
        <n v="1.23710177481413"/>
        <n v="2.4979898120699"/>
        <n v="3.33598489064849"/>
        <n v="0.519801104118966"/>
        <n v="3.6426685681462"/>
        <n v="6.1122367652801"/>
        <n v="8.13255465788732"/>
        <n v="6.25648055250307"/>
        <n v="4.89212705636363"/>
        <n v="1.80110685338141"/>
        <n v="4.2712178322885"/>
        <n v="2.67806871074015"/>
        <n v="0.508167066660802"/>
        <n v="7.95372730125129"/>
        <n v="4.69633825327149"/>
        <n v="2.98549933425983"/>
        <n v="4.22700175416424"/>
        <n v="1.72673464917312"/>
        <n v="0.65595121587375"/>
        <n v="7.88752726184275"/>
        <n v="4.77156875722403"/>
        <n v="0.690209399098739"/>
        <n v="8.47759096872349"/>
        <n v="5.40905326180178"/>
        <n v="2.64747423495237"/>
        <n v="0.656070362763364"/>
        <n v="5.05849925179209"/>
        <n v="1.36598770955621"/>
        <n v="4.50736535646372"/>
        <n v="1.29031712224171"/>
        <n v="3.55741633649167"/>
        <n v="2.67822220453091"/>
        <n v="4.41406887798387"/>
        <n v="0.696011889606323"/>
        <n v="6.84287682591994"/>
        <n v="1.8264746717274"/>
        <n v="3.5866741510192"/>
        <n v="0.743133569978642"/>
        <n v="0.625915435291458"/>
        <n v="2.90200814732555"/>
        <n v="4.12808105611726"/>
        <n v="4.76212101936258"/>
        <n v="2.35284915084141"/>
        <n v="8.26671555110101"/>
        <n v="8.96190569161877"/>
        <n v="3.44601817678797"/>
        <n v="0.657393778543208"/>
        <n v="8.27319097864534"/>
        <n v="3.71861589496891"/>
        <n v="1.35161111926862"/>
        <n v="4.36988833966703"/>
        <n v="1.80694587083414"/>
        <n v="1.72163932997841"/>
        <n v="8.35524852988909"/>
        <n v="0.656736784704811"/>
        <n v="3.38175642204552"/>
        <n v="3.41017844716045"/>
        <n v="3.51788316033968"/>
        <n v="6.77488578580659"/>
        <n v="0.46573691433333"/>
        <n v="6.77372128591717"/>
        <n v="5.27831076691784"/>
        <n v="0.655101627214027"/>
        <n v="1.95833100637276"/>
        <n v="2.94087975246139"/>
        <n v="4.36998881037222"/>
        <n v="1.72484904105253"/>
        <n v="4.11125141596984"/>
        <n v="6.26948895447359"/>
        <n v="3.17809267803616"/>
        <n v="1.63584961699082"/>
        <n v="4.21453803099847"/>
        <n v="3.06117964361169"/>
        <n v="5.85491693484326"/>
        <n v="4.95707122364993"/>
        <n v="3.04767329891466"/>
        <n v="3.19249733543068"/>
        <n v="8.28860781437791"/>
        <n v="1.08182500887364"/>
        <n v="0.475529835326892"/>
        <n v="0.656056426986656"/>
        <n v="3.8379465239912"/>
        <n v="3.7921049798557"/>
        <n v="2.9059054229175"/>
        <n v="1.72410412132279"/>
        <n v="3.50045715780563"/>
        <n v="0.656893640287881"/>
        <n v="1.23399713434347"/>
        <n v="4.2811649982666"/>
        <n v="2.54292434938265"/>
        <n v="1.21546693384922"/>
        <n v="8.16004198160929"/>
        <n v="1.18554744432883"/>
        <n v="3.45367922529039"/>
        <n v="7.98421488450123"/>
        <n v="2.97006819833004"/>
        <n v="0.303724836417965"/>
        <n v="3.42562875721981"/>
        <n v="4.34701397093844"/>
        <n v="0.737236600096038"/>
        <n v="1.91558020720815"/>
        <n v="0.70824463417538"/>
        <n v="0.464590140147063"/>
        <n v="7.85901034962557"/>
        <n v="0.51535197661602"/>
        <n v="8.7834378059608"/>
        <n v="2.62450668865437"/>
        <n v="7.0597628944955"/>
        <n v="4.28602526234668"/>
        <n v="0.489676805726507"/>
        <n v="1.92905160186598"/>
        <n v="4.37339839089624"/>
        <n v="4.74705142226649"/>
        <n v="1.43612489959202"/>
        <n v="7.77083225381251"/>
        <n v="3.96220632345733"/>
        <n v="3.53114623516591"/>
        <n v="9.23164589053482"/>
        <n v="1.22200748559291"/>
        <n v="8.22395021694749"/>
        <n v="2.89637933948861"/>
        <n v="5.69326513085975"/>
        <n v="1.66760012563201"/>
        <n v="5.67077261123753"/>
        <n v="2.50116697534713"/>
        <n v="2.43565908776159"/>
        <n v="6.30405776013636"/>
        <n v="9.58501948908768"/>
        <n v="3.87536328247478"/>
        <n v="1.67745318112174"/>
        <n v="1.3689778525884"/>
        <n v="0.958465840048195"/>
        <n v="2.12032852559811"/>
        <n v="3.83829194062974"/>
        <n v="4.07703052049564"/>
        <n v="3.33368011223705"/>
        <n v="4.19649389937619"/>
        <n v="1.96669509965858"/>
        <n v="7.36801153412992"/>
        <n v="5.78526466860113"/>
        <n v="4.344399637732"/>
        <n v="3.36657917743039"/>
        <n v="0.464317719294888"/>
        <n v="1.35488810348748"/>
        <n v="5.02026694252673"/>
        <n v="1.43559173156676"/>
        <n v="0.206777119219931"/>
        <n v="1.83992838906838"/>
        <n v="3.78270222790433"/>
        <n v="9.79625109572905"/>
        <n v="2.42845691636973"/>
        <n v="3.13221445827895"/>
        <n v="0.975527047669137"/>
        <n v="0.620505261797377"/>
        <n v="0.695547592285203"/>
        <n v="1.73472946282274"/>
        <n v="9.16353586452592"/>
        <n v="3.82552810426458"/>
        <n v="5.22368889524978"/>
        <n v="8.61255936778778"/>
        <n v="1.3308813191584"/>
        <n v="3.42757084636406"/>
        <n v="9.13318603979324"/>
        <n v="1.73087503474224"/>
        <n v="3.57149746338015"/>
        <n v="4.97124706593709"/>
        <n v="0.485401521796469"/>
        <n v="2.49603971113464"/>
        <n v="0.510777112840109"/>
        <n v="2.46188350785702"/>
        <n v="3.60391424282385"/>
        <n v="6.99001780704225"/>
        <n v="4.49587990721596"/>
        <n v="0.423234559222296"/>
        <n v="3.68377110851193"/>
        <n v="3.03963219197913"/>
        <n v="4.87733194333709"/>
        <n v="1.59727482826265"/>
        <n v="9.18062444369471"/>
        <n v="3.43637089881062"/>
        <n v="0.61327205228964"/>
        <n v="4.44364129046295"/>
        <n v="9.10526824515469"/>
        <n v="0.435892374287305"/>
        <n v="3.41269099438727"/>
        <n v="0.292830552417628"/>
        <n v="2.3692339379221"/>
        <n v="5.7421177310095"/>
        <n v="9.16911725477209"/>
        <n v="2.56922686227748"/>
        <n v="3.04709082730207"/>
        <n v="5.22588273693388"/>
        <n v="8.63397317531642"/>
        <n v="0.488220672595613"/>
        <n v="2.73621556680797"/>
        <n v="3.35469131217556"/>
        <n v="5.79158321371536"/>
        <n v="0.253135938138399"/>
        <n v="3.42358958166236"/>
        <n v="2.90937593209163"/>
        <n v="7.06454093723955"/>
        <n v="5.55333996245901"/>
        <n v="2.67559512920861"/>
        <n v="6.61795276101304"/>
        <n v="5.25208664127732"/>
        <n v="4.63217575009541"/>
        <n v="5.51006643551613"/>
        <n v="5.31583611651438"/>
        <n v="2.52158296643178"/>
        <n v="2.50904492752724"/>
        <n v="8.45575171421982"/>
        <n v="4.45065311644912"/>
        <n v="6.33937710999437"/>
        <n v="3.13792500014473"/>
        <n v="2.66587286189983"/>
        <n v="9.24154400802002"/>
        <n v="1.35234038675955"/>
        <n v="4.16967269759586"/>
        <n v="4.59785461564349"/>
        <n v="3.47072936641227"/>
        <n v="3.28061918013691"/>
        <n v="1.65362643154949"/>
        <n v="4.38219082537173"/>
        <n v="2.73690049034493"/>
        <n v="4.98840612116933"/>
        <n v="1.66151465209122"/>
        <n v="2.60894321875741"/>
        <n v="4.83453534610406"/>
        <n v="4.265259448797"/>
        <n v="7.42280243454266"/>
        <n v="7.26647579215228"/>
        <n v="11.6936870834338"/>
        <n v="3.62681366101033"/>
        <n v="2.48565400655238"/>
        <n v="2.48517370983979"/>
        <n v="7.82938305144576"/>
        <n v="5.3237503391409"/>
        <n v="0.985277115507751"/>
        <n v="9.09427148298434"/>
        <n v="2.46031625927266"/>
        <n v="4.92729017611216"/>
        <n v="4.733236936856"/>
        <n v="1.368038583475"/>
        <n v="3.00856953472523"/>
        <n v="0.529816624564597"/>
        <n v="1.35140666837742"/>
        <n v="0.532324452594406"/>
        <n v="4.41789046748211"/>
        <n v="2.52384487679426"/>
        <n v="0.505236666087411"/>
        <n v="1.35628347761762"/>
        <n v="0.720233141370455"/>
        <n v="8.10217238437446"/>
        <n v="3.82805769031845"/>
        <n v="3.96364695827111"/>
        <n v="0.500996391751762"/>
        <n v="7.20416159768538"/>
        <n v="4.3127491977451"/>
        <n v="0.536927609580296"/>
        <n v="1.44351056958622"/>
        <n v="9.2761654814081"/>
        <n v="2.8875895294161"/>
        <n v="0.53102523604549"/>
        <n v="9.45600952384722"/>
        <n v="5.37249476031839"/>
        <n v="2.60967740084812"/>
        <n v="1.46664911751602"/>
        <n v="3.35018832226453"/>
        <n v="4.92464877927238"/>
        <n v="9.96487963524262"/>
        <n v="2.69893769381947"/>
        <n v="3.81913654339984"/>
        <n v="1.87749589689008"/>
        <n v="7.24667555157295"/>
        <n v="1.52012000965669"/>
        <n v="4.94925383235268"/>
        <n v="4.23807948106316"/>
        <n v="0.363019849262359"/>
        <n v="1.17604344226899"/>
        <n v="5.6014365983733"/>
        <n v="9.20641789748459"/>
        <n v="2.99261181668575"/>
        <n v="0.531715108534094"/>
        <n v="1.49729294263027"/>
        <n v="1.55314998722197"/>
        <n v="9.42648445901744"/>
        <n v="3.59207880479328"/>
        <n v="5.44017262861959"/>
        <n v="5.31252169196271"/>
        <n v="1.79137464965803"/>
        <n v="1.77502661701069"/>
        <n v="3.21665709221766"/>
        <n v="6.1056824206943"/>
        <n v="2.60478078615097"/>
        <n v="0.61093860225426"/>
        <n v="8.35391731996851"/>
        <n v="8.76714182888235"/>
        <n v="2.88938335924885"/>
        <n v="1.05723712926983"/>
        <n v="2.28948199444536"/>
        <n v="9.14965494474381"/>
        <n v="0.521348183140656"/>
        <n v="9.2054032962029"/>
        <n v="3.10107823561431"/>
        <n v="3.98385262405428"/>
        <n v="0.551805323457836"/>
        <n v="1.09394677999619"/>
        <n v="9.42216455728112"/>
        <n v="1.63374701075549"/>
        <n v="8.86208297688237"/>
        <n v="2.83327572471856"/>
        <n v="5.45247035133092"/>
        <n v="0.485788066076325"/>
        <n v="9.98196953715978"/>
        <n v="0.579661119235711"/>
        <n v="2.77749838918704"/>
        <n v="1.73279972324326"/>
        <n v="8.39025998177273"/>
        <n v="7.71154032901986"/>
        <n v="0.480508922820292"/>
        <n v="2.70517675332222"/>
        <n v="3.09084397598135"/>
        <n v="2.53089610518087"/>
        <n v="4.76125358818174"/>
        <n v="7.85898262468938"/>
        <n v="2.51140981220521"/>
        <n v="4.50656454082017"/>
        <n v="1.10452447479589"/>
        <n v="6.90627872063648"/>
        <n v="2.95529793922824"/>
        <n v="1.20107682946137"/>
        <n v="1.71733579872552"/>
        <n v="3.17925792891711"/>
        <n v="4.07144649263407"/>
        <n v="6.38252242059358"/>
        <n v="3.31902576640577"/>
        <n v="2.79234223861558"/>
        <n v="8.27739036940874"/>
        <n v="3.53651012977616"/>
        <n v="6.1703116578955"/>
        <n v="6.73472698738451"/>
        <n v="0.468913246808133"/>
        <n v="2.73640394527777"/>
        <n v="3.19142122597605"/>
        <n v="8.98720271611667"/>
        <n v="5.80050690034784"/>
        <n v="0.466614602029364"/>
        <n v="1.71718791408655"/>
        <n v="2.33205333857102"/>
        <n v="4.49893784211615"/>
        <n v="0.712515710862965"/>
        <n v="3.75195471161019"/>
        <n v="4.54296140430342"/>
        <n v="1.5506472558568"/>
        <n v="4.04134370130649"/>
        <n v="2.09838266419671"/>
        <n v="1.11094246942807"/>
        <n v="0.361009675615359"/>
        <n v="3.82160473928716"/>
        <n v="4.95630131802665"/>
        <n v="3.0773947983565"/>
        <n v="2.48049655955741"/>
        <n v="2.80754358105244"/>
        <n v="7.97961475160596"/>
        <n v="6.99053782152582"/>
        <n v="3.54008257201963"/>
        <n v="3.60477479567344"/>
        <n v="1.21703352778983"/>
        <n v="4.06804030339091"/>
        <n v="6.26383070620371"/>
        <n v="1.92565088741507"/>
        <n v="5.20694507662598"/>
        <n v="2.90312661150359"/>
        <n v="4.67693383242662"/>
        <n v="7.99280228282153"/>
        <n v="3.2321078491814"/>
        <n v="4.5436761869075"/>
        <n v="4.83467570435816"/>
        <n v="4.23880278573696"/>
        <n v="0.548127286101913"/>
        <n v="3.14371316404629"/>
        <n v="7.3355352699705"/>
        <n v="1.72934322420855"/>
        <n v="4.01146178164289"/>
        <n v="4.78476389882209"/>
        <n v="2.6951311264053"/>
        <n v="69.978864373413"/>
        <n v="2.59196283911672"/>
        <n v="1.7184333801405"/>
        <n v="8.36255755953383"/>
        <n v="0.655959201838111"/>
        <n v="3.51039365262554"/>
        <n v="4.21704793599266"/>
        <n v="2.53887383804285"/>
        <n v="4.33851993441608"/>
        <n v="0.707613078750997"/>
        <n v="3.71765965873926"/>
        <n v="1.71894508153762"/>
        <n v="0.464316051100371"/>
        <n v="2.62371564546456"/>
        <n v="8.29504650970464"/>
        <n v="0.495431126628239"/>
        <n v="3.62419322100732"/>
        <n v="3.78794718722747"/>
        <n v="0.70773596316053"/>
        <n v="2.53805350135836"/>
        <n v="0.367270729126863"/>
        <n v="4.21702655993677"/>
        <n v="2.86417161633114"/>
        <n v="1.32322002414332"/>
        <n v="4.72046725021857"/>
        <n v="4.47843455086886"/>
        <n v="0.411081825205857"/>
        <n v="1.69675307525555"/>
        <n v="1.97576309518489"/>
        <n v="0.465453363047499"/>
        <n v="3.71760242382837"/>
        <n v="5.31194467861246"/>
        <n v="4.90732272645275"/>
        <n v="3.74508107472048"/>
        <n v="0.518878421450443"/>
        <n v="1.5815878417486"/>
        <n v="3.24559160399468"/>
        <n v="4.85889174808223"/>
        <n v="4.36977693608509"/>
        <n v="1.35131645412261"/>
        <n v="0.467858173930302"/>
        <n v="3.2398656917924"/>
        <n v="5.54597081771853"/>
        <n v="9.27298828601337"/>
        <n v="6.21689374027246"/>
        <n v="0.947146018536682"/>
        <n v="3.79378162434355"/>
        <n v="2.98438892245707"/>
        <n v="5.63037801875538"/>
        <n v="3.89300487482774"/>
        <n v="2.91899912710236"/>
        <n v="5.48063357461151"/>
        <n v="7.40402621077471"/>
        <n v="4.16951055383828"/>
        <n v="2.33973878844794"/>
        <n v="2.90425340973054"/>
        <n v="10.6687506618809"/>
        <n v="3.67798601393657"/>
        <n v="3.10375517321191"/>
        <n v="4.95942541430001"/>
        <n v="5.02187349799241"/>
        <n v="2.15136746754372"/>
        <n v="3.33564103842902"/>
        <n v="2.4826095856558"/>
        <n v="3.07911082745898"/>
        <n v="4.70440216565851"/>
        <n v="1.8493792792049"/>
        <n v="6.70244479298769"/>
        <n v="6.82191836543702"/>
        <n v="4.38083264266247"/>
        <n v="7.15083988178261"/>
        <n v="3.40643123716879"/>
        <n v="2.91615651955154"/>
        <n v="3.85923224062439"/>
        <n v="4.91932460288249"/>
        <n v="0.481173935676245"/>
        <n v="2.39223555560269"/>
        <n v="0.466219664279624"/>
        <n v="3.82333860864029"/>
        <n v="3.00264942600681"/>
        <n v="5.7332586181067"/>
        <n v="0.713176031857099"/>
        <n v="0.474935322391952"/>
        <n v="6.584681697549"/>
        <n v="3.78038167608712"/>
        <n v="4.45615647799757"/>
        <n v="2.91949209901181"/>
        <n v="9.14056982604882"/>
        <n v="5.8109484114784"/>
        <n v="2.98476120767297"/>
        <n v="1.96703790483203"/>
        <n v="0.696324612904098"/>
        <n v="5.45976563387148"/>
        <n v="2.98122351136655"/>
        <n v="8.0250922969904"/>
        <n v="0.696908251551147"/>
        <n v="7.66306097396175"/>
        <n v="2.97237352615888"/>
        <n v="1.44395293490134"/>
        <n v="3.19086296231507"/>
        <n v="7.01339542562921"/>
        <n v="9.14866087397553"/>
        <n v="5.9554277500138"/>
        <n v="11.3274993777317"/>
        <n v="0.642615933522287"/>
        <n v="3.32003812343979"/>
        <n v="9.218853632893"/>
        <n v="3.4028163967672"/>
        <n v="9.21397504831845"/>
        <n v="5.4639191780618"/>
        <n v="4.67364352262851"/>
        <n v="0.480176753363811"/>
        <n v="9.16358843313998"/>
        <n v="2.76265434049727"/>
        <n v="8.46077889999472"/>
        <n v="3.18927237739203"/>
        <n v="5.4783810449543"/>
        <n v="5.98586250661729"/>
        <n v="0.446820144828865"/>
        <n v="3.15562554661099"/>
        <n v="9.95532662416237"/>
        <n v="5.71208581002097"/>
        <n v="1.54828190470837"/>
        <n v="3.11164359386864"/>
        <n v="5.41606119858966"/>
        <n v="0.159111599352397"/>
        <n v="16.0699163391306"/>
        <n v="0.858184707382862"/>
        <n v="4.11856157153312"/>
        <n v="2.48279813552502"/>
        <n v="0.846499235833107"/>
        <n v="0.876316520456836"/>
        <n v="11.7998600237701"/>
        <n v="3.0689742378816"/>
        <n v="0.536737887189555"/>
        <n v="6.39286230288375"/>
        <n v="7.81246416144879"/>
        <n v="4.45029987653408"/>
        <n v="2.80440184634525"/>
        <n v="8.14574226133278"/>
        <n v="3.71514076300746"/>
        <n v="1.85278751860171"/>
        <n v="0.467379522569296"/>
        <n v="8.15545519511425"/>
        <n v="1.85002569049063"/>
        <n v="3.58960026834646"/>
        <n v="3.68958063925997"/>
        <n v="3.47415486726722"/>
        <n v="6.41986892839504"/>
        <n v="0.555253725804272"/>
        <n v="1.36771720764882"/>
        <n v="8.92174601600665"/>
        <n v="2.40945421408225"/>
        <n v="3.07744922571499"/>
        <n v="2.49114450253838"/>
        <n v="2.74296554624559"/>
        <n v="2.95757463774552"/>
        <n v="2.49389836570704"/>
        <n v="5.86310534566308"/>
        <n v="3.24080658929487"/>
        <n v="3.61563343593256"/>
        <n v="6.07122013982553"/>
        <n v="0.505962077325303"/>
        <n v="8.85473126823923"/>
        <n v="2.4540921019455"/>
        <n v="2.76726898300746"/>
        <n v="2.08361307239284"/>
        <n v="3.29746389552031"/>
        <n v="3.52848278200411"/>
        <n v="0.716167316425308"/>
        <n v="0.609837594988508"/>
        <n v="2.48988833108195"/>
        <n v="2.55427969889479"/>
        <n v="4.32783600288402"/>
        <n v="0.535337739307284"/>
        <n v="3.4518636080575"/>
        <n v="3.42662417932206"/>
        <n v="0.528336517899424"/>
        <n v="3.63138425246542"/>
        <n v="3.45991276371469"/>
        <n v="1.96548095819134"/>
        <n v="2.67558905226312"/>
        <n v="10.1156078615505"/>
        <n v="4.6226840807332"/>
        <n v="3.77281611560487"/>
        <n v="0.534500817547642"/>
        <n v="0.713773697983655"/>
        <n v="1.4780770236849"/>
        <n v="6.27180059880842"/>
        <n v="3.20388839518741"/>
        <n v="0.53155206589648"/>
        <n v="9.25151665348381"/>
        <n v="3.83780024219103"/>
        <n v="2.78113662525361"/>
        <n v="9.44065394122625"/>
        <n v="0.994456585795455"/>
        <n v="1.24998205362585"/>
        <n v="3.19732302530218"/>
        <n v="0.500093197859678"/>
        <n v="9.19107194650563"/>
        <n v="3.09261603266889"/>
        <n v="1.79496743914507"/>
        <n v="9.30941743339475"/>
        <n v="0.458471244719719"/>
        <n v="1.73247226425922"/>
        <n v="2.58224348319996"/>
        <n v="1.04719821726043"/>
        <n v="4.11154276354079"/>
        <n v="0.550743716536865"/>
        <n v="3.27429307684682"/>
        <n v="4.4158901760116"/>
        <n v="0.351747539319375"/>
        <n v="3.12212655422596"/>
        <n v="1.62067183124624"/>
        <n v="5.9228499242063"/>
        <n v="1.93828036486148"/>
        <n v="0.52955673689802"/>
        <n v="0.561161885174007"/>
        <n v="2.93871868947077"/>
        <n v="2.98620920153335"/>
        <n v="0.324739539363783"/>
        <n v="9.14221632563114"/>
        <n v="1.3638904467422"/>
        <n v="3.80312580828203"/>
        <n v="10.1036812087903"/>
        <n v="2.93651830175062"/>
        <n v="2.72284254911433"/>
        <n v="3.17777222107063"/>
        <n v="7.85668990993533"/>
        <n v="4.86180107364134"/>
        <n v="3.63035838026977"/>
        <n v="1.72755892233266"/>
        <n v="7.89072160762163"/>
        <n v="3.37315295602933"/>
        <n v="3.57568419865871"/>
        <n v="1.2031107466145"/>
        <n v="2.49194375655479"/>
        <n v="4.40224665411596"/>
        <n v="2.65975090057489"/>
        <n v="4.06763215129494"/>
        <n v="2.87285563707749"/>
        <n v="0.655758398760637"/>
        <n v="1.72813229901423"/>
        <n v="4.77342890910562"/>
        <n v="3.95686152381342"/>
        <n v="2.39691592708746"/>
        <n v="8.96693387563049"/>
        <n v="3.3179862960933"/>
        <n v="1.36513615288578"/>
        <n v="5.07169775167422"/>
        <n v="8.39497891507685"/>
        <n v="8.19271106903019"/>
        <n v="4.76991819511135"/>
        <n v="2.15430363329306"/>
        <n v="5.20046805696326"/>
        <n v="4.35491686363374"/>
        <n v="3.48959222477293"/>
        <n v="0.466571368588897"/>
        <n v="5.0444863255513"/>
        <n v="8.00479936771342"/>
        <n v="3.73794068877781"/>
        <n v="2.3896065607411"/>
        <n v="3.55843820421956"/>
        <n v="1.46445252599949"/>
        <n v="7.0056107045793"/>
        <n v="4.6011503499323"/>
        <n v="1.95276322448291"/>
        <n v="3.1734249661792"/>
        <n v="2.68844141058219"/>
        <n v="2.7543934298618"/>
        <n v="4.52269996549692"/>
        <n v="4.53481537478383"/>
        <n v="3.8310605138234"/>
        <n v="1.95864237770773"/>
        <n v="1.7312432092875"/>
        <n v="4.78108739389043"/>
        <n v="4.147968799176"/>
        <n v="1.08099143800278"/>
        <n v="1.72958010528007"/>
        <n v="0.475682450300472"/>
        <n v="4.62128857670838"/>
        <n v="0.658715752254227"/>
        <n v="1.73141583597412"/>
        <n v="0.469666814576258"/>
        <n v="2.41120637050158"/>
        <n v="4.05754803684077"/>
        <n v="3.28631485343359"/>
        <n v="5.20407998283974"/>
        <n v="0.708434806351277"/>
        <n v="4.16163734353772"/>
        <n v="0.655968598911914"/>
        <n v="3.21478489435148"/>
        <n v="1.81635928767984"/>
        <n v="3.18055199771391"/>
        <n v="4.71953689501484"/>
        <n v="3.64740460568053"/>
        <n v="4.17352570616611"/>
        <n v="3.30275635282587"/>
        <n v="0.70786192492695"/>
        <n v="5.09772268538534"/>
        <n v="0.46446787747959"/>
        <n v="4.78030381006863"/>
        <n v="1.32677483255478"/>
        <n v="2.54417407836283"/>
        <n v="0.463883064978275"/>
        <n v="1.72923534286118"/>
        <n v="3.90195060597229"/>
        <n v="3.12436250216351"/>
        <n v="1.44843303705473"/>
        <n v="11.8341170262841"/>
        <n v="4.58446036724409"/>
        <n v="4.49345346579117"/>
        <n v="1.43640908815364"/>
        <n v="0.500113944982707"/>
        <n v="1.93098085456103"/>
        <n v="3.41909286452132"/>
        <n v="2.8825711960885"/>
        <n v="0.634710554728437"/>
        <n v="9.13585412202022"/>
        <n v="7.92018308536611"/>
        <n v="1.66953887114112"/>
        <n v="3.7896933143065"/>
        <n v="10.1105699664456"/>
        <n v="3.1846034269595"/>
        <n v="1.09023735721991"/>
        <n v="0.8529450495274"/>
        <n v="6.49796025570303"/>
        <n v="3.75677561527336"/>
        <n v="2.13717500341154"/>
        <n v="3.8920479640315"/>
        <n v="0.931448108718372"/>
        <n v="4.92195699205616"/>
        <n v="2.8543296827781"/>
        <n v="3.8240929575095"/>
        <n v="1.36754830954281"/>
        <n v="6.35949699865281"/>
        <n v="2.28704983527258"/>
        <n v="2.52325152534435"/>
        <n v="7.8130269927959"/>
        <n v="3.76499924568681"/>
        <n v="1.35311157350063"/>
        <n v="5.23671647206678"/>
        <n v="7.92021970086904"/>
        <n v="3.92875862558933"/>
        <n v="2.85330696911632"/>
        <n v="3.5417338884745"/>
        <n v="5.11721394599982"/>
        <n v="7.42545356017624"/>
        <n v="3.12603613914161"/>
        <n v="2.37750682626289"/>
        <n v="4.70650601105921"/>
        <n v="3.73584774217266"/>
        <n v="0.208852078386303"/>
        <n v="5.60284382659997"/>
        <n v="0.615239242292452"/>
        <n v="4.85827352911536"/>
        <n v="0.480350647483117"/>
        <n v="3.41798361370922"/>
        <n v="2.43615698495077"/>
        <n v="3.63989662177519"/>
        <n v="0.337150655438601"/>
        <n v="0.481892255331228"/>
        <n v="9.11435681090968"/>
        <n v="1.95028220463867"/>
        <n v="0.71296019176118"/>
        <n v="3.98028348586082"/>
        <n v="0.851606616086179"/>
        <n v="3.55055501913323"/>
        <n v="1.55022049168715"/>
        <n v="5.52817889927678"/>
        <n v="4.64838106259208"/>
        <n v="3.93019614966064"/>
        <n v="5.96301572164564"/>
        <n v="2.6308159782114"/>
        <n v="2.70795760000253"/>
        <n v="9.22591389861301"/>
        <n v="1.21245167367686"/>
        <n v="1.97635528295049"/>
        <n v="4.48776892109742"/>
        <n v="5.07008993226103"/>
        <n v="6.2536338220425"/>
        <n v="3.09405517976735"/>
        <n v="3.37862692048136"/>
        <n v="3.50054086041703"/>
        <n v="0.502953193928029"/>
        <n v="9.22133508648736"/>
        <n v="0.435867006406698"/>
        <n v="3.85254418781493"/>
        <n v="3.32092582272929"/>
        <n v="10.4270962533551"/>
        <n v="0.371406866845894"/>
        <n v="5.45492155417646"/>
        <n v="3.11191401866098"/>
        <n v="12.0803310655271"/>
        <n v="0.159200655745664"/>
        <n v="6.13353560743597"/>
        <n v="9.55994366398335"/>
        <n v="3.61360680293045"/>
        <n v="0.283926328030695"/>
        <n v="2.70530001403911"/>
        <n v="7.13101587221336"/>
        <n v="1.53814829727943"/>
        <n v="2.91293039934674"/>
        <n v="3.45299052581452"/>
        <n v="4.52360178659441"/>
        <n v="3.03327443654724"/>
        <n v="5.55325623089374"/>
        <n v="0.642690819389516"/>
        <n v="5.88030952473025"/>
        <n v="3.46143405388104"/>
        <n v="0.641688422657327"/>
        <n v="5.37892725049585"/>
        <n v="9.22716344193745"/>
        <n v="4.44932793271963"/>
        <n v="0.481216991213257"/>
        <n v="6.28872957780537"/>
        <n v="9.4515330006618"/>
        <n v="4.39578676306153"/>
        <n v="3.11422944570414"/>
        <n v="5.01172174687394"/>
        <n v="2.30916234549941"/>
        <n v="4.25645474593431"/>
        <n v="0.83894585905381"/>
        <n v="2.85220638434062"/>
        <n v="8.14721699453187"/>
        <n v="3.53997390829828"/>
        <n v="0.846631095416191"/>
        <n v="5.3909731244259"/>
        <n v="4.64939172910609"/>
        <n v="1.5573478506889"/>
        <n v="0.509374689164716"/>
        <n v="2.94802479976764"/>
        <n v="8.21220223036271"/>
        <n v="2.18555400561413"/>
        <n v="2.578023130357"/>
        <n v="4.67516966210318"/>
        <n v="1.35106843703318"/>
        <n v="3.33675674588882"/>
        <n v="1.68935952590513"/>
        <n v="7.35427989316334"/>
        <n v="5.6745938462106"/>
        <n v="3.82326585232028"/>
        <n v="2.48724842367287"/>
        <n v="2.30817360687609"/>
        <n v="7.3799976454078"/>
        <n v="4.66281163944821"/>
        <n v="7.1336285774308"/>
        <n v="3.35063223327411"/>
        <n v="2.04093977198045"/>
        <n v="3.43184695876979"/>
        <n v="1.82484756059272"/>
        <n v="0.856926744521415"/>
        <n v="1.80134167239317"/>
        <n v="6.18164354454057"/>
        <n v="4.311308204311"/>
        <n v="2.58073127211163"/>
        <n v="4.13327532642862"/>
        <n v="0.502406485759153"/>
        <n v="3.30373187536481"/>
        <n v="5.63105801777183"/>
        <n v="6.49043622954723"/>
        <n v="2.24877658640785"/>
        <n v="1.68706523863738"/>
        <n v="5.0055780207662"/>
        <n v="1.62080575969184"/>
        <n v="2.75706196110069"/>
        <n v="2.46074579302741"/>
        <n v="2.42233382393947"/>
        <n v="9.07408756525385"/>
        <n v="1.7082910322834"/>
        <n v="1.79312338282108"/>
        <n v="2.59772271020311"/>
        <n v="4.93946187234476"/>
        <n v="0.746697057190632"/>
        <n v="4.23882428882822"/>
        <n v="4.98841093823126"/>
        <n v="3.15536156463356"/>
        <n v="2.64269675802748"/>
        <n v="9.1660670465212"/>
        <n v="1.48194844252264"/>
        <n v="3.54252389313377"/>
        <n v="0.534720242116522"/>
        <n v="0.721965479667454"/>
        <n v="5.58051529926303"/>
        <n v="2.8126766908651"/>
        <n v="9.02694037316627"/>
        <n v="3.08196415157727"/>
        <n v="3.05011588562105"/>
        <n v="1.71490789353466"/>
        <n v="5.05058238739526"/>
        <n v="3.9456293418362"/>
        <n v="3.2802736546097"/>
        <n v="8.41172901852248"/>
        <n v="3.12550874877382"/>
        <n v="0.584312106952299"/>
        <n v="3.34363865411845"/>
        <n v="0.696240679150507"/>
        <n v="2.99437147951237"/>
        <n v="1.47960336864507"/>
        <n v="0.526267429195604"/>
        <n v="4.48243907581231"/>
        <n v="5.68367614105582"/>
        <n v="0.521652916825704"/>
        <n v="4.9176142304864"/>
        <n v="4.28325743246308"/>
        <n v="2.88889834064925"/>
        <n v="0.51505415937274"/>
        <n v="5.13533569330619"/>
        <n v="3.34598981284788"/>
        <n v="0.35328262977789"/>
        <n v="1.70439565141092"/>
        <n v="6.33523688297608"/>
        <n v="1.66231139290056"/>
        <n v="1.29687383229426"/>
        <n v="2.7711128546185"/>
        <n v="0.481766782146622"/>
        <n v="6.24129577383067"/>
        <n v="2.50235897306624"/>
        <n v="0.581659196280914"/>
        <n v="6.74544150368888"/>
        <n v="4.42849794830854"/>
        <n v="0.655779230192059"/>
        <n v="3.53395397610698"/>
        <n v="4.36652466133934"/>
        <n v="1.72554826849011"/>
        <n v="4.31666985377997"/>
        <n v="0.657300413358112"/>
        <n v="1.35195323058392"/>
        <n v="2.88693702198425"/>
        <n v="8.28365757012675"/>
        <n v="1.72898024330463"/>
        <n v="4.39701976527191"/>
        <n v="2.90200363110989"/>
        <n v="4.78339299415728"/>
        <n v="2.48686057732635"/>
        <n v="8.18354919808195"/>
        <n v="2.94648326624118"/>
        <n v="3.55005594447994"/>
        <n v="2.38510833146567"/>
        <n v="2.61852109489654"/>
        <n v="4.9655944156021"/>
        <n v="3.89856151101753"/>
        <n v="8.03182170252901"/>
        <n v="0.65503133140189"/>
        <n v="3.47438721363127"/>
        <n v="9.24277639407863"/>
        <n v="2.09735392680329"/>
        <n v="3.56183090411235"/>
        <n v="8.9457852485062"/>
        <n v="1.72389673355556"/>
        <n v="2.63887578269689"/>
        <n v="4.10704487640967"/>
        <n v="1.64251577244766"/>
        <n v="4.4249246276598"/>
        <n v="8.17334956836465"/>
        <n v="2.82762365722043"/>
        <n v="3.67209174947974"/>
        <n v="1.72576905648531"/>
        <n v="4.59202204159694"/>
        <n v="3.51510636897139"/>
        <n v="4.55056385255057"/>
        <n v="1.70420263865987"/>
        <n v="3.08244143416849"/>
        <n v="4.73763819343573"/>
        <n v="1.50161163099607"/>
        <n v="4.78653372473381"/>
        <n v="3.91644041676502"/>
        <n v="1.72981223821209"/>
        <n v="3.96136993651829"/>
        <n v="0.713359368910705"/>
        <n v="3.6728463192507"/>
        <n v="0.655996016952792"/>
        <n v="3.79329706690374"/>
        <n v="2.47872686139537"/>
        <n v="4.223310010839"/>
        <n v="7.06287146495877"/>
        <n v="4.00329169559497"/>
        <n v="0.640422107839324"/>
        <n v="1.72737146836026"/>
        <n v="1.17104420413794"/>
        <n v="8.34878635273175"/>
        <n v="3.58648370862842"/>
        <n v="1.72300430152958"/>
        <n v="3.14654868868291"/>
        <n v="0.591005414130622"/>
        <n v="1.71999875541041"/>
        <n v="4.68759513167589"/>
        <n v="3.3740014896772"/>
        <n v="2.48387657144364"/>
        <n v="5.74669413565689"/>
        <n v="3.61971701658578"/>
        <n v="0.955026638306434"/>
        <n v="2.22834955442861"/>
        <n v="3.60510487674275"/>
        <n v="0.655606981885601"/>
        <n v="4.40536904951159"/>
        <n v="0.424740733311385"/>
        <n v="3.12088664201125"/>
        <n v="8.27801561472309"/>
        <n v="3.22963740863766"/>
        <n v="4.05750988080846"/>
        <n v="0.465082406858503"/>
        <n v="0.65844632199543"/>
        <n v="5.00138179814121"/>
        <n v="2.57246213396168"/>
        <n v="0.706975593186279"/>
        <n v="3.24099872990282"/>
        <n v="6.95744990431435"/>
        <n v="0.750636531262653"/>
        <n v="2.79694960544801"/>
        <n v="5.29836617396347"/>
        <n v="1.44477567196369"/>
        <n v="1.34571651982712"/>
        <n v="3.61061936891988"/>
        <n v="1.47554112997852"/>
        <n v="4.11666630646588"/>
        <n v="7.36513299628606"/>
        <n v="8.15253183386839"/>
        <n v="6.97849462301254"/>
        <n v="0.467486395204292"/>
        <n v="2.71632972230713"/>
        <n v="1.41780063780929"/>
        <n v="2.68680992585361"/>
        <n v="2.50556894126087"/>
        <n v="6.36642541748701"/>
        <n v="4.97495120572894"/>
        <n v="0.698663645941078"/>
        <n v="2.69092744757673"/>
        <n v="0.464195835755317"/>
        <n v="4.86421860396228"/>
        <n v="0.712432953281438"/>
        <n v="5.73733734014171"/>
        <n v="4.73167232988748"/>
        <n v="1.44573704523337"/>
        <n v="3.92729548178421"/>
        <n v="8.01975815023757"/>
        <n v="3.26463859637579"/>
        <n v="2.52063481878796"/>
        <n v="7.4321444816699"/>
        <n v="1.29672300465532"/>
        <n v="4.62996008200395"/>
        <n v="3.73053379102449"/>
        <n v="1.85399862974819"/>
        <n v="2.48363014980036"/>
        <n v="3.97411435882076"/>
        <n v="2.93681446344441"/>
        <n v="0.695859804721295"/>
        <n v="3.12204396882274"/>
        <n v="3.17018871947694"/>
        <n v="9.13826774749177"/>
        <n v="4.88458118629078"/>
        <n v="0.50031556464406"/>
        <n v="3.02082750177881"/>
        <n v="10.319859251294"/>
        <n v="2.55070523946273"/>
        <n v="7.23512263229369"/>
        <n v="3.0080996732644"/>
        <n v="0.479846784360075"/>
        <n v="3.51415822907066"/>
        <n v="4.66171639339358"/>
        <n v="5.30313961240362"/>
        <n v="1.75612515946037"/>
        <n v="3.79386536776344"/>
        <n v="2.50257803372252"/>
        <n v="3.80781543805545"/>
        <n v="5.56242801182323"/>
        <n v="9.16045690125823"/>
        <n v="1.06675381755896"/>
        <n v="3.57048453118489"/>
        <n v="2.6112168081268"/>
        <n v="9.16309281861913"/>
        <n v="1.08813236561883"/>
        <n v="3.27326007891641"/>
        <n v="0.396528241486887"/>
        <n v="3.95633998659631"/>
        <n v="9.16728650968161"/>
        <n v="1.46249219824188"/>
        <n v="6.14781044011186"/>
        <n v="2.42758956378056"/>
        <n v="4.82260979348"/>
        <n v="4.74609805093865"/>
        <n v="8.49447245173756"/>
        <n v="2.30254408325867"/>
        <n v="2.92284393349779"/>
        <n v="4.75325129870394"/>
        <n v="11.1704405542896"/>
        <n v="0.430640032667167"/>
        <n v="0.606181780742918"/>
        <n v="5.45647846007894"/>
        <n v="3.10628853381693"/>
        <n v="7.64790764507277"/>
        <n v="3.35724250270845"/>
        <n v="0.434839337727584"/>
        <n v="4.77029399336047"/>
        <n v="0.951271038673439"/>
        <n v="6.1988300702717"/>
        <n v="3.64357921816931"/>
        <n v="5.43341355434447"/>
        <n v="3.15858098012156"/>
        <n v="3.47812911728803"/>
        <n v="6.41066677783066"/>
        <n v="4.22618154809841"/>
        <n v="3.95714297167333"/>
        <n v="3.48080598566861"/>
        <n v="0.472514299291177"/>
        <n v="3.12964648962818"/>
        <n v="7.80512533834192"/>
        <n v="2.5170687787092"/>
        <n v="8.5852502609336"/>
        <n v="1.44756650836221"/>
        <n v="5.97534073794284"/>
        <n v="9.19716728696744"/>
        <n v="11.6143962719938"/>
        <n v="5.42950189100578"/>
        <n v="0.440563429974047"/>
        <n v="3.11190786612199"/>
        <n v="3.27797703449539"/>
        <n v="1.6428002623966"/>
        <n v="6.26080614435524"/>
        <n v="3.99686638068077"/>
        <n v="2.22058500656929"/>
        <n v="7.87674428936375"/>
        <n v="7.38865020615194"/>
        <n v="3.76683459604881"/>
        <n v="8.21224703713791"/>
        <n v="3.39727311068799"/>
        <n v="0.53116261768684"/>
        <n v="2.24782541959951"/>
        <n v="3.92517101240825"/>
        <n v="2.26654350757935"/>
        <n v="0.511500219517523"/>
        <n v="7.36402991469875"/>
        <n v="2.89349920683153"/>
        <n v="6.39296574323969"/>
        <n v="1.9553524812869"/>
        <n v="8.00321674736366"/>
        <n v="0.98626991507807"/>
        <n v="3.16406103677056"/>
        <n v="8.86135336130051"/>
        <n v="7.15638006111091"/>
        <n v="3.97683543584629"/>
        <n v="2.01590828652567"/>
        <n v="0.529193780936686"/>
        <n v="4.13628266953987"/>
        <n v="1.69972380428653"/>
        <n v="9.31094199498271"/>
        <n v="0.988071043501927"/>
        <n v="2.62014407350845"/>
        <n v="8.2737064247019"/>
        <n v="2.16984608319823"/>
        <n v="2.9077624709845"/>
        <n v="0.539181167055886"/>
        <n v="5.13871927213149"/>
        <n v="3.74471744091186"/>
        <n v="1.68668418461409"/>
        <n v="9.13540894877135"/>
        <n v="3.47425554299664"/>
        <n v="5.79780702916439"/>
        <n v="1.95011013326242"/>
        <n v="1.08481166895852"/>
        <n v="3.36587919385553"/>
        <n v="4.45228526498928"/>
        <n v="0.535989364148732"/>
        <n v="1.50370233203713"/>
        <n v="2.48874960456739"/>
        <n v="2.17166873903816"/>
        <n v="3.409696669018"/>
        <n v="2.01235050209023"/>
        <n v="8.43056073932829"/>
        <n v="0.534904501494864"/>
        <n v="4.2079876361833"/>
        <n v="8.77392133654563"/>
        <n v="2.94231510391464"/>
        <n v="9.1910887731451"/>
        <n v="4.95810735092661"/>
        <n v="2.44795162147379"/>
        <n v="3.63399888921714"/>
        <n v="3.48031899016527"/>
        <n v="1.81989957307188"/>
        <n v="2.09687707767773"/>
        <n v="5.18612176215272"/>
        <n v="5.37121900035303"/>
        <n v="1.2816378629523"/>
        <n v="2.63026753228436"/>
        <n v="3.75231420769811"/>
        <n v="6.90615386933195"/>
        <n v="2.4060970989307"/>
        <n v="3.3473661261715"/>
        <n v="1.68403778043564"/>
        <n v="3.04633655359845"/>
        <n v="4.95778623959385"/>
        <n v="0.552673888776162"/>
        <n v="0.521099489037686"/>
        <n v="3.84357555357016"/>
        <n v="3.81280198493487"/>
        <n v="3.42790151227541"/>
        <n v="7.41596816891438"/>
        <n v="2.59554964489103"/>
        <n v="3.11320135299261"/>
        <n v="2.5216808429822"/>
        <n v="4.1113651030488"/>
        <n v="1.37748075545382"/>
        <n v="3.8066072983857"/>
        <n v="9.19682669187352"/>
        <n v="0.567181660740876"/>
        <n v="3.33812953625291"/>
        <n v="3.92928100315544"/>
        <n v="0.712643716149664"/>
        <n v="1.87950702117379"/>
        <n v="3.45476017400358"/>
        <n v="8.27164836221374"/>
        <n v="0.713459270296108"/>
        <n v="3.08407426990208"/>
        <n v="3.80971853993428"/>
        <n v="2.87407308369354"/>
        <n v="1.83411327191818"/>
        <n v="3.64929199295567"/>
        <n v="3.97700624890258"/>
        <n v="1.35220740911753"/>
        <n v="3.82676627622227"/>
        <n v="2.48569017143044"/>
        <n v="7.65962810853423"/>
        <n v="3.01957015210275"/>
        <n v="4.68665776185381"/>
        <n v="0.642238348195932"/>
        <n v="1.7185979301295"/>
        <n v="1.98147893198577"/>
        <n v="8.35815940759105"/>
        <n v="3.09155249720456"/>
        <n v="2.58709331727358"/>
        <n v="8.95577403561677"/>
        <n v="3.74366942099658"/>
        <n v="8.4017803212675"/>
        <n v="2.48506437514698"/>
        <n v="3.08472387192383"/>
        <n v="4.66376634021752"/>
        <n v="2.15336727475448"/>
        <n v="4.76876726340519"/>
        <n v="5.92614168368742"/>
        <n v="2.64367320814742"/>
        <n v="4.35828270321877"/>
        <n v="0.626408383439213"/>
        <n v="0.655649348026286"/>
        <n v="3.00190168190131"/>
        <n v="1.72876797992276"/>
        <n v="4.67735799468225"/>
        <n v="3.65989929175458"/>
        <n v="4.05363730979193"/>
        <n v="1.83853808587954"/>
        <n v="1.7318285144233"/>
        <n v="3.66466808848225"/>
        <n v="6.89262326237468"/>
        <n v="2.69562944185737"/>
        <n v="2.49011631595921"/>
        <n v="1.70536694236919"/>
        <n v="8.0259677147456"/>
        <n v="4.14677694633458"/>
        <n v="2.52984499216414"/>
        <n v="5.07967034819825"/>
        <n v="6.2109279135539"/>
        <n v="3.12173398841004"/>
        <n v="3.87309752661368"/>
        <n v="4.78758443226853"/>
        <n v="5.48573260533654"/>
        <n v="2.46372112555137"/>
        <n v="3.89694352027671"/>
        <n v="3.57001011260259"/>
        <n v="3.58440705193689"/>
        <n v="2.48404181294162"/>
        <n v="4.06428796851582"/>
        <n v="3.4375890972766"/>
        <n v="8.27893671325977"/>
        <n v="0.708117749393616"/>
        <n v="0.658254011151619"/>
        <n v="0.465167413703647"/>
        <n v="4.22053602327723"/>
        <n v="1.36466063788677"/>
        <n v="3.20795725212262"/>
        <n v="6.44031166663157"/>
        <n v="0.656649505889538"/>
        <n v="3.10224254397327"/>
        <n v="3.62428319963606"/>
        <n v="2.70672816229658"/>
        <n v="8.28678332043876"/>
        <n v="4.12801039710343"/>
        <n v="3.30717909054713"/>
        <n v="0.655813194572591"/>
        <n v="2.53417956688083"/>
        <n v="3.14247499653847"/>
        <n v="1.35187237648276"/>
        <n v="1.2394605388468"/>
        <n v="4.82023637243694"/>
        <n v="8.12160146367939"/>
        <n v="4.97984120851041"/>
        <n v="2.52061847196859"/>
        <n v="4.54646956271138"/>
        <n v="0.713107591202122"/>
        <n v="7.37074390421161"/>
        <n v="1.41911426384764"/>
        <n v="4.53770395625536"/>
        <n v="1.63199900264182"/>
        <n v="0.554168021940552"/>
        <n v="3.05443151552752"/>
        <n v="1.99419716851318"/>
        <n v="2.47765384717495"/>
        <n v="7.79458471069718"/>
        <n v="7.36458535532105"/>
        <n v="4.70317443810178"/>
        <n v="1.86774376999897"/>
        <n v="1.54260635442384"/>
        <n v="3.74040260082807"/>
        <n v="3.65166644461363"/>
        <n v="1.54718804710377"/>
        <n v="0.930220234355122"/>
        <n v="4.78908489861837"/>
        <n v="2.28101595420431"/>
        <n v="11.7959312454223"/>
        <n v="6.54930491633586"/>
        <n v="3.83847361767647"/>
        <n v="6.59859696937374"/>
        <n v="2.11786271933364"/>
        <n v="6.91094702157842"/>
        <n v="7.42565410156132"/>
        <n v="2.80348107464835"/>
        <n v="2.71541413917437"/>
        <n v="1.49350386775565"/>
        <n v="3.70535642415428"/>
        <n v="9.06300812460613"/>
        <n v="4.64720989916221"/>
        <n v="3.38344283587905"/>
        <n v="2.95548026517831"/>
        <n v="2.74047633669739"/>
        <n v="4.69821623557176"/>
        <n v="4.35249322000011"/>
        <n v="2.55606486099939"/>
        <n v="5.72108180860507"/>
        <n v="1.74534689793927"/>
        <n v="5.05190275469401"/>
        <n v="3.35790625923241"/>
        <n v="0.713041339998514"/>
        <n v="1.71968484439929"/>
        <n v="4.82697802300394"/>
        <n v="0.568473620369333"/>
        <n v="2.87666738460496"/>
        <n v="6.65049942303669"/>
        <n v="0.574068586005543"/>
        <n v="3.75336085180749"/>
        <n v="2.14017586986329"/>
        <n v="9.11880972453763"/>
        <n v="2.60760562342557"/>
        <n v="3.51807410429385"/>
        <n v="9.1626152265726"/>
        <n v="0.740058628443258"/>
        <n v="5.73160132311728"/>
        <n v="2.56273597771134"/>
        <n v="5.63256837181172"/>
        <n v="4.97739895614325"/>
        <n v="0.623564165925032"/>
        <n v="5.41221225755036"/>
        <n v="3.68322966726927"/>
        <n v="1.87943762662612"/>
        <n v="4.25707355739755"/>
        <n v="0.428851723980157"/>
        <n v="5.26930543239757"/>
        <n v="3.00919024436322"/>
        <n v="5.16212715957924"/>
        <n v="1.04041477522613"/>
        <n v="9.13864405572006"/>
        <n v="5.78817864844328"/>
        <n v="3.22577121030597"/>
        <n v="3.37713900299662"/>
        <n v="0.437911990429868"/>
        <n v="9.16790133610679"/>
        <n v="2.34716491537877"/>
        <n v="0.107767777744289"/>
        <n v="2.83048758482468"/>
        <n v="6.30743441509524"/>
        <n v="2.07999653546693"/>
        <n v="0.281355052496836"/>
        <n v="5.77885125256086"/>
        <n v="3.36595893416605"/>
        <n v="0.980377089476213"/>
        <n v="2.94915324430044"/>
        <n v="9.03873452055299"/>
        <n v="3.4024359985285"/>
        <n v="0.178533738235558"/>
        <n v="5.58548874415191"/>
        <n v="9.14178217018625"/>
        <n v="0.473681116034588"/>
        <n v="11.5951106416635"/>
        <n v="0.315606184811127"/>
        <n v="5.53543405250226"/>
        <n v="3.81489980077062"/>
        <n v="0.926192974812534"/>
        <n v="8.15560031885661"/>
        <n v="2.16273150135074"/>
        <n v="3.01215717406789"/>
        <n v="4.59086975894612"/>
        <n v="4.4508057112261"/>
        <n v="7.97116231550328"/>
        <n v="3.61843555883042"/>
        <n v="1.67857976228517"/>
        <n v="2.49725454612862"/>
        <n v="1.10120180684559"/>
        <n v="4.08739269056517"/>
        <n v="2.86850291804152"/>
        <n v="0.510055598216372"/>
        <n v="1.22591733063702"/>
        <n v="8.13336053988829"/>
        <n v="3.13560140639544"/>
        <n v="2.32938582146319"/>
        <n v="0.523624865993618"/>
        <n v="4.2701079929384"/>
        <n v="1.34773095167125"/>
        <n v="3.72380662940862"/>
        <n v="5.63298217825491"/>
        <n v="1.43518153128158"/>
        <n v="4.19936910742122"/>
        <n v="1.10238642608938"/>
        <n v="3.25325628086838"/>
        <n v="1.70410239246698"/>
        <n v="2.54396926191699"/>
        <n v="2.52091123778656"/>
        <n v="8.63524562001266"/>
        <n v="3.1424119108134"/>
        <n v="4.60288444068413"/>
        <n v="3.8779188738216"/>
        <n v="2.14898380971976"/>
        <n v="6.48263329727592"/>
        <n v="3.44981017009622"/>
        <n v="0.531172719476744"/>
        <n v="6.35160759664186"/>
        <n v="3.09409021013475"/>
        <n v="1.69852839833109"/>
        <n v="0.529130365428281"/>
        <n v="3.63895409012691"/>
        <n v="9.37137350438877"/>
        <n v="3.77120935545608"/>
        <n v="1.50594407716944"/>
        <n v="6.53948792525659"/>
        <n v="1.52193111452911"/>
        <n v="0.990629101419324"/>
        <n v="3.89521096426348"/>
        <n v="3.07009978903518"/>
        <n v="0.640745283150981"/>
        <n v="5.71960273686553"/>
        <n v="4.35802253515346"/>
        <n v="2.54586649359124"/>
        <n v="6.59312091135343"/>
        <n v="5.155282492612"/>
        <n v="5.11389101788531"/>
        <n v="2.63682065867611"/>
        <n v="2.31588102901704"/>
        <n v="0.498552863353681"/>
        <n v="4.75946758647154"/>
        <n v="3.13470799299502"/>
        <n v="3.09878803742965"/>
        <n v="10.1063161117923"/>
        <n v="0.738685583661201"/>
        <n v="5.80043792709487"/>
        <n v="5.06000871214883"/>
        <n v="2.58275754555646"/>
        <n v="2.30993820617616"/>
        <n v="1.68837125732535"/>
        <n v="3.50681860557668"/>
        <n v="3.60465922283109"/>
        <n v="1.61947077603834"/>
        <n v="1.34194342775562"/>
        <n v="5.71858473210127"/>
        <n v="0.353714936555036"/>
        <n v="9.44574402396135"/>
        <n v="2.84633294607205"/>
        <n v="5.06069700202175"/>
        <n v="1.71415935160243"/>
        <n v="3.14598060872944"/>
        <n v="4.73215500943992"/>
        <n v="2.39711270014509"/>
        <n v="3.34041348558552"/>
        <n v="2.53460478785142"/>
        <n v="10.0771693115473"/>
        <n v="5.16410059304084"/>
        <n v="3.96249146450945"/>
        <n v="1.88474147950951"/>
        <n v="1.20187905649363"/>
        <n v="3.1390161461542"/>
        <n v="7.86958944831933"/>
        <n v="5.09003105513757"/>
        <n v="0.655214590252504"/>
        <n v="4.23258901090985"/>
        <n v="0.654488214859344"/>
        <n v="3.67998800555702"/>
        <n v="3.84998070296306"/>
        <n v="0.65510350674936"/>
        <n v="0.824793516087228"/>
        <n v="1.71788976693246"/>
        <n v="2.98150444053156"/>
        <n v="3.9389268035303"/>
        <n v="3.93247139306917"/>
        <n v="3.52949713463902"/>
        <n v="2.32970280470379"/>
        <n v="3.0957998883781"/>
        <n v="9.23620741626161"/>
        <n v="0.655032883300107"/>
        <n v="4.4152114337787"/>
        <n v="3.69431068591772"/>
        <n v="1.02934443131523"/>
        <n v="4.7661643453789"/>
        <n v="4.52057679387009"/>
        <n v="4.40113949199428"/>
        <n v="0.680954663859602"/>
        <n v="4.10273560734637"/>
        <n v="3.75718761822717"/>
        <n v="1.50025850964709"/>
        <n v="3.34267232356095"/>
        <n v="4.94140383941752"/>
        <n v="7.30230166167735"/>
        <n v="2.45000060539381"/>
        <n v="8.28031762116383"/>
        <n v="3.23818765090015"/>
        <n v="2.5164346329164"/>
        <n v="4.87529352064062"/>
        <n v="8.35586332093883"/>
        <n v="2.92659224827379"/>
        <n v="4.79104401524193"/>
        <n v="1.72089123884186"/>
        <n v="3.60677094254502"/>
        <n v="4.67745427962042"/>
        <n v="3.39108770396781"/>
        <n v="0.649813966357428"/>
        <n v="5.74249124786861"/>
        <n v="4.78213110317799"/>
        <n v="8.27599029213627"/>
        <n v="2.83548723250625"/>
        <n v="4.10879859754197"/>
        <n v="1.17504802320937"/>
        <n v="4.28833206122639"/>
        <n v="6.85174405151816"/>
        <n v="1.73138879118081"/>
        <n v="0.656069802826589"/>
        <n v="3.61853512185481"/>
        <n v="3.25547196978672"/>
        <n v="8.28953275833256"/>
        <n v="0.658279944645895"/>
        <n v="4.30793809971063"/>
        <n v="2.73630906659263"/>
        <n v="4.02796112624862"/>
        <n v="2.89235066322242"/>
        <n v="4.22836863640158"/>
        <n v="4.91015462094691"/>
        <n v="0.644508742919531"/>
        <n v="0.656337409753558"/>
        <n v="2.45668706190117"/>
        <n v="5.40541737044138"/>
        <n v="4.78603931869797"/>
        <n v="0.617021738380341"/>
        <n v="1.35103303377422"/>
        <n v="3.70601122547203"/>
        <n v="1.21587229815264"/>
        <n v="1.13017831089771"/>
        <n v="8.15378191343975"/>
        <n v="1.55666043829435"/>
        <n v="3.44717948525114"/>
        <n v="3.96717753656572"/>
        <n v="5.00082540524323"/>
        <n v="4.46139217804788"/>
        <n v="1.41645519500541"/>
        <n v="3.00728379160347"/>
        <n v="8.14864808447611"/>
        <n v="4.66365387220964"/>
        <n v="2.46424611794788"/>
        <n v="0.851892825755109"/>
        <n v="2.5243906962432"/>
        <n v="8.03965955545645"/>
        <n v="9.12906778636894"/>
        <n v="3.70711025470241"/>
        <n v="2.51779595014348"/>
        <n v="8.10060780864022"/>
        <n v="3.1667232017163"/>
        <n v="4.33222812343788"/>
        <n v="2.85907403977808"/>
        <n v="5.61838474658263"/>
        <n v="3.10302866896042"/>
        <n v="5.6357366504913"/>
        <n v="1.08905358159789"/>
        <n v="1.05892232718388"/>
        <n v="3.8711878408222"/>
        <n v="2.58987693210779"/>
        <n v="6.06693514884022"/>
        <n v="2.99712341097826"/>
        <n v="2.50299862541906"/>
        <n v="3.69899336095749"/>
        <n v="9.2557263800223"/>
        <n v="2.63713536997668"/>
        <n v="1.78660431008909"/>
        <n v="6.12978678809986"/>
        <n v="5.66503915017751"/>
        <n v="4.84952817259668"/>
        <n v="1.00093372073941"/>
        <n v="4.09108572796377"/>
        <n v="0.377529980522562"/>
        <n v="3.14524688922871"/>
        <n v="3.69522536016045"/>
        <n v="0.337870198671188"/>
        <n v="7.58089384467613"/>
        <n v="2.4768286579897"/>
        <n v="3.61321387765868"/>
        <n v="1.52387847163776"/>
        <n v="3.93844269422508"/>
        <n v="0.463551662197447"/>
        <n v="5.61181318794824"/>
        <n v="4.90178511180262"/>
        <n v="9.85154723740881"/>
        <n v="1.85985902962476"/>
        <n v="3.83623420471764"/>
        <n v="0.481235639232251"/>
        <n v="0.16810006259126"/>
        <n v="5.00551400740529"/>
        <n v="0.510470059564371"/>
        <n v="3.6479121470022"/>
        <n v="3.95408178828305"/>
        <n v="3.8187299908156"/>
        <n v="0.589098216116629"/>
        <n v="5.44602198472657"/>
        <n v="3.86323025484974"/>
        <n v="4.52053947393141"/>
        <n v="2.68239755768025"/>
        <n v="5.50236252854802"/>
        <n v="6.20425737900192"/>
        <n v="4.9898140181288"/>
        <n v="3.41235542284366"/>
        <n v="1.56370410167541"/>
        <n v="0.605424671395088"/>
        <n v="3.61662689369691"/>
        <n v="2.01778940142996"/>
        <n v="3.91443887511221"/>
        <n v="2.93280426745558"/>
        <n v="3.41599149388408"/>
        <n v="6.21372954847746"/>
        <n v="0.249925867484242"/>
        <n v="4.88359277268259"/>
        <n v="3.18493508022687"/>
        <n v="2.87948033108378"/>
        <n v="5.57106330607051"/>
        <n v="4.45567078525249"/>
        <n v="6.65473563718035"/>
        <n v="8.51956002089934"/>
        <n v="2.47113631359008"/>
        <n v="6.18954853190174"/>
        <n v="13.9971624640181"/>
        <n v="3.11409972342978"/>
        <n v="6.21295491510269"/>
        <n v="1.16272832749694"/>
        <n v="4.4147269650958"/>
        <n v="8.12811947541462"/>
        <n v="2.69731034135185"/>
        <n v="3.46973384673977"/>
        <n v="1.66040089671087"/>
        <n v="2.7907462394649"/>
        <n v="4.97849392821437"/>
        <n v="5.67782739070761"/>
        <n v="1.50403178902073"/>
        <n v="2.72512902038093"/>
        <n v="2.81984539696294"/>
        <n v="7.39013220871917"/>
        <n v="8.14303873906109"/>
        <n v="3.27916007674819"/>
        <n v="1.94487326097412"/>
        <n v="4.43014116915129"/>
        <n v="1.07726357757199"/>
        <n v="1.68478776274283"/>
        <n v="4.6724300985552"/>
        <n v="2.88550700968469"/>
        <n v="1.62956977190982"/>
        <n v="4.37258604513689"/>
        <n v="3.8030315679986"/>
        <n v="0.531641569021237"/>
        <n v="9.11939900292753"/>
        <n v="0.506076171590053"/>
        <n v="1.79235127986422"/>
        <n v="3.0615315803915"/>
        <n v="1.88367198116553"/>
        <n v="3.63887689707193"/>
        <n v="3.44480381988765"/>
        <n v="0.988779102581292"/>
        <n v="9.21259333783722"/>
        <n v="1.44297466042557"/>
        <n v="1.27259709584326"/>
        <n v="6.08073386647789"/>
        <n v="1.56097675552062"/>
        <n v="1.68170996692176"/>
        <n v="0.720868310618091"/>
        <n v="4.09653011733493"/>
        <n v="1.19531947264187"/>
        <n v="4.09633769260985"/>
        <n v="0.526969439053023"/>
        <n v="2.21015708660331"/>
        <n v="1.70285069366346"/>
        <n v="1.46518511078186"/>
        <n v="5.34258143285528"/>
        <n v="1.50706772974856"/>
        <n v="3.69148641830847"/>
        <n v="1.29092845943425"/>
        <n v="9.99499060552376"/>
        <n v="1.88409938137617"/>
        <n v="2.58849799818285"/>
        <n v="4.59964315609256"/>
        <n v="3.36680077802298"/>
        <n v="2.74585393910813"/>
        <n v="1.21377478933078"/>
        <n v="8.92414794210472"/>
        <n v="5.67530672746512"/>
        <n v="5.60051945961609"/>
        <n v="2.61686125643431"/>
        <n v="9.09453948120724"/>
        <n v="1.55271557688486"/>
        <n v="3.11621733142974"/>
        <n v="2.16931890299059"/>
        <n v="2.95823351694395"/>
        <n v="8.06924362907986"/>
        <n v="5.45137744461728"/>
        <n v="3.9888595903818"/>
        <n v="0.541951604589257"/>
        <n v="1.32280621894556"/>
        <n v="1.95077779962345"/>
        <n v="3.10951265239202"/>
        <n v="9.16164164599573"/>
        <n v="1.7711482484899"/>
        <n v="2.24980732345617"/>
        <n v="4.9501513061511"/>
        <n v="1.68751997253037"/>
        <n v="3.63489760521462"/>
        <n v="0.676469438907768"/>
        <n v="3.0520006375021"/>
        <n v="3.21754780194781"/>
        <n v="0.863745543972389"/>
        <n v="5.24267804917076"/>
        <n v="5.95055633807588"/>
        <n v="6.56851001627138"/>
        <n v="2.89023888717133"/>
        <n v="1.7971373305512"/>
        <n v="9.20517254296728"/>
        <n v="4.87276018479236"/>
        <n v="5.03765378572762"/>
        <n v="3.36350191150805"/>
        <n v="6.24492112196895"/>
        <n v="2.86473495976491"/>
        <n v="3.3419173047449"/>
        <n v="1.91733387600337"/>
        <n v="8.11160972071884"/>
        <n v="2.74218069070261"/>
        <n v="8.35766514687201"/>
        <n v="6.55391374556007"/>
        <n v="0.647604310813093"/>
        <n v="3.2777222640976"/>
        <n v="4.01129072026018"/>
        <n v="4.96604647557325"/>
        <n v="3.62021637566269"/>
        <n v="0.655117364154116"/>
        <n v="4.15628592089855"/>
        <n v="7.97936848460313"/>
        <n v="1.7093782413279"/>
        <n v="4.53769455159882"/>
        <n v="2.95258836993735"/>
        <n v="9.28011452020477"/>
        <n v="6.38997338825364"/>
        <n v="3.12103333218755"/>
        <n v="4.07712310216296"/>
        <n v="2.26849983912729"/>
        <n v="1.71779916634903"/>
        <n v="8.40740419874332"/>
        <n v="8.35300488282808"/>
        <n v="2.48310381595354"/>
        <n v="5.81640775898001"/>
        <n v="3.13050929603889"/>
        <n v="2.48886360240445"/>
        <n v="3.30670897951699"/>
        <n v="4.13652148316059"/>
        <n v="4.12704170176459"/>
        <n v="0.656249635439365"/>
        <n v="4.7541941793525"/>
        <n v="3.71892962344835"/>
        <n v="0.6584157011064"/>
        <n v="1.80741958155314"/>
        <n v="2.44795432360425"/>
        <n v="8.30583990126663"/>
        <n v="5.00542539694841"/>
        <n v="6.98658836447753"/>
        <n v="4.02455636095641"/>
        <n v="5.05049141965232"/>
        <n v="2.39265432211206"/>
        <n v="2.32608053223439"/>
        <n v="3.48967216056925"/>
        <n v="6.2677419958712"/>
        <n v="4.36097239168601"/>
        <n v="1.72808654258932"/>
        <n v="3.5219701903409"/>
        <n v="3.67924603118945"/>
        <n v="1.72475548067148"/>
        <n v="3.46464227251694"/>
        <n v="4.9384887841159"/>
        <n v="1.73171204529161"/>
        <n v="4.22944337174172"/>
        <n v="0.656826151843901"/>
        <n v="3.63294749860213"/>
        <n v="3.74050836034666"/>
        <n v="3.26639710151757"/>
        <n v="3.63817580464268"/>
        <n v="4.08886958853911"/>
        <n v="1.68019035656125"/>
        <n v="5.04069348178243"/>
        <n v="2.8494738952656"/>
        <n v="4.18829156786232"/>
        <n v="6.55476766379396"/>
        <n v="3.42522360957291"/>
        <n v="0.654726217698471"/>
        <n v="0.657798982587418"/>
        <n v="7.961947018656"/>
        <n v="3.76037502983335"/>
        <n v="3.82587725415536"/>
        <n v="3.6534409625592"/>
        <n v="0.656520435272242"/>
        <n v="1.6667676016851"/>
        <n v="2.90817404531441"/>
        <n v="7.9330201182678"/>
        <n v="7.90936749400053"/>
        <n v="0.724995165366209"/>
        <n v="3.32465042636734"/>
        <n v="1.43213694789124"/>
        <n v="3.03481396180365"/>
        <n v="9.04295717520833"/>
        <n v="7.59316911171214"/>
        <n v="5.17933664807435"/>
        <n v="5.71682728861855"/>
        <n v="2.75663992351555"/>
        <n v="1.47145744040387"/>
        <n v="1.76596849936463"/>
        <n v="3.09503445543351"/>
        <n v="4.3724121690101"/>
        <n v="1.1674350079624"/>
        <n v="5.75572992105759"/>
        <n v="1.82398958931889"/>
        <n v="0.466597356277295"/>
        <n v="3.29900662958682"/>
        <n v="3.55252791462122"/>
        <n v="6.30373733710607"/>
        <n v="3.42106773485525"/>
        <n v="4.379198125651"/>
        <n v="1.3533982400938"/>
        <n v="7.39508662462583"/>
        <n v="3.45781612411646"/>
        <n v="7.91363500499804"/>
        <n v="6.98186253104704"/>
        <n v="3.69048880538908"/>
        <n v="1.08003107792068"/>
        <n v="3.03858329419061"/>
        <n v="1.53331770227593"/>
        <n v="4.20121427146959"/>
        <n v="1.52238548697082"/>
        <n v="5.54698928135937"/>
        <n v="3.50618294170977"/>
        <n v="2.12200833741332"/>
        <n v="3.53422680002785"/>
        <n v="4.31570373897632"/>
        <n v="4.74549806849576"/>
        <n v="2.77960773352364"/>
        <n v="4.09659613288611"/>
        <n v="2.53606476581064"/>
        <n v="7.47367208223123"/>
        <n v="3.36965311794056"/>
        <n v="3.02899311206509"/>
        <n v="3.17570891933999"/>
        <n v="3.87348601858587"/>
        <n v="0.552250188964668"/>
        <n v="9.15004393124462"/>
        <n v="3.42684316557439"/>
        <n v="3.88311300679908"/>
        <n v="3.60242902326628"/>
        <n v="9.17356208025279"/>
        <n v="4.75947678786836"/>
        <n v="1.46027523935151"/>
        <n v="5.19697928591699"/>
        <n v="0.428677380474465"/>
        <n v="9.1424665552577"/>
        <n v="2.82838226990452"/>
        <n v="3.36123367936496"/>
        <n v="0.377122200830523"/>
        <n v="3.45163975522741"/>
        <n v="0.697479442714497"/>
        <n v="7.57650081248015"/>
        <n v="1.2578047444284"/>
        <n v="3.34233029784222"/>
        <n v="8.7206604370592"/>
        <n v="3.07662433270677"/>
        <n v="0.428177041117305"/>
        <n v="5.61373682180086"/>
        <n v="4.17214547221633"/>
        <n v="5.28123567178148"/>
        <n v="0.605796069277834"/>
        <n v="5.42725857649203"/>
        <n v="0.667643729556087"/>
        <n v="3.37567193604368"/>
        <n v="13.6363346640233"/>
        <n v="0.468280983021366"/>
        <n v="4.23226947629539"/>
        <n v="2.62407021552229"/>
        <n v="7.34357722951709"/>
        <n v="4.76492980176442"/>
        <n v="4.02997188017846"/>
        <n v="3.00587185311008"/>
        <n v="5.71855204564047"/>
        <n v="4.52129430960241"/>
        <n v="5.21698048368024"/>
        <n v="5.3883449770669"/>
        <n v="2.77156494571812"/>
        <n v="0.260933007365884"/>
        <n v="0.311950741787584"/>
        <n v="2.9405174414599"/>
        <n v="5.01256180741082"/>
        <n v="8.28739115515084"/>
        <n v="0.579672117340796"/>
        <n v="0.47038039114068"/>
        <n v="6.20358056967305"/>
        <n v="13.3607976228812"/>
        <n v="3.11469490143274"/>
        <n v="6.48009598007776"/>
        <n v="4.39518757740964"/>
        <n v="3.21951718152505"/>
        <n v="0.539963281421377"/>
        <n v="3.29932696317655"/>
        <n v="0.536774586489238"/>
        <n v="3.24182366830001"/>
        <n v="2.30197057088087"/>
        <n v="1.33052654772943"/>
        <n v="4.39455363697694"/>
        <n v="6.27359346229949"/>
        <n v="3.36359711818162"/>
        <n v="1.35190906391209"/>
        <n v="1.85199536641726"/>
        <n v="8.15108181642804"/>
        <n v="1.35284661006112"/>
        <n v="1.67985907709248"/>
        <n v="4.43422089595627"/>
        <n v="0.539887590647691"/>
        <n v="1.00694258175535"/>
        <n v="2.96544576968386"/>
        <n v="5.93684755501035"/>
        <n v="8.86895333105809"/>
        <n v="0.530559197474096"/>
        <n v="8.95869894401536"/>
        <n v="3.02418481486854"/>
        <n v="1.81154191891089"/>
        <n v="2.25434680192361"/>
        <n v="3.65570925991673"/>
        <n v="6.29453376354599"/>
        <n v="2.88767408349173"/>
        <n v="5.01967885236533"/>
        <n v="4.08381834438568"/>
        <n v="1.89045546478185"/>
        <n v="4.73562809541708"/>
        <n v="0.534745530938799"/>
        <n v="9.15937472698535"/>
        <n v="2.90457405544903"/>
        <n v="1.0691129891253"/>
        <n v="3.3230723585254"/>
        <n v="6.6764361879269"/>
        <n v="1.6217371900257"/>
        <n v="1.4662554738346"/>
        <n v="5.77408152219756"/>
        <n v="3.81106199605053"/>
        <n v="0.75116201875237"/>
        <n v="1.79639285927451"/>
        <n v="6.56223894808799"/>
        <n v="3.97561037885865"/>
        <n v="2.69666106742307"/>
        <n v="4.09948133376565"/>
        <n v="1.13000638476641"/>
        <n v="8.46140065859104"/>
        <n v="2.37928814177863"/>
        <n v="9.33488624205584"/>
        <n v="1.47747436585429"/>
        <n v="3.52705649147454"/>
        <n v="2.90056638682062"/>
        <n v="1.68471497170165"/>
        <n v="3.12012156874333"/>
        <n v="3.30240310977211"/>
        <n v="1.98177822119311"/>
        <n v="5.70398908751663"/>
        <n v="4.026422844857"/>
        <n v="2.05371075431019"/>
        <n v="3.79686297272299"/>
        <n v="3.48247764465291"/>
        <n v="1.71277985779435"/>
        <n v="9.95060388010555"/>
        <n v="2.98571548378737"/>
        <n v="5.44728890709808"/>
        <n v="0.676513415735093"/>
        <n v="3.34462629857493"/>
        <n v="8.41070275108944"/>
        <n v="1.91230019744015"/>
        <n v="3.18700869151737"/>
        <n v="2.52575534666129"/>
        <n v="1.68232378087577"/>
        <n v="9.15335723929087"/>
        <n v="3.45523556345606"/>
        <n v="2.89182833802299"/>
        <n v="9.19486048855735"/>
        <n v="4.95509204771035"/>
        <n v="3.27983538614119"/>
        <n v="4.75742040951765"/>
        <n v="0.211987135531251"/>
        <n v="0.68673329822849"/>
        <n v="0.48565251705657"/>
        <n v="3.91438445083347"/>
        <n v="4.58276590334904"/>
        <n v="8.38080396657282"/>
        <n v="2.71770598685154"/>
        <n v="0.480374934662571"/>
        <n v="1.12310510498098"/>
        <n v="2.80931681715433"/>
        <n v="9.14307240206893"/>
        <n v="7.87898490395255"/>
        <n v="4.0170984010771"/>
        <n v="3.60029974963885"/>
        <n v="1.02339072694124"/>
        <n v="3.74116725100814"/>
        <n v="4.81160778286352"/>
        <n v="0.713311689441959"/>
        <n v="2.47943946416247"/>
        <n v="1.07538784404995"/>
        <n v="2.67972858598956"/>
        <n v="8.27227496991257"/>
        <n v="1.36801712902193"/>
        <n v="3.80461812659996"/>
        <n v="9.23082364519664"/>
        <n v="2.19326815100897"/>
        <n v="8.26807748079357"/>
        <n v="6.74285895045829"/>
        <n v="0.4691106249359"/>
        <n v="3.36073584014621"/>
        <n v="3.61933793083471"/>
        <n v="6.13252639692305"/>
        <n v="0.667812351196155"/>
        <n v="2.53151135379696"/>
        <n v="3.83335890535322"/>
        <n v="6.14714292116889"/>
        <n v="3.18897668445598"/>
        <n v="8.1842058954982"/>
        <n v="3.68298981143687"/>
        <n v="0.655311130419802"/>
        <n v="3.80178510200133"/>
        <n v="6.46347817584579"/>
        <n v="0.682310775027181"/>
        <n v="0.466621839941957"/>
        <n v="8.50238763074051"/>
        <n v="3.27551084270384"/>
        <n v="1.47650637328971"/>
        <n v="6.77558344260132"/>
        <n v="3.01711043609405"/>
        <n v="1.71852290789604"/>
        <n v="6.29613855480299"/>
        <n v="3.72378480560706"/>
        <n v="2.85057606050033"/>
        <n v="4.5612464614544"/>
        <n v="3.82946006650303"/>
        <n v="4.97844356613965"/>
        <n v="3.41651065512048"/>
        <n v="5.05146390396018"/>
        <n v="3.63056541239801"/>
        <n v="1.22355078951385"/>
        <n v="3.94784411682106"/>
        <n v="2.65052665369647"/>
        <n v="4.11006564925254"/>
        <n v="2.64433286399305"/>
        <n v="8.2965972057638"/>
        <n v="3.45362901397935"/>
        <n v="3.5213732001879"/>
        <n v="2.4812038001642"/>
        <n v="3.50811260744246"/>
        <n v="8.29649127716932"/>
        <n v="1.07424487029055"/>
        <n v="3.56618902742759"/>
        <n v="3.58186080160286"/>
        <n v="2.53572884439207"/>
        <n v="3.85677000571231"/>
        <n v="0.70773861315632"/>
        <n v="2.99273257436497"/>
        <n v="2.2497478784606"/>
        <n v="8.51553190460577"/>
        <n v="4.06070443967424"/>
        <n v="7.5628233605413"/>
        <n v="0.467819255217533"/>
        <n v="2.84354586453417"/>
        <n v="4.35620355355212"/>
        <n v="6.16506895007253"/>
        <n v="3.17972387292631"/>
        <n v="2.79882772422219"/>
        <n v="1.92344988507508"/>
        <n v="3.89161534807648"/>
        <n v="7.86838120897279"/>
        <n v="1.41586017715855"/>
        <n v="1.07394147284442"/>
        <n v="2.1532587322489"/>
        <n v="5.35741857163222"/>
        <n v="1.35222175527186"/>
        <n v="5.27562390126066"/>
        <n v="2.81976379767313"/>
        <n v="1.19125729295155"/>
        <n v="4.08549250771089"/>
        <n v="3.26527108831531"/>
        <n v="3.22860923995589"/>
        <n v="5.98639310552609"/>
        <n v="6.38201910527102"/>
        <n v="4.19047229783197"/>
        <n v="3.87414290526148"/>
        <n v="1.50801914444233"/>
        <n v="3.42531312857749"/>
        <n v="2.14785583037755"/>
        <n v="7.42972547872371"/>
        <n v="8.11324264447142"/>
        <n v="3.37785718520133"/>
        <n v="1.35118690778432"/>
        <n v="3.39059271743947"/>
        <n v="2.390524062042"/>
        <n v="2.87615504571862"/>
        <n v="5.51733934892071"/>
        <n v="3.98264254354101"/>
        <n v="9.14079037505962"/>
        <n v="3.34412130428627"/>
        <n v="4.31099342304194"/>
        <n v="3.86223616336135"/>
        <n v="0.510089622993547"/>
        <n v="4.80443529366474"/>
        <n v="3.18779306549698"/>
        <n v="2.6891265147993"/>
        <n v="1.69291691727593"/>
        <n v="7.55869338733336"/>
        <n v="3.56195695505096"/>
        <n v="3.94125065111799"/>
        <n v="0.482045444604762"/>
        <n v="6.94498109002424"/>
        <n v="5.95664373356254"/>
        <n v="3.29871913577327"/>
        <n v="0.690909858998972"/>
        <n v="4.41663021185456"/>
        <n v="1.06623448990932"/>
        <n v="2.60198587746839"/>
        <n v="5.77194875782325"/>
        <n v="9.14687245401639"/>
        <n v="3.79838328153079"/>
        <n v="3.47967669414614"/>
        <n v="4.52434826684037"/>
        <n v="2.46997884930782"/>
        <n v="3.76298851300709"/>
        <n v="0.978084293222673"/>
        <n v="2.56930405577822"/>
        <n v="2.645284727068"/>
        <n v="0.378303970595577"/>
        <n v="3.02015596547598"/>
        <n v="5.62733607971688"/>
        <n v="2.96542673451479"/>
        <n v="3.39765650918449"/>
        <n v="3.89518028695006"/>
        <n v="5.72226463287394"/>
        <n v="2.35611386906543"/>
        <n v="3.04001185707481"/>
        <n v="9.72559336160817"/>
        <n v="2.79174325879502"/>
        <n v="1.44541165453081"/>
        <n v="0.48849280875151"/>
        <n v="2.54090628088614"/>
        <n v="2.82527239303917"/>
        <n v="4.73108344918172"/>
        <n v="9.61167389315985"/>
        <n v="2.34194976491112"/>
        <n v="4.81070079762129"/>
        <n v="9.12529280114634"/>
        <n v="12.0089582739053"/>
        <n v="3.14053559007789"/>
        <n v="9.16887961277284"/>
        <n v="9.205506051855"/>
        <n v="1.46369844398972"/>
        <n v="6.24548922067712"/>
        <n v="12.2926913332461"/>
        <n v="0.35340937214611"/>
        <n v="3.114430242612"/>
        <n v="4.41346280902672"/>
      </sharedItems>
    </cacheField>
    <cacheField name="RMSPE_SET" numFmtId="0">
      <sharedItems containsSemiMixedTypes="0" containsString="0" containsNumber="1">
        <n v="156.8970179"/>
        <n v="286.9544343"/>
        <n v="69.51448703"/>
        <n v="131.8909812"/>
        <n v="1.201201269"/>
        <n v="69.5144870271492"/>
        <n v="1.20275038736496"/>
        <n v="286.798803218638"/>
        <n v="159.262898993153"/>
        <n v="153.064064497003"/>
        <n v="287.925670854504"/>
        <n v="27.8513587008941"/>
        <n v="1.20202488595701"/>
        <n v="167.099582051103"/>
        <n v="271.777004126744"/>
        <n v="287.927364137155"/>
        <n v="139.590791801391"/>
        <n v="27.7095600058281"/>
        <n v="1.2021543421018"/>
        <n v="160.328656127027"/>
        <n v="1.20143378849441"/>
        <n v="0.950093966860787"/>
        <n v="27.7372239505541"/>
        <n v="1.20143362464837"/>
        <n v="158.938628102538"/>
        <n v="1.14526909868345"/>
        <n v="286.835282397151"/>
        <n v="272.137763705172"/>
        <n v="1.20166231292261"/>
        <n v="140.469677576939"/>
        <n v="287.912479994382"/>
        <n v="156.930883450401"/>
        <n v="27.9434022515176"/>
        <n v="0.949268918176112"/>
        <n v="69.4969443457134"/>
        <n v="1.4504242499467"/>
        <n v="203.707302157304"/>
        <n v="14.2091812258625"/>
        <n v="168.164730776995"/>
        <n v="156.215137590522"/>
        <n v="0.949250738237319"/>
        <n v="179.656311842316"/>
        <n v="69.4230778280268"/>
        <n v="131.803019410388"/>
        <n v="1.45236498839199"/>
        <n v="351.188280312882"/>
        <n v="70.237993002732"/>
        <n v="155.839528768794"/>
        <n v="221.854727714692"/>
        <n v="187.889253587288"/>
        <n v="0.559434604263913"/>
        <n v="22.4144899186337"/>
        <n v="271.569890988627"/>
        <n v="30.6902464193073"/>
        <n v="0.609085538175884"/>
        <n v="162.381423408839"/>
        <n v="245.898433160332"/>
        <n v="186.878803345728"/>
        <n v="206.411220034628"/>
        <n v="108.512062704156"/>
        <n v="131.574842502573"/>
        <n v="0.406115963760371"/>
        <n v="69.6131023516801"/>
        <n v="0.949181473275599"/>
        <n v="170.335484476463"/>
        <n v="136.991576726507"/>
        <n v="5.04189532519811"/>
        <n v="14.230198076744"/>
        <n v="171.138959278329"/>
        <n v="131.80224121552"/>
        <n v="153.780202120306"/>
        <n v="271.379700769382"/>
        <n v="0.641982204094531"/>
        <n v="170.880703953598"/>
        <n v="271.740931125033"/>
        <n v="69.4871999436822"/>
        <n v="0.612817489041892"/>
        <n v="271.802753523768"/>
        <n v="16.1204898980963"/>
        <n v="162.433829167634"/>
        <n v="4.14308284676004"/>
        <n v="232.51464490953"/>
        <n v="157.643126583585"/>
        <n v="164.26063370635"/>
        <n v="0.672160361078066"/>
        <n v="131.98349222846"/>
        <n v="2.89052666905318"/>
        <n v="285.677156604894"/>
        <n v="0.315139244430359"/>
        <n v="0.676653529637786"/>
        <n v="136.322667066071"/>
        <n v="14.2259185022174"/>
        <n v="67.61900590353"/>
        <n v="289.639735803831"/>
        <n v="136.60921670418"/>
        <n v="30.7424526158324"/>
        <n v="74.3388342772037"/>
        <n v="0.776003958775545"/>
        <n v="188.580554967427"/>
        <n v="208.107192694817"/>
        <n v="0.302465613227867"/>
        <n v="305.272574116273"/>
        <n v="148.754739257434"/>
        <n v="72.8224171255309"/>
        <n v="216.202606395433"/>
        <n v="152.077288094007"/>
        <n v="0.548451942444193"/>
        <n v="14.2189950103105"/>
        <n v="85.2291743834063"/>
        <n v="5.1805224499527"/>
        <n v="177.732032308005"/>
        <n v="163.787421108971"/>
        <n v="0.548790043116352"/>
        <n v="173.000980631268"/>
        <n v="14.235549318641"/>
        <n v="161.627764589952"/>
        <n v="0.624863866916846"/>
        <n v="77.9860114076025"/>
        <n v="279.121476214964"/>
        <n v="0.583800903132691"/>
        <n v="126.417640027769"/>
        <n v="303.000181699077"/>
        <n v="154.245064534415"/>
        <n v="0.548173195268089"/>
        <n v="305.932036150214"/>
        <n v="217.730973322204"/>
        <n v="0.948977832482219"/>
        <n v="179.465896546666"/>
        <n v="27.8505395336655"/>
        <n v="0.673150388241619"/>
        <n v="0.624960839722232"/>
        <n v="132.176618880529"/>
        <n v="28.2771162390011"/>
        <n v="0.701544087401775"/>
        <n v="171.584331528746"/>
        <n v="174.914055685142"/>
        <n v="295.186063086061"/>
        <n v="126.253088351738"/>
        <n v="146.725916980746"/>
        <n v="98.5264841593225"/>
        <n v="162.884168308414"/>
        <n v="0.566274381219472"/>
        <n v="14.3020432071134"/>
        <n v="142.256384647347"/>
        <n v="286.818036852423"/>
        <n v="0.372793859059844"/>
        <n v="80.0688577979905"/>
        <n v="149.009361275648"/>
        <n v="206.239878064578"/>
        <n v="28.6707747824468"/>
        <n v="0.289791750987311"/>
        <n v="28.0582952865603"/>
        <n v="0.55866925838701"/>
        <n v="195.409787137348"/>
        <n v="0.00237387135969094"/>
        <n v="156.29200382047"/>
        <n v="160.874830842131"/>
        <n v="27.8915769854248"/>
        <n v="171.534246998605"/>
        <n v="131.86163765886"/>
        <n v="0.95542451385423"/>
        <n v="96.4219476559102"/>
        <n v="159.949560446899"/>
        <n v="131.832595924884"/>
        <n v="242.746082891395"/>
        <n v="0.954404004182583"/>
        <n v="4.14886586724848"/>
        <n v="163.451047230855"/>
        <n v="0.950808204506476"/>
        <n v="169.024586405743"/>
        <n v="192.437610855651"/>
        <n v="1.21846449051755"/>
        <n v="187.1430440353"/>
        <n v="4.15203700319512"/>
        <n v="0.559611722484267"/>
        <n v="174.658488059149"/>
        <n v="131.860902599738"/>
        <n v="174.684145635731"/>
        <n v="15.7679662712552"/>
        <n v="160.776199755782"/>
        <n v="69.4726201775444"/>
        <n v="289.856509607486"/>
        <n v="27.9259095193964"/>
        <n v="4.1380101737941"/>
        <n v="148.771958093495"/>
        <n v="15.7730297999211"/>
        <n v="166.924311179371"/>
        <n v="132.027544475285"/>
        <n v="0.558846337991739"/>
        <n v="289.811728895066"/>
        <n v="15.7718770093698"/>
        <n v="155.888433204189"/>
        <n v="28.1290659168823"/>
        <n v="69.5192402640506"/>
        <n v="107.188710934874"/>
        <n v="285.433492432174"/>
        <n v="288.353030894082"/>
        <n v="0.408517979006142"/>
        <n v="271.083048473994"/>
        <n v="150.363977963883"/>
        <n v="115.793222145536"/>
        <n v="130.127276157132"/>
        <n v="15.9085939614324"/>
        <n v="111.888050501667"/>
        <n v="1.87550721349451"/>
        <n v="27.9116864835591"/>
        <n v="289.975301569354"/>
        <n v="271.493213145021"/>
        <n v="187.553116575407"/>
        <n v="171.973236955383"/>
        <n v="7.01830935253815"/>
        <n v="27.877509252326"/>
        <n v="161.418924330426"/>
        <n v="15.9223138572581"/>
        <n v="0.950544336758399"/>
        <n v="116.734532824916"/>
        <n v="210.366627620633"/>
        <n v="220.759433233498"/>
        <n v="98.4253478491537"/>
        <n v="75.7519343356098"/>
        <n v="218.046289707792"/>
        <n v="288.977910805323"/>
        <n v="155.376812731412"/>
        <n v="235.750660874846"/>
        <n v="151.427838240127"/>
        <n v="71.6593063233314"/>
        <n v="0.799749371407063"/>
        <n v="267.294047616344"/>
        <n v="173.022715435042"/>
        <n v="155.053265625828"/>
        <n v="28.0239247137047"/>
        <n v="154.851633675526"/>
        <n v="161.207995385928"/>
        <n v="200.430405433158"/>
        <n v="27.8632542226744"/>
        <n v="3.8181342613651"/>
        <n v="132.057611605618"/>
        <n v="288.881573905848"/>
        <n v="145.410691950321"/>
        <n v="187.717990592536"/>
        <n v="167.034071023118"/>
        <n v="131.779428321631"/>
        <n v="1.22026776776409"/>
        <n v="0.559856325194396"/>
        <n v="128.298981039608"/>
        <n v="208.1187037489"/>
        <n v="28.0236604536708"/>
        <n v="172.218180819367"/>
        <n v="0.556535061267823"/>
        <n v="172.653704049898"/>
        <n v="0.943883703531331"/>
        <n v="133.379347257918"/>
        <n v="158.379397888908"/>
        <n v="194.39474757255"/>
        <n v="288.949230066146"/>
        <n v="121.711952109868"/>
        <n v="1.21644817535129"/>
        <n v="189.623167860625"/>
        <n v="161.340164333754"/>
        <n v="1.15448016312924"/>
        <n v="0.557163520855061"/>
        <n v="167.293546420879"/>
        <n v="129.70918611947"/>
        <n v="0.944709338392836"/>
        <n v="288.88475631828"/>
        <n v="71.2873430859307"/>
        <n v="187.914993726584"/>
        <n v="209.272150905547"/>
        <n v="0.949621251469742"/>
        <n v="153.345907141319"/>
        <n v="69.3424460331618"/>
        <n v="0.559094835862339"/>
        <n v="154.330693885541"/>
        <n v="233.495722122211"/>
        <n v="271.790016136692"/>
        <n v="0.559255787345452"/>
        <n v="80.0525307735739"/>
        <n v="116.027691759406"/>
        <n v="229.547127668841"/>
        <n v="282.878129817341"/>
        <n v="169.445554726827"/>
        <n v="210.677577902797"/>
        <n v="20.6825415284808"/>
        <n v="192.207805685531"/>
        <n v="271.017411527013"/>
        <n v="160.972909928372"/>
        <n v="113.704860560898"/>
        <n v="149.930830615503"/>
        <n v="199.6393525818"/>
        <n v="69.0114664509671"/>
        <n v="204.044455367649"/>
        <n v="157.411043764897"/>
        <n v="125.021209845562"/>
        <n v="0.558605536113522"/>
        <n v="276.004639355661"/>
        <n v="85.9324364660848"/>
        <n v="224.984091174949"/>
        <n v="159.488987460903"/>
        <n v="170.561108746643"/>
        <n v="144.451017247751"/>
        <n v="237.590535750393"/>
        <n v="1.01580834411893"/>
        <n v="0.560071078147991"/>
        <n v="151.980029257768"/>
        <n v="70.0429647719832"/>
        <n v="217.686883912033"/>
        <n v="0.406974241682714"/>
        <n v="165.560862097962"/>
        <n v="164.551189919136"/>
        <n v="0.561461553922708"/>
        <n v="158.86562219218"/>
        <n v="273.16565286059"/>
        <n v="217.091117397817"/>
        <n v="70.0767144738989"/>
        <n v="184.995071772087"/>
        <n v="182.065866584798"/>
        <n v="80.6662343633771"/>
        <n v="131.861649856628"/>
        <n v="178.052436364949"/>
        <n v="0.602012040135375"/>
        <n v="158.164452098365"/>
        <n v="159.715756669238"/>
        <n v="11.0108169837769"/>
        <n v="178.231113379907"/>
        <n v="132.767199754753"/>
        <n v="89.3432380183245"/>
        <n v="3.4599825385096"/>
        <n v="131.895403448316"/>
        <n v="131.969312469032"/>
        <n v="170.521182680012"/>
        <n v="171.772786605622"/>
        <n v="109.51668087152"/>
        <n v="0.66434003499028"/>
        <n v="121.902096289871"/>
        <n v="3.9689951832986"/>
        <n v="154.156541039044"/>
        <n v="177.141199361693"/>
        <n v="0.500655777214547"/>
        <n v="1.71410931168936"/>
        <n v="202.29016302821"/>
        <n v="192.352467164383"/>
        <n v="138.652733438769"/>
        <n v="256.213386016782"/>
        <n v="2.71066021829591"/>
        <n v="151.148427895104"/>
        <n v="217.587251570924"/>
        <n v="171.538189671725"/>
        <n v="146.244023920955"/>
        <n v="159.124699691079"/>
        <n v="0.949929176183165"/>
        <n v="8.61523541396833"/>
        <n v="243.477617097834"/>
        <n v="218.589242910801"/>
        <n v="169.907352692611"/>
        <n v="0.784033732276951"/>
        <n v="165.603427991019"/>
        <n v="0.915935142035601"/>
        <n v="218.79142230488"/>
        <n v="163.163259351042"/>
        <n v="171.828684956385"/>
        <n v="0.517953783045733"/>
        <n v="225.735258168861"/>
        <n v="151.866597515582"/>
        <n v="201.807487194401"/>
        <n v="167.174306937859"/>
        <n v="133.461468204446"/>
        <n v="11.3450548532629"/>
        <n v="261.07745743396"/>
        <n v="218.22007758856"/>
        <n v="166.99348731048"/>
        <n v="151.605532310017"/>
        <n v="0.580648075829932"/>
        <n v="172.409695818473"/>
        <n v="214.141777398954"/>
        <n v="151.154366050489"/>
        <n v="24.4860091797393"/>
        <n v="38.1856194721244"/>
        <n v="243.040775234622"/>
        <n v="151.945135227677"/>
        <n v="153.902267505651"/>
        <n v="217.19004028257"/>
        <n v="273.347825166358"/>
        <n v="169.857992921404"/>
        <n v="0.536387596530594"/>
        <n v="156.231188855178"/>
        <n v="1.60983228544373"/>
        <n v="146.537248247829"/>
        <n v="0.663631099788332"/>
        <n v="1.8846569151477"/>
        <n v="286.561573915839"/>
        <n v="0.559862594634035"/>
        <n v="186.44805952516"/>
        <n v="157.727212209401"/>
        <n v="199.388574836441"/>
        <n v="25.4575515538538"/>
        <n v="175.405744244602"/>
        <n v="0.650712306498599"/>
        <n v="28.5159216043483"/>
        <n v="14.2257031620266"/>
        <n v="14.2919937144437"/>
        <n v="62.0428843948718"/>
        <n v="221.015151991688"/>
        <n v="155.550693023351"/>
        <n v="288.175805929906"/>
        <n v="0.950301544091779"/>
        <n v="158.410448927853"/>
        <n v="348.309503111193"/>
        <n v="0.60831233938854"/>
        <n v="68.6605879022311"/>
        <n v="148.473381632259"/>
        <n v="172.929544764947"/>
        <n v="286.078466130565"/>
        <n v="158.409244953914"/>
        <n v="110.943484521832"/>
        <n v="0.656295341884887"/>
        <n v="283.69912779146"/>
        <n v="169.578795489985"/>
        <n v="69.4492772349691"/>
        <n v="29.0969264567119"/>
        <n v="271.168412708723"/>
        <n v="186.71038261823"/>
        <n v="138.115807726267"/>
        <n v="131.969316164947"/>
        <n v="0.644090311294903"/>
        <n v="0.559499313902455"/>
        <n v="186.811927670747"/>
        <n v="0.608617691501396"/>
        <n v="128.345663765513"/>
        <n v="69.4677670857071"/>
        <n v="171.635234339836"/>
        <n v="0.657827381504745"/>
        <n v="206.349663817906"/>
        <n v="28.2486302806797"/>
        <n v="72.5534871589747"/>
        <n v="0.652616502489626"/>
        <n v="171.918942570652"/>
        <n v="290.90740487938"/>
        <n v="184.547420386526"/>
        <n v="1.45225338817616"/>
        <n v="155.726526128615"/>
        <n v="71.8888066434186"/>
        <n v="293.733921501643"/>
        <n v="9.95985896835867"/>
        <n v="157.294573228089"/>
        <n v="5.34359554344347"/>
        <n v="0.949455072272579"/>
        <n v="211.449523902088"/>
        <n v="288.880792813303"/>
        <n v="149.96857598678"/>
        <n v="72.4694903043935"/>
        <n v="158.981857399707"/>
        <n v="137.332153591286"/>
        <n v="14.2285985555932"/>
        <n v="286.133799741676"/>
        <n v="0.7572994111901"/>
        <n v="195.803542135487"/>
        <n v="0.549037923555183"/>
        <n v="145.646794777319"/>
        <n v="0.0947261178172006"/>
        <n v="113.426655161095"/>
        <n v="849.763849683435"/>
        <n v="1.89548363652091"/>
        <n v="121.773774529368"/>
        <n v="276.768876763651"/>
        <n v="0.657552234811424"/>
        <n v="61.1612050185664"/>
        <n v="176.204691087802"/>
        <n v="172.528837315542"/>
        <n v="170.511309304692"/>
        <n v="134.510317572141"/>
        <n v="268.383441394401"/>
        <n v="31.9185609873137"/>
        <n v="27.8759842020611"/>
        <n v="0.693677977204729"/>
        <n v="148.503584271047"/>
        <n v="202.321567011997"/>
        <n v="1.88604009619083"/>
        <n v="0.618966565607691"/>
        <n v="203.243880419885"/>
        <n v="0.292791068550156"/>
        <n v="152.936582635057"/>
        <n v="28.2942934244218"/>
        <n v="162.588683056138"/>
        <n v="29.1666270773349"/>
        <n v="133.749495458197"/>
        <n v="285.065518689812"/>
        <n v="153.29961244957"/>
        <n v="135.355521270837"/>
        <n v="174.766428276319"/>
        <n v="0.886823927418736"/>
        <n v="303.282168167925"/>
        <n v="93.814080276674"/>
        <n v="1.73333425721455"/>
        <n v="64.6332790798851"/>
        <n v="229.43866946183"/>
        <n v="210.408707413425"/>
        <n v="131.996844546004"/>
        <n v="28.0365920285334"/>
        <n v="280.914442408067"/>
        <n v="157.047349041217"/>
        <n v="162.320290204932"/>
        <n v="15.7585968874935"/>
        <n v="1.21410551098853"/>
        <n v="201.219368028484"/>
        <n v="100.280672866899"/>
        <n v="161.026524322024"/>
        <n v="188.497694352929"/>
        <n v="153.731219428798"/>
        <n v="1.21950242236589"/>
        <n v="27.8685310452731"/>
        <n v="178.283415131134"/>
        <n v="1.21579677552619"/>
        <n v="187.656732416688"/>
        <n v="225.314028004347"/>
        <n v="43.3360167257905"/>
        <n v="0.949323412726235"/>
        <n v="0.558606262697379"/>
        <n v="288.591419371839"/>
        <n v="137.31977807451"/>
        <n v="172.358506468544"/>
        <n v="187.450744951483"/>
        <n v="161.005943137983"/>
        <n v="103.015762571996"/>
        <n v="1.21572571168956"/>
        <n v="180.819036800138"/>
        <n v="153.992484355964"/>
        <n v="165.542041556563"/>
        <n v="155.124980405851"/>
        <n v="169.423884497296"/>
        <n v="154.01520893961"/>
        <n v="186.938741694307"/>
        <n v="127.774637159186"/>
        <n v="169.142768956805"/>
        <n v="96.4203869727599"/>
        <n v="155.731712851615"/>
        <n v="163.332084952908"/>
        <n v="173.376437063674"/>
        <n v="161.088305480721"/>
        <n v="72.8445843065117"/>
        <n v="73.0815413767688"/>
        <n v="179.175424950335"/>
        <n v="196.654202008919"/>
        <n v="1.21592440700757"/>
        <n v="163.217612933454"/>
        <n v="15.9138292822944"/>
        <n v="0.558911256639735"/>
        <n v="183.4330911538"/>
        <n v="248.41966547702"/>
        <n v="131.68189420196"/>
        <n v="121.191664135271"/>
        <n v="16.1116603306307"/>
        <n v="269.697659222197"/>
        <n v="1.21819425957071"/>
        <n v="108.228513626424"/>
        <n v="173.299276253702"/>
        <n v="144.589245676653"/>
        <n v="219.491119660567"/>
        <n v="171.42213047458"/>
        <n v="95.6634170542254"/>
        <n v="176.146346997561"/>
        <n v="115.922020546068"/>
        <n v="170.87185980907"/>
        <n v="205.383428245829"/>
        <n v="153.560130892705"/>
        <n v="1.22740548378193"/>
        <n v="173.488314161997"/>
        <n v="159.790717031625"/>
        <n v="189.459404486492"/>
        <n v="0.951560817488761"/>
        <n v="163.997037688439"/>
        <n v="288.831656595055"/>
        <n v="1.2170677366519"/>
        <n v="119.277102268007"/>
        <n v="198.170584049405"/>
        <n v="194.187493085103"/>
        <n v="133.348932854245"/>
        <n v="154.811639419308"/>
        <n v="27.8662841110001"/>
        <n v="27.8831868938068"/>
        <n v="11.3940928053149"/>
        <n v="1.1504779991936"/>
        <n v="178.449318212896"/>
        <n v="219.895097590812"/>
        <n v="149.105798193655"/>
        <n v="27.931279824232"/>
        <n v="1.45526223330832"/>
        <n v="290.011764996972"/>
        <n v="177.148287795856"/>
        <n v="156.03775431463"/>
        <n v="19.1076165743056"/>
        <n v="1.21951370032449"/>
        <n v="0.556153026606167"/>
        <n v="214.145201713005"/>
        <n v="161.21000685405"/>
        <n v="222.760046978741"/>
        <n v="136.759088520592"/>
        <n v="70.069726469225"/>
        <n v="199.811677026603"/>
        <n v="169.764561353212"/>
        <n v="22.3640556463379"/>
        <n v="229.714130994604"/>
        <n v="95.9817244790295"/>
        <n v="194.941488493155"/>
        <n v="204.996142477588"/>
        <n v="352.680237932485"/>
        <n v="272.489625406146"/>
        <n v="223.719969691013"/>
        <n v="126.873918951663"/>
        <n v="125.977374234106"/>
        <n v="4.13993917207762"/>
        <n v="284.701962221913"/>
        <n v="66.3374629214244"/>
        <n v="69.4758399447292"/>
        <n v="163.383975376734"/>
        <n v="170.274374725911"/>
        <n v="277.455656678048"/>
        <n v="70.3565068391874"/>
        <n v="165.272144490039"/>
        <n v="227.104455941212"/>
        <n v="172.203772697768"/>
        <n v="172.58099445227"/>
        <n v="140.173795387217"/>
        <n v="268.80262372975"/>
        <n v="99.3335799056953"/>
        <n v="122.295633609228"/>
        <n v="14.4014068038237"/>
        <n v="207.685210906606"/>
        <n v="172.245404926792"/>
        <n v="182.191325361736"/>
        <n v="167.909747728111"/>
        <n v="1.01167362951144"/>
        <n v="99.2827082630549"/>
        <n v="171.427918757483"/>
        <n v="194.178473723344"/>
        <n v="87.0499769895801"/>
        <n v="272.855703252234"/>
        <n v="131.871695995635"/>
        <n v="159.883121946368"/>
        <n v="99.8349981548123"/>
        <n v="153.246356612709"/>
        <n v="125.949714563189"/>
        <n v="167.402807267658"/>
        <n v="158.371994687343"/>
        <n v="0.499934283519025"/>
        <n v="73.4578580088737"/>
        <n v="170.805779141025"/>
        <n v="122.623192548414"/>
        <n v="209.603830366087"/>
        <n v="216.630602984361"/>
        <n v="218.488919993533"/>
        <n v="0.561714902354158"/>
        <n v="132.627469067318"/>
        <n v="186.353489921235"/>
        <n v="160.772413982063"/>
        <n v="170.986556913106"/>
        <n v="198.669076000879"/>
        <n v="1.16363965095295"/>
        <n v="176.919015004282"/>
        <n v="70.3683040883317"/>
        <n v="174.827967385537"/>
        <n v="3.99097639478045"/>
        <n v="135.348410336796"/>
        <n v="173.070612605238"/>
        <n v="122.329557957654"/>
        <n v="277.359071013167"/>
        <n v="117.868362227168"/>
        <n v="223.135281873607"/>
        <n v="218.153100494577"/>
        <n v="172.031016947802"/>
        <n v="166.166115377824"/>
        <n v="160.136513736531"/>
        <n v="176.152477886445"/>
        <n v="164.268994351283"/>
        <n v="159.763787128293"/>
        <n v="188.441968331972"/>
        <n v="193.414717425069"/>
        <n v="144.405381970194"/>
        <n v="154.830424946549"/>
        <n v="103.076422846944"/>
        <n v="159.938497825517"/>
        <n v="212.65209107727"/>
        <n v="171.654485437025"/>
        <n v="0.662369091944094"/>
        <n v="0.830063895500452"/>
        <n v="163.146005913525"/>
        <n v="172.186654205307"/>
        <n v="200.339644140835"/>
        <n v="23.6624628176662"/>
        <n v="0.500610659693787"/>
        <n v="169.786375418012"/>
        <n v="147.157588100989"/>
        <n v="171.298036761986"/>
        <n v="144.232742202761"/>
        <n v="3.63015760803822"/>
        <n v="267.515778175538"/>
        <n v="218.724243168409"/>
        <n v="0.796194662149387"/>
        <n v="21.5696677664537"/>
        <n v="172.95670508169"/>
        <n v="177.466697807871"/>
        <n v="174.28405774899"/>
        <n v="219.367254959376"/>
        <n v="165.320701575189"/>
        <n v="127.787579713128"/>
        <n v="295.533448752992"/>
        <n v="172.586994366831"/>
        <n v="156.225984846106"/>
        <n v="1.8150964898419"/>
        <n v="15.3019542701754"/>
        <n v="177.846025323925"/>
        <n v="240.057844207946"/>
        <n v="271.449739428872"/>
        <n v="130.339989283283"/>
        <n v="287.914173860979"/>
        <n v="1.14506871556798"/>
        <n v="27.166939446384"/>
        <n v="134.18121642392"/>
        <n v="286.782551988663"/>
        <n v="72.6810863746193"/>
        <n v="212.379615283863"/>
        <n v="170.465372264338"/>
        <n v="72.8912192815947"/>
        <n v="28.3487810106904"/>
        <n v="101.614676718363"/>
        <n v="350.943881387214"/>
        <n v="144.529943055188"/>
        <n v="271.314614483877"/>
        <n v="0.615567324067887"/>
        <n v="214.49933784188"/>
        <n v="31.0268663665376"/>
        <n v="16.6611381585043"/>
        <n v="163.616223849039"/>
        <n v="114.553370563113"/>
        <n v="203.522836102106"/>
        <n v="200.134064102229"/>
        <n v="0.676684316131218"/>
        <n v="146.102958321915"/>
        <n v="25.4211187848308"/>
        <n v="178.131059453031"/>
        <n v="1.88029031681283"/>
        <n v="282.467045758429"/>
        <n v="128.172679423505"/>
        <n v="127.887937067241"/>
        <n v="209.400059730099"/>
        <n v="116.249584709048"/>
        <n v="142.961924364356"/>
        <n v="218.178483786067"/>
        <n v="85.9300487640102"/>
        <n v="164.877818016744"/>
        <n v="174.537437657342"/>
        <n v="197.544322907316"/>
        <n v="16.7906829175012"/>
        <n v="0.653305083531628"/>
        <n v="217.272943522173"/>
        <n v="291.405893039211"/>
        <n v="143.73580911776"/>
        <n v="98.2300749820252"/>
        <n v="0.559749896546031"/>
        <n v="29.1305243154326"/>
        <n v="55.7534899094605"/>
        <n v="190.677413711339"/>
        <n v="180.592504460295"/>
        <n v="156.617931206918"/>
        <n v="74.3231790097971"/>
        <n v="30.7593025513673"/>
        <n v="116.639248331052"/>
        <n v="291.279634188801"/>
        <n v="131.429867400394"/>
        <n v="0.661714315571814"/>
        <n v="123.654620567394"/>
        <n v="286.016639146837"/>
        <n v="291.27186044713"/>
        <n v="157.545696494929"/>
        <n v="196.25716666177"/>
        <n v="209.308058454888"/>
        <n v="130.238236947458"/>
        <n v="136.91106756017"/>
        <n v="171.530472680552"/>
        <n v="2.07562697749689"/>
        <n v="154.757454587972"/>
        <n v="139.240537042339"/>
        <n v="0.74458336506328"/>
        <n v="230.108806526649"/>
        <n v="27.6153101721287"/>
        <n v="229.755104538075"/>
        <n v="0.548419489690292"/>
        <n v="62.3064012097307"/>
        <n v="141.310756029174"/>
        <n v="28.7144505418145"/>
        <n v="27.8820790651038"/>
        <n v="189.716647033751"/>
        <n v="136.075572890787"/>
        <n v="139.921110264238"/>
        <n v="291.705969083639"/>
        <n v="217.8512750578"/>
        <n v="123.992546861274"/>
        <n v="73.2591209261133"/>
        <n v="129.80197193457"/>
        <n v="132.268738555632"/>
        <n v="277.043846089438"/>
        <n v="11.9456920431017"/>
        <n v="135.424683581633"/>
        <n v="170.541510303196"/>
        <n v="0.630269357930298"/>
        <n v="166.994763542676"/>
        <n v="85.6387797780032"/>
        <n v="213.274921257131"/>
        <n v="86.7791427050527"/>
        <n v="200.094180621917"/>
        <n v="28.7058245125456"/>
        <n v="179.842228377365"/>
        <n v="130.240646425906"/>
        <n v="0.808228695519207"/>
        <n v="282.340413795423"/>
        <n v="151.030053224637"/>
        <n v="147.143550147696"/>
        <n v="181.797227350163"/>
        <n v="27.877150318074"/>
        <n v="1.21546686721989"/>
        <n v="281.137145787684"/>
        <n v="160.946422780825"/>
        <n v="0.907162369594059"/>
        <n v="292.277610935753"/>
        <n v="184.994217177921"/>
        <n v="132.309143721246"/>
        <n v="1.21606692141228"/>
        <n v="156.292973453002"/>
        <n v="19.1069377189436"/>
        <n v="192.022975280092"/>
        <n v="7.9928112809115"/>
        <n v="140.740538096558"/>
        <n v="138.274684350775"/>
        <n v="198.709699543792"/>
        <n v="0.915391144850654"/>
        <n v="214.833436158144"/>
        <n v="15.9348615968195"/>
        <n v="165.926131197785"/>
        <n v="0.959597899087155"/>
        <n v="0.85866687378515"/>
        <n v="144.698995161573"/>
        <n v="179.449391752641"/>
        <n v="160.773189102542"/>
        <n v="108.216208309346"/>
        <n v="288.396588234789"/>
        <n v="302.669550434149"/>
        <n v="151.897789668429"/>
        <n v="1.21871891581613"/>
        <n v="288.437752130383"/>
        <n v="160.214541395898"/>
        <n v="69.4765048754465"/>
        <n v="201.389382173018"/>
        <n v="15.8572451302513"/>
        <n v="28.1077229662839"/>
        <n v="290.025615026503"/>
        <n v="1.21690404053296"/>
        <n v="154.337586992471"/>
        <n v="158.328047282679"/>
        <n v="167.660920484333"/>
        <n v="211.880705396794"/>
        <n v="0.557375274032344"/>
        <n v="211.654843742892"/>
        <n v="213.653503923597"/>
        <n v="1.22751355670995"/>
        <n v="99.6087281034095"/>
        <n v="134.892466604467"/>
        <n v="201.051468498115"/>
        <n v="28.0395909931306"/>
        <n v="189.500166569457"/>
        <n v="249.274772291919"/>
        <n v="145.174598128352"/>
        <n v="94.8564497873542"/>
        <n v="116.116006113591"/>
        <n v="143.184044343945"/>
        <n v="234.36468994903"/>
        <n v="170.896385658193"/>
        <n v="150.164325061628"/>
        <n v="149.139419488524"/>
        <n v="288.820830956456"/>
        <n v="1.45203428376343"/>
        <n v="3.55466905884177"/>
        <n v="1.21679555650784"/>
        <n v="167.138874519954"/>
        <n v="181.311823949634"/>
        <n v="121.57481280952"/>
        <n v="28.1362458801306"/>
        <n v="158.152337137289"/>
        <n v="1.21725036970723"/>
        <n v="22.4838093941599"/>
        <n v="186.887030353848"/>
        <n v="133.521075803138"/>
        <n v="15.9182118408278"/>
        <n v="283.439092119308"/>
        <n v="70.106349946063"/>
        <n v="163.713257095401"/>
        <n v="193.075453638876"/>
        <n v="129.549975073273"/>
        <n v="0.482799461486827"/>
        <n v="162.970417021255"/>
        <n v="188.638761794415"/>
        <n v="2.16707783469928"/>
        <n v="76.8034928814996"/>
        <n v="0.945286099682805"/>
        <n v="0.556985070722892"/>
        <n v="273.019545274939"/>
        <n v="0.876451543314545"/>
        <n v="230.715900343985"/>
        <n v="124.572989438309"/>
        <n v="263.699263108241"/>
        <n v="180.23514668785"/>
        <n v="0.607785815320461"/>
        <n v="75.7249713015882"/>
        <n v="193.145805338786"/>
        <n v="192.446442056273"/>
        <n v="54.56682098784"/>
        <n v="190.316657730302"/>
        <n v="184.560822701664"/>
        <n v="167.203794464549"/>
        <n v="219.265960243058"/>
        <n v="20.8500565474323"/>
        <n v="289.628721147006"/>
        <n v="144.522713461714"/>
        <n v="172.313487998376"/>
        <n v="68.4499893653294"/>
        <n v="133.265734077852"/>
        <n v="132.458666467733"/>
        <n v="125.840845805324"/>
        <n v="144.891049771177"/>
        <n v="274.618769162775"/>
        <n v="179.510861439247"/>
        <n v="79.8039882504375"/>
        <n v="70.1480769678274"/>
        <n v="14.4196589343545"/>
        <n v="99.228878256647"/>
        <n v="182.1817150849"/>
        <n v="168.881679540133"/>
        <n v="165.051295760106"/>
        <n v="151.512852666895"/>
        <n v="99.3490826235074"/>
        <n v="271.413850010904"/>
        <n v="173.208643907638"/>
        <n v="178.905231850488"/>
        <n v="165.849988575804"/>
        <n v="0.556756558753167"/>
        <n v="69.7408513378879"/>
        <n v="180.562531513418"/>
        <n v="70.642990198295"/>
        <n v="0.420245147853419"/>
        <n v="94.4300566338541"/>
        <n v="181.671895566434"/>
        <n v="266.793785786276"/>
        <n v="106.582955013095"/>
        <n v="159.388272358222"/>
        <n v="14.6396867521584"/>
        <n v="10.9793407579612"/>
        <n v="0.915016556116492"/>
        <n v="97.5448324602968"/>
        <n v="218.690543730929"/>
        <n v="177.426640292877"/>
        <n v="168.160607927257"/>
        <n v="222.607292028438"/>
        <n v="75.9620808444294"/>
        <n v="167.069572370247"/>
        <n v="218.286940874213"/>
        <n v="84.0938813793715"/>
        <n v="169.517840417192"/>
        <n v="151.253610780075"/>
        <n v="0.613860890771523"/>
        <n v="132.038252443348"/>
        <n v="0.885633912199155"/>
        <n v="101.40745177154"/>
        <n v="174.951464391992"/>
        <n v="226.282106304323"/>
        <n v="167.311816871959"/>
        <n v="0.761690383344015"/>
        <n v="181.337687520714"/>
        <n v="138.493769878799"/>
        <n v="185.21007915728"/>
        <n v="25.9384252701773"/>
        <n v="218.657134655609"/>
        <n v="166.287406401056"/>
        <n v="3.54407314974683"/>
        <n v="161.395888736418"/>
        <n v="217.720161444004"/>
        <n v="0.517789750177409"/>
        <n v="164.638129505869"/>
        <n v="0.467610629995808"/>
        <n v="103.617870921525"/>
        <n v="180.420212104374"/>
        <n v="218.723886110033"/>
        <n v="133.214312258813"/>
        <n v="14.1864817800702"/>
        <n v="223.059044729183"/>
        <n v="255.879789431306"/>
        <n v="0.594653969574967"/>
        <n v="143.489974405324"/>
        <n v="137.016498485142"/>
        <n v="54.6344322558755"/>
        <n v="0.324913100821679"/>
        <n v="170.982786141673"/>
        <n v="129.030917878379"/>
        <n v="208.28871545528"/>
        <n v="191.286344696011"/>
        <n v="147.859548104072"/>
        <n v="196.26760776154"/>
        <n v="157.508478953097"/>
        <n v="163.634414131074"/>
        <n v="167.689907037705"/>
        <n v="182.101904653392"/>
        <n v="130.883193110473"/>
        <n v="40.744582817418"/>
        <n v="293.826267554201"/>
        <n v="165.843611201403"/>
        <n v="173.369441513312"/>
        <n v="157.311124026336"/>
        <n v="137.777165683813"/>
        <n v="219.639845246567"/>
        <n v="69.4930544964491"/>
        <n v="214.855249396239"/>
        <n v="150.811998178904"/>
        <n v="168.949654064424"/>
        <n v="145.951870303818"/>
        <n v="27.4885578437974"/>
        <n v="197.238544814611"/>
        <n v="133.399777988809"/>
        <n v="214.565446017619"/>
        <n v="28.2963677373546"/>
        <n v="122.328364942981"/>
        <n v="177.526951566142"/>
        <n v="197.54769795163"/>
        <n v="272.451297202523"/>
        <n v="207.462092740164"/>
        <n v="348.105875144898"/>
        <n v="171.5300993663"/>
        <n v="131.715245821776"/>
        <n v="111.410382051783"/>
        <n v="191.11927822042"/>
        <n v="179.456672089829"/>
        <n v="14.2136494052417"/>
        <n v="288.629198832168"/>
        <n v="125.713254172612"/>
        <n v="206.153436851828"/>
        <n v="164.412209057449"/>
        <n v="70.0976907196092"/>
        <n v="147.833524320086"/>
        <n v="0.649030460645908"/>
        <n v="69.4609543879282"/>
        <n v="0.653873596479704"/>
        <n v="185.259439419808"/>
        <n v="121.069526418536"/>
        <n v="0.612555208219525"/>
        <n v="69.6788644527873"/>
        <n v="5.24498115612109"/>
        <n v="212.85669101854"/>
        <n v="172.857885073312"/>
        <n v="177.418561739194"/>
        <n v="0.605331363070168"/>
        <n v="206.770495332357"/>
        <n v="183.622398963345"/>
        <n v="0.656651593075257"/>
        <n v="72.5071756557747"/>
        <n v="291.125512377607"/>
        <n v="131.678893000287"/>
        <n v="0.631926857180458"/>
        <n v="295.008743804196"/>
        <n v="189.341955677569"/>
        <n v="135.794675614719"/>
        <n v="73.2347837646976"/>
        <n v="156.098090643277"/>
        <n v="197.011294234133"/>
        <n v="303.34785785373"/>
        <n v="124.286541435153"/>
        <n v="174.272971662591"/>
        <n v="31.8621684928767"/>
        <n v="207.404387128802"/>
        <n v="74.8743308274535"/>
        <n v="202.315674205948"/>
        <n v="176.637665323079"/>
        <n v="0.48003042968109"/>
        <n v="59.7473093135254"/>
        <n v="218.329130549665"/>
        <n v="290.831873478251"/>
        <n v="135.776903454735"/>
        <n v="0.632778555554264"/>
        <n v="73.275403924325"/>
        <n v="74.8696202675257"/>
        <n v="294.6922898257"/>
        <n v="162.040768046731"/>
        <n v="208.380157932481"/>
        <n v="207.500347463256"/>
        <n v="30.7568849920726"/>
        <n v="97.1202821686554"/>
        <n v="144.075427339268"/>
        <n v="225.419432109294"/>
        <n v="123.950989806678"/>
        <n v="0.80600978754604"/>
        <n v="217.277932995345"/>
        <n v="279.807189128529"/>
        <n v="133.779533812856"/>
        <n v="54.2266664753921"/>
        <n v="102.975482657162"/>
        <n v="290.236736977829"/>
        <n v="0.618268577201765"/>
        <n v="290.671476773975"/>
        <n v="138.520558578166"/>
        <n v="175.802300038641"/>
        <n v="0.677750563171364"/>
        <n v="55.7677409095109"/>
        <n v="293.905818152552"/>
        <n v="26.2448148802352"/>
        <n v="277.686354929981"/>
        <n v="133.232531840006"/>
        <n v="208.194175517161"/>
        <n v="0.564584335067203"/>
        <n v="303.835127869617"/>
        <n v="0.737835381439335"/>
        <n v="128.432995489871"/>
        <n v="80.0909403372912"/>
        <n v="267.679983769275"/>
        <n v="262.057128876243"/>
        <n v="0.553890011348854"/>
        <n v="126.139555665905"/>
        <n v="151.357719000035"/>
        <n v="106.64982658235"/>
        <n v="160.850079361802"/>
        <n v="263.476923501069"/>
        <n v="132.927897084307"/>
        <n v="201.15739983215"/>
        <n v="1.88885776657802"/>
        <n v="215.85168877003"/>
        <n v="140.125144609904"/>
        <n v="15.7636587304111"/>
        <n v="27.8976518516246"/>
        <n v="148.884045186252"/>
        <n v="177.116644133074"/>
        <n v="198.831807556615"/>
        <n v="160.359348805046"/>
        <n v="135.419920863208"/>
        <n v="288.524360061304"/>
        <n v="172.281614424355"/>
        <n v="245.602579219839"/>
        <n v="174.182786290202"/>
        <n v="0.56157089035203"/>
        <n v="128.207724568965"/>
        <n v="145.644365048801"/>
        <n v="303.031639158006"/>
        <n v="229.761921733237"/>
        <n v="0.559135754178431"/>
        <n v="27.893357207248"/>
        <n v="115.9732099015"/>
        <n v="170.84930599264"/>
        <n v="0.94934804346618"/>
        <n v="168.604824739851"/>
        <n v="159.583054511172"/>
        <n v="85.9206618194085"/>
        <n v="187.13397995837"/>
        <n v="100.871606248732"/>
        <n v="1.89865717676291"/>
        <n v="0.478551383400447"/>
        <n v="174.144822591239"/>
        <n v="155.175286144932"/>
        <n v="124.598789128242"/>
        <n v="131.526285883415"/>
        <n v="140.563662441933"/>
        <n v="192.947030664856"/>
        <n v="265.187914796469"/>
        <n v="165.690072910719"/>
        <n v="146.691320633039"/>
        <n v="15.9319582041984"/>
        <n v="170.306628337547"/>
        <n v="249.188355828893"/>
        <n v="95.3760216922522"/>
        <n v="211.958964604819"/>
        <n v="148.604480828895"/>
        <n v="171.230105795975"/>
        <n v="193.075036417313"/>
        <n v="160.771447181307"/>
        <n v="171.776583746669"/>
        <n v="164.090285555014"/>
        <n v="194.148158225343"/>
        <n v="0.869814367108413"/>
        <n v="148.65224845989"/>
        <n v="220.84955512821"/>
        <n v="28.0404936933128"/>
        <n v="171.070517761544"/>
        <n v="161.209950426874"/>
        <n v="144.975825388418"/>
        <n v="855.01475064031"/>
        <n v="125.378511545942"/>
        <n v="27.9081182684827"/>
        <n v="290.128220309349"/>
        <n v="1.21751365027734"/>
        <n v="156.715878050325"/>
        <n v="194.419018035304"/>
        <n v="133.409771789197"/>
        <n v="200.24044789732"/>
        <n v="0.944262486179971"/>
        <n v="163.574898693159"/>
        <n v="27.8914107858494"/>
        <n v="0.556351663008357"/>
        <n v="113.989969665328"/>
        <n v="288.862007433106"/>
        <n v="0.659333021532821"/>
        <n v="177.611010423103"/>
        <n v="169.273794564838"/>
        <n v="0.944520705738712"/>
        <n v="133.261963587835"/>
        <n v="0.485286452148195"/>
        <n v="176.844909291369"/>
        <n v="151.376675065505"/>
        <n v="2.33961542493421"/>
        <n v="193.014499963644"/>
        <n v="198.39464526208"/>
        <n v="0.706459032505617"/>
        <n v="70.7837127865194"/>
        <n v="78.2347092683568"/>
        <n v="0.557779311585181"/>
        <n v="167.394490181872"/>
        <n v="220.988922989626"/>
        <n v="207.332460289303"/>
        <n v="168.33917032216"/>
        <n v="0.997015884864305"/>
        <n v="58.6092300765473"/>
        <n v="154.435994388528"/>
        <n v="221.006242768396"/>
        <n v="172.821970087941"/>
        <n v="69.4560812229902"/>
        <n v="0.559336050779412"/>
        <n v="162.236803576"/>
        <n v="171.845682182676"/>
        <n v="220.222266014616"/>
        <n v="144.00625967178"/>
        <n v="16.0815357053224"/>
        <n v="171.407012213509"/>
        <n v="140.546574344029"/>
        <n v="132.689118342232"/>
        <n v="160.258633262184"/>
        <n v="146.295388226331"/>
        <n v="203.037377072"/>
        <n v="271.966862335856"/>
        <n v="161.223322443343"/>
        <n v="138.982284547396"/>
        <n v="145.042039353976"/>
        <n v="272.548143779467"/>
        <n v="130.165820994545"/>
        <n v="155.652279071332"/>
        <n v="189.906927008322"/>
        <n v="188.18629546351"/>
        <n v="99.0211597837872"/>
        <n v="164.00783450208"/>
        <n v="131.60402333792"/>
        <n v="159.086093643765"/>
        <n v="186.239483142274"/>
        <n v="96.2581506050531"/>
        <n v="202.447585465246"/>
        <n v="210.613103106136"/>
        <n v="149.926243349778"/>
        <n v="189.2326218027"/>
        <n v="151.254314289578"/>
        <n v="156.506963632056"/>
        <n v="177.155217235317"/>
        <n v="177.69512066376"/>
        <n v="3.48631751339133"/>
        <n v="105.707899062001"/>
        <n v="3.73692446052172"/>
        <n v="178.506532768582"/>
        <n v="129.0388461297"/>
        <n v="172.743252270421"/>
        <n v="0.950203195938262"/>
        <n v="3.19048784593791"/>
        <n v="172.629074920776"/>
        <n v="177.21013050342"/>
        <n v="165.936429879011"/>
        <n v="128.710114504542"/>
        <n v="218.320595371457"/>
        <n v="203.831266783814"/>
        <n v="153.349516932885"/>
        <n v="101.905846928216"/>
        <n v="0.915661615171147"/>
        <n v="170.369238566161"/>
        <n v="151.136304381523"/>
        <n v="199.990996392389"/>
        <n v="0.916101049444049"/>
        <n v="277.140991253716"/>
        <n v="138.264046602436"/>
        <n v="8.69784919474165"/>
        <n v="160.094267155753"/>
        <n v="202.366690699716"/>
        <n v="218.454744508245"/>
        <n v="174.345014605486"/>
        <n v="332.049208326799"/>
        <n v="0.795553990676102"/>
        <n v="163.291482473772"/>
        <n v="219.299330508829"/>
        <n v="165.076926666486"/>
        <n v="219.333277503302"/>
        <n v="170.435514870764"/>
        <n v="179.441438521222"/>
        <n v="0.582856866807836"/>
        <n v="218.589295388496"/>
        <n v="138.878463513288"/>
        <n v="243.752696513249"/>
        <n v="159.070080165384"/>
        <n v="170.718112609948"/>
        <n v="55.6448216708195"/>
        <n v="0.579273142164999"/>
        <n v="157.553070411865"/>
        <n v="229.59655559277"/>
        <n v="180.486216366379"/>
        <n v="4.22341699000305"/>
        <n v="156.242735230243"/>
        <n v="169.645092041061"/>
        <n v="0.331849744796775"/>
        <n v="273.126226694253"/>
        <n v="1.42962927632696"/>
        <n v="176.945030747276"/>
        <n v="131.627634919223"/>
        <n v="1.1466812897902"/>
        <n v="6.10350403369648"/>
        <n v="349.74625505484"/>
        <n v="139.158353614433"/>
        <n v="0.65766143320393"/>
        <n v="250.685813196456"/>
        <n v="190.871245278685"/>
        <n v="200.317103691668"/>
        <n v="130.689012841529"/>
        <n v="286.85159378957"/>
        <n v="166.66566003631"/>
        <n v="72.2357155930795"/>
        <n v="0.559678616395702"/>
        <n v="287.079053972431"/>
        <n v="72.1061301722026"/>
        <n v="162.552408736242"/>
        <n v="146.768000588064"/>
        <n v="165.314982590386"/>
        <n v="204.713210764514"/>
        <n v="0.679617097016537"/>
        <n v="70.08137209209"/>
        <n v="285.384298551212"/>
        <n v="89.8311780936697"/>
        <n v="155.890360873867"/>
        <n v="131.89098122686"/>
        <n v="130.141305663257"/>
        <n v="145.210953662028"/>
        <n v="131.959795093139"/>
        <n v="83.6791014832907"/>
        <n v="155.612924159732"/>
        <n v="166.340727084184"/>
        <n v="85.3094427082103"/>
        <n v="0.613280603881423"/>
        <n v="280.328138632736"/>
        <n v="129.897893997966"/>
        <n v="128.510121374066"/>
        <n v="29.6589512024579"/>
        <n v="148.617999997077"/>
        <n v="166.601573775799"/>
        <n v="5.15487850853445"/>
        <n v="0.808971505456308"/>
        <n v="131.87142414016"/>
        <n v="123.138411092531"/>
        <n v="184.636948310919"/>
        <n v="0.652599703156156"/>
        <n v="171.455629896578"/>
        <n v="148.663231317773"/>
        <n v="0.647818173032341"/>
        <n v="164.09640132689"/>
        <n v="160.425153143169"/>
        <n v="112.748610964615"/>
        <n v="125.085064814915"/>
        <n v="305.89822995796"/>
        <n v="190.79459421756"/>
        <n v="149.062822722176"/>
        <n v="0.63779814505903"/>
        <n v="0.950740248644213"/>
        <n v="72.8287325627493"/>
        <n v="233.539512840675"/>
        <n v="141.07063812676"/>
        <n v="0.632592483701925"/>
        <n v="292.192872498939"/>
        <n v="176.937754162047"/>
        <n v="132.526784080774"/>
        <n v="293.979871586488"/>
        <n v="48.3310422481788"/>
        <n v="23.3851853065598"/>
        <n v="144.086606328143"/>
        <n v="0.584696656937355"/>
        <n v="279.878846971033"/>
        <n v="145.106247145135"/>
        <n v="30.7930144526817"/>
        <n v="288.787545693556"/>
        <n v="0.548494836942434"/>
        <n v="80.0821058525832"/>
        <n v="123.700566576711"/>
        <n v="53.8100802136173"/>
        <n v="188.033929336572"/>
        <n v="0.703515933727573"/>
        <n v="137.079761997818"/>
        <n v="190.721429986847"/>
        <n v="0.40742729609926"/>
        <n v="141.634200357585"/>
        <n v="25.4885016181013"/>
        <n v="222.876335364729"/>
        <n v="98.8507015406505"/>
        <n v="0.648669662833402"/>
        <n v="0.714903733515217"/>
        <n v="131.464315372585"/>
        <n v="139.609470595758"/>
        <n v="0.372744188892671"/>
        <n v="278.912226778481"/>
        <n v="62.1298332789615"/>
        <n v="166.406959555807"/>
        <n v="305.979195471907"/>
        <n v="153.238740417097"/>
        <n v="123.374517494394"/>
        <n v="152.949401087043"/>
        <n v="280.558581860175"/>
        <n v="159.485941027134"/>
        <n v="169.942391676207"/>
        <n v="27.8584061170078"/>
        <n v="281.200268486819"/>
        <n v="157.150642514184"/>
        <n v="165.294047322478"/>
        <n v="15.7812716633645"/>
        <n v="131.890267782855"/>
        <n v="183.132063909246"/>
        <n v="141.111275939599"/>
        <n v="187.65612322015"/>
        <n v="128.302075624733"/>
        <n v="1.21676397637281"/>
        <n v="27.8634364906312"/>
        <n v="161.104958598138"/>
        <n v="178.192345798002"/>
        <n v="108.708736178662"/>
        <n v="302.737482145988"/>
        <n v="153.914648974993"/>
        <n v="19.1008589775035"/>
        <n v="156.498015315717"/>
        <n v="290.267449962048"/>
        <n v="285.62250968398"/>
        <n v="160.89691270073"/>
        <n v="105.614759645346"/>
        <n v="211.73627260104"/>
        <n v="201.001389537525"/>
        <n v="153.691148127042"/>
        <n v="0.558695892100037"/>
        <n v="156.177807875496"/>
        <n v="193.267486018619"/>
        <n v="174.220765455089"/>
        <n v="101.222086199566"/>
        <n v="167.051356087413"/>
        <n v="73.6456506964454"/>
        <n v="203.019270926075"/>
        <n v="191.011374932949"/>
        <n v="84.8707870434727"/>
        <n v="160.106744935653"/>
        <n v="123.741184455542"/>
        <n v="109.773716908036"/>
        <n v="171.106276016937"/>
        <n v="206.220031035799"/>
        <n v="175.65530468845"/>
        <n v="104.202373755009"/>
        <n v="27.8969271806591"/>
        <n v="161.187432776163"/>
        <n v="181.88495567988"/>
        <n v="1.45115719930833"/>
        <n v="27.8774201931972"/>
        <n v="3.55525208987167"/>
        <n v="193.717445030942"/>
        <n v="1.22069023827145"/>
        <n v="28.0872909482067"/>
        <n v="3.8173734849944"/>
        <n v="110.149301551625"/>
        <n v="180.510933673033"/>
        <n v="151.054708074371"/>
        <n v="211.862030281098"/>
        <n v="0.945303375387014"/>
        <n v="179.634740088639"/>
        <n v="1.21611850295985"/>
        <n v="158.525774323706"/>
        <n v="15.9164027209846"/>
        <n v="134.751823252735"/>
        <n v="151.781405426001"/>
        <n v="195.437697081721"/>
        <n v="194.261970521614"/>
        <n v="150.437642603717"/>
        <n v="0.944430038877449"/>
        <n v="208.717685339347"/>
        <n v="0.556805357253438"/>
        <n v="161.189385020167"/>
        <n v="55.936641437741"/>
        <n v="133.433911989087"/>
        <n v="0.556393237464974"/>
        <n v="27.8738702863004"/>
        <n v="174.882172136775"/>
        <n v="146.054527327667"/>
        <n v="23.4836219659708"/>
        <n v="350.111520327017"/>
        <n v="203.427216722674"/>
        <n v="191.964790905279"/>
        <n v="23.0724859087777"/>
        <n v="0.896935091961762"/>
        <n v="75.7294024057989"/>
        <n v="161.15400643238"/>
        <n v="146.588091400881"/>
        <n v="0.866259723810154"/>
        <n v="218.086797688575"/>
        <n v="277.380033370606"/>
        <n v="67.3303975403152"/>
        <n v="171.731635779218"/>
        <n v="310.010711468741"/>
        <n v="152.457889162616"/>
        <n v="1.4618768840596"/>
        <n v="1.15387631883834"/>
        <n v="208.82016959889"/>
        <n v="173.310926878619"/>
        <n v="99.6272915889858"/>
        <n v="159.333681990321"/>
        <n v="13.7612856792798"/>
        <n v="150.107311472884"/>
        <n v="123.180287057948"/>
        <n v="177.804053587314"/>
        <n v="70.0604172749142"/>
        <n v="173.169796483615"/>
        <n v="117.644414304412"/>
        <n v="133.13444606013"/>
        <n v="198.930485419948"/>
        <n v="179.17620700543"/>
        <n v="69.6554689682142"/>
        <n v="161.93967537023"/>
        <n v="209.357639243083"/>
        <n v="169.10416461161"/>
        <n v="155.795562735184"/>
        <n v="164.141745802636"/>
        <n v="214.014678743613"/>
        <n v="212.914686140812"/>
        <n v="157.855040308095"/>
        <n v="107.913715862653"/>
        <n v="186.293054131804"/>
        <n v="156.429500165003"/>
        <n v="0.423006392494554"/>
        <n v="173.55019387599"/>
        <n v="11.0159573517888"/>
        <n v="181.521859391368"/>
        <n v="0.601181363362065"/>
        <n v="169.278875999202"/>
        <n v="107.397901592698"/>
        <n v="171.61086033335"/>
        <n v="0.425622226960992"/>
        <n v="3.53075732850614"/>
        <n v="217.853276797475"/>
        <n v="95.8365675767562"/>
        <n v="0.949542446385307"/>
        <n v="180.953141062721"/>
        <n v="1.19905632192547"/>
        <n v="147.053765004748"/>
        <n v="87.9184485723394"/>
        <n v="171.406797092905"/>
        <n v="134.600128541548"/>
        <n v="182.3059941768"/>
        <n v="183.037978806761"/>
        <n v="121.107551330444"/>
        <n v="143.375210352987"/>
        <n v="274.994512754313"/>
        <n v="3.11326841398165"/>
        <n v="90.8979283389485"/>
        <n v="177.128602041641"/>
        <n v="128.207732374316"/>
        <n v="132.459026725948"/>
        <n v="160.756485283845"/>
        <n v="167.410767202419"/>
        <n v="157.265430117568"/>
        <n v="1.60382620106283"/>
        <n v="219.299385905833"/>
        <n v="0.51698199218133"/>
        <n v="148.159708955303"/>
        <n v="162.789317669487"/>
        <n v="316.939179781869"/>
        <n v="0.461303059032117"/>
        <n v="165.542203619158"/>
        <n v="156.249953388095"/>
        <n v="208.654672787026"/>
        <n v="0.327598634476719"/>
        <n v="195.705090701946"/>
        <n v="272.547587491879"/>
        <n v="139.262029176701"/>
        <n v="0.355189026243673"/>
        <n v="135.562586835463"/>
        <n v="209.146601962843"/>
        <n v="25.211562959085"/>
        <n v="140.541613230882"/>
        <n v="170.67315351474"/>
        <n v="202.649109423951"/>
        <n v="149.669573611557"/>
        <n v="168.893184854496"/>
        <n v="0.795788730162925"/>
        <n v="172.89009250988"/>
        <n v="167.461213230693"/>
        <n v="0.794370109497855"/>
        <n v="155.233871358485"/>
        <n v="219.469311289444"/>
        <n v="165.751538563331"/>
        <n v="0.681125972785241"/>
        <n v="172.578666440902"/>
        <n v="222.281146890041"/>
        <n v="164.681525331765"/>
        <n v="156.362759080198"/>
        <n v="212.323193005654"/>
        <n v="104.81532170214"/>
        <n v="189.037823865015"/>
        <n v="9.65096081426727"/>
        <n v="108.949092019078"/>
        <n v="286.81058041188"/>
        <n v="164.114025773504"/>
        <n v="1.14638438566061"/>
        <n v="197.508013920349"/>
        <n v="198.882917638817"/>
        <n v="60.2790527021706"/>
        <n v="0.616757873370244"/>
        <n v="140.314448659824"/>
        <n v="287.409550322682"/>
        <n v="80.8602289030583"/>
        <n v="127.811621431196"/>
        <n v="197.173136203982"/>
        <n v="69.4496046349833"/>
        <n v="157.353219489062"/>
        <n v="28.0666996505833"/>
        <n v="271.153888550367"/>
        <n v="82.1754277388397"/>
        <n v="171.801206114015"/>
        <n v="131.763980207444"/>
        <n v="99.3258173423209"/>
        <n v="271.531562476736"/>
        <n v="183.375639062183"/>
        <n v="205.725261965276"/>
        <n v="158.06953448609"/>
        <n v="104.769120513791"/>
        <n v="123.845427285746"/>
        <n v="96.3717681390204"/>
        <n v="1.02285075541086"/>
        <n v="30.9869962028261"/>
        <n v="86.1400914248354"/>
        <n v="185.925166363664"/>
        <n v="121.681263694874"/>
        <n v="178.93597450466"/>
        <n v="0.607386451146328"/>
        <n v="160.271107124319"/>
        <n v="81.8481036318851"/>
        <n v="205.894721826321"/>
        <n v="18.6656436356286"/>
        <n v="27.8540452093751"/>
        <n v="196.578364697994"/>
        <n v="93.6162306994342"/>
        <n v="131.663117148045"/>
        <n v="125.633875972684"/>
        <n v="128.425744067992"/>
        <n v="285.100427782006"/>
        <n v="29.2131591189311"/>
        <n v="30.7718525104888"/>
        <n v="125.09001276236"/>
        <n v="197.569801976745"/>
        <n v="5.41151198828655"/>
        <n v="186.995733754719"/>
        <n v="205.527200915382"/>
        <n v="145.999147221961"/>
        <n v="104.924034329767"/>
        <n v="291.169959545357"/>
        <n v="73.0062139817333"/>
        <n v="161.806638564789"/>
        <n v="0.63790152668925"/>
        <n v="5.17792850242767"/>
        <n v="217.819379233736"/>
        <n v="130.330630573087"/>
        <n v="284.113390052656"/>
        <n v="141.486579050911"/>
        <n v="155.759185432978"/>
        <n v="27.6499875839221"/>
        <n v="176.798478329351"/>
        <n v="173.032983088702"/>
        <n v="137.337756838749"/>
        <n v="268.364576130907"/>
        <n v="142.269337940654"/>
        <n v="0.746206824889885"/>
        <n v="156.435050373884"/>
        <n v="10.3603048503283"/>
        <n v="125.333613919419"/>
        <n v="72.8696208897199"/>
        <n v="0.625510751815795"/>
        <n v="202.931400162786"/>
        <n v="82.2853458574137"/>
        <n v="0.623492988083277"/>
        <n v="198.61912341493"/>
        <n v="171.941741430474"/>
        <n v="136.780004362709"/>
        <n v="0.609589505208052"/>
        <n v="204.050901378095"/>
        <n v="152.786600898632"/>
        <n v="0.408794995404015"/>
        <n v="29.1811785752648"/>
        <n v="234.150681920421"/>
        <n v="77.9655646507135"/>
        <n v="23.0929695313173"/>
        <n v="131.946961312707"/>
        <n v="0.555112818585487"/>
        <n v="228.210578845896"/>
        <n v="123.958903815431"/>
        <n v="0.745309482501829"/>
        <n v="187.661523475194"/>
        <n v="188.287771848857"/>
        <n v="1.21609162054543"/>
        <n v="134.30013015406"/>
        <n v="195.466045863674"/>
        <n v="73.8545225774605"/>
        <n v="186.152287935668"/>
        <n v="1.21944240985285"/>
        <n v="69.4940187824628"/>
        <n v="138.725099963521"/>
        <n v="288.638865612839"/>
        <n v="28.0668386786042"/>
        <n v="197.508409592072"/>
        <n v="138.11058302857"/>
        <n v="161.248611032697"/>
        <n v="131.763984870928"/>
        <n v="285.478153503232"/>
        <n v="128.471443789524"/>
        <n v="169.080862511735"/>
        <n v="118.335866062408"/>
        <n v="137.586789371434"/>
        <n v="155.330397250719"/>
        <n v="173.301789471526"/>
        <n v="193.589548799332"/>
        <n v="1.21433998350205"/>
        <n v="155.345640753493"/>
        <n v="308.062045104749"/>
        <n v="101.795242927654"/>
        <n v="166.236446161291"/>
        <n v="302.39764687874"/>
        <n v="27.8522192469412"/>
        <n v="4.13488737133798"/>
        <n v="172.832020252827"/>
        <n v="75.7120892477785"/>
        <n v="198.985015796218"/>
        <n v="285.289397485195"/>
        <n v="139.272473332694"/>
        <n v="163.569058620589"/>
        <n v="28.0692097506169"/>
        <n v="172.597164673922"/>
        <n v="162.270695835423"/>
        <n v="159.646434995302"/>
        <n v="26.9024126372865"/>
        <n v="150.889098062429"/>
        <n v="204.981194045826"/>
        <n v="75.0530268883259"/>
        <n v="161.338521869251"/>
        <n v="177.964015207499"/>
        <n v="27.8763093895817"/>
        <n v="174.551448027599"/>
        <n v="0.950441294744195"/>
        <n v="176.339554805649"/>
        <n v="1.21586677331768"/>
        <n v="164.314953694857"/>
        <n v="131.477761625673"/>
        <n v="116.245885825268"/>
        <n v="267.211751250948"/>
        <n v="172.91854503776"/>
        <n v="7.44533503615973"/>
        <n v="27.8824966102828"/>
        <n v="78.4702868107615"/>
        <n v="289.912926494911"/>
        <n v="161.080386728568"/>
        <n v="28.1268116683826"/>
        <n v="148.737907661957"/>
        <n v="0.822168776326228"/>
        <n v="27.9228878710464"/>
        <n v="209.040936052246"/>
        <n v="153.774599567007"/>
        <n v="131.666544097173"/>
        <n v="246.099073827874"/>
        <n v="149.367566956801"/>
        <n v="1.30765518018918"/>
        <n v="100.384466547542"/>
        <n v="162.896027073119"/>
        <n v="1.21539164002286"/>
        <n v="192.445463513738"/>
        <n v="3.94747005599549"/>
        <n v="145.289931663488"/>
        <n v="288.620512395839"/>
        <n v="132.837173474684"/>
        <n v="189.662935356008"/>
        <n v="0.557407603295964"/>
        <n v="1.22059134811482"/>
        <n v="214.087969982778"/>
        <n v="134.340117638335"/>
        <n v="0.943808022031494"/>
        <n v="150.342452364862"/>
        <n v="177.291684722384"/>
        <n v="2.20937677744893"/>
        <n v="123.558814777595"/>
        <n v="221.704543384826"/>
        <n v="23.4311256816033"/>
        <n v="67.8195855473597"/>
        <n v="164.416071155403"/>
        <n v="23.8641262750473"/>
        <n v="144.694735413655"/>
        <n v="271.627076201361"/>
        <n v="286.982289260173"/>
        <n v="223.528046276313"/>
        <n v="0.559685521642051"/>
        <n v="141.429938578826"/>
        <n v="53.972927262381"/>
        <n v="162.256466027697"/>
        <n v="113.990479121374"/>
        <n v="190.419260373961"/>
        <n v="211.222289543821"/>
        <n v="1.00461415501317"/>
        <n v="133.481923368989"/>
        <n v="0.556912959316821"/>
        <n v="204.446397302527"/>
        <n v="0.949493841078137"/>
        <n v="172.89449198126"/>
        <n v="201.265805538727"/>
        <n v="69.0225139709692"/>
        <n v="161.049182646308"/>
        <n v="199.27630581223"/>
        <n v="159.669058067622"/>
        <n v="108.917749891294"/>
        <n v="272.71544620989"/>
        <n v="3.59594591333457"/>
        <n v="165.26886500045"/>
        <n v="171.465182444685"/>
        <n v="98.9668903278964"/>
        <n v="131.642945991947"/>
        <n v="152.258747534536"/>
        <n v="149.83534170732"/>
        <n v="0.915286713003068"/>
        <n v="114.858192067395"/>
        <n v="160.231350540639"/>
        <n v="218.120228260079"/>
        <n v="211.889531324261"/>
        <n v="0.612128542484922"/>
        <n v="146.153034176971"/>
        <n v="284.029571141016"/>
        <n v="103.660928304456"/>
        <n v="202.359907065401"/>
        <n v="136.824347624642"/>
        <n v="0.599539600623937"/>
        <n v="181.569942863518"/>
        <n v="165.107900734379"/>
        <n v="187.356471826254"/>
        <n v="98.7929406606297"/>
        <n v="182.150945976419"/>
        <n v="132.498324886626"/>
        <n v="178.719367483669"/>
        <n v="169.881294669037"/>
        <n v="218.589237899693"/>
        <n v="54.42511760479"/>
        <n v="169.489518303931"/>
        <n v="125.466006930849"/>
        <n v="218.421754667141"/>
        <n v="1.45988965629567"/>
        <n v="170.932537965072"/>
        <n v="0.497167713305429"/>
        <n v="169.940482495851"/>
        <n v="218.690274338287"/>
        <n v="23.7347804119856"/>
        <n v="173.74350193617"/>
        <n v="133.909244343252"/>
        <n v="168.085703427503"/>
        <n v="158.310291539773"/>
        <n v="294.566666608721"/>
        <n v="103.144092572771"/>
        <n v="148.949079935665"/>
        <n v="174.04501406761"/>
        <n v="277.633351232484"/>
        <n v="0.514719488085794"/>
        <n v="0.784365970835277"/>
        <n v="170.303022706432"/>
        <n v="154.329971297643"/>
        <n v="276.895064571138"/>
        <n v="164.099400454402"/>
        <n v="0.519039716006091"/>
        <n v="155.246250669808"/>
        <n v="13.9971051848982"/>
        <n v="177.478745802486"/>
        <n v="179.836361094725"/>
        <n v="163.220960965738"/>
        <n v="158.854120070592"/>
        <n v="170.830669052651"/>
        <n v="134.201984945011"/>
        <n v="108.516943121163"/>
        <n v="147.810737967167"/>
        <n v="144.597357286501"/>
        <n v="0.692839812737027"/>
        <n v="158.801096558533"/>
        <n v="213.143958752364"/>
        <n v="134.194118469733"/>
        <n v="296.210745803508"/>
        <n v="21.5806253188816"/>
        <n v="177.061305997343"/>
        <n v="219.061833160824"/>
        <n v="247.086442909022"/>
        <n v="169.923760940601"/>
        <n v="0.531170418323316"/>
        <n v="156.249686580488"/>
        <n v="152.752597722749"/>
        <n v="27.1360352685397"/>
        <n v="201.310424275153"/>
        <n v="191.157001598088"/>
        <n v="120.48105889973"/>
        <n v="191.680948677168"/>
        <n v="271.778043697341"/>
        <n v="164.058038970612"/>
        <n v="287.407845823071"/>
        <n v="157.74145426551"/>
        <n v="0.650714835627577"/>
        <n v="82.5353312188131"/>
        <n v="174.631617337826"/>
        <n v="83.244117401681"/>
        <n v="0.617876389390966"/>
        <n v="271.34307836552"/>
        <n v="141.138219170355"/>
        <n v="249.795974243925"/>
        <n v="76.4393599340917"/>
        <n v="210.299000703526"/>
        <n v="14.223232346229"/>
        <n v="144.513236853233"/>
        <n v="284.862042783179"/>
        <n v="196.593707512274"/>
        <n v="173.237669974474"/>
        <n v="118.024163293279"/>
        <n v="0.648156094108281"/>
        <n v="182.506695334317"/>
        <n v="29.1136205575005"/>
        <n v="285.666369955152"/>
        <n v="14.296577918346"/>
        <n v="123.869791809942"/>
        <n v="276.789890233253"/>
        <n v="108.385286465355"/>
        <n v="134.43029235471"/>
        <n v="0.658075581599992"/>
        <n v="173.07890336991"/>
        <n v="170.267689106203"/>
        <n v="28.2356356695821"/>
        <n v="290.42569316839"/>
        <n v="161.095264473742"/>
        <n v="224.278572816007"/>
        <n v="105.895347668293"/>
        <n v="54.4058005561435"/>
        <n v="144.550099387488"/>
        <n v="180.622032242733"/>
        <n v="0.656641820970092"/>
        <n v="74.2889898561173"/>
        <n v="133.467845065893"/>
        <n v="98.0319594336813"/>
        <n v="149.196059120663"/>
        <n v="112.809663244327"/>
        <n v="268.556304644415"/>
        <n v="0.638170351320793"/>
        <n v="169.74392747396"/>
        <n v="279.914999385368"/>
        <n v="136.855915768049"/>
        <n v="289.667249784808"/>
        <n v="174.671288200752"/>
        <n v="117.449738174707"/>
        <n v="165.24829050805"/>
        <n v="152.768837353764"/>
        <n v="2.70929752318943"/>
        <n v="108.666792591205"/>
        <n v="204.649228990864"/>
        <n v="177.53799896223"/>
        <n v="90.3819482970156"/>
        <n v="127.702142617884"/>
        <n v="117.909334652367"/>
        <n v="244.22789127497"/>
        <n v="121.322774516465"/>
        <n v="152.324485804702"/>
        <n v="27.8784170264913"/>
        <n v="159.808186011726"/>
        <n v="202.726084288053"/>
        <n v="0.678726413277937"/>
        <n v="0.618249862398595"/>
        <n v="171.538129669189"/>
        <n v="149.806816525554"/>
        <n v="169.112572710223"/>
        <n v="210.030546515685"/>
        <n v="112.247877893205"/>
        <n v="162.329300553631"/>
        <n v="122.439509645851"/>
        <n v="176.069947443158"/>
        <n v="26.2334730598934"/>
        <n v="166.609686337215"/>
        <n v="279.976137251029"/>
        <n v="0.711926040086939"/>
        <n v="159.079118906437"/>
        <n v="180.181311637798"/>
        <n v="5.37800141906322"/>
        <n v="31.8870977963682"/>
        <n v="152.649882962844"/>
        <n v="288.481344207508"/>
        <n v="0.950465648289729"/>
        <n v="144.59771642076"/>
        <n v="171.433548166193"/>
        <n v="101.468131493363"/>
        <n v="15.9644962853713"/>
        <n v="169.951731411544"/>
        <n v="190.473650464962"/>
        <n v="69.4987875503903"/>
        <n v="157.517418283956"/>
        <n v="131.704646889034"/>
        <n v="274.727468209833"/>
        <n v="143.918698286756"/>
        <n v="177.010974691831"/>
        <n v="0.794218788659351"/>
        <n v="27.9108800318176"/>
        <n v="103.090926779483"/>
        <n v="290.145392903165"/>
        <n v="146.171328308858"/>
        <n v="115.189420115716"/>
        <n v="302.563458795026"/>
        <n v="183.169541578589"/>
        <n v="290.325699199976"/>
        <n v="131.672143449857"/>
        <n v="145.826226531473"/>
        <n v="208.683314229034"/>
        <n v="103.546613616123"/>
        <n v="160.896856918062"/>
        <n v="236.771722313806"/>
        <n v="4.14126307722622"/>
        <n v="193.076340830196"/>
        <n v="1.28300593494294"/>
        <n v="1.21666884766413"/>
        <n v="135.503267698027"/>
        <n v="27.8687702568793"/>
        <n v="151.515195976257"/>
        <n v="174.502268609865"/>
        <n v="180.763939382231"/>
        <n v="84.2751334388995"/>
        <n v="28.0454564904249"/>
        <n v="173.584594393599"/>
        <n v="213.820763811572"/>
        <n v="122.407251428704"/>
        <n v="131.85186382323"/>
        <n v="67.6910997940524"/>
        <n v="193.525005277444"/>
        <n v="186.653878451413"/>
        <n v="113.716906621656"/>
        <n v="215.920449554884"/>
        <n v="247.193820511753"/>
        <n v="158.057300301801"/>
        <n v="169.117661919852"/>
        <n v="161.259766477243"/>
        <n v="234.766858533786"/>
        <n v="108.985676801346"/>
        <n v="169.249048988393"/>
        <n v="170.150613655545"/>
        <n v="160.255925291369"/>
        <n v="131.633194907491"/>
        <n v="187.707073472999"/>
        <n v="151.681203635284"/>
        <n v="288.633956090639"/>
        <n v="0.94502390795266"/>
        <n v="1.21983669368214"/>
        <n v="0.557305517684364"/>
        <n v="212.368677123983"/>
        <n v="19.2096142974983"/>
        <n v="149.967415205"/>
        <n v="196.14727058702"/>
        <n v="1.21762997879418"/>
        <n v="133.32683008018"/>
        <n v="177.616799388879"/>
        <n v="132.682098500278"/>
        <n v="288.643282157071"/>
        <n v="173.497085009774"/>
        <n v="166.627446312101"/>
        <n v="1.21621069159429"/>
        <n v="133.174972950446"/>
        <n v="157.408945574081"/>
        <n v="69.4833168699532"/>
        <n v="25.1916985633534"/>
        <n v="194.054499566039"/>
        <n v="286.363607878441"/>
        <n v="209.441562329614"/>
        <n v="125.287273114953"/>
        <n v="137.568884964486"/>
        <n v="0.949639394241333"/>
        <n v="271.430964821799"/>
        <n v="22.3159427709931"/>
        <n v="191.868537796506"/>
        <n v="67.038722610028"/>
        <n v="1.22803758231988"/>
        <n v="148.250490890465"/>
        <n v="81.2864120760989"/>
        <n v="131.438994183559"/>
        <n v="274.177783032688"/>
        <n v="271.355902078696"/>
        <n v="198.913211441474"/>
        <n v="78.927862034707"/>
        <n v="69.0050500472692"/>
        <n v="159.943797293563"/>
        <n v="144.045933591334"/>
        <n v="80.0475959055457"/>
        <n v="13.7508667939206"/>
        <n v="196.815431434805"/>
        <n v="112.501775062318"/>
        <n v="349.643270312785"/>
        <n v="192.747162798027"/>
        <n v="178.19138157442"/>
        <n v="167.809625197529"/>
        <n v="111.752964354043"/>
        <n v="213.585628508753"/>
        <n v="272.485665770644"/>
        <n v="153.065806090272"/>
        <n v="132.073207436843"/>
        <n v="20.0750076763122"/>
        <n v="177.185758197547"/>
        <n v="217.190072968166"/>
        <n v="168.083757691005"/>
        <n v="165.39698161974"/>
        <n v="145.45444758993"/>
        <n v="144.228636616941"/>
        <n v="186.087679515635"/>
        <n v="163.582806236445"/>
        <n v="103.722988582077"/>
        <n v="133.835147609404"/>
        <n v="86.3947924171575"/>
        <n v="185.971649621572"/>
        <n v="168.567900351866"/>
        <n v="0.949747853046422"/>
        <n v="89.5880522403405"/>
        <n v="175.550382022448"/>
        <n v="0.910015819018825"/>
        <n v="156.842200757211"/>
        <n v="131.358587837656"/>
        <n v="2.89593877444677"/>
        <n v="175.574437327094"/>
        <n v="93.8411119517363"/>
        <n v="219.653300406362"/>
        <n v="135.962318970877"/>
        <n v="169.325981863218"/>
        <n v="218.622895062689"/>
        <n v="1.01633940809082"/>
        <n v="174.935698338078"/>
        <n v="137.316759864802"/>
        <n v="205.692023191239"/>
        <n v="152.045921971648"/>
        <n v="8.59557875052223"/>
        <n v="199.180230129942"/>
        <n v="176.428471752734"/>
        <n v="30.6020359649245"/>
        <n v="168.181861485475"/>
        <n v="0.512998276382099"/>
        <n v="186.044770397458"/>
        <n v="154.811683212365"/>
        <n v="158.41962941944"/>
        <n v="15.054672088751"/>
        <n v="218.320535978261"/>
        <n v="173.773807118511"/>
        <n v="159.304694341719"/>
        <n v="163.154257123166"/>
        <n v="0.5218388391493"/>
        <n v="218.488960079782"/>
        <n v="103.10195152632"/>
        <n v="0.170405964170632"/>
        <n v="141.171231822402"/>
        <n v="178.937864628446"/>
        <n v="108.115339991288"/>
        <n v="0.349444721074364"/>
        <n v="203.219982202745"/>
        <n v="164.977578345872"/>
        <n v="14.683583988365"/>
        <n v="130.099683409607"/>
        <n v="216.893611866176"/>
        <n v="166.182857954697"/>
        <n v="0.246489658513568"/>
        <n v="172.51362951992"/>
        <n v="218.354070996049"/>
        <n v="0.666985115715644"/>
        <n v="247.378354121598"/>
        <n v="0.500707738533942"/>
        <n v="171.626300075669"/>
        <n v="165.437661484183"/>
        <n v="6.96402696596508"/>
        <n v="286.954434314953"/>
        <n v="84.15143513095"/>
        <n v="156.222799690046"/>
        <n v="196.486462948539"/>
        <n v="169.894297675225"/>
        <n v="192.883107853925"/>
        <n v="167.643002423888"/>
        <n v="28.5063218306903"/>
        <n v="132.26989784851"/>
        <n v="1.88454841990868"/>
        <n v="182.659381044765"/>
        <n v="110.472893955086"/>
        <n v="0.61791749994393"/>
        <n v="17.6690310537517"/>
        <n v="286.455761445676"/>
        <n v="144.156965597072"/>
        <n v="19.411310138111"/>
        <n v="0.636134309836167"/>
        <n v="183.726022558384"/>
        <n v="8.4280414440837"/>
        <n v="164.773509181633"/>
        <n v="81.884237022226"/>
        <n v="71.9944953803427"/>
        <n v="181.242027626068"/>
        <n v="1.88369575778837"/>
        <n v="154.60373017998"/>
        <n v="29.0982139496833"/>
        <n v="116.534999227375"/>
        <n v="117.899819295706"/>
        <n v="281.399022616843"/>
        <n v="145.205742338295"/>
        <n v="192.087998890253"/>
        <n v="173.708145281853"/>
        <n v="117.084215257035"/>
        <n v="205.697712905598"/>
        <n v="162.111958411226"/>
        <n v="0.632002355446455"/>
        <n v="234.852591589573"/>
        <n v="137.549149145084"/>
        <n v="29.1020156551038"/>
        <n v="0.645171213713886"/>
        <n v="165.392123911617"/>
        <n v="293.83328788917"/>
        <n v="170.182043843012"/>
        <n v="74.3857019943464"/>
        <n v="232.010736368315"/>
        <n v="74.938225320742"/>
        <n v="14.325411077971"/>
        <n v="176.093059290084"/>
        <n v="137.113339634038"/>
        <n v="5.62982039475454"/>
        <n v="220.915358565813"/>
        <n v="149.888477178435"/>
        <n v="122.025077674499"/>
        <n v="241.89313290063"/>
        <n v="157.944499476066"/>
        <n v="203.117349566723"/>
        <n v="124.11521207796"/>
        <n v="108.697214070093"/>
        <n v="0.582869494066334"/>
        <n v="197.354790899906"/>
        <n v="139.668525283508"/>
        <n v="148.53254029246"/>
        <n v="305.893250292872"/>
        <n v="5.36540783105129"/>
        <n v="222.538633317563"/>
        <n v="129.237273925655"/>
        <n v="59.4423682961977"/>
        <n v="121.686557289417"/>
        <n v="27.9614727664803"/>
        <n v="160.004683114325"/>
        <n v="166.274121540194"/>
        <n v="25.48498005122"/>
        <n v="69.7178344067526"/>
        <n v="82.5437077213069"/>
        <n v="0.409563429483267"/>
        <n v="294.986449034156"/>
        <n v="130.21350917194"/>
        <n v="207.459427687308"/>
        <n v="27.638984243913"/>
        <n v="157.710131127996"/>
        <n v="171.971458311498"/>
        <n v="127.314640764522"/>
        <n v="170.657958765412"/>
        <n v="123.269473766132"/>
        <n v="305.565295257475"/>
        <n v="202.784775456904"/>
        <n v="172.916055030225"/>
        <n v="31.9516334914618"/>
        <n v="15.7681182897697"/>
        <n v="142.618611214116"/>
        <n v="280.789083266307"/>
        <n v="212.524016993405"/>
        <n v="1.2144341676444"/>
        <n v="183.35528236659"/>
        <n v="1.21422282006593"/>
        <n v="171.765919633265"/>
        <n v="173.521910463325"/>
        <n v="1.21640173300164"/>
        <n v="1.17218087826263"/>
        <n v="27.8777055802853"/>
        <n v="144.352724146366"/>
        <n v="180.533278564458"/>
        <n v="170.632138880392"/>
        <n v="171.168074395847"/>
        <n v="107.713630668553"/>
        <n v="146.988943600865"/>
        <n v="307.949842452617"/>
        <n v="1.21466776228886"/>
        <n v="198.542375234885"/>
        <n v="160.532133212637"/>
        <n v="51.161678378586"/>
        <n v="160.796133027437"/>
        <n v="192.571330902086"/>
        <n v="191.263242170574"/>
        <n v="1.15072650609862"/>
        <n v="139.674451126607"/>
        <n v="171.994530510741"/>
        <n v="76.7811975429383"/>
        <n v="158.12146787358"/>
        <n v="154.924430741317"/>
        <n v="271.763735056475"/>
        <n v="115.519132028139"/>
        <n v="288.535171670801"/>
        <n v="147.844403125101"/>
        <n v="110.885188519053"/>
        <n v="210.461723997689"/>
        <n v="289.966801549012"/>
        <n v="143.176273539461"/>
        <n v="161.35933674981"/>
        <n v="27.9364058293306"/>
        <n v="169.610005626907"/>
        <n v="171.208252032811"/>
        <n v="154.30641019538"/>
        <n v="8.8793218604217"/>
        <n v="235.197848509375"/>
        <n v="161.108702600871"/>
        <n v="288.584783915438"/>
        <n v="135.506121977313"/>
        <n v="189.443990610772"/>
        <n v="68.5496687757208"/>
        <n v="178.484322254999"/>
        <n v="212.997466442758"/>
        <n v="28.0686682384719"/>
        <n v="1.22923403089984"/>
        <n v="164.788522464631"/>
        <n v="153.154926974621"/>
        <n v="288.834332760052"/>
        <n v="1.2195809132323"/>
        <n v="186.024851481356"/>
        <n v="148.610003188994"/>
        <n v="170.207946358955"/>
        <n v="142.72843949738"/>
        <n v="190.533221002132"/>
        <n v="155.02336139205"/>
        <n v="0.883636341900202"/>
        <n v="1.21872212457015"/>
        <n v="112.76875426429"/>
        <n v="226.951229971479"/>
        <n v="161.319409386054"/>
        <n v="1.43077770270033"/>
        <n v="69.4298756973422"/>
        <n v="166.479613363338"/>
        <n v="25.2205744582736"/>
        <n v="68.5867471860789"/>
        <n v="287.005614488029"/>
        <n v="69.2513617351094"/>
        <n v="148.555285125905"/>
        <n v="184.9226907216"/>
        <n v="195.080753603516"/>
        <n v="161.044209189325"/>
        <n v="53.7335566488002"/>
        <n v="141.709510698307"/>
        <n v="286.912596703432"/>
        <n v="144.491633808556"/>
        <n v="122.027974214324"/>
        <n v="1.15242271276196"/>
        <n v="126.894513717079"/>
        <n v="279.648565692467"/>
        <n v="218.01998730305"/>
        <n v="156.815494858679"/>
        <n v="123.079294264255"/>
        <n v="286.005554348455"/>
        <n v="153.017558510373"/>
        <n v="146.93050462445"/>
        <n v="112.206081229449"/>
        <n v="191.657056459073"/>
        <n v="155.973471106752"/>
        <n v="207.294495350223"/>
        <n v="16.3424118544826"/>
        <n v="54.0776216281731"/>
        <n v="177.685815860634"/>
        <n v="108.706969107794"/>
        <n v="125.336555181303"/>
        <n v="141.458600093529"/>
        <n v="132.552004856919"/>
        <n v="176.388438392641"/>
        <n v="219.811076032939"/>
        <n v="4.13248228283149"/>
        <n v="85.6061079621354"/>
        <n v="194.539408881003"/>
        <n v="195.59696742855"/>
        <n v="220.794105744128"/>
        <n v="54.527445157768"/>
        <n v="162.259305822746"/>
        <n v="0.485240991428228"/>
        <n v="157.650900795694"/>
        <n v="155.562812193595"/>
        <n v="0.425444607833281"/>
        <n v="195.185088741083"/>
        <n v="114.868665725735"/>
        <n v="171.579544773744"/>
        <n v="84.7151638010665"/>
        <n v="182.516758816449"/>
        <n v="0.555262670361156"/>
        <n v="172.775679511789"/>
        <n v="149.835565570086"/>
        <n v="226.616038926282"/>
        <n v="94.6412607590744"/>
        <n v="177.244806725043"/>
        <n v="4.03742686709516"/>
        <n v="0.337382684369556"/>
        <n v="176.593905527515"/>
        <n v="0.88531137396596"/>
        <n v="172.575699263153"/>
        <n v="186.74764505389"/>
        <n v="158.177172233939"/>
        <n v="7.76885780934466"/>
        <n v="171.170719002264"/>
        <n v="181.535071608316"/>
        <n v="202.84471973808"/>
        <n v="137.753472326047"/>
        <n v="169.461411070235"/>
        <n v="173.392211034038"/>
        <n v="162.703942155999"/>
        <n v="166.236317552472"/>
        <n v="20.1032112333188"/>
        <n v="0.78411488797923"/>
        <n v="139.32396750152"/>
        <n v="97.674274266968"/>
        <n v="180.102831928954"/>
        <n v="129.605555081949"/>
        <n v="167.6012774805"/>
        <n v="195.55021886833"/>
        <n v="0.317466958817838"/>
        <n v="209.311864176186"/>
        <n v="155.734123955632"/>
        <n v="152.949234700146"/>
        <n v="167.9555642878"/>
        <n v="165.936962131469"/>
        <n v="173.389594569645"/>
        <n v="295.331743706966"/>
        <n v="128.982525845804"/>
        <n v="197.611871540993"/>
        <n v="277.035793944562"/>
        <n v="156.359145762468"/>
        <n v="171.663736840282"/>
        <n v="2.45057155961256"/>
        <n v="165.320519771346"/>
        <n v="286.481133463897"/>
        <n v="125.157595539643"/>
        <n v="158.464686086245"/>
        <n v="27.7033538428229"/>
        <n v="129.48405341091"/>
        <n v="214.638899082201"/>
        <n v="205.172296385713"/>
        <n v="82.9204957583107"/>
        <n v="126.585412247348"/>
        <n v="129.462009504556"/>
        <n v="271.80917920175"/>
        <n v="286.69429196682"/>
        <n v="141.5033173956"/>
        <n v="105.690734120415"/>
        <n v="194.599158794684"/>
        <n v="1.44783123058301"/>
        <n v="28.2760072618803"/>
        <n v="210.36213269897"/>
        <n v="138.20514714157"/>
        <n v="76.017261585644"/>
        <n v="190.45553636665"/>
        <n v="159.275253581367"/>
        <n v="0.651938728451464"/>
        <n v="278.775993349987"/>
        <n v="0.613519767395745"/>
        <n v="30.7590241491623"/>
        <n v="143.547512428618"/>
        <n v="32.141135827109"/>
        <n v="178.984466127918"/>
        <n v="157.277459367321"/>
        <n v="14.3100933512022"/>
        <n v="290.854689867594"/>
        <n v="72.4929788252432"/>
        <n v="22.6566325062214"/>
        <n v="210.003920814272"/>
        <n v="90.9348337104924"/>
        <n v="28.2412131471704"/>
        <n v="5.17320372355764"/>
        <n v="181.743579630579"/>
        <n v="60.210254175189"/>
        <n v="181.390711370813"/>
        <n v="0.644135553662122"/>
        <n v="18.5587186562128"/>
        <n v="29.1535372992078"/>
        <n v="73.1253716958408"/>
        <n v="188.655379750817"/>
        <n v="74.4711895210079"/>
        <n v="165.779320709167"/>
        <n v="82.5946778723898"/>
        <n v="304.09722419738"/>
        <n v="32.1517500488149"/>
        <n v="132.893598552619"/>
        <n v="190.488283427816"/>
        <n v="156.552540937925"/>
        <n v="127.879700164063"/>
        <n v="59.3555852926007"/>
        <n v="285.914646313193"/>
        <n v="217.296831984907"/>
        <n v="81.6320277062421"/>
        <n v="124.181777590564"/>
        <n v="285.455896474322"/>
        <n v="74.8590456873856"/>
        <n v="149.71282128898"/>
        <n v="105.355201265104"/>
        <n v="139.762528287454"/>
        <n v="212.432756016805"/>
        <n v="208.349129386823"/>
        <n v="175.637942755827"/>
        <n v="0.662697142580596"/>
        <n v="62.1715992239695"/>
        <n v="119.666170730858"/>
        <n v="128.683024798686"/>
        <n v="289.853940699852"/>
        <n v="93.5541715985065"/>
        <n v="18.7244533974975"/>
        <n v="207.093737165045"/>
        <n v="28.3110065114093"/>
        <n v="164.590291904795"/>
        <n v="1.60696537632125"/>
        <n v="140.211942029107"/>
        <n v="155.403007621692"/>
        <n v="21.0541493538691"/>
        <n v="206.178649831252"/>
        <n v="191.767237599953"/>
        <n v="183.220238647675"/>
        <n v="138.895036546282"/>
        <n v="30.8239946701843"/>
        <n v="280.127240301832"/>
        <n v="199.537299769726"/>
        <n v="176.549991438862"/>
        <n v="171.544728740011"/>
        <n v="86.6930875334741"/>
        <n v="135.873279313876"/>
        <n v="154.096024160375"/>
        <n v="95.0451215347455"/>
        <n v="285.851286569384"/>
        <n v="109.651254162238"/>
        <n v="290.055914731231"/>
        <n v="248.767095968574"/>
        <n v="1.04724298538336"/>
        <n v="149.188090276671"/>
        <n v="178.229725517621"/>
        <n v="213.158750322446"/>
        <n v="158.95883642398"/>
        <n v="1.21501270278872"/>
        <n v="177.165889504436"/>
        <n v="282.776438423787"/>
        <n v="26.9281221947579"/>
        <n v="159.346443649493"/>
        <n v="143.884979371658"/>
        <n v="306.593611838273"/>
        <n v="249.277545727391"/>
        <n v="145.528370979778"/>
        <n v="180.105417953251"/>
        <n v="108.120524478336"/>
        <n v="27.9027602783713"/>
        <n v="290.42795778103"/>
        <n v="289.93627555117"/>
        <n v="131.613739253939"/>
        <n v="237.5795501564"/>
        <n v="146.376378247875"/>
        <n v="131.832724366884"/>
        <n v="157.585374575711"/>
        <n v="184.533504416241"/>
        <n v="170.701794501191"/>
        <n v="1.21786654964525"/>
        <n v="207.48225195988"/>
        <n v="161.308602759057"/>
        <n v="1.21976131495193"/>
        <n v="91.653999418574"/>
        <n v="110.074239523522"/>
        <n v="289.116512483272"/>
        <n v="155.661024500316"/>
        <n v="265.165485930613"/>
        <n v="147.577273137698"/>
        <n v="211.617696741211"/>
        <n v="121.766301156126"/>
        <n v="93.0067596921977"/>
        <n v="159.99938875052"/>
        <n v="249.236678393713"/>
        <n v="215.854566584211"/>
        <n v="27.8956859182966"/>
        <n v="158.751135220616"/>
        <n v="168.339159187159"/>
        <n v="28.1163444929484"/>
        <n v="158.151449678783"/>
        <n v="217.765317082699"/>
        <n v="27.9020391813628"/>
        <n v="183.346076395178"/>
        <n v="1.21758279997119"/>
        <n v="158.063169862656"/>
        <n v="183.165621023596"/>
        <n v="163.992028485231"/>
        <n v="162.009019542778"/>
        <n v="190.973241262811"/>
        <n v="73.6077321064922"/>
        <n v="171.900939595933"/>
        <n v="99.9459204263642"/>
        <n v="194.630621892337"/>
        <n v="197.659751308844"/>
        <n v="157.343587663489"/>
        <n v="1.22713929004384"/>
        <n v="1.22040931013093"/>
        <n v="192.691822651539"/>
        <n v="169.814664518049"/>
        <n v="165.241492084846"/>
        <n v="147.774975847952"/>
        <n v="1.21803430612041"/>
        <n v="68.2521050717198"/>
        <n v="140.07337622368"/>
        <n v="277.359066365113"/>
        <n v="275.303329539393"/>
        <n v="1.41666209174568"/>
        <n v="153.801802222629"/>
        <n v="22.4686990896326"/>
        <n v="151.174100173847"/>
        <n v="216.959382750367"/>
        <n v="275.845898927076"/>
        <n v="183.78870606154"/>
        <n v="227.738960108939"/>
        <n v="125.526694277376"/>
        <n v="20.7192151828399"/>
        <n v="74.3838668193125"/>
        <n v="146.631288941481"/>
        <n v="193.427014890103"/>
        <n v="23.4247678788536"/>
        <n v="223.727723487209"/>
        <n v="90.8947155016102"/>
        <n v="0.558853344729073"/>
        <n v="144.069963264489"/>
        <n v="160.268986929823"/>
        <n v="168.253617741821"/>
        <n v="171.44079037982"/>
        <n v="147.83369945931"/>
        <n v="69.6818971877366"/>
        <n v="215.634590325856"/>
        <n v="167.262364077766"/>
        <n v="207.161047405857"/>
        <n v="202.668950304721"/>
        <n v="168.852127525263"/>
        <n v="1.4496465043047"/>
        <n v="151.799637510162"/>
        <n v="78.6927350519412"/>
        <n v="194.782754854399"/>
        <n v="84.6373138955708"/>
        <n v="171.791299043723"/>
        <n v="168.352444340193"/>
        <n v="102.90627853339"/>
        <n v="162.285261653219"/>
        <n v="175.367098770979"/>
        <n v="191.665497686311"/>
        <n v="132.033923318097"/>
        <n v="153.478809459277"/>
        <n v="94.9514110593077"/>
        <n v="196.874679287666"/>
        <n v="179.442253646415"/>
        <n v="134.669189735914"/>
        <n v="122.627330281231"/>
        <n v="177.453252843331"/>
        <n v="2.55075129893407"/>
        <n v="218.254082244838"/>
        <n v="129.137398124852"/>
        <n v="180.132702213348"/>
        <n v="172.218712964109"/>
        <n v="218.757685414698"/>
        <n v="158.289718077003"/>
        <n v="23.7194491629085"/>
        <n v="201.091948155341"/>
        <n v="0.506290173629484"/>
        <n v="218.187090716639"/>
        <n v="139.350053135938"/>
        <n v="168.280878709501"/>
        <n v="0.481571843316758"/>
        <n v="147.619740385549"/>
        <n v="0.916072669891321"/>
        <n v="198.116131965443"/>
        <n v="73.4383857472491"/>
        <n v="161.928063034747"/>
        <n v="256.175288787539"/>
        <n v="157.897182121917"/>
        <n v="0.512722137496427"/>
        <n v="170.849491913532"/>
        <n v="155.90189765337"/>
        <n v="165.455872862412"/>
        <n v="0.78415021430854"/>
        <n v="169.841663022302"/>
        <n v="1.34391789960717"/>
        <n v="164.300249096549"/>
        <n v="270.179479309566"/>
        <n v="1.14635784977225"/>
        <n v="165.235621767603"/>
        <n v="144.788393869043"/>
        <n v="195.488584379198"/>
        <n v="166.571230561352"/>
        <n v="164.759516182805"/>
        <n v="161.825865378768"/>
        <n v="189.809670265262"/>
        <n v="202.864066019156"/>
        <n v="168.842477954995"/>
        <n v="160.913293702424"/>
        <n v="141.256563995542"/>
        <n v="0.335823523346803"/>
        <n v="0.403495450228789"/>
        <n v="153.449966500198"/>
        <n v="161.293945302315"/>
        <n v="214.930630558163"/>
        <n v="0.895810063772962"/>
        <n v="0.632194773062802"/>
        <n v="171.36236405314"/>
        <n v="266.203777436755"/>
        <n v="156.377671788528"/>
        <n v="202.190623780402"/>
        <n v="198.49890576822"/>
        <n v="148.028531162214"/>
        <n v="0.662176517176452"/>
        <n v="148.894253479326"/>
        <n v="0.657328176922059"/>
        <n v="151.814152648395"/>
        <n v="19.0973684810045"/>
        <n v="22.4246286252634"/>
        <n v="191.053940293282"/>
        <n v="225.870176736094"/>
        <n v="153.107756296672"/>
        <n v="69.5031136419062"/>
        <n v="72.5743839831497"/>
        <n v="286.958698744944"/>
        <n v="69.5368034183238"/>
        <n v="27.8202720016332"/>
        <n v="190.084917021658"/>
        <n v="0.661758864954971"/>
        <n v="16.4470940119593"/>
        <n v="144.047465641964"/>
        <n v="205.301712579425"/>
        <n v="284.148523348506"/>
        <n v="0.648375792359316"/>
        <n v="282.864971345907"/>
        <n v="139.933785072696"/>
        <n v="31.1478706746781"/>
        <n v="117.677363558011"/>
        <n v="166.080355061441"/>
        <n v="202.772098212847"/>
        <n v="140.400218508907"/>
        <n v="206.209493811965"/>
        <n v="147.393418304364"/>
        <n v="32.0648407522195"/>
        <n v="197.23174933173"/>
        <n v="0.637503519145088"/>
        <n v="290.902352004174"/>
        <n v="131.190038832959"/>
        <n v="55.3766780224232"/>
        <n v="147.640496595131"/>
        <n v="243.11979929542"/>
        <n v="25.5049620230927"/>
        <n v="73.1701161186154"/>
        <n v="82.9922988570437"/>
        <n v="171.714092298777"/>
        <n v="1.068009752509"/>
        <n v="31.0139599921435"/>
        <n v="232.43771788982"/>
        <n v="187.773551338254"/>
        <n v="129.841249664824"/>
        <n v="173.147123778395"/>
        <n v="58.9551950958381"/>
        <n v="218.434417351497"/>
        <n v="117.091033270417"/>
        <n v="289.157332886483"/>
        <n v="72.8129459139136"/>
        <n v="175.219848538662"/>
        <n v="137.156662908854"/>
        <n v="27.8859427373061"/>
        <n v="155.555827071046"/>
        <n v="157.178580047816"/>
        <n v="100.750092416576"/>
        <n v="82.4326800634303"/>
        <n v="179.367872302771"/>
        <n v="101.371385304366"/>
        <n v="162.384416194748"/>
        <n v="152.931235837255"/>
        <n v="27.6293956500021"/>
        <n v="302.413901616307"/>
        <n v="137.963296873417"/>
        <n v="208.27249965196"/>
        <n v="6.50520426323817"/>
        <n v="170.395592103526"/>
        <n v="268.057971259615"/>
        <n v="107.831112461721"/>
        <n v="138.930405816114"/>
        <n v="117.868466112696"/>
        <n v="27.8560701279531"/>
        <n v="291.03582511905"/>
        <n v="170.589408705059"/>
        <n v="135.102263878173"/>
        <n v="290.660515481238"/>
        <n v="207.203333861479"/>
        <n v="159.850862193109"/>
        <n v="147.185549422183"/>
        <n v="0.290913711156165"/>
        <n v="5.14322329389721"/>
        <n v="0.564650723600135"/>
        <n v="173.374945907097"/>
        <n v="186.856503318287"/>
        <n v="267.527737535745"/>
        <n v="127.917303173857"/>
        <n v="0.553973048948584"/>
        <n v="1.92800314989935"/>
        <n v="133.276208113347"/>
        <n v="306.071047773269"/>
        <n v="280.863024938923"/>
        <n v="181.340607903361"/>
        <n v="146.631757816951"/>
        <n v="6.1318254000559"/>
        <n v="168.917659815372"/>
        <n v="199.175010591016"/>
        <n v="0.950368262484342"/>
        <n v="131.530500737276"/>
        <n v="16.7784719492724"/>
        <n v="124.630614015964"/>
        <n v="288.424420142986"/>
        <n v="19.1006829164868"/>
        <n v="172.086455194166"/>
        <n v="307.87717161139"/>
        <n v="106.035115966858"/>
        <n v="288.297619921468"/>
        <n v="176.510283422211"/>
        <n v="0.561820391593953"/>
        <n v="165.866449123168"/>
        <n v="149.090813364533"/>
        <n v="194.882028977622"/>
        <n v="1.0989073486242"/>
        <n v="90.3544218243159"/>
        <n v="169.618829530737"/>
        <n v="242.036294426099"/>
        <n v="128.137384197195"/>
        <n v="285.48153699575"/>
        <n v="164.239408775146"/>
        <n v="1.21579484462491"/>
        <n v="167.687848820266"/>
        <n v="238.019888809241"/>
        <n v="1.15138036688825"/>
        <n v="0.558200209644716"/>
        <n v="292.799661396822"/>
        <n v="153.420123539417"/>
        <n v="65.5874195172418"/>
        <n v="211.905868063771"/>
        <n v="140.361499381507"/>
        <n v="27.8830482184462"/>
        <n v="248.137461013395"/>
        <n v="182.266141755535"/>
        <n v="131.685216574412"/>
        <n v="172.001313099701"/>
        <n v="171.314683369318"/>
        <n v="155.53251902417"/>
        <n v="161.63901743949"/>
        <n v="211.666899568367"/>
        <n v="166.444145434096"/>
        <n v="60.1913826554621"/>
        <n v="181.935468825517"/>
        <n v="107.919006854255"/>
        <n v="189.470518760052"/>
        <n v="117.006943058007"/>
        <n v="288.818119739067"/>
        <n v="156.244770223146"/>
        <n v="171.465951682436"/>
        <n v="131.565139859535"/>
        <n v="160.677601648231"/>
        <n v="288.930097230427"/>
        <n v="63.2346116085177"/>
        <n v="169.368193921962"/>
        <n v="162.306924806864"/>
        <n v="133.308415895299"/>
        <n v="164.288444136084"/>
        <n v="0.944171649840541"/>
        <n v="158.230187957103"/>
        <n v="102.552987011087"/>
        <n v="292.846938661318"/>
        <n v="189.742545054754"/>
        <n v="224.255180195024"/>
        <n v="0.559058439746359"/>
        <n v="120.389560310756"/>
        <n v="201.173200647244"/>
        <n v="243.398407743588"/>
        <n v="28.2133812070437"/>
        <n v="132.851817639445"/>
        <n v="78.7306440776857"/>
        <n v="175.894290493245"/>
        <n v="273.17783108009"/>
        <n v="53.7147075479421"/>
        <n v="16.5182851213367"/>
        <n v="88.4350292350745"/>
        <n v="214.435997625849"/>
        <n v="69.4991496747031"/>
        <n v="207.829268247983"/>
        <n v="139.903920601702"/>
        <n v="23.4556276283066"/>
        <n v="186.500852553256"/>
        <n v="155.077393723007"/>
        <n v="159.797185399962"/>
        <n v="170.267639260771"/>
        <n v="146.63820278525"/>
        <n v="186.213361005299"/>
        <n v="149.114057946094"/>
        <n v="92.7833305964991"/>
        <n v="168.178693780163"/>
        <n v="100.039197510472"/>
        <n v="200.698574533702"/>
        <n v="269.384063907873"/>
        <n v="165.172778431466"/>
        <n v="69.4434749037707"/>
        <n v="139.311132301107"/>
        <n v="103.690193970998"/>
        <n v="152.836265143134"/>
        <n v="173.001112412973"/>
        <n v="178.546723112981"/>
        <n v="218.354069153855"/>
        <n v="163.771211383593"/>
        <n v="156.990838478665"/>
        <n v="162.343422173131"/>
        <n v="0.883806223126507"/>
        <n v="180.59667657014"/>
        <n v="166.670366792465"/>
        <n v="118.825951468679"/>
        <n v="102.711208741053"/>
        <n v="202.71089928391"/>
        <n v="174.979588563663"/>
        <n v="164.304911573665"/>
        <n v="3.53133055560754"/>
        <n v="208.030263793283"/>
        <n v="163.95434023011"/>
        <n v="162.296452893862"/>
        <n v="0.907582222574204"/>
        <n v="165.137314587756"/>
        <n v="54.4076703444967"/>
        <n v="135.780478083349"/>
        <n v="175.640290283618"/>
        <n v="218.421183904872"/>
        <n v="178.005863660295"/>
        <n v="170.71345187353"/>
        <n v="172.982300492334"/>
        <n v="101.546533745243"/>
        <n v="175.765698640344"/>
        <n v="14.663927487366"/>
        <n v="116.051237965202"/>
        <n v="107.216415671547"/>
        <n v="0.486081541458648"/>
        <n v="119.062780846756"/>
        <n v="192.814794617661"/>
        <n v="154.080295679201"/>
        <n v="164.754312805224"/>
        <n v="147.049945191096"/>
        <n v="176.072635022893"/>
        <n v="12.0745055307116"/>
        <n v="120.550564790365"/>
        <n v="275.254722536825"/>
        <n v="140.356875906185"/>
        <n v="71.3457872174524"/>
        <n v="0.594650157417558"/>
        <n v="115.479584212318"/>
        <n v="156.202345612743"/>
        <n v="165.905801749439"/>
        <n v="264.828335791515"/>
        <n v="133.351304100613"/>
        <n v="207.642615845979"/>
        <n v="217.953248741654"/>
        <n v="285.702875444894"/>
        <n v="157.475578505678"/>
        <n v="300.488693568568"/>
        <n v="219.163510310746"/>
        <n v="21.6074374081023"/>
        <n v="185.938119265794"/>
        <n v="254.503166235031"/>
        <n v="0.468282556680679"/>
        <n v="156.370708622541"/>
        <n v="165.07631239688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ilhouette_dynamic" cacheId="0" dataCaption="" rowGrandTotals="0" compact="0" compactData="0">
  <location ref="C1:H201" firstHeaderRow="0" firstDataRow="5" firstDataCol="0"/>
  <pivotFields>
    <pivotField name="constrains_type" axis="axisRow" compact="0" outline="0" multipleItemSelectionAllowed="1" showAll="0" sortType="ascending" defaultSubtotal="0">
      <items>
        <item x="2"/>
        <item x="3"/>
        <item x="1"/>
        <item x="0"/>
        <item x="4"/>
      </items>
    </pivotField>
    <pivotField name="constrains_unique_perc" axis="axisRow" compact="0" outline="0" multipleItemSelectionAllowed="1" showAll="0" sortType="ascending" defaultSubtotal="0">
      <items>
        <item x="0"/>
        <item h="1" x="1"/>
        <item h="1" x="2"/>
        <item h="1" x="3"/>
        <item h="1" x="4"/>
        <item x="5"/>
      </items>
    </pivotField>
    <pivotField name="constrains_rep" axis="axisRow" compact="0" outline="0" multipleItemSelectionAllowed="1" showAll="0" sortType="ascending" defaultSubtotal="0">
      <items>
        <item x="0"/>
        <item h="1" x="1"/>
        <item h="1" x="2"/>
        <item h="1" x="3"/>
        <item h="1" x="4"/>
        <item x="5"/>
      </items>
    </pivotField>
    <pivotField name="run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</items>
    </pivotField>
    <pivotField name="time_clu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time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cluster id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cluster's silhouette_mea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t="default"/>
      </items>
    </pivotField>
    <pivotField name="cluster's silhouette_st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t="default"/>
      </items>
    </pivotField>
    <pivotField name="result's silhouette mea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</pivotFields>
  <rowFields>
    <field x="0"/>
    <field x="1"/>
    <field x="2"/>
    <field x="3"/>
    <field x="6"/>
  </rowFields>
  <dataFields>
    <dataField name="MAX of cluster's silhouette_mean" fld="7" subtotal="max" baseField="0"/>
  </dataFields>
</pivotTableDefinition>
</file>

<file path=xl/pivotTables/pivotTable2.xml><?xml version="1.0" encoding="utf-8"?>
<pivotTableDefinition xmlns="http://schemas.openxmlformats.org/spreadsheetml/2006/main" name="ATSs_errors_dynamic" cacheId="1" dataCaption="" rowGrandTotals="0" compact="0" compactData="0">
  <location ref="B1:H201" firstHeaderRow="0" firstDataRow="6" firstDataCol="0"/>
  <pivotFields>
    <pivotField name="constraints_type" axis="axisRow" compact="0" outline="0" multipleItemSelectionAllowed="1" showAll="0" sortType="ascending" defaultSubtotal="0">
      <items>
        <item x="2"/>
        <item x="3"/>
        <item x="1"/>
        <item x="0"/>
        <item x="4"/>
      </items>
    </pivotField>
    <pivotField name="unique%" axis="axisRow" compact="0" outline="0" multipleItemSelectionAllowed="1" showAll="0" sortType="ascending" defaultSubtotal="0">
      <items>
        <item x="0"/>
        <item h="1" x="1"/>
        <item h="1" x="2"/>
        <item h="1" x="3"/>
        <item h="1" x="4"/>
        <item x="5"/>
      </items>
    </pivotField>
    <pivotField name="rep%" axis="axisRow" compact="0" outline="0" multipleItemSelectionAllowed="1" showAll="0" sortType="ascending" defaultSubtotal="0">
      <items>
        <item x="0"/>
        <item h="1" x="1"/>
        <item h="1" x="2"/>
        <item h="1" x="3"/>
        <item h="1" x="4"/>
        <item x="5"/>
      </items>
    </pivotField>
    <pivotField name="run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</items>
    </pivotField>
    <pivotField name="group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MAPE_S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t="default"/>
      </items>
    </pivotField>
    <pivotField name="RMSPE_S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t="default"/>
      </items>
    </pivotField>
  </pivotFields>
  <rowFields>
    <field x="0"/>
    <field x="1"/>
    <field x="2"/>
    <field x="3"/>
    <field x="4"/>
  </rowFields>
  <colFields>
    <field x="-2"/>
  </colFields>
  <dataFields>
    <dataField name="MAX of MAPE_SET" fld="5" subtotal="max" baseField="0"/>
    <dataField name="MAX of RMSPE_SET" fld="6" subtotal="max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43.63"/>
    <col customWidth="1" min="3" max="3" width="13.63"/>
    <col customWidth="1" min="4" max="4" width="12.63"/>
    <col customWidth="1" min="8" max="8" width="10.88"/>
    <col customWidth="1" min="9" max="9" width="16.63"/>
    <col customWidth="1" min="10" max="10" width="14.75"/>
    <col customWidth="1" min="11" max="11" width="17.13"/>
    <col customWidth="1" min="13" max="13" width="12.88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</row>
    <row r="2" hidden="1">
      <c r="A2" s="7" t="s">
        <v>14</v>
      </c>
      <c r="B2" s="8" t="s">
        <v>15</v>
      </c>
      <c r="C2" s="9">
        <v>0.0</v>
      </c>
      <c r="D2" s="9">
        <v>0.0</v>
      </c>
      <c r="E2" s="7">
        <v>1.0</v>
      </c>
      <c r="F2" s="10">
        <v>0.507583856582641</v>
      </c>
      <c r="G2" s="10">
        <v>23.1437680721282</v>
      </c>
      <c r="H2" s="10">
        <v>0.0</v>
      </c>
      <c r="I2" s="11">
        <v>0.0446210941659551</v>
      </c>
      <c r="J2" s="11">
        <v>0.0413155809911206</v>
      </c>
      <c r="K2" s="12">
        <f>AVERAGE(I2:I6)</f>
        <v>0.6245779964</v>
      </c>
      <c r="L2" s="13">
        <v>14196.0</v>
      </c>
      <c r="M2" s="14">
        <f>STDEV(L2:L6)</f>
        <v>5243.040168</v>
      </c>
      <c r="N2" s="15" t="b">
        <f t="shared" ref="N2:N3791" si="1">K2&gt;0.6521</f>
        <v>0</v>
      </c>
    </row>
    <row r="3" hidden="1">
      <c r="A3" s="7"/>
      <c r="B3" s="8" t="s">
        <v>15</v>
      </c>
      <c r="C3" s="9">
        <v>0.0</v>
      </c>
      <c r="D3" s="9">
        <v>0.0</v>
      </c>
      <c r="E3" s="7">
        <v>1.0</v>
      </c>
      <c r="F3" s="10">
        <v>0.507583856582641</v>
      </c>
      <c r="G3" s="10">
        <v>23.1437680721282</v>
      </c>
      <c r="H3" s="10">
        <v>1.0</v>
      </c>
      <c r="I3" s="11">
        <v>0.760221667041484</v>
      </c>
      <c r="J3" s="11">
        <v>0.13285089230911</v>
      </c>
      <c r="K3" s="12">
        <f>AVERAGE(I2:I6)</f>
        <v>0.6245779964</v>
      </c>
      <c r="L3" s="13">
        <v>3584.0</v>
      </c>
      <c r="M3" s="14">
        <f>STDEV(L2:L6)</f>
        <v>5243.040168</v>
      </c>
      <c r="N3" s="15" t="b">
        <f t="shared" si="1"/>
        <v>0</v>
      </c>
    </row>
    <row r="4" hidden="1">
      <c r="A4" s="7"/>
      <c r="B4" s="8" t="s">
        <v>15</v>
      </c>
      <c r="C4" s="9">
        <v>0.0</v>
      </c>
      <c r="D4" s="9">
        <v>0.0</v>
      </c>
      <c r="E4" s="7">
        <v>1.0</v>
      </c>
      <c r="F4" s="10">
        <v>0.507583856582641</v>
      </c>
      <c r="G4" s="10">
        <v>23.1437680721282</v>
      </c>
      <c r="H4" s="10">
        <v>2.0</v>
      </c>
      <c r="I4" s="11">
        <v>0.789207519381099</v>
      </c>
      <c r="J4" s="11">
        <v>0.0994579430691059</v>
      </c>
      <c r="K4" s="12">
        <f>AVERAGE(I2:I6)</f>
        <v>0.6245779964</v>
      </c>
      <c r="L4" s="13">
        <v>3348.0</v>
      </c>
      <c r="M4" s="14">
        <f>STDEV(L2:L6)</f>
        <v>5243.040168</v>
      </c>
      <c r="N4" s="15" t="b">
        <f t="shared" si="1"/>
        <v>0</v>
      </c>
    </row>
    <row r="5" hidden="1">
      <c r="A5" s="7"/>
      <c r="B5" s="8" t="s">
        <v>15</v>
      </c>
      <c r="C5" s="9">
        <v>0.0</v>
      </c>
      <c r="D5" s="9">
        <v>0.0</v>
      </c>
      <c r="E5" s="7">
        <v>1.0</v>
      </c>
      <c r="F5" s="10">
        <v>0.507583856582641</v>
      </c>
      <c r="G5" s="10">
        <v>23.1437680721282</v>
      </c>
      <c r="H5" s="10">
        <v>3.0</v>
      </c>
      <c r="I5" s="11">
        <v>0.764774222587685</v>
      </c>
      <c r="J5" s="11">
        <v>0.133283138829996</v>
      </c>
      <c r="K5" s="12">
        <f>AVERAGE(I2:I6)</f>
        <v>0.6245779964</v>
      </c>
      <c r="L5" s="13">
        <v>1075.0</v>
      </c>
      <c r="M5" s="14">
        <f>STDEV(L2:L6)</f>
        <v>5243.040168</v>
      </c>
      <c r="N5" s="15" t="b">
        <f t="shared" si="1"/>
        <v>0</v>
      </c>
    </row>
    <row r="6" hidden="1">
      <c r="A6" s="7"/>
      <c r="B6" s="8" t="s">
        <v>15</v>
      </c>
      <c r="C6" s="9">
        <v>0.0</v>
      </c>
      <c r="D6" s="9">
        <v>0.0</v>
      </c>
      <c r="E6" s="7">
        <v>1.0</v>
      </c>
      <c r="F6" s="10">
        <v>0.507583856582641</v>
      </c>
      <c r="G6" s="10">
        <v>23.1437680721282</v>
      </c>
      <c r="H6" s="10">
        <v>4.0</v>
      </c>
      <c r="I6" s="11">
        <v>0.764065479034882</v>
      </c>
      <c r="J6" s="11">
        <v>0.123011595330594</v>
      </c>
      <c r="K6" s="12">
        <f>AVERAGE(I2:I6)</f>
        <v>0.6245779964</v>
      </c>
      <c r="L6" s="13">
        <v>2708.0</v>
      </c>
      <c r="M6" s="14">
        <f t="shared" ref="M6:M51" si="2">STDEV(L2:L6)</f>
        <v>5243.040168</v>
      </c>
      <c r="N6" s="15" t="b">
        <f t="shared" si="1"/>
        <v>0</v>
      </c>
    </row>
    <row r="7" hidden="1">
      <c r="A7" s="7"/>
      <c r="B7" s="8" t="s">
        <v>14</v>
      </c>
      <c r="C7" s="9">
        <v>0.0</v>
      </c>
      <c r="D7" s="9">
        <v>0.0</v>
      </c>
      <c r="E7" s="16">
        <v>2.0</v>
      </c>
      <c r="F7" s="11">
        <v>8.13918256759643</v>
      </c>
      <c r="G7" s="11">
        <v>106.943623065948</v>
      </c>
      <c r="H7" s="16">
        <v>0.0</v>
      </c>
      <c r="I7" s="11">
        <v>0.789224602700892</v>
      </c>
      <c r="J7" s="11">
        <v>0.0993675582889994</v>
      </c>
      <c r="K7" s="12">
        <f>AVERAGE(I7:I11)</f>
        <v>0.621035327</v>
      </c>
      <c r="L7" s="16">
        <v>18636.0</v>
      </c>
      <c r="M7" s="14">
        <f t="shared" si="2"/>
        <v>7203.251085</v>
      </c>
      <c r="N7" s="15" t="b">
        <f t="shared" si="1"/>
        <v>0</v>
      </c>
    </row>
    <row r="8" hidden="1">
      <c r="A8" s="7"/>
      <c r="B8" s="8" t="s">
        <v>14</v>
      </c>
      <c r="C8" s="9">
        <v>0.0</v>
      </c>
      <c r="D8" s="9">
        <v>0.0</v>
      </c>
      <c r="E8" s="16">
        <v>2.0</v>
      </c>
      <c r="F8" s="11">
        <v>8.13918256759643</v>
      </c>
      <c r="G8" s="11">
        <v>106.943623065948</v>
      </c>
      <c r="H8" s="16">
        <v>1.0</v>
      </c>
      <c r="I8" s="11">
        <v>0.765594436966386</v>
      </c>
      <c r="J8" s="11">
        <v>0.122854665727104</v>
      </c>
      <c r="K8" s="12">
        <f>AVERAGE(I7:I11)</f>
        <v>0.621035327</v>
      </c>
      <c r="L8" s="16">
        <v>16118.0</v>
      </c>
      <c r="M8" s="14">
        <f t="shared" si="2"/>
        <v>8305.386325</v>
      </c>
      <c r="N8" s="15" t="b">
        <f t="shared" si="1"/>
        <v>0</v>
      </c>
    </row>
    <row r="9" hidden="1">
      <c r="A9" s="7"/>
      <c r="B9" s="8" t="s">
        <v>14</v>
      </c>
      <c r="C9" s="9">
        <v>0.0</v>
      </c>
      <c r="D9" s="9">
        <v>0.0</v>
      </c>
      <c r="E9" s="16">
        <v>2.0</v>
      </c>
      <c r="F9" s="11">
        <v>8.13918256759643</v>
      </c>
      <c r="G9" s="11">
        <v>106.943623065948</v>
      </c>
      <c r="H9" s="16">
        <v>2.0</v>
      </c>
      <c r="I9" s="11">
        <v>0.759803123983624</v>
      </c>
      <c r="J9" s="11">
        <v>0.13364193368228</v>
      </c>
      <c r="K9" s="12">
        <f>AVERAGE(I7:I11)</f>
        <v>0.621035327</v>
      </c>
      <c r="L9" s="16">
        <v>15963.0</v>
      </c>
      <c r="M9" s="14">
        <f t="shared" si="2"/>
        <v>8311.839117</v>
      </c>
      <c r="N9" s="15" t="b">
        <f t="shared" si="1"/>
        <v>0</v>
      </c>
    </row>
    <row r="10" hidden="1">
      <c r="A10" s="7"/>
      <c r="B10" s="8" t="s">
        <v>14</v>
      </c>
      <c r="C10" s="9">
        <v>0.0</v>
      </c>
      <c r="D10" s="9">
        <v>0.0</v>
      </c>
      <c r="E10" s="16">
        <v>2.0</v>
      </c>
      <c r="F10" s="11">
        <v>8.13918256759643</v>
      </c>
      <c r="G10" s="11">
        <v>106.943623065948</v>
      </c>
      <c r="H10" s="16">
        <v>3.0</v>
      </c>
      <c r="I10" s="11">
        <v>0.745274560813746</v>
      </c>
      <c r="J10" s="11">
        <v>0.137059528613377</v>
      </c>
      <c r="K10" s="12">
        <f>AVERAGE(I7:I11)</f>
        <v>0.621035327</v>
      </c>
      <c r="L10" s="16">
        <v>7816.0</v>
      </c>
      <c r="M10" s="14">
        <f t="shared" si="2"/>
        <v>6712.653961</v>
      </c>
      <c r="N10" s="15" t="b">
        <f t="shared" si="1"/>
        <v>0</v>
      </c>
    </row>
    <row r="11" hidden="1">
      <c r="A11" s="7"/>
      <c r="B11" s="8" t="s">
        <v>14</v>
      </c>
      <c r="C11" s="9">
        <v>0.0</v>
      </c>
      <c r="D11" s="9">
        <v>0.0</v>
      </c>
      <c r="E11" s="16">
        <v>2.0</v>
      </c>
      <c r="F11" s="11">
        <v>8.13918256759643</v>
      </c>
      <c r="G11" s="11">
        <v>106.943623065948</v>
      </c>
      <c r="H11" s="16">
        <v>4.0</v>
      </c>
      <c r="I11" s="11">
        <v>0.0452799104937451</v>
      </c>
      <c r="J11" s="11">
        <v>0.0401486048556297</v>
      </c>
      <c r="K11" s="12">
        <f>AVERAGE(I7:I11)</f>
        <v>0.621035327</v>
      </c>
      <c r="L11" s="16">
        <v>83143.0</v>
      </c>
      <c r="M11" s="14">
        <f t="shared" si="2"/>
        <v>30908.4871</v>
      </c>
      <c r="N11" s="15" t="b">
        <f t="shared" si="1"/>
        <v>0</v>
      </c>
    </row>
    <row r="12" hidden="1">
      <c r="A12" s="7"/>
      <c r="B12" s="8" t="s">
        <v>14</v>
      </c>
      <c r="C12" s="9">
        <v>0.0</v>
      </c>
      <c r="D12" s="9">
        <v>0.0</v>
      </c>
      <c r="E12" s="16">
        <v>3.0</v>
      </c>
      <c r="F12" s="11">
        <v>7.36455869674682</v>
      </c>
      <c r="G12" s="11">
        <v>103.772906780242</v>
      </c>
      <c r="H12" s="16">
        <v>0.0</v>
      </c>
      <c r="I12" s="11">
        <v>0.761698763077667</v>
      </c>
      <c r="J12" s="11">
        <v>0.135922513601227</v>
      </c>
      <c r="K12" s="12">
        <f>AVERAGE(I12:I16)</f>
        <v>0.6136725717</v>
      </c>
      <c r="L12" s="16">
        <v>15789.0</v>
      </c>
      <c r="M12" s="14">
        <f t="shared" si="2"/>
        <v>31157.06128</v>
      </c>
      <c r="N12" s="15" t="b">
        <f t="shared" si="1"/>
        <v>0</v>
      </c>
    </row>
    <row r="13" hidden="1">
      <c r="A13" s="7"/>
      <c r="B13" s="8" t="s">
        <v>14</v>
      </c>
      <c r="C13" s="9">
        <v>0.0</v>
      </c>
      <c r="D13" s="9">
        <v>0.0</v>
      </c>
      <c r="E13" s="16">
        <v>3.0</v>
      </c>
      <c r="F13" s="11">
        <v>7.36455869674682</v>
      </c>
      <c r="G13" s="11">
        <v>103.772906780242</v>
      </c>
      <c r="H13" s="16">
        <v>1.0</v>
      </c>
      <c r="I13" s="11">
        <v>0.713604585977239</v>
      </c>
      <c r="J13" s="11">
        <v>0.154856515525255</v>
      </c>
      <c r="K13" s="12">
        <f>AVERAGE(I12:I16)</f>
        <v>0.6136725717</v>
      </c>
      <c r="L13" s="16">
        <v>13677.0</v>
      </c>
      <c r="M13" s="14">
        <f t="shared" si="2"/>
        <v>31403.34861</v>
      </c>
      <c r="N13" s="15" t="b">
        <f t="shared" si="1"/>
        <v>0</v>
      </c>
    </row>
    <row r="14" hidden="1">
      <c r="A14" s="7"/>
      <c r="B14" s="8" t="s">
        <v>14</v>
      </c>
      <c r="C14" s="9">
        <v>0.0</v>
      </c>
      <c r="D14" s="9">
        <v>0.0</v>
      </c>
      <c r="E14" s="16">
        <v>3.0</v>
      </c>
      <c r="F14" s="11">
        <v>7.36455869674682</v>
      </c>
      <c r="G14" s="11">
        <v>103.772906780242</v>
      </c>
      <c r="H14" s="16">
        <v>2.0</v>
      </c>
      <c r="I14" s="11">
        <v>0.7644789629097</v>
      </c>
      <c r="J14" s="11">
        <v>0.122952968982454</v>
      </c>
      <c r="K14" s="12">
        <f>AVERAGE(I12:I16)</f>
        <v>0.6136725717</v>
      </c>
      <c r="L14" s="16">
        <v>16169.0</v>
      </c>
      <c r="M14" s="14">
        <f t="shared" si="2"/>
        <v>31384.92293</v>
      </c>
      <c r="N14" s="15" t="b">
        <f t="shared" si="1"/>
        <v>0</v>
      </c>
    </row>
    <row r="15" hidden="1">
      <c r="A15" s="7"/>
      <c r="B15" s="8" t="s">
        <v>14</v>
      </c>
      <c r="C15" s="9">
        <v>0.0</v>
      </c>
      <c r="D15" s="9">
        <v>0.0</v>
      </c>
      <c r="E15" s="16">
        <v>3.0</v>
      </c>
      <c r="F15" s="11">
        <v>7.36455869674682</v>
      </c>
      <c r="G15" s="11">
        <v>103.772906780242</v>
      </c>
      <c r="H15" s="16">
        <v>3.0</v>
      </c>
      <c r="I15" s="11">
        <v>0.0393627915428402</v>
      </c>
      <c r="J15" s="11">
        <v>0.0316867612203039</v>
      </c>
      <c r="K15" s="12">
        <f>AVERAGE(I12:I16)</f>
        <v>0.6136725717</v>
      </c>
      <c r="L15" s="16">
        <v>77405.0</v>
      </c>
      <c r="M15" s="14">
        <f t="shared" si="2"/>
        <v>35706.42795</v>
      </c>
      <c r="N15" s="15" t="b">
        <f t="shared" si="1"/>
        <v>0</v>
      </c>
    </row>
    <row r="16" hidden="1">
      <c r="A16" s="7"/>
      <c r="B16" s="8" t="s">
        <v>14</v>
      </c>
      <c r="C16" s="9">
        <v>0.0</v>
      </c>
      <c r="D16" s="9">
        <v>0.0</v>
      </c>
      <c r="E16" s="16">
        <v>3.0</v>
      </c>
      <c r="F16" s="11">
        <v>7.36455869674682</v>
      </c>
      <c r="G16" s="11">
        <v>103.772906780242</v>
      </c>
      <c r="H16" s="16">
        <v>4.0</v>
      </c>
      <c r="I16" s="11">
        <v>0.789217754796202</v>
      </c>
      <c r="J16" s="11">
        <v>0.0994814002600882</v>
      </c>
      <c r="K16" s="12">
        <f>AVERAGE(I12:I16)</f>
        <v>0.6136725717</v>
      </c>
      <c r="L16" s="16">
        <v>18636.0</v>
      </c>
      <c r="M16" s="14">
        <f t="shared" si="2"/>
        <v>27487.29769</v>
      </c>
      <c r="N16" s="15" t="b">
        <f t="shared" si="1"/>
        <v>0</v>
      </c>
    </row>
    <row r="17" hidden="1">
      <c r="A17" s="7"/>
      <c r="B17" s="8" t="s">
        <v>14</v>
      </c>
      <c r="C17" s="9">
        <v>0.0</v>
      </c>
      <c r="D17" s="9">
        <v>0.0</v>
      </c>
      <c r="E17" s="16">
        <v>4.0</v>
      </c>
      <c r="F17" s="11">
        <v>13.1447088718414</v>
      </c>
      <c r="G17" s="11">
        <v>126.188447475433</v>
      </c>
      <c r="H17" s="16">
        <v>0.0</v>
      </c>
      <c r="I17" s="11">
        <v>0.799216396002928</v>
      </c>
      <c r="J17" s="11">
        <v>0.119456313211363</v>
      </c>
      <c r="K17" s="12">
        <f>AVERAGE(I17:I21)</f>
        <v>0.6194326333</v>
      </c>
      <c r="L17" s="16">
        <v>7442.0</v>
      </c>
      <c r="M17" s="14">
        <f t="shared" si="2"/>
        <v>28667.88415</v>
      </c>
      <c r="N17" s="15" t="b">
        <f t="shared" si="1"/>
        <v>0</v>
      </c>
    </row>
    <row r="18" hidden="1">
      <c r="A18" s="7"/>
      <c r="B18" s="8" t="s">
        <v>14</v>
      </c>
      <c r="C18" s="9">
        <v>0.0</v>
      </c>
      <c r="D18" s="9">
        <v>0.0</v>
      </c>
      <c r="E18" s="16">
        <v>4.0</v>
      </c>
      <c r="F18" s="11">
        <v>13.1447088718414</v>
      </c>
      <c r="G18" s="11">
        <v>126.188447475433</v>
      </c>
      <c r="H18" s="16">
        <v>1.0</v>
      </c>
      <c r="I18" s="11">
        <v>0.761006664562526</v>
      </c>
      <c r="J18" s="11">
        <v>0.137965997373687</v>
      </c>
      <c r="K18" s="12">
        <f>AVERAGE(I17:I21)</f>
        <v>0.6194326333</v>
      </c>
      <c r="L18" s="16">
        <v>15789.0</v>
      </c>
      <c r="M18" s="14">
        <f t="shared" si="2"/>
        <v>28443.33872</v>
      </c>
      <c r="N18" s="15" t="b">
        <f t="shared" si="1"/>
        <v>0</v>
      </c>
    </row>
    <row r="19" hidden="1">
      <c r="A19" s="7"/>
      <c r="B19" s="8" t="s">
        <v>14</v>
      </c>
      <c r="C19" s="9">
        <v>0.0</v>
      </c>
      <c r="D19" s="9">
        <v>0.0</v>
      </c>
      <c r="E19" s="16">
        <v>4.0</v>
      </c>
      <c r="F19" s="11">
        <v>13.1447088718414</v>
      </c>
      <c r="G19" s="11">
        <v>126.188447475433</v>
      </c>
      <c r="H19" s="16">
        <v>2.0</v>
      </c>
      <c r="I19" s="11">
        <v>0.0611812739330086</v>
      </c>
      <c r="J19" s="11">
        <v>0.0603950785603887</v>
      </c>
      <c r="K19" s="12">
        <f>AVERAGE(I17:I21)</f>
        <v>0.6194326333</v>
      </c>
      <c r="L19" s="16">
        <v>88568.0</v>
      </c>
      <c r="M19" s="14">
        <f t="shared" si="2"/>
        <v>38237.11518</v>
      </c>
      <c r="N19" s="15" t="b">
        <f t="shared" si="1"/>
        <v>0</v>
      </c>
    </row>
    <row r="20" hidden="1">
      <c r="A20" s="7"/>
      <c r="B20" s="8" t="s">
        <v>14</v>
      </c>
      <c r="C20" s="9">
        <v>0.0</v>
      </c>
      <c r="D20" s="9">
        <v>0.0</v>
      </c>
      <c r="E20" s="16">
        <v>4.0</v>
      </c>
      <c r="F20" s="11">
        <v>13.1447088718414</v>
      </c>
      <c r="G20" s="11">
        <v>126.188447475433</v>
      </c>
      <c r="H20" s="16">
        <v>3.0</v>
      </c>
      <c r="I20" s="11">
        <v>0.711048400334964</v>
      </c>
      <c r="J20" s="11">
        <v>0.156464034202375</v>
      </c>
      <c r="K20" s="12">
        <f>AVERAGE(I17:I21)</f>
        <v>0.6194326333</v>
      </c>
      <c r="L20" s="16">
        <v>13724.0</v>
      </c>
      <c r="M20" s="14">
        <f t="shared" si="2"/>
        <v>33646.14289</v>
      </c>
      <c r="N20" s="15" t="b">
        <f t="shared" si="1"/>
        <v>0</v>
      </c>
    </row>
    <row r="21" hidden="1">
      <c r="A21" s="7"/>
      <c r="B21" s="8" t="s">
        <v>14</v>
      </c>
      <c r="C21" s="9">
        <v>0.0</v>
      </c>
      <c r="D21" s="9">
        <v>0.0</v>
      </c>
      <c r="E21" s="16">
        <v>4.0</v>
      </c>
      <c r="F21" s="11">
        <v>13.1447088718414</v>
      </c>
      <c r="G21" s="11">
        <v>126.188447475433</v>
      </c>
      <c r="H21" s="16">
        <v>4.0</v>
      </c>
      <c r="I21" s="11">
        <v>0.764710431533</v>
      </c>
      <c r="J21" s="11">
        <v>0.122920230885553</v>
      </c>
      <c r="K21" s="12">
        <f>AVERAGE(I17:I21)</f>
        <v>0.6194326333</v>
      </c>
      <c r="L21" s="16">
        <v>16153.0</v>
      </c>
      <c r="M21" s="14">
        <f t="shared" si="2"/>
        <v>33851.94344</v>
      </c>
      <c r="N21" s="15" t="b">
        <f t="shared" si="1"/>
        <v>0</v>
      </c>
    </row>
    <row r="22" hidden="1">
      <c r="A22" s="7"/>
      <c r="B22" s="8" t="s">
        <v>14</v>
      </c>
      <c r="C22" s="9">
        <v>0.0</v>
      </c>
      <c r="D22" s="9">
        <v>0.0</v>
      </c>
      <c r="E22" s="16">
        <v>5.0</v>
      </c>
      <c r="F22" s="11">
        <v>12.3924791812896</v>
      </c>
      <c r="G22" s="11">
        <v>98.7955598831176</v>
      </c>
      <c r="H22" s="16">
        <v>0.0</v>
      </c>
      <c r="I22" s="11">
        <v>0.761698763077667</v>
      </c>
      <c r="J22" s="11">
        <v>0.135922513601227</v>
      </c>
      <c r="K22" s="12">
        <f>AVERAGE(I22:I26)</f>
        <v>0.6136725717</v>
      </c>
      <c r="L22" s="16">
        <v>15789.0</v>
      </c>
      <c r="M22" s="14">
        <f t="shared" si="2"/>
        <v>32751.95851</v>
      </c>
      <c r="N22" s="15" t="b">
        <f t="shared" si="1"/>
        <v>0</v>
      </c>
    </row>
    <row r="23" hidden="1">
      <c r="A23" s="7"/>
      <c r="B23" s="8" t="s">
        <v>14</v>
      </c>
      <c r="C23" s="9">
        <v>0.0</v>
      </c>
      <c r="D23" s="9">
        <v>0.0</v>
      </c>
      <c r="E23" s="16">
        <v>5.0</v>
      </c>
      <c r="F23" s="11">
        <v>12.3924791812896</v>
      </c>
      <c r="G23" s="11">
        <v>98.7955598831176</v>
      </c>
      <c r="H23" s="16">
        <v>1.0</v>
      </c>
      <c r="I23" s="11">
        <v>0.713604585977239</v>
      </c>
      <c r="J23" s="11">
        <v>0.154856515525255</v>
      </c>
      <c r="K23" s="12">
        <f>AVERAGE(I22:I26)</f>
        <v>0.6136725717</v>
      </c>
      <c r="L23" s="16">
        <v>13677.0</v>
      </c>
      <c r="M23" s="14">
        <f t="shared" si="2"/>
        <v>32993.85653</v>
      </c>
      <c r="N23" s="15" t="b">
        <f t="shared" si="1"/>
        <v>0</v>
      </c>
    </row>
    <row r="24" hidden="1">
      <c r="A24" s="7"/>
      <c r="B24" s="8" t="s">
        <v>14</v>
      </c>
      <c r="C24" s="9">
        <v>0.0</v>
      </c>
      <c r="D24" s="9">
        <v>0.0</v>
      </c>
      <c r="E24" s="16">
        <v>5.0</v>
      </c>
      <c r="F24" s="11">
        <v>12.3924791812896</v>
      </c>
      <c r="G24" s="11">
        <v>98.7955598831176</v>
      </c>
      <c r="H24" s="16">
        <v>2.0</v>
      </c>
      <c r="I24" s="11">
        <v>0.7644789629097</v>
      </c>
      <c r="J24" s="11">
        <v>0.122952968982454</v>
      </c>
      <c r="K24" s="12">
        <f>AVERAGE(I22:I26)</f>
        <v>0.6136725717</v>
      </c>
      <c r="L24" s="16">
        <v>16169.0</v>
      </c>
      <c r="M24" s="14">
        <f t="shared" si="2"/>
        <v>1288.852901</v>
      </c>
      <c r="N24" s="15" t="b">
        <f t="shared" si="1"/>
        <v>0</v>
      </c>
    </row>
    <row r="25" hidden="1">
      <c r="A25" s="7"/>
      <c r="B25" s="8" t="s">
        <v>14</v>
      </c>
      <c r="C25" s="9">
        <v>0.0</v>
      </c>
      <c r="D25" s="9">
        <v>0.0</v>
      </c>
      <c r="E25" s="16">
        <v>5.0</v>
      </c>
      <c r="F25" s="11">
        <v>12.3924791812896</v>
      </c>
      <c r="G25" s="11">
        <v>98.7955598831176</v>
      </c>
      <c r="H25" s="16">
        <v>3.0</v>
      </c>
      <c r="I25" s="11">
        <v>0.0393627915428402</v>
      </c>
      <c r="J25" s="11">
        <v>0.0316867612203039</v>
      </c>
      <c r="K25" s="12">
        <f>AVERAGE(I22:I26)</f>
        <v>0.6136725717</v>
      </c>
      <c r="L25" s="16">
        <v>77405.0</v>
      </c>
      <c r="M25" s="14">
        <f t="shared" si="2"/>
        <v>27727.71445</v>
      </c>
      <c r="N25" s="15" t="b">
        <f t="shared" si="1"/>
        <v>0</v>
      </c>
    </row>
    <row r="26" hidden="1">
      <c r="A26" s="7"/>
      <c r="B26" s="8" t="s">
        <v>14</v>
      </c>
      <c r="C26" s="9">
        <v>0.0</v>
      </c>
      <c r="D26" s="9">
        <v>0.0</v>
      </c>
      <c r="E26" s="16">
        <v>5.0</v>
      </c>
      <c r="F26" s="11">
        <v>12.3924791812896</v>
      </c>
      <c r="G26" s="11">
        <v>98.7955598831176</v>
      </c>
      <c r="H26" s="16">
        <v>4.0</v>
      </c>
      <c r="I26" s="11">
        <v>0.789217754796202</v>
      </c>
      <c r="J26" s="11">
        <v>0.0994814002600882</v>
      </c>
      <c r="K26" s="12">
        <f>AVERAGE(I22:I26)</f>
        <v>0.6136725717</v>
      </c>
      <c r="L26" s="16">
        <v>18636.0</v>
      </c>
      <c r="M26" s="14">
        <f t="shared" si="2"/>
        <v>27487.29769</v>
      </c>
      <c r="N26" s="15" t="b">
        <f t="shared" si="1"/>
        <v>0</v>
      </c>
    </row>
    <row r="27" hidden="1">
      <c r="A27" s="7"/>
      <c r="B27" s="8" t="s">
        <v>14</v>
      </c>
      <c r="C27" s="9">
        <v>0.0</v>
      </c>
      <c r="D27" s="9">
        <v>0.0</v>
      </c>
      <c r="E27" s="16">
        <v>6.0</v>
      </c>
      <c r="F27" s="11">
        <v>10.6723959445953</v>
      </c>
      <c r="G27" s="11">
        <v>91.1679272651672</v>
      </c>
      <c r="H27" s="16">
        <v>0.0</v>
      </c>
      <c r="I27" s="11">
        <v>0.0448682391488601</v>
      </c>
      <c r="J27" s="11">
        <v>0.0403314338981937</v>
      </c>
      <c r="K27" s="12">
        <f>AVERAGE(I27:I31)</f>
        <v>0.6374207623</v>
      </c>
      <c r="L27" s="16">
        <v>83461.0</v>
      </c>
      <c r="M27" s="14">
        <f t="shared" si="2"/>
        <v>35312.01251</v>
      </c>
      <c r="N27" s="15" t="b">
        <f t="shared" si="1"/>
        <v>0</v>
      </c>
    </row>
    <row r="28" hidden="1">
      <c r="A28" s="7"/>
      <c r="B28" s="8" t="s">
        <v>14</v>
      </c>
      <c r="C28" s="9">
        <v>0.0</v>
      </c>
      <c r="D28" s="9">
        <v>0.0</v>
      </c>
      <c r="E28" s="16">
        <v>6.0</v>
      </c>
      <c r="F28" s="11">
        <v>10.6723959445953</v>
      </c>
      <c r="G28" s="11">
        <v>91.1679272651672</v>
      </c>
      <c r="H28" s="16">
        <v>1.0</v>
      </c>
      <c r="I28" s="11">
        <v>0.789247444720326</v>
      </c>
      <c r="J28" s="11">
        <v>0.0992472910250379</v>
      </c>
      <c r="K28" s="12">
        <f>AVERAGE(I27:I31)</f>
        <v>0.6374207623</v>
      </c>
      <c r="L28" s="16">
        <v>18636.0</v>
      </c>
      <c r="M28" s="14">
        <f t="shared" si="2"/>
        <v>34379.54352</v>
      </c>
      <c r="N28" s="15" t="b">
        <f t="shared" si="1"/>
        <v>0</v>
      </c>
    </row>
    <row r="29" hidden="1">
      <c r="A29" s="7"/>
      <c r="B29" s="8" t="s">
        <v>14</v>
      </c>
      <c r="C29" s="9">
        <v>0.0</v>
      </c>
      <c r="D29" s="9">
        <v>0.0</v>
      </c>
      <c r="E29" s="16">
        <v>6.0</v>
      </c>
      <c r="F29" s="11">
        <v>10.6723959445953</v>
      </c>
      <c r="G29" s="11">
        <v>91.1679272651672</v>
      </c>
      <c r="H29" s="16">
        <v>2.0</v>
      </c>
      <c r="I29" s="11">
        <v>0.764240907541818</v>
      </c>
      <c r="J29" s="11">
        <v>0.123409530903334</v>
      </c>
      <c r="K29" s="12">
        <f>AVERAGE(I27:I31)</f>
        <v>0.6374207623</v>
      </c>
      <c r="L29" s="16">
        <v>16177.0</v>
      </c>
      <c r="M29" s="14">
        <f t="shared" si="2"/>
        <v>34377.99086</v>
      </c>
      <c r="N29" s="15" t="b">
        <f t="shared" si="1"/>
        <v>0</v>
      </c>
    </row>
    <row r="30" hidden="1">
      <c r="A30" s="7"/>
      <c r="B30" s="8" t="s">
        <v>14</v>
      </c>
      <c r="C30" s="9">
        <v>0.0</v>
      </c>
      <c r="D30" s="9">
        <v>0.0</v>
      </c>
      <c r="E30" s="16">
        <v>6.0</v>
      </c>
      <c r="F30" s="11">
        <v>10.6723959445953</v>
      </c>
      <c r="G30" s="11">
        <v>91.1679272651672</v>
      </c>
      <c r="H30" s="16">
        <v>3.0</v>
      </c>
      <c r="I30" s="11">
        <v>0.760000982256521</v>
      </c>
      <c r="J30" s="11">
        <v>0.13285298484836</v>
      </c>
      <c r="K30" s="12">
        <f>AVERAGE(I27:I31)</f>
        <v>0.6374207623</v>
      </c>
      <c r="L30" s="16">
        <v>15963.0</v>
      </c>
      <c r="M30" s="14">
        <f t="shared" si="2"/>
        <v>29592.31904</v>
      </c>
      <c r="N30" s="15" t="b">
        <f t="shared" si="1"/>
        <v>0</v>
      </c>
    </row>
    <row r="31" hidden="1">
      <c r="A31" s="7"/>
      <c r="B31" s="8" t="s">
        <v>14</v>
      </c>
      <c r="C31" s="9">
        <v>0.0</v>
      </c>
      <c r="D31" s="9">
        <v>0.0</v>
      </c>
      <c r="E31" s="16">
        <v>6.0</v>
      </c>
      <c r="F31" s="11">
        <v>10.6723959445953</v>
      </c>
      <c r="G31" s="11">
        <v>91.1679272651672</v>
      </c>
      <c r="H31" s="16">
        <v>4.0</v>
      </c>
      <c r="I31" s="11">
        <v>0.82874623791087</v>
      </c>
      <c r="J31" s="11">
        <v>0.0976313940614709</v>
      </c>
      <c r="K31" s="12">
        <f>AVERAGE(I27:I31)</f>
        <v>0.6374207623</v>
      </c>
      <c r="L31" s="16">
        <v>7439.0</v>
      </c>
      <c r="M31" s="14">
        <f t="shared" si="2"/>
        <v>31106.56137</v>
      </c>
      <c r="N31" s="15" t="b">
        <f t="shared" si="1"/>
        <v>0</v>
      </c>
    </row>
    <row r="32" hidden="1">
      <c r="A32" s="7"/>
      <c r="B32" s="8" t="s">
        <v>14</v>
      </c>
      <c r="C32" s="9">
        <v>0.0</v>
      </c>
      <c r="D32" s="9">
        <v>0.0</v>
      </c>
      <c r="E32" s="16">
        <v>7.0</v>
      </c>
      <c r="F32" s="11">
        <v>17.4837591648101</v>
      </c>
      <c r="G32" s="11">
        <v>109.358299255371</v>
      </c>
      <c r="H32" s="16">
        <v>0.0</v>
      </c>
      <c r="I32" s="11">
        <v>0.712135770149678</v>
      </c>
      <c r="J32" s="11">
        <v>0.155838044331567</v>
      </c>
      <c r="K32" s="12">
        <f>AVERAGE(I32:I36)</f>
        <v>0.6229473171</v>
      </c>
      <c r="L32" s="16">
        <v>13696.0</v>
      </c>
      <c r="M32" s="14">
        <f t="shared" si="2"/>
        <v>4257.16886</v>
      </c>
      <c r="N32" s="15" t="b">
        <f t="shared" si="1"/>
        <v>0</v>
      </c>
    </row>
    <row r="33" hidden="1">
      <c r="A33" s="7"/>
      <c r="B33" s="8" t="s">
        <v>14</v>
      </c>
      <c r="C33" s="9">
        <v>0.0</v>
      </c>
      <c r="D33" s="9">
        <v>0.0</v>
      </c>
      <c r="E33" s="16">
        <v>7.0</v>
      </c>
      <c r="F33" s="11">
        <v>17.4837591648101</v>
      </c>
      <c r="G33" s="11">
        <v>109.358299255371</v>
      </c>
      <c r="H33" s="16">
        <v>1.0</v>
      </c>
      <c r="I33" s="11">
        <v>0.76414687960107</v>
      </c>
      <c r="J33" s="11">
        <v>0.122558541153297</v>
      </c>
      <c r="K33" s="12">
        <f>AVERAGE(I32:I36)</f>
        <v>0.6229473171</v>
      </c>
      <c r="L33" s="16">
        <v>16185.0</v>
      </c>
      <c r="M33" s="14">
        <f t="shared" si="2"/>
        <v>3756.585551</v>
      </c>
      <c r="N33" s="15" t="b">
        <f t="shared" si="1"/>
        <v>0</v>
      </c>
    </row>
    <row r="34" hidden="1">
      <c r="A34" s="7"/>
      <c r="B34" s="8" t="s">
        <v>14</v>
      </c>
      <c r="C34" s="9">
        <v>0.0</v>
      </c>
      <c r="D34" s="9">
        <v>0.0</v>
      </c>
      <c r="E34" s="16">
        <v>7.0</v>
      </c>
      <c r="F34" s="11">
        <v>17.4837591648101</v>
      </c>
      <c r="G34" s="11">
        <v>109.358299255371</v>
      </c>
      <c r="H34" s="16">
        <v>2.0</v>
      </c>
      <c r="I34" s="11">
        <v>0.0610971304004684</v>
      </c>
      <c r="J34" s="11">
        <v>0.0581960795452363</v>
      </c>
      <c r="K34" s="12">
        <f>AVERAGE(I32:I36)</f>
        <v>0.6229473171</v>
      </c>
      <c r="L34" s="16">
        <v>89358.0</v>
      </c>
      <c r="M34" s="14">
        <f t="shared" si="2"/>
        <v>34187.90692</v>
      </c>
      <c r="N34" s="15" t="b">
        <f t="shared" si="1"/>
        <v>0</v>
      </c>
    </row>
    <row r="35" hidden="1">
      <c r="A35" s="7"/>
      <c r="B35" s="8" t="s">
        <v>14</v>
      </c>
      <c r="C35" s="9">
        <v>0.0</v>
      </c>
      <c r="D35" s="9">
        <v>0.0</v>
      </c>
      <c r="E35" s="16">
        <v>7.0</v>
      </c>
      <c r="F35" s="11">
        <v>17.4837591648101</v>
      </c>
      <c r="G35" s="11">
        <v>109.358299255371</v>
      </c>
      <c r="H35" s="16">
        <v>3.0</v>
      </c>
      <c r="I35" s="11">
        <v>0.761698189954899</v>
      </c>
      <c r="J35" s="11">
        <v>0.135951714663007</v>
      </c>
      <c r="K35" s="12">
        <f>AVERAGE(I32:I36)</f>
        <v>0.6229473171</v>
      </c>
      <c r="L35" s="16">
        <v>15789.0</v>
      </c>
      <c r="M35" s="14">
        <f t="shared" si="2"/>
        <v>34203.97941</v>
      </c>
      <c r="N35" s="15" t="b">
        <f t="shared" si="1"/>
        <v>0</v>
      </c>
    </row>
    <row r="36" hidden="1">
      <c r="A36" s="7"/>
      <c r="B36" s="8" t="s">
        <v>14</v>
      </c>
      <c r="C36" s="9">
        <v>0.0</v>
      </c>
      <c r="D36" s="9">
        <v>0.0</v>
      </c>
      <c r="E36" s="16">
        <v>7.0</v>
      </c>
      <c r="F36" s="11">
        <v>17.4837591648101</v>
      </c>
      <c r="G36" s="11">
        <v>109.358299255371</v>
      </c>
      <c r="H36" s="16">
        <v>4.0</v>
      </c>
      <c r="I36" s="11">
        <v>0.815658615241251</v>
      </c>
      <c r="J36" s="11">
        <v>0.106475866007911</v>
      </c>
      <c r="K36" s="12">
        <f>AVERAGE(I32:I36)</f>
        <v>0.6229473171</v>
      </c>
      <c r="L36" s="16">
        <v>6648.0</v>
      </c>
      <c r="M36" s="14">
        <f t="shared" si="2"/>
        <v>34327.31214</v>
      </c>
      <c r="N36" s="15" t="b">
        <f t="shared" si="1"/>
        <v>0</v>
      </c>
    </row>
    <row r="37" hidden="1">
      <c r="A37" s="7"/>
      <c r="B37" s="8" t="s">
        <v>14</v>
      </c>
      <c r="C37" s="9">
        <v>0.0</v>
      </c>
      <c r="D37" s="9">
        <v>0.0</v>
      </c>
      <c r="E37" s="16">
        <v>8.0</v>
      </c>
      <c r="F37" s="11">
        <v>19.4240677356719</v>
      </c>
      <c r="G37" s="11">
        <v>108.989101409912</v>
      </c>
      <c r="H37" s="16">
        <v>0.0</v>
      </c>
      <c r="I37" s="11">
        <v>0.789093964739579</v>
      </c>
      <c r="J37" s="11">
        <v>0.0999373090048988</v>
      </c>
      <c r="K37" s="12">
        <f>AVERAGE(I37:I41)</f>
        <v>0.6315057768</v>
      </c>
      <c r="L37" s="16">
        <v>18636.0</v>
      </c>
      <c r="M37" s="14">
        <f t="shared" si="2"/>
        <v>33868.66184</v>
      </c>
      <c r="N37" s="15" t="b">
        <f t="shared" si="1"/>
        <v>0</v>
      </c>
    </row>
    <row r="38" hidden="1">
      <c r="A38" s="7"/>
      <c r="B38" s="8" t="s">
        <v>14</v>
      </c>
      <c r="C38" s="9">
        <v>0.0</v>
      </c>
      <c r="D38" s="9">
        <v>0.0</v>
      </c>
      <c r="E38" s="16">
        <v>8.0</v>
      </c>
      <c r="F38" s="11">
        <v>19.4240677356719</v>
      </c>
      <c r="G38" s="11">
        <v>108.989101409912</v>
      </c>
      <c r="H38" s="16">
        <v>1.0</v>
      </c>
      <c r="I38" s="11">
        <v>0.759591961585983</v>
      </c>
      <c r="J38" s="11">
        <v>0.134723148863011</v>
      </c>
      <c r="K38" s="12">
        <f>AVERAGE(I37:I41)</f>
        <v>0.6315057768</v>
      </c>
      <c r="L38" s="16">
        <v>15959.0</v>
      </c>
      <c r="M38" s="14">
        <f t="shared" si="2"/>
        <v>33890.72272</v>
      </c>
      <c r="N38" s="15" t="b">
        <f t="shared" si="1"/>
        <v>0</v>
      </c>
    </row>
    <row r="39" hidden="1">
      <c r="A39" s="7"/>
      <c r="B39" s="8" t="s">
        <v>14</v>
      </c>
      <c r="C39" s="9">
        <v>0.0</v>
      </c>
      <c r="D39" s="9">
        <v>0.0</v>
      </c>
      <c r="E39" s="16">
        <v>8.0</v>
      </c>
      <c r="F39" s="11">
        <v>19.4240677356719</v>
      </c>
      <c r="G39" s="11">
        <v>108.989101409912</v>
      </c>
      <c r="H39" s="16">
        <v>2.0</v>
      </c>
      <c r="I39" s="11">
        <v>0.800515985925824</v>
      </c>
      <c r="J39" s="11">
        <v>0.118145616818928</v>
      </c>
      <c r="K39" s="12">
        <f>AVERAGE(I37:I41)</f>
        <v>0.6315057768</v>
      </c>
      <c r="L39" s="16">
        <v>7425.0</v>
      </c>
      <c r="M39" s="14">
        <f t="shared" si="2"/>
        <v>5469.649376</v>
      </c>
      <c r="N39" s="15" t="b">
        <f t="shared" si="1"/>
        <v>0</v>
      </c>
    </row>
    <row r="40" hidden="1">
      <c r="A40" s="7"/>
      <c r="B40" s="8" t="s">
        <v>14</v>
      </c>
      <c r="C40" s="9">
        <v>0.0</v>
      </c>
      <c r="D40" s="9">
        <v>0.0</v>
      </c>
      <c r="E40" s="16">
        <v>8.0</v>
      </c>
      <c r="F40" s="11">
        <v>19.4240677356719</v>
      </c>
      <c r="G40" s="11">
        <v>108.989101409912</v>
      </c>
      <c r="H40" s="16">
        <v>3.0</v>
      </c>
      <c r="I40" s="11">
        <v>0.76428945362753</v>
      </c>
      <c r="J40" s="11">
        <v>0.123595844629684</v>
      </c>
      <c r="K40" s="12">
        <f>AVERAGE(I37:I41)</f>
        <v>0.6315057768</v>
      </c>
      <c r="L40" s="16">
        <v>16164.0</v>
      </c>
      <c r="M40" s="14">
        <f t="shared" si="2"/>
        <v>5521.63828</v>
      </c>
      <c r="N40" s="15" t="b">
        <f t="shared" si="1"/>
        <v>0</v>
      </c>
    </row>
    <row r="41" hidden="1">
      <c r="A41" s="7"/>
      <c r="B41" s="8" t="s">
        <v>14</v>
      </c>
      <c r="C41" s="9">
        <v>0.0</v>
      </c>
      <c r="D41" s="9">
        <v>0.0</v>
      </c>
      <c r="E41" s="16">
        <v>8.0</v>
      </c>
      <c r="F41" s="11">
        <v>19.4240677356719</v>
      </c>
      <c r="G41" s="11">
        <v>108.989101409912</v>
      </c>
      <c r="H41" s="16">
        <v>4.0</v>
      </c>
      <c r="I41" s="11">
        <v>0.0440375182505731</v>
      </c>
      <c r="J41" s="11">
        <v>0.04055017121472</v>
      </c>
      <c r="K41" s="12">
        <f>AVERAGE(I37:I41)</f>
        <v>0.6315057768</v>
      </c>
      <c r="L41" s="16">
        <v>83492.0</v>
      </c>
      <c r="M41" s="14">
        <f t="shared" si="2"/>
        <v>31124.31512</v>
      </c>
      <c r="N41" s="15" t="b">
        <f t="shared" si="1"/>
        <v>0</v>
      </c>
    </row>
    <row r="42" hidden="1">
      <c r="A42" s="7"/>
      <c r="B42" s="8" t="s">
        <v>14</v>
      </c>
      <c r="C42" s="9">
        <v>0.0</v>
      </c>
      <c r="D42" s="9">
        <v>0.0</v>
      </c>
      <c r="E42" s="16">
        <v>9.0</v>
      </c>
      <c r="F42" s="11">
        <v>13.9942827224731</v>
      </c>
      <c r="G42" s="11">
        <v>102.472927093505</v>
      </c>
      <c r="H42" s="16">
        <v>0.0</v>
      </c>
      <c r="I42" s="11">
        <v>0.761710680625343</v>
      </c>
      <c r="J42" s="11">
        <v>0.135535674247364</v>
      </c>
      <c r="K42" s="12">
        <f>AVERAGE(I42:I46)</f>
        <v>0.6288075985</v>
      </c>
      <c r="L42" s="16">
        <v>15793.0</v>
      </c>
      <c r="M42" s="14">
        <f t="shared" si="2"/>
        <v>31370.79748</v>
      </c>
      <c r="N42" s="15" t="b">
        <f t="shared" si="1"/>
        <v>0</v>
      </c>
    </row>
    <row r="43" hidden="1">
      <c r="A43" s="7"/>
      <c r="B43" s="8" t="s">
        <v>14</v>
      </c>
      <c r="C43" s="9">
        <v>0.0</v>
      </c>
      <c r="D43" s="9">
        <v>0.0</v>
      </c>
      <c r="E43" s="16">
        <v>9.0</v>
      </c>
      <c r="F43" s="11">
        <v>13.9942827224731</v>
      </c>
      <c r="G43" s="11">
        <v>102.472927093505</v>
      </c>
      <c r="H43" s="16">
        <v>1.0</v>
      </c>
      <c r="I43" s="11">
        <v>0.0515649884983158</v>
      </c>
      <c r="J43" s="11">
        <v>0.0450018796193647</v>
      </c>
      <c r="K43" s="12">
        <f>AVERAGE(I42:I46)</f>
        <v>0.6288075985</v>
      </c>
      <c r="L43" s="16">
        <v>86090.0</v>
      </c>
      <c r="M43" s="14">
        <f t="shared" si="2"/>
        <v>39417.74941</v>
      </c>
      <c r="N43" s="15" t="b">
        <f t="shared" si="1"/>
        <v>0</v>
      </c>
    </row>
    <row r="44" hidden="1">
      <c r="A44" s="7"/>
      <c r="B44" s="8" t="s">
        <v>14</v>
      </c>
      <c r="C44" s="9">
        <v>0.0</v>
      </c>
      <c r="D44" s="9">
        <v>0.0</v>
      </c>
      <c r="E44" s="16">
        <v>9.0</v>
      </c>
      <c r="F44" s="11">
        <v>13.9942827224731</v>
      </c>
      <c r="G44" s="11">
        <v>102.472927093505</v>
      </c>
      <c r="H44" s="16">
        <v>2.0</v>
      </c>
      <c r="I44" s="11">
        <v>0.713441759670361</v>
      </c>
      <c r="J44" s="11">
        <v>0.153552515983002</v>
      </c>
      <c r="K44" s="12">
        <f>AVERAGE(I42:I46)</f>
        <v>0.6288075985</v>
      </c>
      <c r="L44" s="16">
        <v>13689.0</v>
      </c>
      <c r="M44" s="14">
        <f t="shared" si="2"/>
        <v>38130.91342</v>
      </c>
      <c r="N44" s="15" t="b">
        <f t="shared" si="1"/>
        <v>0</v>
      </c>
    </row>
    <row r="45" hidden="1">
      <c r="A45" s="7"/>
      <c r="B45" s="8" t="s">
        <v>14</v>
      </c>
      <c r="C45" s="9">
        <v>0.0</v>
      </c>
      <c r="D45" s="9">
        <v>0.0</v>
      </c>
      <c r="E45" s="16">
        <v>9.0</v>
      </c>
      <c r="F45" s="11">
        <v>13.9942827224731</v>
      </c>
      <c r="G45" s="11">
        <v>102.472927093505</v>
      </c>
      <c r="H45" s="16">
        <v>3.0</v>
      </c>
      <c r="I45" s="11">
        <v>0.828167673108892</v>
      </c>
      <c r="J45" s="11">
        <v>0.0975951816683771</v>
      </c>
      <c r="K45" s="12">
        <f>AVERAGE(I42:I46)</f>
        <v>0.6288075985</v>
      </c>
      <c r="L45" s="16">
        <v>7451.0</v>
      </c>
      <c r="M45" s="14">
        <f t="shared" si="2"/>
        <v>39827.87369</v>
      </c>
      <c r="N45" s="15" t="b">
        <f t="shared" si="1"/>
        <v>0</v>
      </c>
    </row>
    <row r="46" hidden="1">
      <c r="A46" s="7"/>
      <c r="B46" s="8" t="s">
        <v>14</v>
      </c>
      <c r="C46" s="9">
        <v>0.0</v>
      </c>
      <c r="D46" s="9">
        <v>0.0</v>
      </c>
      <c r="E46" s="16">
        <v>9.0</v>
      </c>
      <c r="F46" s="11">
        <v>13.9942827224731</v>
      </c>
      <c r="G46" s="11">
        <v>102.472927093505</v>
      </c>
      <c r="H46" s="16">
        <v>4.0</v>
      </c>
      <c r="I46" s="11">
        <v>0.78915289070255</v>
      </c>
      <c r="J46" s="11">
        <v>0.0993998351954079</v>
      </c>
      <c r="K46" s="12">
        <f>AVERAGE(I42:I46)</f>
        <v>0.6288075985</v>
      </c>
      <c r="L46" s="16">
        <v>18653.0</v>
      </c>
      <c r="M46" s="14">
        <f t="shared" si="2"/>
        <v>32547.38732</v>
      </c>
      <c r="N46" s="15" t="b">
        <f t="shared" si="1"/>
        <v>0</v>
      </c>
    </row>
    <row r="47" hidden="1">
      <c r="A47" s="7"/>
      <c r="B47" s="8" t="s">
        <v>14</v>
      </c>
      <c r="C47" s="9">
        <v>0.0</v>
      </c>
      <c r="D47" s="9">
        <v>0.0</v>
      </c>
      <c r="E47" s="16">
        <v>10.0</v>
      </c>
      <c r="F47" s="11">
        <v>15.0361831188201</v>
      </c>
      <c r="G47" s="11">
        <v>100.202988386154</v>
      </c>
      <c r="H47" s="16">
        <v>0.0</v>
      </c>
      <c r="I47" s="11">
        <v>0.761698763077667</v>
      </c>
      <c r="J47" s="11">
        <v>0.135922513601227</v>
      </c>
      <c r="K47" s="12">
        <f>AVERAGE(I47:I51)</f>
        <v>0.6136725717</v>
      </c>
      <c r="L47" s="16">
        <v>15789.0</v>
      </c>
      <c r="M47" s="14">
        <f t="shared" si="2"/>
        <v>32547.77272</v>
      </c>
      <c r="N47" s="15" t="b">
        <f t="shared" si="1"/>
        <v>0</v>
      </c>
    </row>
    <row r="48" hidden="1">
      <c r="A48" s="7"/>
      <c r="B48" s="8" t="s">
        <v>14</v>
      </c>
      <c r="C48" s="9">
        <v>0.0</v>
      </c>
      <c r="D48" s="9">
        <v>0.0</v>
      </c>
      <c r="E48" s="16">
        <v>10.0</v>
      </c>
      <c r="F48" s="11">
        <v>15.0361831188201</v>
      </c>
      <c r="G48" s="11">
        <v>100.202988386154</v>
      </c>
      <c r="H48" s="16">
        <v>1.0</v>
      </c>
      <c r="I48" s="11">
        <v>0.713604585977239</v>
      </c>
      <c r="J48" s="11">
        <v>0.154856515525255</v>
      </c>
      <c r="K48" s="12">
        <f>AVERAGE(I47:I51)</f>
        <v>0.6136725717</v>
      </c>
      <c r="L48" s="16">
        <v>13677.0</v>
      </c>
      <c r="M48" s="14">
        <f t="shared" si="2"/>
        <v>4117.996017</v>
      </c>
      <c r="N48" s="15" t="b">
        <f t="shared" si="1"/>
        <v>0</v>
      </c>
    </row>
    <row r="49" hidden="1">
      <c r="A49" s="7"/>
      <c r="B49" s="8" t="s">
        <v>14</v>
      </c>
      <c r="C49" s="9">
        <v>0.0</v>
      </c>
      <c r="D49" s="9">
        <v>0.0</v>
      </c>
      <c r="E49" s="16">
        <v>10.0</v>
      </c>
      <c r="F49" s="11">
        <v>15.0361831188201</v>
      </c>
      <c r="G49" s="11">
        <v>100.202988386154</v>
      </c>
      <c r="H49" s="16">
        <v>2.0</v>
      </c>
      <c r="I49" s="11">
        <v>0.7644789629097</v>
      </c>
      <c r="J49" s="11">
        <v>0.122952968982454</v>
      </c>
      <c r="K49" s="12">
        <f>AVERAGE(I47:I51)</f>
        <v>0.6136725717</v>
      </c>
      <c r="L49" s="16">
        <v>16169.0</v>
      </c>
      <c r="M49" s="14">
        <f t="shared" si="2"/>
        <v>4241.002146</v>
      </c>
      <c r="N49" s="15" t="b">
        <f t="shared" si="1"/>
        <v>0</v>
      </c>
    </row>
    <row r="50" hidden="1">
      <c r="A50" s="7"/>
      <c r="B50" s="8" t="s">
        <v>14</v>
      </c>
      <c r="C50" s="9">
        <v>0.0</v>
      </c>
      <c r="D50" s="9">
        <v>0.0</v>
      </c>
      <c r="E50" s="16">
        <v>10.0</v>
      </c>
      <c r="F50" s="11">
        <v>15.0361831188201</v>
      </c>
      <c r="G50" s="11">
        <v>100.202988386154</v>
      </c>
      <c r="H50" s="16">
        <v>3.0</v>
      </c>
      <c r="I50" s="11">
        <v>0.0393627915428402</v>
      </c>
      <c r="J50" s="11">
        <v>0.0316867612203039</v>
      </c>
      <c r="K50" s="12">
        <f>AVERAGE(I47:I51)</f>
        <v>0.6136725717</v>
      </c>
      <c r="L50" s="16">
        <v>77405.0</v>
      </c>
      <c r="M50" s="14">
        <f t="shared" si="2"/>
        <v>27485.79904</v>
      </c>
      <c r="N50" s="15" t="b">
        <f t="shared" si="1"/>
        <v>0</v>
      </c>
    </row>
    <row r="51" hidden="1">
      <c r="A51" s="7"/>
      <c r="B51" s="8" t="s">
        <v>14</v>
      </c>
      <c r="C51" s="9">
        <v>0.0</v>
      </c>
      <c r="D51" s="9">
        <v>0.0</v>
      </c>
      <c r="E51" s="16">
        <v>10.0</v>
      </c>
      <c r="F51" s="11">
        <v>15.0361831188201</v>
      </c>
      <c r="G51" s="11">
        <v>100.202988386154</v>
      </c>
      <c r="H51" s="16">
        <v>4.0</v>
      </c>
      <c r="I51" s="11">
        <v>0.789217754796202</v>
      </c>
      <c r="J51" s="11">
        <v>0.0994814002600882</v>
      </c>
      <c r="K51" s="12">
        <f>AVERAGE(I47:I51)</f>
        <v>0.6136725717</v>
      </c>
      <c r="L51" s="16">
        <v>18636.0</v>
      </c>
      <c r="M51" s="14">
        <f t="shared" si="2"/>
        <v>27487.29769</v>
      </c>
      <c r="N51" s="15" t="b">
        <f t="shared" si="1"/>
        <v>0</v>
      </c>
    </row>
    <row r="52" hidden="1">
      <c r="A52" s="7" t="s">
        <v>16</v>
      </c>
      <c r="B52" s="7" t="s">
        <v>17</v>
      </c>
      <c r="C52" s="7">
        <v>0.1</v>
      </c>
      <c r="D52" s="7">
        <v>0.1</v>
      </c>
      <c r="E52" s="7">
        <v>1.0</v>
      </c>
      <c r="F52" s="7">
        <v>78.8402297496795</v>
      </c>
      <c r="G52" s="7">
        <v>241.562593221664</v>
      </c>
      <c r="H52" s="7">
        <v>0.0</v>
      </c>
      <c r="I52" s="17">
        <f>STDEV(M52:M56)</f>
        <v>0</v>
      </c>
      <c r="J52" s="15">
        <v>0.0921848320835585</v>
      </c>
      <c r="K52" s="12">
        <f>AVERAGE(I52:I56)</f>
        <v>0</v>
      </c>
      <c r="L52" s="18">
        <v>4613.0</v>
      </c>
      <c r="M52" s="14">
        <f>STDEV(L52:L56)</f>
        <v>34119.18887</v>
      </c>
      <c r="N52" s="15" t="b">
        <f t="shared" si="1"/>
        <v>0</v>
      </c>
    </row>
    <row r="53" hidden="1">
      <c r="A53" s="7" t="s">
        <v>16</v>
      </c>
      <c r="B53" s="7" t="s">
        <v>17</v>
      </c>
      <c r="C53" s="7">
        <v>0.1</v>
      </c>
      <c r="D53" s="7">
        <v>0.1</v>
      </c>
      <c r="E53" s="7">
        <v>1.0</v>
      </c>
      <c r="F53" s="7">
        <v>78.8402297496795</v>
      </c>
      <c r="G53" s="7">
        <v>241.562593221664</v>
      </c>
      <c r="H53" s="7">
        <v>1.0</v>
      </c>
      <c r="I53" s="17">
        <f>STDEV(M52:M56)</f>
        <v>0</v>
      </c>
      <c r="J53" s="15">
        <v>0.120022128391596</v>
      </c>
      <c r="K53" s="12">
        <f>AVERAGE(I52:I56)</f>
        <v>0</v>
      </c>
      <c r="L53" s="18">
        <v>2063.0</v>
      </c>
      <c r="M53" s="14">
        <f>STDEV(L52:L56)</f>
        <v>34119.18887</v>
      </c>
      <c r="N53" s="15" t="b">
        <f t="shared" si="1"/>
        <v>0</v>
      </c>
    </row>
    <row r="54" hidden="1">
      <c r="A54" s="7" t="s">
        <v>16</v>
      </c>
      <c r="B54" s="7" t="s">
        <v>17</v>
      </c>
      <c r="C54" s="7">
        <v>0.1</v>
      </c>
      <c r="D54" s="7">
        <v>0.1</v>
      </c>
      <c r="E54" s="7">
        <v>1.0</v>
      </c>
      <c r="F54" s="7">
        <v>78.8402297496795</v>
      </c>
      <c r="G54" s="7">
        <v>241.562593221664</v>
      </c>
      <c r="H54" s="7">
        <v>2.0</v>
      </c>
      <c r="I54" s="17">
        <f>STDEV(M52:M56)</f>
        <v>0</v>
      </c>
      <c r="J54" s="15">
        <v>0.0998191410281432</v>
      </c>
      <c r="K54" s="12">
        <f>AVERAGE(I52:I56)</f>
        <v>0</v>
      </c>
      <c r="L54" s="18">
        <v>4469.0</v>
      </c>
      <c r="M54" s="14">
        <f>STDEV(L52:L56)</f>
        <v>34119.18887</v>
      </c>
      <c r="N54" s="15" t="b">
        <f t="shared" si="1"/>
        <v>0</v>
      </c>
    </row>
    <row r="55" hidden="1">
      <c r="A55" s="7" t="s">
        <v>16</v>
      </c>
      <c r="B55" s="7" t="s">
        <v>17</v>
      </c>
      <c r="C55" s="7">
        <v>0.1</v>
      </c>
      <c r="D55" s="7">
        <v>0.1</v>
      </c>
      <c r="E55" s="7">
        <v>1.0</v>
      </c>
      <c r="F55" s="7">
        <v>78.8402297496795</v>
      </c>
      <c r="G55" s="7">
        <v>241.562593221664</v>
      </c>
      <c r="H55" s="7">
        <v>3.0</v>
      </c>
      <c r="I55" s="17">
        <f>STDEV(M52:M56)</f>
        <v>0</v>
      </c>
      <c r="J55" s="15">
        <v>0.14523391414535</v>
      </c>
      <c r="K55" s="12">
        <f>AVERAGE(I52:I56)</f>
        <v>0</v>
      </c>
      <c r="L55" s="18">
        <v>57978.0</v>
      </c>
      <c r="M55" s="14">
        <f>STDEV(L52:L56)</f>
        <v>34119.18887</v>
      </c>
      <c r="N55" s="15" t="b">
        <f t="shared" si="1"/>
        <v>0</v>
      </c>
    </row>
    <row r="56" hidden="1">
      <c r="A56" s="7" t="s">
        <v>16</v>
      </c>
      <c r="B56" s="7" t="s">
        <v>17</v>
      </c>
      <c r="C56" s="7">
        <v>0.1</v>
      </c>
      <c r="D56" s="7">
        <v>0.1</v>
      </c>
      <c r="E56" s="7">
        <v>1.0</v>
      </c>
      <c r="F56" s="7">
        <v>78.8402297496795</v>
      </c>
      <c r="G56" s="7">
        <v>241.562593221664</v>
      </c>
      <c r="H56" s="7">
        <v>4.0</v>
      </c>
      <c r="I56" s="17">
        <f>STDEV(M52:M56)</f>
        <v>0</v>
      </c>
      <c r="J56" s="15">
        <v>0.0684555746233853</v>
      </c>
      <c r="K56" s="12">
        <f>AVERAGE(I52:I56)</f>
        <v>0</v>
      </c>
      <c r="L56" s="18">
        <v>72553.0</v>
      </c>
      <c r="M56" s="14">
        <f>STDEV(L52:L56)</f>
        <v>34119.18887</v>
      </c>
      <c r="N56" s="15" t="b">
        <f t="shared" si="1"/>
        <v>0</v>
      </c>
    </row>
    <row r="57" hidden="1">
      <c r="A57" s="7" t="s">
        <v>18</v>
      </c>
      <c r="B57" s="7" t="s">
        <v>17</v>
      </c>
      <c r="C57" s="7">
        <v>0.1</v>
      </c>
      <c r="D57" s="7">
        <v>0.1</v>
      </c>
      <c r="E57" s="7">
        <v>2.0</v>
      </c>
      <c r="F57" s="7">
        <v>35.7199354171752</v>
      </c>
      <c r="G57" s="7">
        <v>145.265812635421</v>
      </c>
      <c r="H57" s="7">
        <v>0.0</v>
      </c>
      <c r="I57" s="15">
        <v>0.798622949723748</v>
      </c>
      <c r="J57" s="15">
        <v>0.118693585885401</v>
      </c>
      <c r="K57" s="12">
        <f>AVERAGE(I57:I61)</f>
        <v>0.633043196</v>
      </c>
      <c r="L57" s="18">
        <v>7459.0</v>
      </c>
      <c r="M57" s="14">
        <f>STDEV(L57:L61)</f>
        <v>40630.28622</v>
      </c>
      <c r="N57" s="15" t="b">
        <f t="shared" si="1"/>
        <v>0</v>
      </c>
    </row>
    <row r="58" hidden="1">
      <c r="A58" s="7" t="s">
        <v>18</v>
      </c>
      <c r="B58" s="7" t="s">
        <v>17</v>
      </c>
      <c r="C58" s="7">
        <v>0.1</v>
      </c>
      <c r="D58" s="7">
        <v>0.1</v>
      </c>
      <c r="E58" s="7">
        <v>2.0</v>
      </c>
      <c r="F58" s="7">
        <v>35.7199354171752</v>
      </c>
      <c r="G58" s="7">
        <v>145.265812635421</v>
      </c>
      <c r="H58" s="7">
        <v>1.0</v>
      </c>
      <c r="I58" s="15">
        <v>0.0530093241704547</v>
      </c>
      <c r="J58" s="15">
        <v>0.109612804041674</v>
      </c>
      <c r="K58" s="12">
        <f>AVERAGE(I57:I61)</f>
        <v>0.633043196</v>
      </c>
      <c r="L58" s="18">
        <v>100729.0</v>
      </c>
      <c r="M58" s="14">
        <f>STDEV(L57:L61)</f>
        <v>40630.28622</v>
      </c>
      <c r="N58" s="15" t="b">
        <f t="shared" si="1"/>
        <v>0</v>
      </c>
    </row>
    <row r="59" hidden="1">
      <c r="A59" s="7" t="s">
        <v>18</v>
      </c>
      <c r="B59" s="7" t="s">
        <v>17</v>
      </c>
      <c r="C59" s="7">
        <v>0.1</v>
      </c>
      <c r="D59" s="7">
        <v>0.1</v>
      </c>
      <c r="E59" s="7">
        <v>2.0</v>
      </c>
      <c r="F59" s="7">
        <v>35.7199354171752</v>
      </c>
      <c r="G59" s="7">
        <v>145.265812635421</v>
      </c>
      <c r="H59" s="7">
        <v>2.0</v>
      </c>
      <c r="I59" s="15">
        <v>0.760536368403215</v>
      </c>
      <c r="J59" s="15">
        <v>0.137583798640986</v>
      </c>
      <c r="K59" s="12">
        <f>AVERAGE(I57:I61)</f>
        <v>0.633043196</v>
      </c>
      <c r="L59" s="18">
        <v>15793.0</v>
      </c>
      <c r="M59" s="14">
        <f>STDEV(L57:L61)</f>
        <v>40630.28622</v>
      </c>
      <c r="N59" s="15" t="b">
        <f t="shared" si="1"/>
        <v>0</v>
      </c>
    </row>
    <row r="60" hidden="1">
      <c r="A60" s="7" t="s">
        <v>18</v>
      </c>
      <c r="B60" s="7" t="s">
        <v>17</v>
      </c>
      <c r="C60" s="7">
        <v>0.1</v>
      </c>
      <c r="D60" s="7">
        <v>0.1</v>
      </c>
      <c r="E60" s="7">
        <v>2.0</v>
      </c>
      <c r="F60" s="7">
        <v>35.7199354171752</v>
      </c>
      <c r="G60" s="7">
        <v>145.265812635421</v>
      </c>
      <c r="H60" s="7">
        <v>3.0</v>
      </c>
      <c r="I60" s="15">
        <v>0.816540345407877</v>
      </c>
      <c r="J60" s="15">
        <v>0.105399754478849</v>
      </c>
      <c r="K60" s="12">
        <f>AVERAGE(I57:I61)</f>
        <v>0.633043196</v>
      </c>
      <c r="L60" s="18">
        <v>6639.0</v>
      </c>
      <c r="M60" s="14">
        <f>STDEV(L57:L61)</f>
        <v>40630.28622</v>
      </c>
      <c r="N60" s="15" t="b">
        <f t="shared" si="1"/>
        <v>0</v>
      </c>
    </row>
    <row r="61" hidden="1">
      <c r="A61" s="7" t="s">
        <v>18</v>
      </c>
      <c r="B61" s="7" t="s">
        <v>17</v>
      </c>
      <c r="C61" s="7">
        <v>0.1</v>
      </c>
      <c r="D61" s="7">
        <v>0.1</v>
      </c>
      <c r="E61" s="7">
        <v>2.0</v>
      </c>
      <c r="F61" s="7">
        <v>35.7199354171752</v>
      </c>
      <c r="G61" s="7">
        <v>145.265812635421</v>
      </c>
      <c r="H61" s="7">
        <v>4.0</v>
      </c>
      <c r="I61" s="15">
        <v>0.736506992144718</v>
      </c>
      <c r="J61" s="15">
        <v>0.15195328722541</v>
      </c>
      <c r="K61" s="12">
        <f>AVERAGE(I57:I61)</f>
        <v>0.633043196</v>
      </c>
      <c r="L61" s="18">
        <v>11056.0</v>
      </c>
      <c r="M61" s="14">
        <f>STDEV(L57:L61)</f>
        <v>40630.28622</v>
      </c>
      <c r="N61" s="15" t="b">
        <f t="shared" si="1"/>
        <v>0</v>
      </c>
    </row>
    <row r="62" hidden="1">
      <c r="A62" s="7" t="s">
        <v>19</v>
      </c>
      <c r="B62" s="7" t="s">
        <v>17</v>
      </c>
      <c r="C62" s="7">
        <v>0.1</v>
      </c>
      <c r="D62" s="7">
        <v>0.1</v>
      </c>
      <c r="E62" s="7">
        <v>3.0</v>
      </c>
      <c r="F62" s="7">
        <v>76.1620073318481</v>
      </c>
      <c r="G62" s="7">
        <v>247.791764020919</v>
      </c>
      <c r="H62" s="7">
        <v>0.0</v>
      </c>
      <c r="I62" s="15">
        <v>0.789422316842768</v>
      </c>
      <c r="J62" s="15">
        <v>0.106626083010994</v>
      </c>
      <c r="K62" s="12">
        <f>AVERAGE(I62:I66)</f>
        <v>0.4638605349</v>
      </c>
      <c r="L62" s="18">
        <v>18656.0</v>
      </c>
      <c r="M62" s="14">
        <f>STDEV(L62:L66)</f>
        <v>32712.1078</v>
      </c>
      <c r="N62" s="15" t="b">
        <f t="shared" si="1"/>
        <v>0</v>
      </c>
    </row>
    <row r="63" hidden="1">
      <c r="A63" s="7" t="s">
        <v>19</v>
      </c>
      <c r="B63" s="7" t="s">
        <v>17</v>
      </c>
      <c r="C63" s="7">
        <v>0.1</v>
      </c>
      <c r="D63" s="7">
        <v>0.1</v>
      </c>
      <c r="E63" s="7">
        <v>3.0</v>
      </c>
      <c r="F63" s="7">
        <v>76.1620073318481</v>
      </c>
      <c r="G63" s="7">
        <v>247.791764020919</v>
      </c>
      <c r="H63" s="7">
        <v>1.0</v>
      </c>
      <c r="I63" s="15">
        <v>0.49429433022444</v>
      </c>
      <c r="J63" s="15">
        <v>0.179742814025691</v>
      </c>
      <c r="K63" s="12">
        <f>AVERAGE(I62:I66)</f>
        <v>0.4638605349</v>
      </c>
      <c r="L63" s="18">
        <v>9685.0</v>
      </c>
      <c r="M63" s="14">
        <f>STDEV(L62:L66)</f>
        <v>32712.1078</v>
      </c>
      <c r="N63" s="15" t="b">
        <f t="shared" si="1"/>
        <v>0</v>
      </c>
    </row>
    <row r="64" hidden="1">
      <c r="A64" s="7" t="s">
        <v>19</v>
      </c>
      <c r="B64" s="7" t="s">
        <v>17</v>
      </c>
      <c r="C64" s="7">
        <v>0.1</v>
      </c>
      <c r="D64" s="7">
        <v>0.1</v>
      </c>
      <c r="E64" s="7">
        <v>3.0</v>
      </c>
      <c r="F64" s="7">
        <v>76.1620073318481</v>
      </c>
      <c r="G64" s="7">
        <v>247.791764020919</v>
      </c>
      <c r="H64" s="7">
        <v>2.0</v>
      </c>
      <c r="I64" s="15">
        <v>0.86811660528751</v>
      </c>
      <c r="J64" s="15">
        <v>0.106366157061038</v>
      </c>
      <c r="K64" s="12">
        <f>AVERAGE(I62:I66)</f>
        <v>0.4638605349</v>
      </c>
      <c r="L64" s="18">
        <v>4469.0</v>
      </c>
      <c r="M64" s="14">
        <f>STDEV(L62:L66)</f>
        <v>32712.1078</v>
      </c>
      <c r="N64" s="15" t="b">
        <f t="shared" si="1"/>
        <v>0</v>
      </c>
    </row>
    <row r="65" hidden="1">
      <c r="A65" s="7" t="s">
        <v>19</v>
      </c>
      <c r="B65" s="7" t="s">
        <v>17</v>
      </c>
      <c r="C65" s="7">
        <v>0.1</v>
      </c>
      <c r="D65" s="7">
        <v>0.1</v>
      </c>
      <c r="E65" s="7">
        <v>3.0</v>
      </c>
      <c r="F65" s="7">
        <v>76.1620073318481</v>
      </c>
      <c r="G65" s="7">
        <v>247.791764020919</v>
      </c>
      <c r="H65" s="7">
        <v>3.0</v>
      </c>
      <c r="I65" s="15">
        <v>0.0932544512944988</v>
      </c>
      <c r="J65" s="15">
        <v>0.168395340255708</v>
      </c>
      <c r="K65" s="12">
        <f>AVERAGE(I62:I66)</f>
        <v>0.4638605349</v>
      </c>
      <c r="L65" s="18">
        <v>23554.0</v>
      </c>
      <c r="M65" s="14">
        <f>STDEV(L62:L66)</f>
        <v>32712.1078</v>
      </c>
      <c r="N65" s="15" t="b">
        <f t="shared" si="1"/>
        <v>0</v>
      </c>
    </row>
    <row r="66" hidden="1">
      <c r="A66" s="7" t="s">
        <v>19</v>
      </c>
      <c r="B66" s="7" t="s">
        <v>17</v>
      </c>
      <c r="C66" s="7">
        <v>0.1</v>
      </c>
      <c r="D66" s="7">
        <v>0.1</v>
      </c>
      <c r="E66" s="7">
        <v>3.0</v>
      </c>
      <c r="F66" s="7">
        <v>76.1620073318481</v>
      </c>
      <c r="G66" s="7">
        <v>247.791764020919</v>
      </c>
      <c r="H66" s="7">
        <v>4.0</v>
      </c>
      <c r="I66" s="15">
        <v>0.0742149708951883</v>
      </c>
      <c r="J66" s="15">
        <v>0.0540068608835617</v>
      </c>
      <c r="K66" s="12">
        <f>AVERAGE(I62:I66)</f>
        <v>0.4638605349</v>
      </c>
      <c r="L66" s="18">
        <v>85312.0</v>
      </c>
      <c r="M66" s="14">
        <f>STDEV(L62:L66)</f>
        <v>32712.1078</v>
      </c>
      <c r="N66" s="15" t="b">
        <f t="shared" si="1"/>
        <v>0</v>
      </c>
    </row>
    <row r="67" hidden="1">
      <c r="A67" s="7" t="s">
        <v>20</v>
      </c>
      <c r="B67" s="7" t="s">
        <v>17</v>
      </c>
      <c r="C67" s="7">
        <v>0.1</v>
      </c>
      <c r="D67" s="7">
        <v>0.1</v>
      </c>
      <c r="E67" s="7">
        <v>4.0</v>
      </c>
      <c r="F67" s="7">
        <v>30.2197794914245</v>
      </c>
      <c r="G67" s="7">
        <v>85.1064598560333</v>
      </c>
      <c r="H67" s="7">
        <v>0.0</v>
      </c>
      <c r="I67" s="15">
        <v>0.0768793112575291</v>
      </c>
      <c r="J67" s="15">
        <v>0.0621234492630997</v>
      </c>
      <c r="K67" s="12">
        <f>AVERAGE(I67:I71)</f>
        <v>0.5369233815</v>
      </c>
      <c r="L67" s="18">
        <v>91723.0</v>
      </c>
      <c r="M67" s="14">
        <f>STDEV(L67:L71)</f>
        <v>37138.17847</v>
      </c>
      <c r="N67" s="15" t="b">
        <f t="shared" si="1"/>
        <v>0</v>
      </c>
    </row>
    <row r="68" hidden="1">
      <c r="A68" s="7" t="s">
        <v>20</v>
      </c>
      <c r="B68" s="7" t="s">
        <v>17</v>
      </c>
      <c r="C68" s="7">
        <v>0.1</v>
      </c>
      <c r="D68" s="7">
        <v>0.1</v>
      </c>
      <c r="E68" s="7">
        <v>4.0</v>
      </c>
      <c r="F68" s="7">
        <v>30.2197794914245</v>
      </c>
      <c r="G68" s="7">
        <v>85.1064598560333</v>
      </c>
      <c r="H68" s="7">
        <v>1.0</v>
      </c>
      <c r="I68" s="15">
        <v>0.762690462974479</v>
      </c>
      <c r="J68" s="15">
        <v>0.136309979417759</v>
      </c>
      <c r="K68" s="12">
        <f>AVERAGE(I67:I71)</f>
        <v>0.5369233815</v>
      </c>
      <c r="L68" s="18">
        <v>7850.0</v>
      </c>
      <c r="M68" s="14">
        <f>STDEV(L67:L71)</f>
        <v>37138.17847</v>
      </c>
      <c r="N68" s="15" t="b">
        <f t="shared" si="1"/>
        <v>0</v>
      </c>
    </row>
    <row r="69" hidden="1">
      <c r="A69" s="7" t="s">
        <v>20</v>
      </c>
      <c r="B69" s="7" t="s">
        <v>17</v>
      </c>
      <c r="C69" s="7">
        <v>0.1</v>
      </c>
      <c r="D69" s="7">
        <v>0.1</v>
      </c>
      <c r="E69" s="7">
        <v>4.0</v>
      </c>
      <c r="F69" s="7">
        <v>30.2197794914245</v>
      </c>
      <c r="G69" s="7">
        <v>85.1064598560333</v>
      </c>
      <c r="H69" s="7">
        <v>2.0</v>
      </c>
      <c r="I69" s="15">
        <v>0.817960315258776</v>
      </c>
      <c r="J69" s="15">
        <v>0.105623924914182</v>
      </c>
      <c r="K69" s="12">
        <f>AVERAGE(I67:I71)</f>
        <v>0.5369233815</v>
      </c>
      <c r="L69" s="18">
        <v>6626.0</v>
      </c>
      <c r="M69" s="14">
        <f>STDEV(L67:L71)</f>
        <v>37138.17847</v>
      </c>
      <c r="N69" s="15" t="b">
        <f t="shared" si="1"/>
        <v>0</v>
      </c>
    </row>
    <row r="70" hidden="1">
      <c r="A70" s="7" t="s">
        <v>20</v>
      </c>
      <c r="B70" s="7" t="s">
        <v>17</v>
      </c>
      <c r="C70" s="7">
        <v>0.1</v>
      </c>
      <c r="D70" s="7">
        <v>0.1</v>
      </c>
      <c r="E70" s="7">
        <v>4.0</v>
      </c>
      <c r="F70" s="7">
        <v>30.2197794914245</v>
      </c>
      <c r="G70" s="7">
        <v>85.1064598560333</v>
      </c>
      <c r="H70" s="7">
        <v>3.0</v>
      </c>
      <c r="I70" s="15">
        <v>0.30292206211411</v>
      </c>
      <c r="J70" s="15">
        <v>0.184133671962287</v>
      </c>
      <c r="K70" s="12">
        <f>AVERAGE(I67:I71)</f>
        <v>0.5369233815</v>
      </c>
      <c r="L70" s="18">
        <v>31585.0</v>
      </c>
      <c r="M70" s="14">
        <f>STDEV(L67:L71)</f>
        <v>37138.17847</v>
      </c>
      <c r="N70" s="15" t="b">
        <f t="shared" si="1"/>
        <v>0</v>
      </c>
    </row>
    <row r="71" hidden="1">
      <c r="A71" s="7" t="s">
        <v>20</v>
      </c>
      <c r="B71" s="7" t="s">
        <v>17</v>
      </c>
      <c r="C71" s="7">
        <v>0.1</v>
      </c>
      <c r="D71" s="7">
        <v>0.1</v>
      </c>
      <c r="E71" s="7">
        <v>4.0</v>
      </c>
      <c r="F71" s="7">
        <v>30.2197794914245</v>
      </c>
      <c r="G71" s="7">
        <v>85.1064598560333</v>
      </c>
      <c r="H71" s="7">
        <v>4.0</v>
      </c>
      <c r="I71" s="15">
        <v>0.724164756058782</v>
      </c>
      <c r="J71" s="15">
        <v>0.159501645365288</v>
      </c>
      <c r="K71" s="12">
        <f>AVERAGE(I67:I71)</f>
        <v>0.5369233815</v>
      </c>
      <c r="L71" s="18">
        <v>3892.0</v>
      </c>
      <c r="M71" s="14">
        <f>STDEV(L67:L71)</f>
        <v>37138.17847</v>
      </c>
      <c r="N71" s="15" t="b">
        <f t="shared" si="1"/>
        <v>0</v>
      </c>
    </row>
    <row r="72" hidden="1">
      <c r="A72" s="7" t="s">
        <v>21</v>
      </c>
      <c r="B72" s="19" t="s">
        <v>17</v>
      </c>
      <c r="C72" s="19">
        <v>0.1</v>
      </c>
      <c r="D72" s="19">
        <v>0.1</v>
      </c>
      <c r="E72" s="19">
        <v>5.0</v>
      </c>
      <c r="F72" s="7">
        <v>123.916695356369</v>
      </c>
      <c r="G72" s="7">
        <v>285.832998037338</v>
      </c>
      <c r="H72" s="7">
        <v>0.0</v>
      </c>
      <c r="I72" s="15">
        <v>0.790196581432206</v>
      </c>
      <c r="J72" s="15">
        <v>0.100428238146639</v>
      </c>
      <c r="K72" s="12">
        <f>AVERAGE(I72:I76)</f>
        <v>0.4119046882</v>
      </c>
      <c r="L72" s="18">
        <v>18655.0</v>
      </c>
      <c r="M72" s="14">
        <f>STDEV(L72:L76)</f>
        <v>17971.11327</v>
      </c>
      <c r="N72" s="15" t="b">
        <f t="shared" si="1"/>
        <v>0</v>
      </c>
    </row>
    <row r="73" hidden="1">
      <c r="A73" s="7" t="s">
        <v>21</v>
      </c>
      <c r="B73" s="19" t="s">
        <v>17</v>
      </c>
      <c r="C73" s="19">
        <v>0.1</v>
      </c>
      <c r="D73" s="19">
        <v>0.1</v>
      </c>
      <c r="E73" s="19">
        <v>5.0</v>
      </c>
      <c r="F73" s="7">
        <v>123.916695356369</v>
      </c>
      <c r="G73" s="7">
        <v>285.832998037338</v>
      </c>
      <c r="H73" s="7">
        <v>1.0</v>
      </c>
      <c r="I73" s="15">
        <v>0.191335971212599</v>
      </c>
      <c r="J73" s="15">
        <v>0.101792336084334</v>
      </c>
      <c r="K73" s="12">
        <f>AVERAGE(I72:I76)</f>
        <v>0.4119046882</v>
      </c>
      <c r="L73" s="18">
        <v>42535.0</v>
      </c>
      <c r="M73" s="14">
        <f>STDEV(L72:L76)</f>
        <v>17971.11327</v>
      </c>
      <c r="N73" s="15" t="b">
        <f t="shared" si="1"/>
        <v>0</v>
      </c>
    </row>
    <row r="74" hidden="1">
      <c r="A74" s="7" t="s">
        <v>21</v>
      </c>
      <c r="B74" s="19" t="s">
        <v>17</v>
      </c>
      <c r="C74" s="19">
        <v>0.1</v>
      </c>
      <c r="D74" s="19">
        <v>0.1</v>
      </c>
      <c r="E74" s="19">
        <v>5.0</v>
      </c>
      <c r="F74" s="7">
        <v>123.916695356369</v>
      </c>
      <c r="G74" s="7">
        <v>285.832998037338</v>
      </c>
      <c r="H74" s="7">
        <v>2.0</v>
      </c>
      <c r="I74" s="15">
        <v>0.132130900892101</v>
      </c>
      <c r="J74" s="15">
        <v>0.110941867094924</v>
      </c>
      <c r="K74" s="12">
        <f>AVERAGE(I72:I76)</f>
        <v>0.4119046882</v>
      </c>
      <c r="L74" s="18">
        <v>48593.0</v>
      </c>
      <c r="M74" s="14">
        <f>STDEV(L72:L76)</f>
        <v>17971.11327</v>
      </c>
      <c r="N74" s="15" t="b">
        <f t="shared" si="1"/>
        <v>0</v>
      </c>
    </row>
    <row r="75" hidden="1">
      <c r="A75" s="7" t="s">
        <v>21</v>
      </c>
      <c r="B75" s="19" t="s">
        <v>17</v>
      </c>
      <c r="C75" s="19">
        <v>0.1</v>
      </c>
      <c r="D75" s="19">
        <v>0.1</v>
      </c>
      <c r="E75" s="19">
        <v>5.0</v>
      </c>
      <c r="F75" s="7">
        <v>123.916695356369</v>
      </c>
      <c r="G75" s="7">
        <v>285.832998037338</v>
      </c>
      <c r="H75" s="7">
        <v>3.0</v>
      </c>
      <c r="I75" s="15">
        <v>0.809015880245961</v>
      </c>
      <c r="J75" s="15">
        <v>0.0802455088485627</v>
      </c>
      <c r="K75" s="12">
        <f>AVERAGE(I72:I76)</f>
        <v>0.4119046882</v>
      </c>
      <c r="L75" s="18">
        <v>4132.0</v>
      </c>
      <c r="M75" s="14">
        <f>STDEV(L72:L76)</f>
        <v>17971.11327</v>
      </c>
      <c r="N75" s="15" t="b">
        <f t="shared" si="1"/>
        <v>0</v>
      </c>
    </row>
    <row r="76" hidden="1">
      <c r="A76" s="7" t="s">
        <v>21</v>
      </c>
      <c r="B76" s="19" t="s">
        <v>17</v>
      </c>
      <c r="C76" s="19">
        <v>0.1</v>
      </c>
      <c r="D76" s="19">
        <v>0.1</v>
      </c>
      <c r="E76" s="19">
        <v>5.0</v>
      </c>
      <c r="F76" s="7">
        <v>123.916695356369</v>
      </c>
      <c r="G76" s="7">
        <v>285.832998037338</v>
      </c>
      <c r="H76" s="7">
        <v>4.0</v>
      </c>
      <c r="I76" s="15">
        <v>0.136844107204272</v>
      </c>
      <c r="J76" s="15">
        <v>0.0770848463000174</v>
      </c>
      <c r="K76" s="12">
        <f>AVERAGE(I72:I76)</f>
        <v>0.4119046882</v>
      </c>
      <c r="L76" s="18">
        <v>27761.0</v>
      </c>
      <c r="M76" s="14">
        <f>STDEV(L72:L76)</f>
        <v>17971.11327</v>
      </c>
      <c r="N76" s="15" t="b">
        <f t="shared" si="1"/>
        <v>0</v>
      </c>
    </row>
    <row r="77" hidden="1">
      <c r="A77" s="7" t="s">
        <v>22</v>
      </c>
      <c r="B77" s="7" t="s">
        <v>17</v>
      </c>
      <c r="C77" s="7">
        <v>0.1</v>
      </c>
      <c r="D77" s="7">
        <v>0.1</v>
      </c>
      <c r="E77" s="7">
        <v>6.0</v>
      </c>
      <c r="F77" s="7">
        <v>35.6177675724029</v>
      </c>
      <c r="G77" s="7">
        <v>118.274666309356</v>
      </c>
      <c r="H77" s="7">
        <v>0.0</v>
      </c>
      <c r="I77" s="15">
        <v>0.038357394130371</v>
      </c>
      <c r="J77" s="15">
        <v>0.161041409000625</v>
      </c>
      <c r="K77" s="12">
        <f>AVERAGE(I77:I81)</f>
        <v>0.5397514725</v>
      </c>
      <c r="L77" s="18">
        <v>86277.0</v>
      </c>
      <c r="M77" s="14">
        <f>STDEV(L77:L81)</f>
        <v>34610.8345</v>
      </c>
      <c r="N77" s="15" t="b">
        <f t="shared" si="1"/>
        <v>0</v>
      </c>
    </row>
    <row r="78" hidden="1">
      <c r="A78" s="7" t="s">
        <v>22</v>
      </c>
      <c r="B78" s="7" t="s">
        <v>17</v>
      </c>
      <c r="C78" s="7">
        <v>0.1</v>
      </c>
      <c r="D78" s="7">
        <v>0.1</v>
      </c>
      <c r="E78" s="7">
        <v>6.0</v>
      </c>
      <c r="F78" s="7">
        <v>35.6177675724029</v>
      </c>
      <c r="G78" s="7">
        <v>118.274666309356</v>
      </c>
      <c r="H78" s="7">
        <v>1.0</v>
      </c>
      <c r="I78" s="15">
        <v>0.826182805258848</v>
      </c>
      <c r="J78" s="15">
        <v>0.0921069472818289</v>
      </c>
      <c r="K78" s="12">
        <f>AVERAGE(I77:I81)</f>
        <v>0.5397514725</v>
      </c>
      <c r="L78" s="18">
        <v>4613.0</v>
      </c>
      <c r="M78" s="14">
        <f>STDEV(L77:L81)</f>
        <v>34610.8345</v>
      </c>
      <c r="N78" s="15" t="b">
        <f t="shared" si="1"/>
        <v>0</v>
      </c>
    </row>
    <row r="79" hidden="1">
      <c r="A79" s="7" t="s">
        <v>22</v>
      </c>
      <c r="B79" s="7" t="s">
        <v>17</v>
      </c>
      <c r="C79" s="7">
        <v>0.1</v>
      </c>
      <c r="D79" s="7">
        <v>0.1</v>
      </c>
      <c r="E79" s="7">
        <v>6.0</v>
      </c>
      <c r="F79" s="7">
        <v>35.6177675724029</v>
      </c>
      <c r="G79" s="7">
        <v>118.274666309356</v>
      </c>
      <c r="H79" s="7">
        <v>2.0</v>
      </c>
      <c r="I79" s="15">
        <v>0.740638391977182</v>
      </c>
      <c r="J79" s="15">
        <v>0.14246308701014</v>
      </c>
      <c r="K79" s="12">
        <f>AVERAGE(I77:I81)</f>
        <v>0.5397514725</v>
      </c>
      <c r="L79" s="18">
        <v>11080.0</v>
      </c>
      <c r="M79" s="14">
        <f>STDEV(L77:L81)</f>
        <v>34610.8345</v>
      </c>
      <c r="N79" s="15" t="b">
        <f t="shared" si="1"/>
        <v>0</v>
      </c>
    </row>
    <row r="80" hidden="1">
      <c r="A80" s="7" t="s">
        <v>22</v>
      </c>
      <c r="B80" s="7" t="s">
        <v>17</v>
      </c>
      <c r="C80" s="7">
        <v>0.1</v>
      </c>
      <c r="D80" s="7">
        <v>0.1</v>
      </c>
      <c r="E80" s="7">
        <v>6.0</v>
      </c>
      <c r="F80" s="7">
        <v>35.6177675724029</v>
      </c>
      <c r="G80" s="7">
        <v>118.274666309356</v>
      </c>
      <c r="H80" s="7">
        <v>3.0</v>
      </c>
      <c r="I80" s="15">
        <v>0.791730881423909</v>
      </c>
      <c r="J80" s="15">
        <v>0.120781585866164</v>
      </c>
      <c r="K80" s="12">
        <f>AVERAGE(I77:I81)</f>
        <v>0.5397514725</v>
      </c>
      <c r="L80" s="18">
        <v>5190.0</v>
      </c>
      <c r="M80" s="14">
        <f>STDEV(L77:L81)</f>
        <v>34610.8345</v>
      </c>
      <c r="N80" s="15" t="b">
        <f t="shared" si="1"/>
        <v>0</v>
      </c>
    </row>
    <row r="81" hidden="1">
      <c r="A81" s="7" t="s">
        <v>22</v>
      </c>
      <c r="B81" s="7" t="s">
        <v>17</v>
      </c>
      <c r="C81" s="7">
        <v>0.1</v>
      </c>
      <c r="D81" s="7">
        <v>0.1</v>
      </c>
      <c r="E81" s="7">
        <v>6.0</v>
      </c>
      <c r="F81" s="7">
        <v>35.6177675724029</v>
      </c>
      <c r="G81" s="7">
        <v>118.274666309356</v>
      </c>
      <c r="H81" s="7">
        <v>4.0</v>
      </c>
      <c r="I81" s="15">
        <v>0.301847889612921</v>
      </c>
      <c r="J81" s="15">
        <v>0.106052104539063</v>
      </c>
      <c r="K81" s="12">
        <f>AVERAGE(I77:I81)</f>
        <v>0.5397514725</v>
      </c>
      <c r="L81" s="18">
        <v>34516.0</v>
      </c>
      <c r="M81" s="14">
        <f>STDEV(L77:L81)</f>
        <v>34610.8345</v>
      </c>
      <c r="N81" s="15" t="b">
        <f t="shared" si="1"/>
        <v>0</v>
      </c>
    </row>
    <row r="82" hidden="1">
      <c r="A82" s="7" t="s">
        <v>23</v>
      </c>
      <c r="B82" s="7" t="s">
        <v>17</v>
      </c>
      <c r="C82" s="7">
        <v>0.1</v>
      </c>
      <c r="D82" s="7">
        <v>0.1</v>
      </c>
      <c r="E82" s="7">
        <v>7.0</v>
      </c>
      <c r="F82" s="7">
        <v>67.5369946956634</v>
      </c>
      <c r="G82" s="7">
        <v>236.702366590499</v>
      </c>
      <c r="H82" s="7">
        <v>0.0</v>
      </c>
      <c r="I82" s="15">
        <v>0.76469151256436</v>
      </c>
      <c r="J82" s="15">
        <v>0.133553957011948</v>
      </c>
      <c r="K82" s="12">
        <f>AVERAGE(I82:I86)</f>
        <v>0.5590690615</v>
      </c>
      <c r="L82" s="18">
        <v>7820.0</v>
      </c>
      <c r="M82" s="14">
        <f>STDEV(L82:L86)</f>
        <v>26820.45236</v>
      </c>
      <c r="N82" s="15" t="b">
        <f t="shared" si="1"/>
        <v>0</v>
      </c>
    </row>
    <row r="83" hidden="1">
      <c r="A83" s="7" t="s">
        <v>23</v>
      </c>
      <c r="B83" s="7" t="s">
        <v>17</v>
      </c>
      <c r="C83" s="7">
        <v>0.1</v>
      </c>
      <c r="D83" s="7">
        <v>0.1</v>
      </c>
      <c r="E83" s="7">
        <v>7.0</v>
      </c>
      <c r="F83" s="7">
        <v>67.5369946956634</v>
      </c>
      <c r="G83" s="7">
        <v>236.702366590499</v>
      </c>
      <c r="H83" s="7">
        <v>1.0</v>
      </c>
      <c r="I83" s="15">
        <v>0.78920590811958</v>
      </c>
      <c r="J83" s="15">
        <v>0.0994940512547377</v>
      </c>
      <c r="K83" s="12">
        <f>AVERAGE(I82:I86)</f>
        <v>0.5590690615</v>
      </c>
      <c r="L83" s="18">
        <v>18636.0</v>
      </c>
      <c r="M83" s="14">
        <f>STDEV(L82:L86)</f>
        <v>26820.45236</v>
      </c>
      <c r="N83" s="15" t="b">
        <f t="shared" si="1"/>
        <v>0</v>
      </c>
    </row>
    <row r="84" hidden="1">
      <c r="A84" s="7" t="s">
        <v>23</v>
      </c>
      <c r="B84" s="7" t="s">
        <v>17</v>
      </c>
      <c r="C84" s="7">
        <v>0.1</v>
      </c>
      <c r="D84" s="7">
        <v>0.1</v>
      </c>
      <c r="E84" s="7">
        <v>7.0</v>
      </c>
      <c r="F84" s="7">
        <v>67.5369946956634</v>
      </c>
      <c r="G84" s="7">
        <v>236.702366590499</v>
      </c>
      <c r="H84" s="7">
        <v>2.0</v>
      </c>
      <c r="I84" s="15">
        <v>0.0349561022969282</v>
      </c>
      <c r="J84" s="15">
        <v>0.035779780401238</v>
      </c>
      <c r="K84" s="12">
        <f>AVERAGE(I82:I86)</f>
        <v>0.5590690615</v>
      </c>
      <c r="L84" s="18">
        <v>75147.0</v>
      </c>
      <c r="M84" s="14">
        <f>STDEV(L82:L86)</f>
        <v>26820.45236</v>
      </c>
      <c r="N84" s="15" t="b">
        <f t="shared" si="1"/>
        <v>0</v>
      </c>
    </row>
    <row r="85" hidden="1">
      <c r="A85" s="7" t="s">
        <v>23</v>
      </c>
      <c r="B85" s="7" t="s">
        <v>17</v>
      </c>
      <c r="C85" s="7">
        <v>0.1</v>
      </c>
      <c r="D85" s="7">
        <v>0.1</v>
      </c>
      <c r="E85" s="7">
        <v>7.0</v>
      </c>
      <c r="F85" s="7">
        <v>67.5369946956634</v>
      </c>
      <c r="G85" s="7">
        <v>236.702366590499</v>
      </c>
      <c r="H85" s="7">
        <v>3.0</v>
      </c>
      <c r="I85" s="15">
        <v>0.446268267591677</v>
      </c>
      <c r="J85" s="15">
        <v>0.263320487819283</v>
      </c>
      <c r="K85" s="12">
        <f>AVERAGE(I82:I86)</f>
        <v>0.5590690615</v>
      </c>
      <c r="L85" s="18">
        <v>24118.0</v>
      </c>
      <c r="M85" s="14">
        <f>STDEV(L82:L86)</f>
        <v>26820.45236</v>
      </c>
      <c r="N85" s="15" t="b">
        <f t="shared" si="1"/>
        <v>0</v>
      </c>
    </row>
    <row r="86" hidden="1">
      <c r="A86" s="7" t="s">
        <v>23</v>
      </c>
      <c r="B86" s="7" t="s">
        <v>17</v>
      </c>
      <c r="C86" s="7">
        <v>0.1</v>
      </c>
      <c r="D86" s="7">
        <v>0.1</v>
      </c>
      <c r="E86" s="7">
        <v>7.0</v>
      </c>
      <c r="F86" s="7">
        <v>67.5369946956634</v>
      </c>
      <c r="G86" s="7">
        <v>236.702366590499</v>
      </c>
      <c r="H86" s="7">
        <v>4.0</v>
      </c>
      <c r="I86" s="15">
        <v>0.760223517090143</v>
      </c>
      <c r="J86" s="15">
        <v>0.13289602970804</v>
      </c>
      <c r="K86" s="12">
        <f>AVERAGE(I82:I86)</f>
        <v>0.5590690615</v>
      </c>
      <c r="L86" s="18">
        <v>15955.0</v>
      </c>
      <c r="M86" s="14">
        <f>STDEV(L82:L86)</f>
        <v>26820.45236</v>
      </c>
      <c r="N86" s="15" t="b">
        <f t="shared" si="1"/>
        <v>0</v>
      </c>
    </row>
    <row r="87" hidden="1">
      <c r="A87" s="7" t="s">
        <v>24</v>
      </c>
      <c r="B87" s="20" t="s">
        <v>17</v>
      </c>
      <c r="C87" s="20">
        <v>0.1</v>
      </c>
      <c r="D87" s="20">
        <v>0.1</v>
      </c>
      <c r="E87" s="20">
        <v>8.0</v>
      </c>
      <c r="F87" s="7">
        <v>32.3255348205566</v>
      </c>
      <c r="G87" s="7">
        <v>117.728285551071</v>
      </c>
      <c r="H87" s="7">
        <v>0.0</v>
      </c>
      <c r="I87" s="15">
        <v>0.806160430467556</v>
      </c>
      <c r="J87" s="15">
        <v>0.11702082703708</v>
      </c>
      <c r="K87" s="12">
        <f>AVERAGE(I87:I91)</f>
        <v>0.6678544374</v>
      </c>
      <c r="L87" s="18">
        <v>5709.0</v>
      </c>
      <c r="M87" s="14">
        <f>STDEV(L87:L91)</f>
        <v>46186.27828</v>
      </c>
      <c r="N87" s="15" t="b">
        <f t="shared" si="1"/>
        <v>1</v>
      </c>
    </row>
    <row r="88" hidden="1">
      <c r="A88" s="7" t="s">
        <v>24</v>
      </c>
      <c r="B88" s="20" t="s">
        <v>17</v>
      </c>
      <c r="C88" s="20">
        <v>0.1</v>
      </c>
      <c r="D88" s="20">
        <v>0.1</v>
      </c>
      <c r="E88" s="20">
        <v>8.0</v>
      </c>
      <c r="F88" s="7">
        <v>32.3255348205566</v>
      </c>
      <c r="G88" s="7">
        <v>117.728285551071</v>
      </c>
      <c r="H88" s="7">
        <v>1.0</v>
      </c>
      <c r="I88" s="15">
        <v>0.760117435751104</v>
      </c>
      <c r="J88" s="15">
        <v>0.136114206325449</v>
      </c>
      <c r="K88" s="12">
        <f>AVERAGE(I87:I91)</f>
        <v>0.6678544374</v>
      </c>
      <c r="L88" s="18">
        <v>16011.0</v>
      </c>
      <c r="M88" s="14">
        <f>STDEV(L87:L91)</f>
        <v>46186.27828</v>
      </c>
      <c r="N88" s="15" t="b">
        <f t="shared" si="1"/>
        <v>1</v>
      </c>
    </row>
    <row r="89" hidden="1">
      <c r="A89" s="7" t="s">
        <v>24</v>
      </c>
      <c r="B89" s="20" t="s">
        <v>17</v>
      </c>
      <c r="C89" s="20">
        <v>0.1</v>
      </c>
      <c r="D89" s="20">
        <v>0.1</v>
      </c>
      <c r="E89" s="20">
        <v>8.0</v>
      </c>
      <c r="F89" s="7">
        <v>32.3255348205566</v>
      </c>
      <c r="G89" s="7">
        <v>117.728285551071</v>
      </c>
      <c r="H89" s="7">
        <v>2.0</v>
      </c>
      <c r="I89" s="15">
        <v>0.911784505222271</v>
      </c>
      <c r="J89" s="15">
        <v>0.0352980593144745</v>
      </c>
      <c r="K89" s="12">
        <f>AVERAGE(I87:I91)</f>
        <v>0.6678544374</v>
      </c>
      <c r="L89" s="18">
        <v>2051.0</v>
      </c>
      <c r="M89" s="14">
        <f>STDEV(L87:L91)</f>
        <v>46186.27828</v>
      </c>
      <c r="N89" s="15" t="b">
        <f t="shared" si="1"/>
        <v>1</v>
      </c>
    </row>
    <row r="90" hidden="1">
      <c r="A90" s="7" t="s">
        <v>24</v>
      </c>
      <c r="B90" s="20" t="s">
        <v>17</v>
      </c>
      <c r="C90" s="20">
        <v>0.1</v>
      </c>
      <c r="D90" s="20">
        <v>0.1</v>
      </c>
      <c r="E90" s="20">
        <v>8.0</v>
      </c>
      <c r="F90" s="7">
        <v>32.3255348205566</v>
      </c>
      <c r="G90" s="7">
        <v>117.728285551071</v>
      </c>
      <c r="H90" s="7">
        <v>3.0</v>
      </c>
      <c r="I90" s="15">
        <v>0.798744573118422</v>
      </c>
      <c r="J90" s="15">
        <v>0.118380931970496</v>
      </c>
      <c r="K90" s="12">
        <f>AVERAGE(I87:I91)</f>
        <v>0.6678544374</v>
      </c>
      <c r="L90" s="18">
        <v>7459.0</v>
      </c>
      <c r="M90" s="14">
        <f>STDEV(L87:L91)</f>
        <v>46186.27828</v>
      </c>
      <c r="N90" s="15" t="b">
        <f t="shared" si="1"/>
        <v>1</v>
      </c>
    </row>
    <row r="91" hidden="1">
      <c r="A91" s="7" t="s">
        <v>24</v>
      </c>
      <c r="B91" s="20" t="s">
        <v>17</v>
      </c>
      <c r="C91" s="20">
        <v>0.1</v>
      </c>
      <c r="D91" s="20">
        <v>0.1</v>
      </c>
      <c r="E91" s="20">
        <v>8.0</v>
      </c>
      <c r="F91" s="7">
        <v>32.3255348205566</v>
      </c>
      <c r="G91" s="7">
        <v>117.728285551071</v>
      </c>
      <c r="H91" s="7">
        <v>4.0</v>
      </c>
      <c r="I91" s="15">
        <v>0.0624652426845586</v>
      </c>
      <c r="J91" s="15">
        <v>0.0490455847301695</v>
      </c>
      <c r="K91" s="12">
        <f>AVERAGE(I87:I91)</f>
        <v>0.6678544374</v>
      </c>
      <c r="L91" s="18">
        <v>110446.0</v>
      </c>
      <c r="M91" s="14">
        <f>STDEV(L87:L91)</f>
        <v>46186.27828</v>
      </c>
      <c r="N91" s="15" t="b">
        <f t="shared" si="1"/>
        <v>1</v>
      </c>
    </row>
    <row r="92" hidden="1">
      <c r="A92" s="7" t="s">
        <v>25</v>
      </c>
      <c r="B92" s="7" t="s">
        <v>17</v>
      </c>
      <c r="C92" s="7">
        <v>0.1</v>
      </c>
      <c r="D92" s="7">
        <v>0.1</v>
      </c>
      <c r="E92" s="7">
        <v>9.0</v>
      </c>
      <c r="F92" s="7">
        <v>225.633921861648</v>
      </c>
      <c r="G92" s="7">
        <v>362.942620754241</v>
      </c>
      <c r="H92" s="7">
        <v>0.0</v>
      </c>
      <c r="I92" s="15">
        <v>0.425689749357818</v>
      </c>
      <c r="J92" s="15">
        <v>0.103823878960813</v>
      </c>
      <c r="K92" s="12">
        <f>AVERAGE(I92:I96)</f>
        <v>0.4987117294</v>
      </c>
      <c r="L92" s="18">
        <v>7247.0</v>
      </c>
      <c r="M92" s="14">
        <f>STDEV(L92:L96)</f>
        <v>32654.23445</v>
      </c>
      <c r="N92" s="15" t="b">
        <f t="shared" si="1"/>
        <v>0</v>
      </c>
    </row>
    <row r="93" hidden="1">
      <c r="A93" s="7" t="s">
        <v>25</v>
      </c>
      <c r="B93" s="7" t="s">
        <v>17</v>
      </c>
      <c r="C93" s="7">
        <v>0.1</v>
      </c>
      <c r="D93" s="7">
        <v>0.1</v>
      </c>
      <c r="E93" s="7">
        <v>9.0</v>
      </c>
      <c r="F93" s="7">
        <v>225.633921861648</v>
      </c>
      <c r="G93" s="7">
        <v>362.942620754241</v>
      </c>
      <c r="H93" s="7">
        <v>1.0</v>
      </c>
      <c r="I93" s="15">
        <v>0.389057545921609</v>
      </c>
      <c r="J93" s="15">
        <v>0.0616974337308346</v>
      </c>
      <c r="K93" s="12">
        <f>AVERAGE(I92:I96)</f>
        <v>0.4987117294</v>
      </c>
      <c r="L93" s="18">
        <v>34482.0</v>
      </c>
      <c r="M93" s="14">
        <f>STDEV(L92:L96)</f>
        <v>32654.23445</v>
      </c>
      <c r="N93" s="15" t="b">
        <f t="shared" si="1"/>
        <v>0</v>
      </c>
    </row>
    <row r="94" hidden="1">
      <c r="A94" s="7" t="s">
        <v>25</v>
      </c>
      <c r="B94" s="7" t="s">
        <v>17</v>
      </c>
      <c r="C94" s="7">
        <v>0.1</v>
      </c>
      <c r="D94" s="7">
        <v>0.1</v>
      </c>
      <c r="E94" s="7">
        <v>9.0</v>
      </c>
      <c r="F94" s="7">
        <v>225.633921861648</v>
      </c>
      <c r="G94" s="7">
        <v>362.942620754241</v>
      </c>
      <c r="H94" s="7">
        <v>2.0</v>
      </c>
      <c r="I94" s="15">
        <v>0.0217096041431712</v>
      </c>
      <c r="J94" s="15">
        <v>0.149761871716552</v>
      </c>
      <c r="K94" s="12">
        <f>AVERAGE(I92:I96)</f>
        <v>0.4987117294</v>
      </c>
      <c r="L94" s="18">
        <v>82811.0</v>
      </c>
      <c r="M94" s="14">
        <f>STDEV(L92:L96)</f>
        <v>32654.23445</v>
      </c>
      <c r="N94" s="15" t="b">
        <f t="shared" si="1"/>
        <v>0</v>
      </c>
    </row>
    <row r="95" hidden="1">
      <c r="A95" s="7" t="s">
        <v>25</v>
      </c>
      <c r="B95" s="7" t="s">
        <v>17</v>
      </c>
      <c r="C95" s="7">
        <v>0.1</v>
      </c>
      <c r="D95" s="7">
        <v>0.1</v>
      </c>
      <c r="E95" s="7">
        <v>9.0</v>
      </c>
      <c r="F95" s="7">
        <v>225.633921861648</v>
      </c>
      <c r="G95" s="7">
        <v>362.942620754241</v>
      </c>
      <c r="H95" s="7">
        <v>3.0</v>
      </c>
      <c r="I95" s="15">
        <v>0.787799814468731</v>
      </c>
      <c r="J95" s="15">
        <v>0.115416137316837</v>
      </c>
      <c r="K95" s="12">
        <f>AVERAGE(I92:I96)</f>
        <v>0.4987117294</v>
      </c>
      <c r="L95" s="18">
        <v>12667.0</v>
      </c>
      <c r="M95" s="14">
        <f>STDEV(L92:L96)</f>
        <v>32654.23445</v>
      </c>
      <c r="N95" s="15" t="b">
        <f t="shared" si="1"/>
        <v>0</v>
      </c>
    </row>
    <row r="96" hidden="1">
      <c r="A96" s="7" t="s">
        <v>25</v>
      </c>
      <c r="B96" s="7" t="s">
        <v>17</v>
      </c>
      <c r="C96" s="7">
        <v>0.1</v>
      </c>
      <c r="D96" s="7">
        <v>0.1</v>
      </c>
      <c r="E96" s="7">
        <v>9.0</v>
      </c>
      <c r="F96" s="7">
        <v>225.633921861648</v>
      </c>
      <c r="G96" s="7">
        <v>362.942620754241</v>
      </c>
      <c r="H96" s="7">
        <v>4.0</v>
      </c>
      <c r="I96" s="15">
        <v>0.869301932923007</v>
      </c>
      <c r="J96" s="15">
        <v>0.100622674778202</v>
      </c>
      <c r="K96" s="12">
        <f>AVERAGE(I92:I96)</f>
        <v>0.4987117294</v>
      </c>
      <c r="L96" s="18">
        <v>4469.0</v>
      </c>
      <c r="M96" s="14">
        <f>STDEV(L92:L96)</f>
        <v>32654.23445</v>
      </c>
      <c r="N96" s="15" t="b">
        <f t="shared" si="1"/>
        <v>0</v>
      </c>
    </row>
    <row r="97" hidden="1">
      <c r="A97" s="7" t="s">
        <v>26</v>
      </c>
      <c r="B97" s="7" t="s">
        <v>17</v>
      </c>
      <c r="C97" s="7">
        <v>0.1</v>
      </c>
      <c r="D97" s="7">
        <v>0.1</v>
      </c>
      <c r="E97" s="7">
        <v>10.0</v>
      </c>
      <c r="F97" s="7">
        <v>43.5553963184356</v>
      </c>
      <c r="G97" s="7">
        <v>183.970411300659</v>
      </c>
      <c r="H97" s="7">
        <v>0.0</v>
      </c>
      <c r="I97" s="15">
        <v>0.0424484079037537</v>
      </c>
      <c r="J97" s="15">
        <v>0.111276251131877</v>
      </c>
      <c r="K97" s="12">
        <f>AVERAGE(I97:I101)</f>
        <v>0.6284890423</v>
      </c>
      <c r="L97" s="18">
        <v>105735.0</v>
      </c>
      <c r="M97" s="14">
        <f>STDEV(L97:L101)</f>
        <v>43632.01107</v>
      </c>
      <c r="N97" s="15" t="b">
        <f t="shared" si="1"/>
        <v>0</v>
      </c>
    </row>
    <row r="98" hidden="1">
      <c r="A98" s="7" t="s">
        <v>26</v>
      </c>
      <c r="B98" s="7" t="s">
        <v>17</v>
      </c>
      <c r="C98" s="7">
        <v>0.1</v>
      </c>
      <c r="D98" s="7">
        <v>0.1</v>
      </c>
      <c r="E98" s="7">
        <v>10.0</v>
      </c>
      <c r="F98" s="7">
        <v>43.5553963184356</v>
      </c>
      <c r="G98" s="7">
        <v>183.970411300659</v>
      </c>
      <c r="H98" s="7">
        <v>1.0</v>
      </c>
      <c r="I98" s="15">
        <v>0.789334283752771</v>
      </c>
      <c r="J98" s="15">
        <v>0.116975252481109</v>
      </c>
      <c r="K98" s="12">
        <f>AVERAGE(I97:I101)</f>
        <v>0.6284890423</v>
      </c>
      <c r="L98" s="18">
        <v>12600.0</v>
      </c>
      <c r="M98" s="14">
        <f>STDEV(L97:L101)</f>
        <v>43632.01107</v>
      </c>
      <c r="N98" s="15" t="b">
        <f t="shared" si="1"/>
        <v>0</v>
      </c>
    </row>
    <row r="99" hidden="1">
      <c r="A99" s="7" t="s">
        <v>26</v>
      </c>
      <c r="B99" s="7" t="s">
        <v>17</v>
      </c>
      <c r="C99" s="7">
        <v>0.1</v>
      </c>
      <c r="D99" s="7">
        <v>0.1</v>
      </c>
      <c r="E99" s="7">
        <v>10.0</v>
      </c>
      <c r="F99" s="7">
        <v>43.5553963184356</v>
      </c>
      <c r="G99" s="7">
        <v>183.970411300659</v>
      </c>
      <c r="H99" s="7">
        <v>2.0</v>
      </c>
      <c r="I99" s="15">
        <v>0.741742846829176</v>
      </c>
      <c r="J99" s="15">
        <v>0.150886015998051</v>
      </c>
      <c r="K99" s="12">
        <f>AVERAGE(I97:I101)</f>
        <v>0.6284890423</v>
      </c>
      <c r="L99" s="18">
        <v>1689.0</v>
      </c>
      <c r="M99" s="14">
        <f>STDEV(L97:L101)</f>
        <v>43632.01107</v>
      </c>
      <c r="N99" s="15" t="b">
        <f t="shared" si="1"/>
        <v>0</v>
      </c>
    </row>
    <row r="100" hidden="1">
      <c r="A100" s="7" t="s">
        <v>26</v>
      </c>
      <c r="B100" s="7" t="s">
        <v>17</v>
      </c>
      <c r="C100" s="7">
        <v>0.1</v>
      </c>
      <c r="D100" s="7">
        <v>0.1</v>
      </c>
      <c r="E100" s="7">
        <v>10.0</v>
      </c>
      <c r="F100" s="7">
        <v>43.5553963184356</v>
      </c>
      <c r="G100" s="7">
        <v>183.970411300659</v>
      </c>
      <c r="H100" s="7">
        <v>3.0</v>
      </c>
      <c r="I100" s="15">
        <v>0.75962138259042</v>
      </c>
      <c r="J100" s="15">
        <v>0.133710325967451</v>
      </c>
      <c r="K100" s="12">
        <f>AVERAGE(I97:I101)</f>
        <v>0.6284890423</v>
      </c>
      <c r="L100" s="18">
        <v>15999.0</v>
      </c>
      <c r="M100" s="14">
        <f>STDEV(L97:L101)</f>
        <v>43632.01107</v>
      </c>
      <c r="N100" s="15" t="b">
        <f t="shared" si="1"/>
        <v>0</v>
      </c>
    </row>
    <row r="101" hidden="1">
      <c r="A101" s="7" t="s">
        <v>26</v>
      </c>
      <c r="B101" s="7" t="s">
        <v>17</v>
      </c>
      <c r="C101" s="7">
        <v>0.1</v>
      </c>
      <c r="D101" s="7">
        <v>0.1</v>
      </c>
      <c r="E101" s="7">
        <v>10.0</v>
      </c>
      <c r="F101" s="7">
        <v>43.5553963184356</v>
      </c>
      <c r="G101" s="7">
        <v>183.970411300659</v>
      </c>
      <c r="H101" s="7">
        <v>4.0</v>
      </c>
      <c r="I101" s="15">
        <v>0.809298290245105</v>
      </c>
      <c r="J101" s="15">
        <v>0.123630633503144</v>
      </c>
      <c r="K101" s="12">
        <f>AVERAGE(I97:I101)</f>
        <v>0.6284890423</v>
      </c>
      <c r="L101" s="18">
        <v>5653.0</v>
      </c>
      <c r="M101" s="14">
        <f>STDEV(L97:L101)</f>
        <v>43632.01107</v>
      </c>
      <c r="N101" s="15" t="b">
        <f t="shared" si="1"/>
        <v>0</v>
      </c>
    </row>
    <row r="102" hidden="1">
      <c r="A102" s="7" t="s">
        <v>27</v>
      </c>
      <c r="B102" s="21" t="s">
        <v>17</v>
      </c>
      <c r="C102" s="21">
        <v>0.1</v>
      </c>
      <c r="D102" s="21">
        <v>0.25</v>
      </c>
      <c r="E102" s="21">
        <v>1.0</v>
      </c>
      <c r="F102" s="7">
        <v>36.176684141159</v>
      </c>
      <c r="G102" s="7">
        <v>147.15604186058</v>
      </c>
      <c r="H102" s="7">
        <v>0.0</v>
      </c>
      <c r="I102" s="15">
        <v>0.828195045617193</v>
      </c>
      <c r="J102" s="15">
        <v>0.0975544320133002</v>
      </c>
      <c r="K102" s="12">
        <f>AVERAGE(I102:I106)</f>
        <v>0.6549293876</v>
      </c>
      <c r="L102" s="18">
        <v>7459.0</v>
      </c>
      <c r="M102" s="14">
        <f>STDEV(L102:L106)</f>
        <v>42131.57575</v>
      </c>
      <c r="N102" s="15" t="b">
        <f t="shared" si="1"/>
        <v>1</v>
      </c>
    </row>
    <row r="103" hidden="1">
      <c r="A103" s="7" t="s">
        <v>27</v>
      </c>
      <c r="B103" s="21" t="s">
        <v>17</v>
      </c>
      <c r="C103" s="21">
        <v>0.1</v>
      </c>
      <c r="D103" s="21">
        <v>0.25</v>
      </c>
      <c r="E103" s="21">
        <v>1.0</v>
      </c>
      <c r="F103" s="7">
        <v>36.176684141159</v>
      </c>
      <c r="G103" s="7">
        <v>147.15604186058</v>
      </c>
      <c r="H103" s="7">
        <v>1.0</v>
      </c>
      <c r="I103" s="15">
        <v>0.0659903245655127</v>
      </c>
      <c r="J103" s="15">
        <v>0.0481212258005405</v>
      </c>
      <c r="K103" s="12">
        <f>AVERAGE(I102:I106)</f>
        <v>0.6549293876</v>
      </c>
      <c r="L103" s="18">
        <v>103089.0</v>
      </c>
      <c r="M103" s="14">
        <f>STDEV(L102:L106)</f>
        <v>42131.57575</v>
      </c>
      <c r="N103" s="15" t="b">
        <f t="shared" si="1"/>
        <v>1</v>
      </c>
    </row>
    <row r="104" hidden="1">
      <c r="A104" s="7" t="s">
        <v>27</v>
      </c>
      <c r="B104" s="21" t="s">
        <v>17</v>
      </c>
      <c r="C104" s="21">
        <v>0.1</v>
      </c>
      <c r="D104" s="21">
        <v>0.25</v>
      </c>
      <c r="E104" s="21">
        <v>1.0</v>
      </c>
      <c r="F104" s="7">
        <v>36.176684141159</v>
      </c>
      <c r="G104" s="7">
        <v>147.15604186058</v>
      </c>
      <c r="H104" s="7">
        <v>2.0</v>
      </c>
      <c r="I104" s="15">
        <v>0.79075587988025</v>
      </c>
      <c r="J104" s="15">
        <v>0.100555161227678</v>
      </c>
      <c r="K104" s="12">
        <f>AVERAGE(I102:I106)</f>
        <v>0.6549293876</v>
      </c>
      <c r="L104" s="18">
        <v>18685.0</v>
      </c>
      <c r="M104" s="14">
        <f>STDEV(L102:L106)</f>
        <v>42131.57575</v>
      </c>
      <c r="N104" s="15" t="b">
        <f t="shared" si="1"/>
        <v>1</v>
      </c>
    </row>
    <row r="105" hidden="1">
      <c r="A105" s="7" t="s">
        <v>27</v>
      </c>
      <c r="B105" s="21" t="s">
        <v>17</v>
      </c>
      <c r="C105" s="21">
        <v>0.1</v>
      </c>
      <c r="D105" s="21">
        <v>0.25</v>
      </c>
      <c r="E105" s="21">
        <v>1.0</v>
      </c>
      <c r="F105" s="7">
        <v>36.176684141159</v>
      </c>
      <c r="G105" s="7">
        <v>147.15604186058</v>
      </c>
      <c r="H105" s="7">
        <v>3.0</v>
      </c>
      <c r="I105" s="15">
        <v>0.825468576399084</v>
      </c>
      <c r="J105" s="15">
        <v>0.0931190390536699</v>
      </c>
      <c r="K105" s="12">
        <f>AVERAGE(I102:I106)</f>
        <v>0.6549293876</v>
      </c>
      <c r="L105" s="18">
        <v>4613.0</v>
      </c>
      <c r="M105" s="14">
        <f>STDEV(L102:L106)</f>
        <v>42131.57575</v>
      </c>
      <c r="N105" s="15" t="b">
        <f t="shared" si="1"/>
        <v>1</v>
      </c>
    </row>
    <row r="106" hidden="1">
      <c r="A106" s="7" t="s">
        <v>27</v>
      </c>
      <c r="B106" s="21" t="s">
        <v>17</v>
      </c>
      <c r="C106" s="21">
        <v>0.1</v>
      </c>
      <c r="D106" s="21">
        <v>0.25</v>
      </c>
      <c r="E106" s="21">
        <v>1.0</v>
      </c>
      <c r="F106" s="7">
        <v>36.176684141159</v>
      </c>
      <c r="G106" s="7">
        <v>147.15604186058</v>
      </c>
      <c r="H106" s="7">
        <v>4.0</v>
      </c>
      <c r="I106" s="15">
        <v>0.764237111471386</v>
      </c>
      <c r="J106" s="15">
        <v>0.133161912955182</v>
      </c>
      <c r="K106" s="12">
        <f>AVERAGE(I102:I106)</f>
        <v>0.6549293876</v>
      </c>
      <c r="L106" s="18">
        <v>7830.0</v>
      </c>
      <c r="M106" s="14">
        <f>STDEV(L102:L106)</f>
        <v>42131.57575</v>
      </c>
      <c r="N106" s="15" t="b">
        <f t="shared" si="1"/>
        <v>1</v>
      </c>
    </row>
    <row r="107" hidden="1">
      <c r="A107" s="7" t="s">
        <v>28</v>
      </c>
      <c r="B107" s="7" t="s">
        <v>17</v>
      </c>
      <c r="C107" s="7">
        <v>0.1</v>
      </c>
      <c r="D107" s="7">
        <v>0.25</v>
      </c>
      <c r="E107" s="7">
        <v>2.0</v>
      </c>
      <c r="F107" s="7">
        <v>66.1843152046203</v>
      </c>
      <c r="G107" s="7">
        <v>235.001380205154</v>
      </c>
      <c r="H107" s="7">
        <v>0.0</v>
      </c>
      <c r="I107" s="15">
        <v>0.0776756859546917</v>
      </c>
      <c r="J107" s="15">
        <v>0.0716040854783289</v>
      </c>
      <c r="K107" s="12">
        <f>AVERAGE(I107:I111)</f>
        <v>0.5532391933</v>
      </c>
      <c r="L107" s="18">
        <v>76002.0</v>
      </c>
      <c r="M107" s="14">
        <f>STDEV(L107:L111)</f>
        <v>30383.4781</v>
      </c>
      <c r="N107" s="15" t="b">
        <f t="shared" si="1"/>
        <v>0</v>
      </c>
    </row>
    <row r="108" hidden="1">
      <c r="A108" s="7" t="s">
        <v>28</v>
      </c>
      <c r="B108" s="7" t="s">
        <v>17</v>
      </c>
      <c r="C108" s="7">
        <v>0.1</v>
      </c>
      <c r="D108" s="7">
        <v>0.25</v>
      </c>
      <c r="E108" s="7">
        <v>2.0</v>
      </c>
      <c r="F108" s="7">
        <v>66.1843152046203</v>
      </c>
      <c r="G108" s="7">
        <v>235.001380205154</v>
      </c>
      <c r="H108" s="7">
        <v>1.0</v>
      </c>
      <c r="I108" s="15">
        <v>0.891255018157978</v>
      </c>
      <c r="J108" s="15">
        <v>0.120074286034009</v>
      </c>
      <c r="K108" s="12">
        <f>AVERAGE(I107:I111)</f>
        <v>0.5532391933</v>
      </c>
      <c r="L108" s="18">
        <v>2063.0</v>
      </c>
      <c r="M108" s="14">
        <f>STDEV(L107:L111)</f>
        <v>30383.4781</v>
      </c>
      <c r="N108" s="15" t="b">
        <f t="shared" si="1"/>
        <v>0</v>
      </c>
    </row>
    <row r="109" hidden="1">
      <c r="A109" s="7" t="s">
        <v>28</v>
      </c>
      <c r="B109" s="7" t="s">
        <v>17</v>
      </c>
      <c r="C109" s="7">
        <v>0.1</v>
      </c>
      <c r="D109" s="7">
        <v>0.25</v>
      </c>
      <c r="E109" s="7">
        <v>2.0</v>
      </c>
      <c r="F109" s="7">
        <v>66.1843152046203</v>
      </c>
      <c r="G109" s="7">
        <v>235.001380205154</v>
      </c>
      <c r="H109" s="7">
        <v>2.0</v>
      </c>
      <c r="I109" s="15">
        <v>0.799790786121841</v>
      </c>
      <c r="J109" s="15">
        <v>0.117470864299167</v>
      </c>
      <c r="K109" s="12">
        <f>AVERAGE(I107:I111)</f>
        <v>0.5532391933</v>
      </c>
      <c r="L109" s="18">
        <v>7442.0</v>
      </c>
      <c r="M109" s="14">
        <f>STDEV(L107:L111)</f>
        <v>30383.4781</v>
      </c>
      <c r="N109" s="15" t="b">
        <f t="shared" si="1"/>
        <v>0</v>
      </c>
    </row>
    <row r="110" hidden="1">
      <c r="A110" s="7" t="s">
        <v>28</v>
      </c>
      <c r="B110" s="7" t="s">
        <v>17</v>
      </c>
      <c r="C110" s="7">
        <v>0.1</v>
      </c>
      <c r="D110" s="7">
        <v>0.25</v>
      </c>
      <c r="E110" s="7">
        <v>2.0</v>
      </c>
      <c r="F110" s="7">
        <v>66.1843152046203</v>
      </c>
      <c r="G110" s="7">
        <v>235.001380205154</v>
      </c>
      <c r="H110" s="7">
        <v>3.0</v>
      </c>
      <c r="I110" s="15">
        <v>0.758785306322754</v>
      </c>
      <c r="J110" s="15">
        <v>0.138254100294088</v>
      </c>
      <c r="K110" s="12">
        <f>AVERAGE(I107:I111)</f>
        <v>0.5532391933</v>
      </c>
      <c r="L110" s="18">
        <v>15968.0</v>
      </c>
      <c r="M110" s="14">
        <f>STDEV(L107:L111)</f>
        <v>30383.4781</v>
      </c>
      <c r="N110" s="15" t="b">
        <f t="shared" si="1"/>
        <v>0</v>
      </c>
    </row>
    <row r="111" hidden="1">
      <c r="A111" s="7" t="s">
        <v>28</v>
      </c>
      <c r="B111" s="7" t="s">
        <v>17</v>
      </c>
      <c r="C111" s="7">
        <v>0.1</v>
      </c>
      <c r="D111" s="7">
        <v>0.25</v>
      </c>
      <c r="E111" s="7">
        <v>2.0</v>
      </c>
      <c r="F111" s="7">
        <v>66.1843152046203</v>
      </c>
      <c r="G111" s="7">
        <v>235.001380205154</v>
      </c>
      <c r="H111" s="7">
        <v>4.0</v>
      </c>
      <c r="I111" s="15">
        <v>0.238689170166714</v>
      </c>
      <c r="J111" s="15">
        <v>0.127487805810678</v>
      </c>
      <c r="K111" s="12">
        <f>AVERAGE(I107:I111)</f>
        <v>0.5532391933</v>
      </c>
      <c r="L111" s="18">
        <v>40201.0</v>
      </c>
      <c r="M111" s="14">
        <f>STDEV(L107:L111)</f>
        <v>30383.4781</v>
      </c>
      <c r="N111" s="15" t="b">
        <f t="shared" si="1"/>
        <v>0</v>
      </c>
    </row>
    <row r="112" hidden="1">
      <c r="A112" s="7" t="s">
        <v>29</v>
      </c>
      <c r="B112" s="7" t="s">
        <v>17</v>
      </c>
      <c r="C112" s="7">
        <v>0.1</v>
      </c>
      <c r="D112" s="7">
        <v>0.25</v>
      </c>
      <c r="E112" s="7">
        <v>3.0</v>
      </c>
      <c r="F112" s="7">
        <v>69.0727632045745</v>
      </c>
      <c r="G112" s="7">
        <v>212.173805713653</v>
      </c>
      <c r="H112" s="7">
        <v>0.0</v>
      </c>
      <c r="I112" s="15">
        <v>0.828640877658365</v>
      </c>
      <c r="J112" s="15">
        <v>0.0978851848703252</v>
      </c>
      <c r="K112" s="12">
        <f>AVERAGE(I112:I116)</f>
        <v>0.5517366281</v>
      </c>
      <c r="L112" s="18">
        <v>7451.0</v>
      </c>
      <c r="M112" s="14">
        <f>STDEV(L112:L116)</f>
        <v>31146.69658</v>
      </c>
      <c r="N112" s="15" t="b">
        <f t="shared" si="1"/>
        <v>0</v>
      </c>
    </row>
    <row r="113" hidden="1">
      <c r="A113" s="7" t="s">
        <v>29</v>
      </c>
      <c r="B113" s="7" t="s">
        <v>17</v>
      </c>
      <c r="C113" s="7">
        <v>0.1</v>
      </c>
      <c r="D113" s="7">
        <v>0.25</v>
      </c>
      <c r="E113" s="7">
        <v>3.0</v>
      </c>
      <c r="F113" s="7">
        <v>69.0727632045745</v>
      </c>
      <c r="G113" s="7">
        <v>212.173805713653</v>
      </c>
      <c r="H113" s="7">
        <v>1.0</v>
      </c>
      <c r="I113" s="15">
        <v>0.90967723384514</v>
      </c>
      <c r="J113" s="15">
        <v>0.0448006725224627</v>
      </c>
      <c r="K113" s="12">
        <f>AVERAGE(I112:I116)</f>
        <v>0.5517366281</v>
      </c>
      <c r="L113" s="18">
        <v>2064.0</v>
      </c>
      <c r="M113" s="14">
        <f>STDEV(L112:L116)</f>
        <v>31146.69658</v>
      </c>
      <c r="N113" s="15" t="b">
        <f t="shared" si="1"/>
        <v>0</v>
      </c>
    </row>
    <row r="114" hidden="1">
      <c r="A114" s="7" t="s">
        <v>29</v>
      </c>
      <c r="B114" s="7" t="s">
        <v>17</v>
      </c>
      <c r="C114" s="7">
        <v>0.1</v>
      </c>
      <c r="D114" s="7">
        <v>0.25</v>
      </c>
      <c r="E114" s="7">
        <v>3.0</v>
      </c>
      <c r="F114" s="7">
        <v>69.0727632045745</v>
      </c>
      <c r="G114" s="7">
        <v>212.173805713653</v>
      </c>
      <c r="H114" s="7">
        <v>2.0</v>
      </c>
      <c r="I114" s="15">
        <v>0.0460525028336018</v>
      </c>
      <c r="J114" s="15">
        <v>0.140824334363507</v>
      </c>
      <c r="K114" s="12">
        <f>AVERAGE(I112:I116)</f>
        <v>0.5517366281</v>
      </c>
      <c r="L114" s="18">
        <v>73896.0</v>
      </c>
      <c r="M114" s="14">
        <f>STDEV(L112:L116)</f>
        <v>31146.69658</v>
      </c>
      <c r="N114" s="15" t="b">
        <f t="shared" si="1"/>
        <v>0</v>
      </c>
    </row>
    <row r="115" hidden="1">
      <c r="A115" s="7" t="s">
        <v>29</v>
      </c>
      <c r="B115" s="7" t="s">
        <v>17</v>
      </c>
      <c r="C115" s="7">
        <v>0.1</v>
      </c>
      <c r="D115" s="7">
        <v>0.25</v>
      </c>
      <c r="E115" s="7">
        <v>3.0</v>
      </c>
      <c r="F115" s="7">
        <v>69.0727632045745</v>
      </c>
      <c r="G115" s="7">
        <v>212.173805713653</v>
      </c>
      <c r="H115" s="7">
        <v>3.0</v>
      </c>
      <c r="I115" s="15">
        <v>0.738633990821122</v>
      </c>
      <c r="J115" s="15">
        <v>0.141636567062698</v>
      </c>
      <c r="K115" s="12">
        <f>AVERAGE(I112:I116)</f>
        <v>0.5517366281</v>
      </c>
      <c r="L115" s="18">
        <v>10733.0</v>
      </c>
      <c r="M115" s="14">
        <f>STDEV(L112:L116)</f>
        <v>31146.69658</v>
      </c>
      <c r="N115" s="15" t="b">
        <f t="shared" si="1"/>
        <v>0</v>
      </c>
    </row>
    <row r="116" hidden="1">
      <c r="A116" s="7" t="s">
        <v>29</v>
      </c>
      <c r="B116" s="7" t="s">
        <v>17</v>
      </c>
      <c r="C116" s="7">
        <v>0.1</v>
      </c>
      <c r="D116" s="7">
        <v>0.25</v>
      </c>
      <c r="E116" s="7">
        <v>3.0</v>
      </c>
      <c r="F116" s="7">
        <v>69.0727632045745</v>
      </c>
      <c r="G116" s="7">
        <v>212.173805713653</v>
      </c>
      <c r="H116" s="7">
        <v>4.0</v>
      </c>
      <c r="I116" s="15">
        <v>0.235678535392513</v>
      </c>
      <c r="J116" s="15">
        <v>0.082431379273437</v>
      </c>
      <c r="K116" s="12">
        <f>AVERAGE(I112:I116)</f>
        <v>0.5517366281</v>
      </c>
      <c r="L116" s="18">
        <v>47532.0</v>
      </c>
      <c r="M116" s="14">
        <f>STDEV(L112:L116)</f>
        <v>31146.69658</v>
      </c>
      <c r="N116" s="15" t="b">
        <f t="shared" si="1"/>
        <v>0</v>
      </c>
    </row>
    <row r="117" hidden="1">
      <c r="A117" s="7" t="s">
        <v>30</v>
      </c>
      <c r="B117" s="7" t="s">
        <v>17</v>
      </c>
      <c r="C117" s="7">
        <v>0.1</v>
      </c>
      <c r="D117" s="7">
        <v>0.25</v>
      </c>
      <c r="E117" s="7">
        <v>4.0</v>
      </c>
      <c r="F117" s="7">
        <v>61.7763884067535</v>
      </c>
      <c r="G117" s="7">
        <v>233.102187156677</v>
      </c>
      <c r="H117" s="7">
        <v>0.0</v>
      </c>
      <c r="I117" s="15">
        <v>0.0561573534004413</v>
      </c>
      <c r="J117" s="15">
        <v>0.13442796352138</v>
      </c>
      <c r="K117" s="12">
        <f>AVERAGE(I117:I121)</f>
        <v>0.5615194731</v>
      </c>
      <c r="L117" s="18">
        <v>88041.0</v>
      </c>
      <c r="M117" s="14">
        <f>STDEV(L117:L121)</f>
        <v>34792.62484</v>
      </c>
      <c r="N117" s="15" t="b">
        <f t="shared" si="1"/>
        <v>0</v>
      </c>
    </row>
    <row r="118" hidden="1">
      <c r="A118" s="7" t="s">
        <v>30</v>
      </c>
      <c r="B118" s="7" t="s">
        <v>17</v>
      </c>
      <c r="C118" s="7">
        <v>0.1</v>
      </c>
      <c r="D118" s="7">
        <v>0.25</v>
      </c>
      <c r="E118" s="7">
        <v>4.0</v>
      </c>
      <c r="F118" s="7">
        <v>61.7763884067535</v>
      </c>
      <c r="G118" s="7">
        <v>233.102187156677</v>
      </c>
      <c r="H118" s="7">
        <v>1.0</v>
      </c>
      <c r="I118" s="15">
        <v>0.78589366197448</v>
      </c>
      <c r="J118" s="15">
        <v>0.119184734539406</v>
      </c>
      <c r="K118" s="12">
        <f>AVERAGE(I117:I121)</f>
        <v>0.5615194731</v>
      </c>
      <c r="L118" s="18">
        <v>12443.0</v>
      </c>
      <c r="M118" s="14">
        <f>STDEV(L117:L121)</f>
        <v>34792.62484</v>
      </c>
      <c r="N118" s="15" t="b">
        <f t="shared" si="1"/>
        <v>0</v>
      </c>
    </row>
    <row r="119" hidden="1">
      <c r="A119" s="7" t="s">
        <v>30</v>
      </c>
      <c r="B119" s="7" t="s">
        <v>17</v>
      </c>
      <c r="C119" s="7">
        <v>0.1</v>
      </c>
      <c r="D119" s="7">
        <v>0.25</v>
      </c>
      <c r="E119" s="7">
        <v>4.0</v>
      </c>
      <c r="F119" s="7">
        <v>61.7763884067535</v>
      </c>
      <c r="G119" s="7">
        <v>233.102187156677</v>
      </c>
      <c r="H119" s="7">
        <v>2.0</v>
      </c>
      <c r="I119" s="15">
        <v>0.811506308946292</v>
      </c>
      <c r="J119" s="15">
        <v>0.0765605961104642</v>
      </c>
      <c r="K119" s="12">
        <f>AVERAGE(I117:I121)</f>
        <v>0.5615194731</v>
      </c>
      <c r="L119" s="18">
        <v>4119.0</v>
      </c>
      <c r="M119" s="14">
        <f>STDEV(L117:L121)</f>
        <v>34792.62484</v>
      </c>
      <c r="N119" s="15" t="b">
        <f t="shared" si="1"/>
        <v>0</v>
      </c>
    </row>
    <row r="120" hidden="1">
      <c r="A120" s="7" t="s">
        <v>30</v>
      </c>
      <c r="B120" s="7" t="s">
        <v>17</v>
      </c>
      <c r="C120" s="7">
        <v>0.1</v>
      </c>
      <c r="D120" s="7">
        <v>0.25</v>
      </c>
      <c r="E120" s="7">
        <v>4.0</v>
      </c>
      <c r="F120" s="7">
        <v>61.7763884067535</v>
      </c>
      <c r="G120" s="7">
        <v>233.102187156677</v>
      </c>
      <c r="H120" s="7">
        <v>3.0</v>
      </c>
      <c r="I120" s="15">
        <v>0.325058375802435</v>
      </c>
      <c r="J120" s="15">
        <v>0.141604234469347</v>
      </c>
      <c r="K120" s="12">
        <f>AVERAGE(I117:I121)</f>
        <v>0.5615194731</v>
      </c>
      <c r="L120" s="18">
        <v>29634.0</v>
      </c>
      <c r="M120" s="14">
        <f>STDEV(L117:L121)</f>
        <v>34792.62484</v>
      </c>
      <c r="N120" s="15" t="b">
        <f t="shared" si="1"/>
        <v>0</v>
      </c>
    </row>
    <row r="121" hidden="1">
      <c r="A121" s="7" t="s">
        <v>30</v>
      </c>
      <c r="B121" s="7" t="s">
        <v>17</v>
      </c>
      <c r="C121" s="7">
        <v>0.1</v>
      </c>
      <c r="D121" s="7">
        <v>0.25</v>
      </c>
      <c r="E121" s="7">
        <v>4.0</v>
      </c>
      <c r="F121" s="7">
        <v>61.7763884067535</v>
      </c>
      <c r="G121" s="7">
        <v>233.102187156677</v>
      </c>
      <c r="H121" s="7">
        <v>4.0</v>
      </c>
      <c r="I121" s="15">
        <v>0.828981665351805</v>
      </c>
      <c r="J121" s="15">
        <v>0.0983397925073731</v>
      </c>
      <c r="K121" s="12">
        <f>AVERAGE(I117:I121)</f>
        <v>0.5615194731</v>
      </c>
      <c r="L121" s="18">
        <v>7439.0</v>
      </c>
      <c r="M121" s="14">
        <f>STDEV(L117:L121)</f>
        <v>34792.62484</v>
      </c>
      <c r="N121" s="15" t="b">
        <f t="shared" si="1"/>
        <v>0</v>
      </c>
    </row>
    <row r="122" hidden="1">
      <c r="A122" s="7" t="s">
        <v>31</v>
      </c>
      <c r="B122" s="7" t="s">
        <v>17</v>
      </c>
      <c r="C122" s="7">
        <v>0.1</v>
      </c>
      <c r="D122" s="7">
        <v>0.25</v>
      </c>
      <c r="E122" s="7">
        <v>5.0</v>
      </c>
      <c r="F122" s="7">
        <v>96.1841089725494</v>
      </c>
      <c r="G122" s="7">
        <v>257.4085688591</v>
      </c>
      <c r="H122" s="7">
        <v>0.0</v>
      </c>
      <c r="I122" s="15">
        <v>0.237403382027128</v>
      </c>
      <c r="J122" s="15">
        <v>0.0722051780937758</v>
      </c>
      <c r="K122" s="12">
        <f>AVERAGE(I122:I126)</f>
        <v>0.3681781018</v>
      </c>
      <c r="L122" s="18">
        <v>29661.0</v>
      </c>
      <c r="M122" s="14">
        <f>STDEV(L122:L126)</f>
        <v>25264.35402</v>
      </c>
      <c r="N122" s="15" t="b">
        <f t="shared" si="1"/>
        <v>0</v>
      </c>
    </row>
    <row r="123" hidden="1">
      <c r="A123" s="7" t="s">
        <v>31</v>
      </c>
      <c r="B123" s="7" t="s">
        <v>17</v>
      </c>
      <c r="C123" s="7">
        <v>0.1</v>
      </c>
      <c r="D123" s="7">
        <v>0.25</v>
      </c>
      <c r="E123" s="7">
        <v>5.0</v>
      </c>
      <c r="F123" s="7">
        <v>96.1841089725494</v>
      </c>
      <c r="G123" s="7">
        <v>257.4085688591</v>
      </c>
      <c r="H123" s="7">
        <v>1.0</v>
      </c>
      <c r="I123" s="15">
        <v>0.645738749805867</v>
      </c>
      <c r="J123" s="15">
        <v>0.126683432283124</v>
      </c>
      <c r="K123" s="12">
        <f>AVERAGE(I122:I126)</f>
        <v>0.3681781018</v>
      </c>
      <c r="L123" s="18">
        <v>2347.0</v>
      </c>
      <c r="M123" s="14">
        <f>STDEV(L122:L126)</f>
        <v>25264.35402</v>
      </c>
      <c r="N123" s="15" t="b">
        <f t="shared" si="1"/>
        <v>0</v>
      </c>
    </row>
    <row r="124" hidden="1">
      <c r="A124" s="7" t="s">
        <v>31</v>
      </c>
      <c r="B124" s="7" t="s">
        <v>17</v>
      </c>
      <c r="C124" s="7">
        <v>0.1</v>
      </c>
      <c r="D124" s="7">
        <v>0.25</v>
      </c>
      <c r="E124" s="7">
        <v>5.0</v>
      </c>
      <c r="F124" s="7">
        <v>96.1841089725494</v>
      </c>
      <c r="G124" s="7">
        <v>257.4085688591</v>
      </c>
      <c r="H124" s="7">
        <v>2.0</v>
      </c>
      <c r="I124" s="15">
        <v>0.106452512628503</v>
      </c>
      <c r="J124" s="15">
        <v>0.181074875237695</v>
      </c>
      <c r="K124" s="12">
        <f>AVERAGE(I122:I126)</f>
        <v>0.3681781018</v>
      </c>
      <c r="L124" s="18">
        <v>24092.0</v>
      </c>
      <c r="M124" s="14">
        <f>STDEV(L122:L126)</f>
        <v>25264.35402</v>
      </c>
      <c r="N124" s="15" t="b">
        <f t="shared" si="1"/>
        <v>0</v>
      </c>
    </row>
    <row r="125" hidden="1">
      <c r="A125" s="7" t="s">
        <v>31</v>
      </c>
      <c r="B125" s="7" t="s">
        <v>17</v>
      </c>
      <c r="C125" s="7">
        <v>0.1</v>
      </c>
      <c r="D125" s="7">
        <v>0.25</v>
      </c>
      <c r="E125" s="7">
        <v>5.0</v>
      </c>
      <c r="F125" s="7">
        <v>96.1841089725494</v>
      </c>
      <c r="G125" s="7">
        <v>257.4085688591</v>
      </c>
      <c r="H125" s="7">
        <v>3.0</v>
      </c>
      <c r="I125" s="15">
        <v>0.757953570833003</v>
      </c>
      <c r="J125" s="15">
        <v>0.141439070170567</v>
      </c>
      <c r="K125" s="12">
        <f>AVERAGE(I122:I126)</f>
        <v>0.3681781018</v>
      </c>
      <c r="L125" s="18">
        <v>15953.0</v>
      </c>
      <c r="M125" s="14">
        <f>STDEV(L122:L126)</f>
        <v>25264.35402</v>
      </c>
      <c r="N125" s="15" t="b">
        <f t="shared" si="1"/>
        <v>0</v>
      </c>
    </row>
    <row r="126" hidden="1">
      <c r="A126" s="7" t="s">
        <v>31</v>
      </c>
      <c r="B126" s="7" t="s">
        <v>17</v>
      </c>
      <c r="C126" s="7">
        <v>0.1</v>
      </c>
      <c r="D126" s="7">
        <v>0.25</v>
      </c>
      <c r="E126" s="7">
        <v>5.0</v>
      </c>
      <c r="F126" s="7">
        <v>96.1841089725494</v>
      </c>
      <c r="G126" s="7">
        <v>257.4085688591</v>
      </c>
      <c r="H126" s="7">
        <v>4.0</v>
      </c>
      <c r="I126" s="15">
        <v>0.0933422936356904</v>
      </c>
      <c r="J126" s="15">
        <v>0.0775625385975892</v>
      </c>
      <c r="K126" s="12">
        <f>AVERAGE(I122:I126)</f>
        <v>0.3681781018</v>
      </c>
      <c r="L126" s="18">
        <v>69623.0</v>
      </c>
      <c r="M126" s="14">
        <f>STDEV(L122:L126)</f>
        <v>25264.35402</v>
      </c>
      <c r="N126" s="15" t="b">
        <f t="shared" si="1"/>
        <v>0</v>
      </c>
    </row>
    <row r="127" hidden="1">
      <c r="A127" s="7" t="s">
        <v>32</v>
      </c>
      <c r="B127" s="7" t="s">
        <v>17</v>
      </c>
      <c r="C127" s="7">
        <v>0.1</v>
      </c>
      <c r="D127" s="7">
        <v>0.25</v>
      </c>
      <c r="E127" s="7">
        <v>6.0</v>
      </c>
      <c r="F127" s="7">
        <v>49.9341168403625</v>
      </c>
      <c r="G127" s="7">
        <v>180.101408243179</v>
      </c>
      <c r="H127" s="7">
        <v>0.0</v>
      </c>
      <c r="I127" s="15">
        <v>0.187177817508657</v>
      </c>
      <c r="J127" s="15">
        <v>0.134065570519954</v>
      </c>
      <c r="K127" s="12">
        <f>AVERAGE(I127:I131)</f>
        <v>0.5474108006</v>
      </c>
      <c r="L127" s="18">
        <v>44459.0</v>
      </c>
      <c r="M127" s="14">
        <f>STDEV(L127:L131)</f>
        <v>33733.50568</v>
      </c>
      <c r="N127" s="15" t="b">
        <f t="shared" si="1"/>
        <v>0</v>
      </c>
    </row>
    <row r="128" hidden="1">
      <c r="A128" s="7" t="s">
        <v>32</v>
      </c>
      <c r="B128" s="7" t="s">
        <v>17</v>
      </c>
      <c r="C128" s="7">
        <v>0.1</v>
      </c>
      <c r="D128" s="7">
        <v>0.25</v>
      </c>
      <c r="E128" s="7">
        <v>6.0</v>
      </c>
      <c r="F128" s="7">
        <v>49.9341168403625</v>
      </c>
      <c r="G128" s="7">
        <v>180.101408243179</v>
      </c>
      <c r="H128" s="7">
        <v>1.0</v>
      </c>
      <c r="I128" s="15">
        <v>0.806561616688196</v>
      </c>
      <c r="J128" s="15">
        <v>0.127059923102626</v>
      </c>
      <c r="K128" s="12">
        <f>AVERAGE(I127:I131)</f>
        <v>0.5474108006</v>
      </c>
      <c r="L128" s="18">
        <v>1841.0</v>
      </c>
      <c r="M128" s="14">
        <f>STDEV(L127:L131)</f>
        <v>33733.50568</v>
      </c>
      <c r="N128" s="15" t="b">
        <f t="shared" si="1"/>
        <v>0</v>
      </c>
    </row>
    <row r="129" hidden="1">
      <c r="A129" s="7" t="s">
        <v>32</v>
      </c>
      <c r="B129" s="7" t="s">
        <v>17</v>
      </c>
      <c r="C129" s="7">
        <v>0.1</v>
      </c>
      <c r="D129" s="7">
        <v>0.25</v>
      </c>
      <c r="E129" s="7">
        <v>6.0</v>
      </c>
      <c r="F129" s="7">
        <v>49.9341168403625</v>
      </c>
      <c r="G129" s="7">
        <v>180.101408243179</v>
      </c>
      <c r="H129" s="7">
        <v>2.0</v>
      </c>
      <c r="I129" s="15">
        <v>0.828270883790481</v>
      </c>
      <c r="J129" s="15">
        <v>0.100720427513712</v>
      </c>
      <c r="K129" s="12">
        <f>AVERAGE(I127:I131)</f>
        <v>0.5474108006</v>
      </c>
      <c r="L129" s="18">
        <v>7464.0</v>
      </c>
      <c r="M129" s="14">
        <f>STDEV(L127:L131)</f>
        <v>33733.50568</v>
      </c>
      <c r="N129" s="15" t="b">
        <f t="shared" si="1"/>
        <v>0</v>
      </c>
    </row>
    <row r="130" hidden="1">
      <c r="A130" s="7" t="s">
        <v>32</v>
      </c>
      <c r="B130" s="7" t="s">
        <v>17</v>
      </c>
      <c r="C130" s="7">
        <v>0.1</v>
      </c>
      <c r="D130" s="7">
        <v>0.25</v>
      </c>
      <c r="E130" s="7">
        <v>6.0</v>
      </c>
      <c r="F130" s="7">
        <v>49.9341168403625</v>
      </c>
      <c r="G130" s="7">
        <v>180.101408243179</v>
      </c>
      <c r="H130" s="7">
        <v>3.0</v>
      </c>
      <c r="I130" s="15">
        <v>0.800284619775597</v>
      </c>
      <c r="J130" s="15">
        <v>0.119956182706402</v>
      </c>
      <c r="K130" s="12">
        <f>AVERAGE(I127:I131)</f>
        <v>0.5474108006</v>
      </c>
      <c r="L130" s="18">
        <v>7444.0</v>
      </c>
      <c r="M130" s="14">
        <f>STDEV(L127:L131)</f>
        <v>33733.50568</v>
      </c>
      <c r="N130" s="15" t="b">
        <f t="shared" si="1"/>
        <v>0</v>
      </c>
    </row>
    <row r="131" hidden="1">
      <c r="A131" s="7" t="s">
        <v>32</v>
      </c>
      <c r="B131" s="7" t="s">
        <v>17</v>
      </c>
      <c r="C131" s="7">
        <v>0.1</v>
      </c>
      <c r="D131" s="7">
        <v>0.25</v>
      </c>
      <c r="E131" s="7">
        <v>6.0</v>
      </c>
      <c r="F131" s="7">
        <v>49.9341168403625</v>
      </c>
      <c r="G131" s="7">
        <v>180.101408243179</v>
      </c>
      <c r="H131" s="7">
        <v>4.0</v>
      </c>
      <c r="I131" s="15">
        <v>0.114759065388939</v>
      </c>
      <c r="J131" s="15">
        <v>0.0683400427822713</v>
      </c>
      <c r="K131" s="12">
        <f>AVERAGE(I127:I131)</f>
        <v>0.5474108006</v>
      </c>
      <c r="L131" s="18">
        <v>80468.0</v>
      </c>
      <c r="M131" s="14">
        <f>STDEV(L127:L131)</f>
        <v>33733.50568</v>
      </c>
      <c r="N131" s="15" t="b">
        <f t="shared" si="1"/>
        <v>0</v>
      </c>
    </row>
    <row r="132" hidden="1">
      <c r="A132" s="7" t="s">
        <v>33</v>
      </c>
      <c r="B132" s="7" t="s">
        <v>17</v>
      </c>
      <c r="C132" s="7">
        <v>0.1</v>
      </c>
      <c r="D132" s="7">
        <v>0.25</v>
      </c>
      <c r="E132" s="7">
        <v>7.0</v>
      </c>
      <c r="F132" s="7">
        <v>42.3847844600677</v>
      </c>
      <c r="G132" s="7">
        <v>149.372965335845</v>
      </c>
      <c r="H132" s="7">
        <v>0.0</v>
      </c>
      <c r="I132" s="15">
        <v>0.146219162560481</v>
      </c>
      <c r="J132" s="15">
        <v>0.113249351538836</v>
      </c>
      <c r="K132" s="12">
        <f>AVERAGE(I132:I136)</f>
        <v>0.3826309416</v>
      </c>
      <c r="L132" s="18">
        <v>41574.0</v>
      </c>
      <c r="M132" s="14">
        <f>STDEV(L132:L136)</f>
        <v>24246.09662</v>
      </c>
      <c r="N132" s="15" t="b">
        <f t="shared" si="1"/>
        <v>0</v>
      </c>
    </row>
    <row r="133" hidden="1">
      <c r="A133" s="7" t="s">
        <v>33</v>
      </c>
      <c r="B133" s="7" t="s">
        <v>17</v>
      </c>
      <c r="C133" s="7">
        <v>0.1</v>
      </c>
      <c r="D133" s="7">
        <v>0.25</v>
      </c>
      <c r="E133" s="7">
        <v>7.0</v>
      </c>
      <c r="F133" s="7">
        <v>42.3847844600677</v>
      </c>
      <c r="G133" s="7">
        <v>149.372965335845</v>
      </c>
      <c r="H133" s="7">
        <v>1.0</v>
      </c>
      <c r="I133" s="15">
        <v>0.225201858639187</v>
      </c>
      <c r="J133" s="15">
        <v>0.0756708654861046</v>
      </c>
      <c r="K133" s="12">
        <f>AVERAGE(I132:I136)</f>
        <v>0.3826309416</v>
      </c>
      <c r="L133" s="18">
        <v>51688.0</v>
      </c>
      <c r="M133" s="14">
        <f>STDEV(L132:L136)</f>
        <v>24246.09662</v>
      </c>
      <c r="N133" s="15" t="b">
        <f t="shared" si="1"/>
        <v>0</v>
      </c>
    </row>
    <row r="134" hidden="1">
      <c r="A134" s="7" t="s">
        <v>33</v>
      </c>
      <c r="B134" s="7" t="s">
        <v>17</v>
      </c>
      <c r="C134" s="7">
        <v>0.1</v>
      </c>
      <c r="D134" s="7">
        <v>0.25</v>
      </c>
      <c r="E134" s="7">
        <v>7.0</v>
      </c>
      <c r="F134" s="7">
        <v>42.3847844600677</v>
      </c>
      <c r="G134" s="7">
        <v>149.372965335845</v>
      </c>
      <c r="H134" s="7">
        <v>2.0</v>
      </c>
      <c r="I134" s="15">
        <v>0.0845916402434371</v>
      </c>
      <c r="J134" s="15">
        <v>0.0538556296318493</v>
      </c>
      <c r="K134" s="12">
        <f>AVERAGE(I132:I136)</f>
        <v>0.3826309416</v>
      </c>
      <c r="L134" s="18">
        <v>44238.0</v>
      </c>
      <c r="M134" s="14">
        <f>STDEV(L132:L136)</f>
        <v>24246.09662</v>
      </c>
      <c r="N134" s="15" t="b">
        <f t="shared" si="1"/>
        <v>0</v>
      </c>
    </row>
    <row r="135" hidden="1">
      <c r="A135" s="7" t="s">
        <v>33</v>
      </c>
      <c r="B135" s="7" t="s">
        <v>17</v>
      </c>
      <c r="C135" s="7">
        <v>0.1</v>
      </c>
      <c r="D135" s="7">
        <v>0.25</v>
      </c>
      <c r="E135" s="7">
        <v>7.0</v>
      </c>
      <c r="F135" s="7">
        <v>42.3847844600677</v>
      </c>
      <c r="G135" s="7">
        <v>149.372965335845</v>
      </c>
      <c r="H135" s="7">
        <v>3.0</v>
      </c>
      <c r="I135" s="15">
        <v>0.644874844689422</v>
      </c>
      <c r="J135" s="15">
        <v>0.127924906703013</v>
      </c>
      <c r="K135" s="12">
        <f>AVERAGE(I132:I136)</f>
        <v>0.3826309416</v>
      </c>
      <c r="L135" s="18">
        <v>2356.0</v>
      </c>
      <c r="M135" s="14">
        <f>STDEV(L132:L136)</f>
        <v>24246.09662</v>
      </c>
      <c r="N135" s="15" t="b">
        <f t="shared" si="1"/>
        <v>0</v>
      </c>
    </row>
    <row r="136" hidden="1">
      <c r="A136" s="7" t="s">
        <v>33</v>
      </c>
      <c r="B136" s="7" t="s">
        <v>17</v>
      </c>
      <c r="C136" s="7">
        <v>0.1</v>
      </c>
      <c r="D136" s="7">
        <v>0.25</v>
      </c>
      <c r="E136" s="7">
        <v>7.0</v>
      </c>
      <c r="F136" s="7">
        <v>42.3847844600677</v>
      </c>
      <c r="G136" s="7">
        <v>149.372965335845</v>
      </c>
      <c r="H136" s="7">
        <v>4.0</v>
      </c>
      <c r="I136" s="15">
        <v>0.812267201820062</v>
      </c>
      <c r="J136" s="15">
        <v>0.121344009594091</v>
      </c>
      <c r="K136" s="12">
        <f>AVERAGE(I132:I136)</f>
        <v>0.3826309416</v>
      </c>
      <c r="L136" s="18">
        <v>1820.0</v>
      </c>
      <c r="M136" s="14">
        <f>STDEV(L132:L136)</f>
        <v>24246.09662</v>
      </c>
      <c r="N136" s="15" t="b">
        <f t="shared" si="1"/>
        <v>0</v>
      </c>
    </row>
    <row r="137" hidden="1">
      <c r="A137" s="7" t="s">
        <v>34</v>
      </c>
      <c r="B137" s="7" t="s">
        <v>17</v>
      </c>
      <c r="C137" s="7">
        <v>0.1</v>
      </c>
      <c r="D137" s="7">
        <v>0.25</v>
      </c>
      <c r="E137" s="7">
        <v>8.0</v>
      </c>
      <c r="F137" s="7">
        <v>46.0890278816223</v>
      </c>
      <c r="G137" s="7">
        <v>167.85800242424</v>
      </c>
      <c r="H137" s="7">
        <v>0.0</v>
      </c>
      <c r="I137" s="15">
        <v>0.806931662536621</v>
      </c>
      <c r="J137" s="15">
        <v>0.118754646728141</v>
      </c>
      <c r="K137" s="12">
        <f>AVERAGE(I137:I141)</f>
        <v>0.6341612925</v>
      </c>
      <c r="L137" s="18">
        <v>5699.0</v>
      </c>
      <c r="M137" s="14">
        <f>STDEV(L137:L141)</f>
        <v>45658.1598</v>
      </c>
      <c r="N137" s="15" t="b">
        <f t="shared" si="1"/>
        <v>0</v>
      </c>
    </row>
    <row r="138" hidden="1">
      <c r="A138" s="7" t="s">
        <v>34</v>
      </c>
      <c r="B138" s="7" t="s">
        <v>17</v>
      </c>
      <c r="C138" s="7">
        <v>0.1</v>
      </c>
      <c r="D138" s="7">
        <v>0.25</v>
      </c>
      <c r="E138" s="7">
        <v>8.0</v>
      </c>
      <c r="F138" s="7">
        <v>46.0890278816223</v>
      </c>
      <c r="G138" s="7">
        <v>167.85800242424</v>
      </c>
      <c r="H138" s="7">
        <v>1.0</v>
      </c>
      <c r="I138" s="15">
        <v>0.799698692977446</v>
      </c>
      <c r="J138" s="15">
        <v>0.118566490170218</v>
      </c>
      <c r="K138" s="12">
        <f>AVERAGE(I137:I141)</f>
        <v>0.6341612925</v>
      </c>
      <c r="L138" s="18">
        <v>7454.0</v>
      </c>
      <c r="M138" s="14">
        <f>STDEV(L137:L141)</f>
        <v>45658.1598</v>
      </c>
      <c r="N138" s="15" t="b">
        <f t="shared" si="1"/>
        <v>0</v>
      </c>
    </row>
    <row r="139" hidden="1">
      <c r="A139" s="7" t="s">
        <v>34</v>
      </c>
      <c r="B139" s="7" t="s">
        <v>17</v>
      </c>
      <c r="C139" s="7">
        <v>0.1</v>
      </c>
      <c r="D139" s="7">
        <v>0.25</v>
      </c>
      <c r="E139" s="7">
        <v>8.0</v>
      </c>
      <c r="F139" s="7">
        <v>46.0890278816223</v>
      </c>
      <c r="G139" s="7">
        <v>167.85800242424</v>
      </c>
      <c r="H139" s="7">
        <v>2.0</v>
      </c>
      <c r="I139" s="15">
        <v>0.0598583528427899</v>
      </c>
      <c r="J139" s="15">
        <v>0.114112494540225</v>
      </c>
      <c r="K139" s="12">
        <f>AVERAGE(I137:I141)</f>
        <v>0.6341612925</v>
      </c>
      <c r="L139" s="18">
        <v>109946.0</v>
      </c>
      <c r="M139" s="14">
        <f>STDEV(L137:L141)</f>
        <v>45658.1598</v>
      </c>
      <c r="N139" s="15" t="b">
        <f t="shared" si="1"/>
        <v>0</v>
      </c>
    </row>
    <row r="140" hidden="1">
      <c r="A140" s="7" t="s">
        <v>34</v>
      </c>
      <c r="B140" s="7" t="s">
        <v>17</v>
      </c>
      <c r="C140" s="7">
        <v>0.1</v>
      </c>
      <c r="D140" s="7">
        <v>0.25</v>
      </c>
      <c r="E140" s="7">
        <v>8.0</v>
      </c>
      <c r="F140" s="7">
        <v>46.0890278816223</v>
      </c>
      <c r="G140" s="7">
        <v>167.85800242424</v>
      </c>
      <c r="H140" s="7">
        <v>3.0</v>
      </c>
      <c r="I140" s="15">
        <v>0.73809193085055</v>
      </c>
      <c r="J140" s="15">
        <v>0.140076695439095</v>
      </c>
      <c r="K140" s="12">
        <f>AVERAGE(I137:I141)</f>
        <v>0.6341612925</v>
      </c>
      <c r="L140" s="18">
        <v>10767.0</v>
      </c>
      <c r="M140" s="14">
        <f>STDEV(L137:L141)</f>
        <v>45658.1598</v>
      </c>
      <c r="N140" s="15" t="b">
        <f t="shared" si="1"/>
        <v>0</v>
      </c>
    </row>
    <row r="141" hidden="1">
      <c r="A141" s="7" t="s">
        <v>34</v>
      </c>
      <c r="B141" s="7" t="s">
        <v>17</v>
      </c>
      <c r="C141" s="7">
        <v>0.1</v>
      </c>
      <c r="D141" s="7">
        <v>0.25</v>
      </c>
      <c r="E141" s="7">
        <v>8.0</v>
      </c>
      <c r="F141" s="7">
        <v>46.0890278816223</v>
      </c>
      <c r="G141" s="7">
        <v>167.85800242424</v>
      </c>
      <c r="H141" s="7">
        <v>4.0</v>
      </c>
      <c r="I141" s="15">
        <v>0.766225823502527</v>
      </c>
      <c r="J141" s="15">
        <v>0.135387575221447</v>
      </c>
      <c r="K141" s="12">
        <f>AVERAGE(I137:I141)</f>
        <v>0.6341612925</v>
      </c>
      <c r="L141" s="18">
        <v>7810.0</v>
      </c>
      <c r="M141" s="14">
        <f>STDEV(L137:L141)</f>
        <v>45658.1598</v>
      </c>
      <c r="N141" s="15" t="b">
        <f t="shared" si="1"/>
        <v>0</v>
      </c>
    </row>
    <row r="142" hidden="1">
      <c r="A142" s="7" t="s">
        <v>35</v>
      </c>
      <c r="B142" s="22" t="s">
        <v>17</v>
      </c>
      <c r="C142" s="22">
        <v>0.1</v>
      </c>
      <c r="D142" s="22">
        <v>0.25</v>
      </c>
      <c r="E142" s="22">
        <v>9.0</v>
      </c>
      <c r="F142" s="7">
        <v>80.4502012729644</v>
      </c>
      <c r="G142" s="7">
        <v>247.973755836486</v>
      </c>
      <c r="H142" s="7">
        <v>0.0</v>
      </c>
      <c r="I142" s="15">
        <v>0.0237785703244576</v>
      </c>
      <c r="J142" s="15">
        <v>0.125727488423171</v>
      </c>
      <c r="K142" s="12">
        <f>AVERAGE(I142:I146)</f>
        <v>0.6502609797</v>
      </c>
      <c r="L142" s="18">
        <v>92588.0</v>
      </c>
      <c r="M142" s="14">
        <f>STDEV(L142:L146)</f>
        <v>36465.39201</v>
      </c>
      <c r="N142" s="15" t="b">
        <f t="shared" si="1"/>
        <v>0</v>
      </c>
    </row>
    <row r="143" hidden="1">
      <c r="A143" s="7" t="s">
        <v>35</v>
      </c>
      <c r="B143" s="22" t="s">
        <v>17</v>
      </c>
      <c r="C143" s="22">
        <v>0.1</v>
      </c>
      <c r="D143" s="22">
        <v>0.25</v>
      </c>
      <c r="E143" s="22">
        <v>9.0</v>
      </c>
      <c r="F143" s="7">
        <v>80.4502012729644</v>
      </c>
      <c r="G143" s="7">
        <v>247.973755836486</v>
      </c>
      <c r="H143" s="7">
        <v>1.0</v>
      </c>
      <c r="I143" s="15">
        <v>0.76007092377567</v>
      </c>
      <c r="J143" s="15">
        <v>0.132591745783358</v>
      </c>
      <c r="K143" s="12">
        <f>AVERAGE(I142:I146)</f>
        <v>0.6502609797</v>
      </c>
      <c r="L143" s="18">
        <v>15963.0</v>
      </c>
      <c r="M143" s="14">
        <f>STDEV(L142:L146)</f>
        <v>36465.39201</v>
      </c>
      <c r="N143" s="15" t="b">
        <f t="shared" si="1"/>
        <v>0</v>
      </c>
    </row>
    <row r="144" hidden="1">
      <c r="A144" s="7" t="s">
        <v>35</v>
      </c>
      <c r="B144" s="22" t="s">
        <v>17</v>
      </c>
      <c r="C144" s="22">
        <v>0.1</v>
      </c>
      <c r="D144" s="22">
        <v>0.25</v>
      </c>
      <c r="E144" s="22">
        <v>9.0</v>
      </c>
      <c r="F144" s="7">
        <v>80.4502012729644</v>
      </c>
      <c r="G144" s="7">
        <v>247.973755836486</v>
      </c>
      <c r="H144" s="7">
        <v>2.0</v>
      </c>
      <c r="I144" s="15">
        <v>0.789261234438416</v>
      </c>
      <c r="J144" s="15">
        <v>0.0992190915014112</v>
      </c>
      <c r="K144" s="12">
        <f>AVERAGE(I142:I146)</f>
        <v>0.6502609797</v>
      </c>
      <c r="L144" s="18">
        <v>18636.0</v>
      </c>
      <c r="M144" s="14">
        <f>STDEV(L142:L146)</f>
        <v>36465.39201</v>
      </c>
      <c r="N144" s="15" t="b">
        <f t="shared" si="1"/>
        <v>0</v>
      </c>
    </row>
    <row r="145" hidden="1">
      <c r="A145" s="7" t="s">
        <v>35</v>
      </c>
      <c r="B145" s="22" t="s">
        <v>17</v>
      </c>
      <c r="C145" s="22">
        <v>0.1</v>
      </c>
      <c r="D145" s="22">
        <v>0.25</v>
      </c>
      <c r="E145" s="22">
        <v>9.0</v>
      </c>
      <c r="F145" s="7">
        <v>80.4502012729644</v>
      </c>
      <c r="G145" s="7">
        <v>247.973755836486</v>
      </c>
      <c r="H145" s="7">
        <v>3.0</v>
      </c>
      <c r="I145" s="15">
        <v>0.787057993419479</v>
      </c>
      <c r="J145" s="15">
        <v>0.118230151239959</v>
      </c>
      <c r="K145" s="12">
        <f>AVERAGE(I142:I146)</f>
        <v>0.6502609797</v>
      </c>
      <c r="L145" s="18">
        <v>12426.0</v>
      </c>
      <c r="M145" s="14">
        <f>STDEV(L142:L146)</f>
        <v>36465.39201</v>
      </c>
      <c r="N145" s="15" t="b">
        <f t="shared" si="1"/>
        <v>0</v>
      </c>
    </row>
    <row r="146" hidden="1">
      <c r="A146" s="7" t="s">
        <v>35</v>
      </c>
      <c r="B146" s="22" t="s">
        <v>17</v>
      </c>
      <c r="C146" s="22">
        <v>0.1</v>
      </c>
      <c r="D146" s="22">
        <v>0.25</v>
      </c>
      <c r="E146" s="22">
        <v>9.0</v>
      </c>
      <c r="F146" s="7">
        <v>80.4502012729644</v>
      </c>
      <c r="G146" s="7">
        <v>247.973755836486</v>
      </c>
      <c r="H146" s="7">
        <v>4.0</v>
      </c>
      <c r="I146" s="15">
        <v>0.891136176344802</v>
      </c>
      <c r="J146" s="15">
        <v>0.120377006131885</v>
      </c>
      <c r="K146" s="12">
        <f>AVERAGE(I142:I146)</f>
        <v>0.6502609797</v>
      </c>
      <c r="L146" s="18">
        <v>2063.0</v>
      </c>
      <c r="M146" s="14">
        <f>STDEV(L142:L146)</f>
        <v>36465.39201</v>
      </c>
      <c r="N146" s="15" t="b">
        <f t="shared" si="1"/>
        <v>0</v>
      </c>
    </row>
    <row r="147" hidden="1">
      <c r="A147" s="7" t="s">
        <v>36</v>
      </c>
      <c r="B147" s="7" t="s">
        <v>17</v>
      </c>
      <c r="C147" s="7">
        <v>0.1</v>
      </c>
      <c r="D147" s="7">
        <v>0.25</v>
      </c>
      <c r="E147" s="7">
        <v>10.0</v>
      </c>
      <c r="F147" s="7">
        <v>291.730504751205</v>
      </c>
      <c r="G147" s="7">
        <v>422.132405042648</v>
      </c>
      <c r="H147" s="7">
        <v>0.0</v>
      </c>
      <c r="I147" s="15">
        <v>0.207539419781957</v>
      </c>
      <c r="J147" s="15">
        <v>0.0734484244077974</v>
      </c>
      <c r="K147" s="12">
        <f>AVERAGE(I147:I151)</f>
        <v>0.3575865762</v>
      </c>
      <c r="L147" s="18">
        <v>52952.0</v>
      </c>
      <c r="M147" s="14">
        <f>STDEV(L147:L151)</f>
        <v>23313.16226</v>
      </c>
      <c r="N147" s="15" t="b">
        <f t="shared" si="1"/>
        <v>0</v>
      </c>
    </row>
    <row r="148" hidden="1">
      <c r="A148" s="7" t="s">
        <v>36</v>
      </c>
      <c r="B148" s="7" t="s">
        <v>17</v>
      </c>
      <c r="C148" s="7">
        <v>0.1</v>
      </c>
      <c r="D148" s="7">
        <v>0.25</v>
      </c>
      <c r="E148" s="7">
        <v>10.0</v>
      </c>
      <c r="F148" s="7">
        <v>291.730504751205</v>
      </c>
      <c r="G148" s="7">
        <v>422.132405042648</v>
      </c>
      <c r="H148" s="7">
        <v>1.0</v>
      </c>
      <c r="I148" s="15">
        <v>0.0542495041372405</v>
      </c>
      <c r="J148" s="15">
        <v>0.0374763666723946</v>
      </c>
      <c r="K148" s="12">
        <f>AVERAGE(I147:I151)</f>
        <v>0.3575865762</v>
      </c>
      <c r="L148" s="18">
        <v>52602.0</v>
      </c>
      <c r="M148" s="14">
        <f>STDEV(L147:L151)</f>
        <v>23313.16226</v>
      </c>
      <c r="N148" s="15" t="b">
        <f t="shared" si="1"/>
        <v>0</v>
      </c>
    </row>
    <row r="149" hidden="1">
      <c r="A149" s="7" t="s">
        <v>36</v>
      </c>
      <c r="B149" s="7" t="s">
        <v>17</v>
      </c>
      <c r="C149" s="7">
        <v>0.1</v>
      </c>
      <c r="D149" s="7">
        <v>0.25</v>
      </c>
      <c r="E149" s="7">
        <v>10.0</v>
      </c>
      <c r="F149" s="7">
        <v>291.730504751205</v>
      </c>
      <c r="G149" s="7">
        <v>422.132405042648</v>
      </c>
      <c r="H149" s="7">
        <v>2.0</v>
      </c>
      <c r="I149" s="15">
        <v>0.807080274397394</v>
      </c>
      <c r="J149" s="15">
        <v>0.117335856785715</v>
      </c>
      <c r="K149" s="12">
        <f>AVERAGE(I147:I151)</f>
        <v>0.3575865762</v>
      </c>
      <c r="L149" s="18">
        <v>5699.0</v>
      </c>
      <c r="M149" s="14">
        <f>STDEV(L147:L151)</f>
        <v>23313.16226</v>
      </c>
      <c r="N149" s="15" t="b">
        <f t="shared" si="1"/>
        <v>0</v>
      </c>
    </row>
    <row r="150" hidden="1">
      <c r="A150" s="7" t="s">
        <v>36</v>
      </c>
      <c r="B150" s="7" t="s">
        <v>17</v>
      </c>
      <c r="C150" s="7">
        <v>0.1</v>
      </c>
      <c r="D150" s="7">
        <v>0.25</v>
      </c>
      <c r="E150" s="7">
        <v>10.0</v>
      </c>
      <c r="F150" s="7">
        <v>291.730504751205</v>
      </c>
      <c r="G150" s="7">
        <v>422.132405042648</v>
      </c>
      <c r="H150" s="7">
        <v>3.0</v>
      </c>
      <c r="I150" s="15">
        <v>0.39800964659576</v>
      </c>
      <c r="J150" s="15">
        <v>0.129003138541767</v>
      </c>
      <c r="K150" s="12">
        <f>AVERAGE(I147:I151)</f>
        <v>0.3575865762</v>
      </c>
      <c r="L150" s="18">
        <v>7392.0</v>
      </c>
      <c r="M150" s="14">
        <f>STDEV(L147:L151)</f>
        <v>23313.16226</v>
      </c>
      <c r="N150" s="15" t="b">
        <f t="shared" si="1"/>
        <v>0</v>
      </c>
    </row>
    <row r="151" hidden="1">
      <c r="A151" s="7" t="s">
        <v>36</v>
      </c>
      <c r="B151" s="7" t="s">
        <v>17</v>
      </c>
      <c r="C151" s="7">
        <v>0.1</v>
      </c>
      <c r="D151" s="7">
        <v>0.25</v>
      </c>
      <c r="E151" s="7">
        <v>10.0</v>
      </c>
      <c r="F151" s="7">
        <v>291.730504751205</v>
      </c>
      <c r="G151" s="7">
        <v>422.132405042648</v>
      </c>
      <c r="H151" s="7">
        <v>4.0</v>
      </c>
      <c r="I151" s="15">
        <v>0.321054035957955</v>
      </c>
      <c r="J151" s="15">
        <v>0.337653916706838</v>
      </c>
      <c r="K151" s="12">
        <f>AVERAGE(I147:I151)</f>
        <v>0.3575865762</v>
      </c>
      <c r="L151" s="18">
        <v>23031.0</v>
      </c>
      <c r="M151" s="14">
        <f>STDEV(L147:L151)</f>
        <v>23313.16226</v>
      </c>
      <c r="N151" s="15" t="b">
        <f t="shared" si="1"/>
        <v>0</v>
      </c>
    </row>
    <row r="152" hidden="1">
      <c r="A152" s="7" t="s">
        <v>37</v>
      </c>
      <c r="B152" s="7" t="s">
        <v>17</v>
      </c>
      <c r="C152" s="7">
        <v>0.1</v>
      </c>
      <c r="D152" s="7">
        <v>0.5</v>
      </c>
      <c r="E152" s="7">
        <v>1.0</v>
      </c>
      <c r="F152" s="7">
        <v>54.7264165878295</v>
      </c>
      <c r="G152" s="7">
        <v>198.394629716873</v>
      </c>
      <c r="H152" s="7">
        <v>0.0</v>
      </c>
      <c r="I152" s="15">
        <v>0.825017777053088</v>
      </c>
      <c r="J152" s="15">
        <v>0.100127280449994</v>
      </c>
      <c r="K152" s="12">
        <f>AVERAGE(I152:I156)</f>
        <v>0.5359969048</v>
      </c>
      <c r="L152" s="18">
        <v>4603.0</v>
      </c>
      <c r="M152" s="14">
        <f>STDEV(L152:L156)</f>
        <v>46003.72642</v>
      </c>
      <c r="N152" s="15" t="b">
        <f t="shared" si="1"/>
        <v>0</v>
      </c>
    </row>
    <row r="153" hidden="1">
      <c r="A153" s="7" t="s">
        <v>37</v>
      </c>
      <c r="B153" s="7" t="s">
        <v>17</v>
      </c>
      <c r="C153" s="7">
        <v>0.1</v>
      </c>
      <c r="D153" s="7">
        <v>0.5</v>
      </c>
      <c r="E153" s="7">
        <v>1.0</v>
      </c>
      <c r="F153" s="7">
        <v>54.7264165878295</v>
      </c>
      <c r="G153" s="7">
        <v>198.394629716873</v>
      </c>
      <c r="H153" s="7">
        <v>1.0</v>
      </c>
      <c r="I153" s="15">
        <v>0.718353234966205</v>
      </c>
      <c r="J153" s="15">
        <v>0.184271545981885</v>
      </c>
      <c r="K153" s="12">
        <f>AVERAGE(I152:I156)</f>
        <v>0.5359969048</v>
      </c>
      <c r="L153" s="18">
        <v>3851.0</v>
      </c>
      <c r="M153" s="14">
        <f>STDEV(L152:L156)</f>
        <v>46003.72642</v>
      </c>
      <c r="N153" s="15" t="b">
        <f t="shared" si="1"/>
        <v>0</v>
      </c>
    </row>
    <row r="154" hidden="1">
      <c r="A154" s="7" t="s">
        <v>37</v>
      </c>
      <c r="B154" s="7" t="s">
        <v>17</v>
      </c>
      <c r="C154" s="7">
        <v>0.1</v>
      </c>
      <c r="D154" s="7">
        <v>0.5</v>
      </c>
      <c r="E154" s="7">
        <v>1.0</v>
      </c>
      <c r="F154" s="7">
        <v>54.7264165878295</v>
      </c>
      <c r="G154" s="7">
        <v>198.394629716873</v>
      </c>
      <c r="H154" s="7">
        <v>2.0</v>
      </c>
      <c r="I154" s="15">
        <v>0.812832958803523</v>
      </c>
      <c r="J154" s="15">
        <v>0.0774434517004369</v>
      </c>
      <c r="K154" s="12">
        <f>AVERAGE(I152:I156)</f>
        <v>0.5359969048</v>
      </c>
      <c r="L154" s="18">
        <v>18252.0</v>
      </c>
      <c r="M154" s="14">
        <f>STDEV(L152:L156)</f>
        <v>46003.72642</v>
      </c>
      <c r="N154" s="15" t="b">
        <f t="shared" si="1"/>
        <v>0</v>
      </c>
    </row>
    <row r="155" hidden="1">
      <c r="A155" s="7" t="s">
        <v>37</v>
      </c>
      <c r="B155" s="7" t="s">
        <v>17</v>
      </c>
      <c r="C155" s="7">
        <v>0.1</v>
      </c>
      <c r="D155" s="7">
        <v>0.5</v>
      </c>
      <c r="E155" s="7">
        <v>1.0</v>
      </c>
      <c r="F155" s="7">
        <v>54.7264165878295</v>
      </c>
      <c r="G155" s="7">
        <v>198.394629716873</v>
      </c>
      <c r="H155" s="7">
        <v>3.0</v>
      </c>
      <c r="I155" s="15">
        <v>0.0613388559057288</v>
      </c>
      <c r="J155" s="15">
        <v>0.0477401928909113</v>
      </c>
      <c r="K155" s="12">
        <f>AVERAGE(I152:I156)</f>
        <v>0.5359969048</v>
      </c>
      <c r="L155" s="18">
        <v>109933.0</v>
      </c>
      <c r="M155" s="14">
        <f>STDEV(L152:L156)</f>
        <v>46003.72642</v>
      </c>
      <c r="N155" s="15" t="b">
        <f t="shared" si="1"/>
        <v>0</v>
      </c>
    </row>
    <row r="156" hidden="1">
      <c r="A156" s="7" t="s">
        <v>37</v>
      </c>
      <c r="B156" s="7" t="s">
        <v>17</v>
      </c>
      <c r="C156" s="7">
        <v>0.1</v>
      </c>
      <c r="D156" s="7">
        <v>0.5</v>
      </c>
      <c r="E156" s="7">
        <v>1.0</v>
      </c>
      <c r="F156" s="7">
        <v>54.7264165878295</v>
      </c>
      <c r="G156" s="7">
        <v>198.394629716873</v>
      </c>
      <c r="H156" s="7">
        <v>4.0</v>
      </c>
      <c r="I156" s="15">
        <v>0.262441697258848</v>
      </c>
      <c r="J156" s="15">
        <v>0.122703233533155</v>
      </c>
      <c r="K156" s="12">
        <f>AVERAGE(I152:I156)</f>
        <v>0.5359969048</v>
      </c>
      <c r="L156" s="18">
        <v>5037.0</v>
      </c>
      <c r="M156" s="14">
        <f>STDEV(L152:L156)</f>
        <v>46003.72642</v>
      </c>
      <c r="N156" s="15" t="b">
        <f t="shared" si="1"/>
        <v>0</v>
      </c>
    </row>
    <row r="157" hidden="1">
      <c r="A157" s="7" t="s">
        <v>38</v>
      </c>
      <c r="B157" s="7" t="s">
        <v>17</v>
      </c>
      <c r="C157" s="7">
        <v>0.1</v>
      </c>
      <c r="D157" s="7">
        <v>0.5</v>
      </c>
      <c r="E157" s="7">
        <v>2.0</v>
      </c>
      <c r="F157" s="7">
        <v>109.147377729415</v>
      </c>
      <c r="G157" s="7">
        <v>272.521672010421</v>
      </c>
      <c r="H157" s="7">
        <v>0.0</v>
      </c>
      <c r="I157" s="15">
        <v>0.0848637393036138</v>
      </c>
      <c r="J157" s="15">
        <v>0.0818299548558312</v>
      </c>
      <c r="K157" s="12">
        <f>AVERAGE(I157:I161)</f>
        <v>0.3348777705</v>
      </c>
      <c r="L157" s="18">
        <v>66736.0</v>
      </c>
      <c r="M157" s="14">
        <f>STDEV(L157:L161)</f>
        <v>26533.94248</v>
      </c>
      <c r="N157" s="15" t="b">
        <f t="shared" si="1"/>
        <v>0</v>
      </c>
    </row>
    <row r="158" hidden="1">
      <c r="A158" s="7" t="s">
        <v>38</v>
      </c>
      <c r="B158" s="7" t="s">
        <v>17</v>
      </c>
      <c r="C158" s="7">
        <v>0.1</v>
      </c>
      <c r="D158" s="7">
        <v>0.5</v>
      </c>
      <c r="E158" s="7">
        <v>2.0</v>
      </c>
      <c r="F158" s="7">
        <v>109.147377729415</v>
      </c>
      <c r="G158" s="7">
        <v>272.521672010421</v>
      </c>
      <c r="H158" s="7">
        <v>1.0</v>
      </c>
      <c r="I158" s="15">
        <v>0.647543359793978</v>
      </c>
      <c r="J158" s="15">
        <v>0.126677539025514</v>
      </c>
      <c r="K158" s="12">
        <f>AVERAGE(I157:I161)</f>
        <v>0.3348777705</v>
      </c>
      <c r="L158" s="18">
        <v>2342.0</v>
      </c>
      <c r="M158" s="14">
        <f>STDEV(L157:L161)</f>
        <v>26533.94248</v>
      </c>
      <c r="N158" s="15" t="b">
        <f t="shared" si="1"/>
        <v>0</v>
      </c>
    </row>
    <row r="159" hidden="1">
      <c r="A159" s="7" t="s">
        <v>38</v>
      </c>
      <c r="B159" s="7" t="s">
        <v>17</v>
      </c>
      <c r="C159" s="7">
        <v>0.1</v>
      </c>
      <c r="D159" s="7">
        <v>0.5</v>
      </c>
      <c r="E159" s="7">
        <v>2.0</v>
      </c>
      <c r="F159" s="7">
        <v>109.147377729415</v>
      </c>
      <c r="G159" s="7">
        <v>272.521672010421</v>
      </c>
      <c r="H159" s="7">
        <v>2.0</v>
      </c>
      <c r="I159" s="15">
        <v>0.216856643733271</v>
      </c>
      <c r="J159" s="15">
        <v>0.114815765261174</v>
      </c>
      <c r="K159" s="12">
        <f>AVERAGE(I157:I161)</f>
        <v>0.3348777705</v>
      </c>
      <c r="L159" s="18">
        <v>43781.0</v>
      </c>
      <c r="M159" s="14">
        <f>STDEV(L157:L161)</f>
        <v>26533.94248</v>
      </c>
      <c r="N159" s="15" t="b">
        <f t="shared" si="1"/>
        <v>0</v>
      </c>
    </row>
    <row r="160" hidden="1">
      <c r="A160" s="7" t="s">
        <v>38</v>
      </c>
      <c r="B160" s="7" t="s">
        <v>17</v>
      </c>
      <c r="C160" s="7">
        <v>0.1</v>
      </c>
      <c r="D160" s="7">
        <v>0.5</v>
      </c>
      <c r="E160" s="7">
        <v>2.0</v>
      </c>
      <c r="F160" s="7">
        <v>109.147377729415</v>
      </c>
      <c r="G160" s="7">
        <v>272.521672010421</v>
      </c>
      <c r="H160" s="7">
        <v>3.0</v>
      </c>
      <c r="I160" s="15">
        <v>0.704050645924093</v>
      </c>
      <c r="J160" s="15">
        <v>0.146467580375261</v>
      </c>
      <c r="K160" s="12">
        <f>AVERAGE(I157:I161)</f>
        <v>0.3348777705</v>
      </c>
      <c r="L160" s="18">
        <v>9967.0</v>
      </c>
      <c r="M160" s="14">
        <f>STDEV(L157:L161)</f>
        <v>26533.94248</v>
      </c>
      <c r="N160" s="15" t="b">
        <f t="shared" si="1"/>
        <v>0</v>
      </c>
    </row>
    <row r="161" hidden="1">
      <c r="A161" s="7" t="s">
        <v>38</v>
      </c>
      <c r="B161" s="7" t="s">
        <v>17</v>
      </c>
      <c r="C161" s="7">
        <v>0.1</v>
      </c>
      <c r="D161" s="7">
        <v>0.5</v>
      </c>
      <c r="E161" s="7">
        <v>2.0</v>
      </c>
      <c r="F161" s="7">
        <v>109.147377729415</v>
      </c>
      <c r="G161" s="7">
        <v>272.521672010421</v>
      </c>
      <c r="H161" s="7">
        <v>4.0</v>
      </c>
      <c r="I161" s="15">
        <v>0.0210744636958436</v>
      </c>
      <c r="J161" s="15">
        <v>0.386228717805897</v>
      </c>
      <c r="K161" s="12">
        <f>AVERAGE(I157:I161)</f>
        <v>0.3348777705</v>
      </c>
      <c r="L161" s="18">
        <v>18850.0</v>
      </c>
      <c r="M161" s="14">
        <f>STDEV(L157:L161)</f>
        <v>26533.94248</v>
      </c>
      <c r="N161" s="15" t="b">
        <f t="shared" si="1"/>
        <v>0</v>
      </c>
    </row>
    <row r="162" hidden="1">
      <c r="A162" s="7" t="s">
        <v>39</v>
      </c>
      <c r="B162" s="7" t="s">
        <v>17</v>
      </c>
      <c r="C162" s="7">
        <v>0.1</v>
      </c>
      <c r="D162" s="7">
        <v>0.5</v>
      </c>
      <c r="E162" s="7">
        <v>3.0</v>
      </c>
      <c r="F162" s="7">
        <v>166.14338183403</v>
      </c>
      <c r="G162" s="7">
        <v>325.948667287826</v>
      </c>
      <c r="H162" s="7">
        <v>0.0</v>
      </c>
      <c r="I162" s="15">
        <v>0.0299696550431789</v>
      </c>
      <c r="J162" s="15">
        <v>0.153494030526839</v>
      </c>
      <c r="K162" s="12">
        <f>AVERAGE(I162:I166)</f>
        <v>0.5513874363</v>
      </c>
      <c r="L162" s="18">
        <v>84350.0</v>
      </c>
      <c r="M162" s="14">
        <f>STDEV(L162:L166)</f>
        <v>35055.94601</v>
      </c>
      <c r="N162" s="15" t="b">
        <f t="shared" si="1"/>
        <v>0</v>
      </c>
    </row>
    <row r="163" hidden="1">
      <c r="A163" s="7" t="s">
        <v>39</v>
      </c>
      <c r="B163" s="7" t="s">
        <v>17</v>
      </c>
      <c r="C163" s="7">
        <v>0.1</v>
      </c>
      <c r="D163" s="7">
        <v>0.5</v>
      </c>
      <c r="E163" s="7">
        <v>3.0</v>
      </c>
      <c r="F163" s="7">
        <v>166.14338183403</v>
      </c>
      <c r="G163" s="7">
        <v>325.948667287826</v>
      </c>
      <c r="H163" s="7">
        <v>1.0</v>
      </c>
      <c r="I163" s="15">
        <v>0.289081426818338</v>
      </c>
      <c r="J163" s="15">
        <v>0.079253544721667</v>
      </c>
      <c r="K163" s="12">
        <f>AVERAGE(I162:I166)</f>
        <v>0.5513874363</v>
      </c>
      <c r="L163" s="18">
        <v>41162.0</v>
      </c>
      <c r="M163" s="14">
        <f>STDEV(L162:L166)</f>
        <v>35055.94601</v>
      </c>
      <c r="N163" s="15" t="b">
        <f t="shared" si="1"/>
        <v>0</v>
      </c>
    </row>
    <row r="164" hidden="1">
      <c r="A164" s="7" t="s">
        <v>39</v>
      </c>
      <c r="B164" s="7" t="s">
        <v>17</v>
      </c>
      <c r="C164" s="7">
        <v>0.1</v>
      </c>
      <c r="D164" s="7">
        <v>0.5</v>
      </c>
      <c r="E164" s="7">
        <v>3.0</v>
      </c>
      <c r="F164" s="7">
        <v>166.14338183403</v>
      </c>
      <c r="G164" s="7">
        <v>325.948667287826</v>
      </c>
      <c r="H164" s="7">
        <v>2.0</v>
      </c>
      <c r="I164" s="15">
        <v>0.81163959549339</v>
      </c>
      <c r="J164" s="15">
        <v>0.0758319975567607</v>
      </c>
      <c r="K164" s="12">
        <f>AVERAGE(I162:I166)</f>
        <v>0.5513874363</v>
      </c>
      <c r="L164" s="18">
        <v>4119.0</v>
      </c>
      <c r="M164" s="14">
        <f>STDEV(L162:L166)</f>
        <v>35055.94601</v>
      </c>
      <c r="N164" s="15" t="b">
        <f t="shared" si="1"/>
        <v>0</v>
      </c>
    </row>
    <row r="165" hidden="1">
      <c r="A165" s="7" t="s">
        <v>39</v>
      </c>
      <c r="B165" s="7" t="s">
        <v>17</v>
      </c>
      <c r="C165" s="7">
        <v>0.1</v>
      </c>
      <c r="D165" s="7">
        <v>0.5</v>
      </c>
      <c r="E165" s="7">
        <v>3.0</v>
      </c>
      <c r="F165" s="7">
        <v>166.14338183403</v>
      </c>
      <c r="G165" s="7">
        <v>325.948667287826</v>
      </c>
      <c r="H165" s="7">
        <v>3.0</v>
      </c>
      <c r="I165" s="15">
        <v>0.734835602766934</v>
      </c>
      <c r="J165" s="15">
        <v>0.14571999380209</v>
      </c>
      <c r="K165" s="12">
        <f>AVERAGE(I162:I166)</f>
        <v>0.5513874363</v>
      </c>
      <c r="L165" s="18">
        <v>9982.0</v>
      </c>
      <c r="M165" s="14">
        <f>STDEV(L162:L166)</f>
        <v>35055.94601</v>
      </c>
      <c r="N165" s="15" t="b">
        <f t="shared" si="1"/>
        <v>0</v>
      </c>
    </row>
    <row r="166" hidden="1">
      <c r="A166" s="7" t="s">
        <v>39</v>
      </c>
      <c r="B166" s="7" t="s">
        <v>17</v>
      </c>
      <c r="C166" s="7">
        <v>0.1</v>
      </c>
      <c r="D166" s="7">
        <v>0.5</v>
      </c>
      <c r="E166" s="7">
        <v>3.0</v>
      </c>
      <c r="F166" s="7">
        <v>166.14338183403</v>
      </c>
      <c r="G166" s="7">
        <v>325.948667287826</v>
      </c>
      <c r="H166" s="7">
        <v>4.0</v>
      </c>
      <c r="I166" s="15">
        <v>0.891410901219328</v>
      </c>
      <c r="J166" s="15">
        <v>0.119996537994695</v>
      </c>
      <c r="K166" s="12">
        <f>AVERAGE(I162:I166)</f>
        <v>0.5513874363</v>
      </c>
      <c r="L166" s="18">
        <v>2063.0</v>
      </c>
      <c r="M166" s="14">
        <f>STDEV(L162:L166)</f>
        <v>35055.94601</v>
      </c>
      <c r="N166" s="15" t="b">
        <f t="shared" si="1"/>
        <v>0</v>
      </c>
    </row>
    <row r="167" hidden="1">
      <c r="A167" s="7" t="s">
        <v>40</v>
      </c>
      <c r="B167" s="7" t="s">
        <v>17</v>
      </c>
      <c r="C167" s="7">
        <v>0.1</v>
      </c>
      <c r="D167" s="7">
        <v>0.5</v>
      </c>
      <c r="E167" s="7">
        <v>4.0</v>
      </c>
      <c r="F167" s="7">
        <v>52.8530504703521</v>
      </c>
      <c r="G167" s="7">
        <v>193.308057308197</v>
      </c>
      <c r="H167" s="7">
        <v>0.0</v>
      </c>
      <c r="I167" s="15">
        <v>0.891102260554175</v>
      </c>
      <c r="J167" s="15">
        <v>0.121517380021066</v>
      </c>
      <c r="K167" s="12">
        <f>AVERAGE(I167:I171)</f>
        <v>0.5649406678</v>
      </c>
      <c r="L167" s="18">
        <v>2063.0</v>
      </c>
      <c r="M167" s="14">
        <f>STDEV(L167:L171)</f>
        <v>36630.07599</v>
      </c>
      <c r="N167" s="15" t="b">
        <f t="shared" si="1"/>
        <v>0</v>
      </c>
    </row>
    <row r="168" hidden="1">
      <c r="A168" s="7" t="s">
        <v>40</v>
      </c>
      <c r="B168" s="7" t="s">
        <v>17</v>
      </c>
      <c r="C168" s="7">
        <v>0.1</v>
      </c>
      <c r="D168" s="7">
        <v>0.5</v>
      </c>
      <c r="E168" s="7">
        <v>4.0</v>
      </c>
      <c r="F168" s="7">
        <v>52.8530504703521</v>
      </c>
      <c r="G168" s="7">
        <v>193.308057308197</v>
      </c>
      <c r="H168" s="7">
        <v>1.0</v>
      </c>
      <c r="I168" s="15">
        <v>0.799751248137213</v>
      </c>
      <c r="J168" s="15">
        <v>0.132738868909831</v>
      </c>
      <c r="K168" s="12">
        <f>AVERAGE(I167:I171)</f>
        <v>0.5649406678</v>
      </c>
      <c r="L168" s="18">
        <v>1856.0</v>
      </c>
      <c r="M168" s="14">
        <f>STDEV(L167:L171)</f>
        <v>36630.07599</v>
      </c>
      <c r="N168" s="15" t="b">
        <f t="shared" si="1"/>
        <v>0</v>
      </c>
    </row>
    <row r="169" hidden="1">
      <c r="A169" s="7" t="s">
        <v>40</v>
      </c>
      <c r="B169" s="7" t="s">
        <v>17</v>
      </c>
      <c r="C169" s="7">
        <v>0.1</v>
      </c>
      <c r="D169" s="7">
        <v>0.5</v>
      </c>
      <c r="E169" s="7">
        <v>4.0</v>
      </c>
      <c r="F169" s="7">
        <v>52.8530504703521</v>
      </c>
      <c r="G169" s="7">
        <v>193.308057308197</v>
      </c>
      <c r="H169" s="7">
        <v>2.0</v>
      </c>
      <c r="I169" s="15">
        <v>0.249206216909002</v>
      </c>
      <c r="J169" s="15">
        <v>0.0865772350668372</v>
      </c>
      <c r="K169" s="12">
        <f>AVERAGE(I167:I171)</f>
        <v>0.5649406678</v>
      </c>
      <c r="L169" s="18">
        <v>46387.0</v>
      </c>
      <c r="M169" s="14">
        <f>STDEV(L167:L171)</f>
        <v>36630.07599</v>
      </c>
      <c r="N169" s="15" t="b">
        <f t="shared" si="1"/>
        <v>0</v>
      </c>
    </row>
    <row r="170" hidden="1">
      <c r="A170" s="7" t="s">
        <v>40</v>
      </c>
      <c r="B170" s="7" t="s">
        <v>17</v>
      </c>
      <c r="C170" s="7">
        <v>0.1</v>
      </c>
      <c r="D170" s="7">
        <v>0.5</v>
      </c>
      <c r="E170" s="7">
        <v>4.0</v>
      </c>
      <c r="F170" s="7">
        <v>52.8530504703521</v>
      </c>
      <c r="G170" s="7">
        <v>193.308057308197</v>
      </c>
      <c r="H170" s="7">
        <v>3.0</v>
      </c>
      <c r="I170" s="15">
        <v>0.816996045167554</v>
      </c>
      <c r="J170" s="15">
        <v>0.103011971774877</v>
      </c>
      <c r="K170" s="12">
        <f>AVERAGE(I167:I171)</f>
        <v>0.5649406678</v>
      </c>
      <c r="L170" s="18">
        <v>6648.0</v>
      </c>
      <c r="M170" s="14">
        <f>STDEV(L167:L171)</f>
        <v>36630.07599</v>
      </c>
      <c r="N170" s="15" t="b">
        <f t="shared" si="1"/>
        <v>0</v>
      </c>
    </row>
    <row r="171" hidden="1">
      <c r="A171" s="7" t="s">
        <v>40</v>
      </c>
      <c r="B171" s="7" t="s">
        <v>17</v>
      </c>
      <c r="C171" s="7">
        <v>0.1</v>
      </c>
      <c r="D171" s="7">
        <v>0.5</v>
      </c>
      <c r="E171" s="7">
        <v>4.0</v>
      </c>
      <c r="F171" s="7">
        <v>52.8530504703521</v>
      </c>
      <c r="G171" s="7">
        <v>193.308057308197</v>
      </c>
      <c r="H171" s="7">
        <v>4.0</v>
      </c>
      <c r="I171" s="15">
        <v>0.0676475682718227</v>
      </c>
      <c r="J171" s="15">
        <v>0.069376283459829</v>
      </c>
      <c r="K171" s="12">
        <f>AVERAGE(I167:I171)</f>
        <v>0.5649406678</v>
      </c>
      <c r="L171" s="18">
        <v>84722.0</v>
      </c>
      <c r="M171" s="14">
        <f>STDEV(L167:L171)</f>
        <v>36630.07599</v>
      </c>
      <c r="N171" s="15" t="b">
        <f t="shared" si="1"/>
        <v>0</v>
      </c>
    </row>
    <row r="172" hidden="1">
      <c r="A172" s="7" t="s">
        <v>41</v>
      </c>
      <c r="B172" s="7" t="s">
        <v>17</v>
      </c>
      <c r="C172" s="7">
        <v>0.1</v>
      </c>
      <c r="D172" s="7">
        <v>0.5</v>
      </c>
      <c r="E172" s="7">
        <v>5.0</v>
      </c>
      <c r="F172" s="7">
        <v>212.913919687271</v>
      </c>
      <c r="G172" s="7">
        <v>379.965552568435</v>
      </c>
      <c r="H172" s="7">
        <v>0.0</v>
      </c>
      <c r="I172" s="15">
        <v>0.8180342613645</v>
      </c>
      <c r="J172" s="15">
        <v>0.103528451540868</v>
      </c>
      <c r="K172" s="12">
        <f>AVERAGE(I172:I176)</f>
        <v>0.4397547156</v>
      </c>
      <c r="L172" s="18">
        <v>6639.0</v>
      </c>
      <c r="M172" s="14">
        <f>STDEV(L172:L176)</f>
        <v>31214.85311</v>
      </c>
      <c r="N172" s="15" t="b">
        <f t="shared" si="1"/>
        <v>0</v>
      </c>
    </row>
    <row r="173" hidden="1">
      <c r="A173" s="7" t="s">
        <v>41</v>
      </c>
      <c r="B173" s="7" t="s">
        <v>17</v>
      </c>
      <c r="C173" s="7">
        <v>0.1</v>
      </c>
      <c r="D173" s="7">
        <v>0.5</v>
      </c>
      <c r="E173" s="7">
        <v>5.0</v>
      </c>
      <c r="F173" s="7">
        <v>212.913919687271</v>
      </c>
      <c r="G173" s="7">
        <v>379.965552568435</v>
      </c>
      <c r="H173" s="7">
        <v>1.0</v>
      </c>
      <c r="I173" s="15">
        <v>0.245128947013332</v>
      </c>
      <c r="J173" s="15">
        <v>0.083466960849378</v>
      </c>
      <c r="K173" s="12">
        <f>AVERAGE(I172:I176)</f>
        <v>0.4397547156</v>
      </c>
      <c r="L173" s="18">
        <v>9328.0</v>
      </c>
      <c r="M173" s="14">
        <f>STDEV(L172:L176)</f>
        <v>31214.85311</v>
      </c>
      <c r="N173" s="15" t="b">
        <f t="shared" si="1"/>
        <v>0</v>
      </c>
    </row>
    <row r="174" hidden="1">
      <c r="A174" s="7" t="s">
        <v>41</v>
      </c>
      <c r="B174" s="7" t="s">
        <v>17</v>
      </c>
      <c r="C174" s="7">
        <v>0.1</v>
      </c>
      <c r="D174" s="7">
        <v>0.5</v>
      </c>
      <c r="E174" s="7">
        <v>5.0</v>
      </c>
      <c r="F174" s="7">
        <v>212.913919687271</v>
      </c>
      <c r="G174" s="7">
        <v>379.965552568435</v>
      </c>
      <c r="H174" s="7">
        <v>2.0</v>
      </c>
      <c r="I174" s="15">
        <v>0.810698076524455</v>
      </c>
      <c r="J174" s="15">
        <v>0.116001716623921</v>
      </c>
      <c r="K174" s="12">
        <f>AVERAGE(I172:I176)</f>
        <v>0.4397547156</v>
      </c>
      <c r="L174" s="18">
        <v>5667.0</v>
      </c>
      <c r="M174" s="14">
        <f>STDEV(L172:L176)</f>
        <v>31214.85311</v>
      </c>
      <c r="N174" s="15" t="b">
        <f t="shared" si="1"/>
        <v>0</v>
      </c>
    </row>
    <row r="175" hidden="1">
      <c r="A175" s="7" t="s">
        <v>41</v>
      </c>
      <c r="B175" s="7" t="s">
        <v>17</v>
      </c>
      <c r="C175" s="7">
        <v>0.1</v>
      </c>
      <c r="D175" s="7">
        <v>0.5</v>
      </c>
      <c r="E175" s="7">
        <v>5.0</v>
      </c>
      <c r="F175" s="7">
        <v>212.913919687271</v>
      </c>
      <c r="G175" s="7">
        <v>379.965552568435</v>
      </c>
      <c r="H175" s="7">
        <v>3.0</v>
      </c>
      <c r="I175" s="15">
        <v>0.113947263099303</v>
      </c>
      <c r="J175" s="15">
        <v>0.0765910239154483</v>
      </c>
      <c r="K175" s="12">
        <f>AVERAGE(I172:I176)</f>
        <v>0.4397547156</v>
      </c>
      <c r="L175" s="18">
        <v>76508.0</v>
      </c>
      <c r="M175" s="14">
        <f>STDEV(L172:L176)</f>
        <v>31214.85311</v>
      </c>
      <c r="N175" s="15" t="b">
        <f t="shared" si="1"/>
        <v>0</v>
      </c>
    </row>
    <row r="176" hidden="1">
      <c r="A176" s="7" t="s">
        <v>41</v>
      </c>
      <c r="B176" s="7" t="s">
        <v>17</v>
      </c>
      <c r="C176" s="7">
        <v>0.1</v>
      </c>
      <c r="D176" s="7">
        <v>0.5</v>
      </c>
      <c r="E176" s="7">
        <v>5.0</v>
      </c>
      <c r="F176" s="7">
        <v>212.913919687271</v>
      </c>
      <c r="G176" s="7">
        <v>379.965552568435</v>
      </c>
      <c r="H176" s="7">
        <v>4.0</v>
      </c>
      <c r="I176" s="15">
        <v>0.210965029934192</v>
      </c>
      <c r="J176" s="15">
        <v>0.152896498175049</v>
      </c>
      <c r="K176" s="12">
        <f>AVERAGE(I172:I176)</f>
        <v>0.4397547156</v>
      </c>
      <c r="L176" s="18">
        <v>43534.0</v>
      </c>
      <c r="M176" s="14">
        <f>STDEV(L172:L176)</f>
        <v>31214.85311</v>
      </c>
      <c r="N176" s="15" t="b">
        <f t="shared" si="1"/>
        <v>0</v>
      </c>
    </row>
    <row r="177" hidden="1">
      <c r="A177" s="7" t="s">
        <v>42</v>
      </c>
      <c r="B177" s="7" t="s">
        <v>17</v>
      </c>
      <c r="C177" s="7">
        <v>0.1</v>
      </c>
      <c r="D177" s="7">
        <v>0.5</v>
      </c>
      <c r="E177" s="7">
        <v>6.0</v>
      </c>
      <c r="F177" s="7">
        <v>49.2506141662597</v>
      </c>
      <c r="G177" s="7">
        <v>216.983174324035</v>
      </c>
      <c r="H177" s="7">
        <v>0.0</v>
      </c>
      <c r="I177" s="15">
        <v>0.765220974583081</v>
      </c>
      <c r="J177" s="15">
        <v>0.130923806270139</v>
      </c>
      <c r="K177" s="12">
        <f>AVERAGE(I177:I181)</f>
        <v>0.5385618283</v>
      </c>
      <c r="L177" s="18">
        <v>15727.0</v>
      </c>
      <c r="M177" s="14">
        <f>STDEV(L177:L181)</f>
        <v>31346.56655</v>
      </c>
      <c r="N177" s="15" t="b">
        <f t="shared" si="1"/>
        <v>0</v>
      </c>
    </row>
    <row r="178" hidden="1">
      <c r="A178" s="7" t="s">
        <v>42</v>
      </c>
      <c r="B178" s="7" t="s">
        <v>17</v>
      </c>
      <c r="C178" s="7">
        <v>0.1</v>
      </c>
      <c r="D178" s="7">
        <v>0.5</v>
      </c>
      <c r="E178" s="7">
        <v>6.0</v>
      </c>
      <c r="F178" s="7">
        <v>49.2506141662597</v>
      </c>
      <c r="G178" s="7">
        <v>216.983174324035</v>
      </c>
      <c r="H178" s="7">
        <v>1.0</v>
      </c>
      <c r="I178" s="15">
        <v>0.0730893767513432</v>
      </c>
      <c r="J178" s="15">
        <v>0.0629918459872007</v>
      </c>
      <c r="K178" s="12">
        <f>AVERAGE(I177:I181)</f>
        <v>0.5385618283</v>
      </c>
      <c r="L178" s="18">
        <v>81281.0</v>
      </c>
      <c r="M178" s="14">
        <f>STDEV(L177:L181)</f>
        <v>31346.56655</v>
      </c>
      <c r="N178" s="15" t="b">
        <f t="shared" si="1"/>
        <v>0</v>
      </c>
    </row>
    <row r="179" hidden="1">
      <c r="A179" s="7" t="s">
        <v>42</v>
      </c>
      <c r="B179" s="7" t="s">
        <v>17</v>
      </c>
      <c r="C179" s="7">
        <v>0.1</v>
      </c>
      <c r="D179" s="7">
        <v>0.5</v>
      </c>
      <c r="E179" s="7">
        <v>6.0</v>
      </c>
      <c r="F179" s="7">
        <v>49.2506141662597</v>
      </c>
      <c r="G179" s="7">
        <v>216.983174324035</v>
      </c>
      <c r="H179" s="7">
        <v>2.0</v>
      </c>
      <c r="I179" s="15">
        <v>0.777321792694527</v>
      </c>
      <c r="J179" s="15">
        <v>0.121601360093231</v>
      </c>
      <c r="K179" s="12">
        <f>AVERAGE(I177:I181)</f>
        <v>0.5385618283</v>
      </c>
      <c r="L179" s="18">
        <v>11839.0</v>
      </c>
      <c r="M179" s="14">
        <f>STDEV(L177:L181)</f>
        <v>31346.56655</v>
      </c>
      <c r="N179" s="15" t="b">
        <f t="shared" si="1"/>
        <v>0</v>
      </c>
    </row>
    <row r="180" hidden="1">
      <c r="A180" s="7" t="s">
        <v>42</v>
      </c>
      <c r="B180" s="7" t="s">
        <v>17</v>
      </c>
      <c r="C180" s="7">
        <v>0.1</v>
      </c>
      <c r="D180" s="7">
        <v>0.5</v>
      </c>
      <c r="E180" s="7">
        <v>6.0</v>
      </c>
      <c r="F180" s="7">
        <v>49.2506141662597</v>
      </c>
      <c r="G180" s="7">
        <v>216.983174324035</v>
      </c>
      <c r="H180" s="7">
        <v>3.0</v>
      </c>
      <c r="I180" s="15">
        <v>0.16794746075837</v>
      </c>
      <c r="J180" s="15">
        <v>0.307424657733944</v>
      </c>
      <c r="K180" s="12">
        <f>AVERAGE(I177:I181)</f>
        <v>0.5385618283</v>
      </c>
      <c r="L180" s="18">
        <v>30765.0</v>
      </c>
      <c r="M180" s="14">
        <f>STDEV(L177:L181)</f>
        <v>31346.56655</v>
      </c>
      <c r="N180" s="15" t="b">
        <f t="shared" si="1"/>
        <v>0</v>
      </c>
    </row>
    <row r="181" hidden="1">
      <c r="A181" s="7" t="s">
        <v>42</v>
      </c>
      <c r="B181" s="7" t="s">
        <v>17</v>
      </c>
      <c r="C181" s="7">
        <v>0.1</v>
      </c>
      <c r="D181" s="7">
        <v>0.5</v>
      </c>
      <c r="E181" s="7">
        <v>6.0</v>
      </c>
      <c r="F181" s="7">
        <v>49.2506141662597</v>
      </c>
      <c r="G181" s="7">
        <v>216.983174324035</v>
      </c>
      <c r="H181" s="7">
        <v>4.0</v>
      </c>
      <c r="I181" s="15">
        <v>0.909229536531312</v>
      </c>
      <c r="J181" s="15">
        <v>0.0460705339997763</v>
      </c>
      <c r="K181" s="12">
        <f>AVERAGE(I177:I181)</f>
        <v>0.5385618283</v>
      </c>
      <c r="L181" s="18">
        <v>2064.0</v>
      </c>
      <c r="M181" s="14">
        <f>STDEV(L177:L181)</f>
        <v>31346.56655</v>
      </c>
      <c r="N181" s="15" t="b">
        <f t="shared" si="1"/>
        <v>0</v>
      </c>
    </row>
    <row r="182" hidden="1">
      <c r="A182" s="7" t="s">
        <v>43</v>
      </c>
      <c r="B182" s="7" t="s">
        <v>17</v>
      </c>
      <c r="C182" s="7">
        <v>0.1</v>
      </c>
      <c r="D182" s="7">
        <v>0.5</v>
      </c>
      <c r="E182" s="7">
        <v>7.0</v>
      </c>
      <c r="F182" s="7">
        <v>89.7505950927734</v>
      </c>
      <c r="G182" s="7">
        <v>252.877917051315</v>
      </c>
      <c r="H182" s="7">
        <v>0.0</v>
      </c>
      <c r="I182" s="15">
        <v>0.0489856943330864</v>
      </c>
      <c r="J182" s="15">
        <v>0.121933113704915</v>
      </c>
      <c r="K182" s="12">
        <f>AVERAGE(I182:I186)</f>
        <v>0.6194639268</v>
      </c>
      <c r="L182" s="18">
        <v>118057.0</v>
      </c>
      <c r="M182" s="14">
        <f>STDEV(L182:L186)</f>
        <v>50259.2332</v>
      </c>
      <c r="N182" s="15" t="b">
        <f t="shared" si="1"/>
        <v>0</v>
      </c>
    </row>
    <row r="183" hidden="1">
      <c r="A183" s="7" t="s">
        <v>43</v>
      </c>
      <c r="B183" s="7" t="s">
        <v>17</v>
      </c>
      <c r="C183" s="7">
        <v>0.1</v>
      </c>
      <c r="D183" s="7">
        <v>0.5</v>
      </c>
      <c r="E183" s="7">
        <v>7.0</v>
      </c>
      <c r="F183" s="7">
        <v>89.7505950927734</v>
      </c>
      <c r="G183" s="7">
        <v>252.877917051315</v>
      </c>
      <c r="H183" s="7">
        <v>1.0</v>
      </c>
      <c r="I183" s="15">
        <v>0.734649961777479</v>
      </c>
      <c r="J183" s="15">
        <v>0.143481710968595</v>
      </c>
      <c r="K183" s="12">
        <f>AVERAGE(I182:I186)</f>
        <v>0.6194639268</v>
      </c>
      <c r="L183" s="18">
        <v>10024.0</v>
      </c>
      <c r="M183" s="14">
        <f>STDEV(L182:L186)</f>
        <v>50259.2332</v>
      </c>
      <c r="N183" s="15" t="b">
        <f t="shared" si="1"/>
        <v>0</v>
      </c>
    </row>
    <row r="184" hidden="1">
      <c r="A184" s="7" t="s">
        <v>43</v>
      </c>
      <c r="B184" s="7" t="s">
        <v>17</v>
      </c>
      <c r="C184" s="7">
        <v>0.1</v>
      </c>
      <c r="D184" s="7">
        <v>0.5</v>
      </c>
      <c r="E184" s="7">
        <v>7.0</v>
      </c>
      <c r="F184" s="7">
        <v>89.7505950927734</v>
      </c>
      <c r="G184" s="7">
        <v>252.877917051315</v>
      </c>
      <c r="H184" s="7">
        <v>2.0</v>
      </c>
      <c r="I184" s="15">
        <v>0.768000257433247</v>
      </c>
      <c r="J184" s="15">
        <v>0.133549585517937</v>
      </c>
      <c r="K184" s="12">
        <f>AVERAGE(I182:I186)</f>
        <v>0.6194639268</v>
      </c>
      <c r="L184" s="18">
        <v>7786.0</v>
      </c>
      <c r="M184" s="14">
        <f>STDEV(L182:L186)</f>
        <v>50259.2332</v>
      </c>
      <c r="N184" s="15" t="b">
        <f t="shared" si="1"/>
        <v>0</v>
      </c>
    </row>
    <row r="185" hidden="1">
      <c r="A185" s="7" t="s">
        <v>43</v>
      </c>
      <c r="B185" s="7" t="s">
        <v>17</v>
      </c>
      <c r="C185" s="7">
        <v>0.1</v>
      </c>
      <c r="D185" s="7">
        <v>0.5</v>
      </c>
      <c r="E185" s="7">
        <v>7.0</v>
      </c>
      <c r="F185" s="7">
        <v>89.7505950927734</v>
      </c>
      <c r="G185" s="7">
        <v>252.877917051315</v>
      </c>
      <c r="H185" s="7">
        <v>3.0</v>
      </c>
      <c r="I185" s="15">
        <v>0.734224398966009</v>
      </c>
      <c r="J185" s="15">
        <v>0.17027463434188</v>
      </c>
      <c r="K185" s="12">
        <f>AVERAGE(I182:I186)</f>
        <v>0.6194639268</v>
      </c>
      <c r="L185" s="18">
        <v>1690.0</v>
      </c>
      <c r="M185" s="14">
        <f>STDEV(L182:L186)</f>
        <v>50259.2332</v>
      </c>
      <c r="N185" s="15" t="b">
        <f t="shared" si="1"/>
        <v>0</v>
      </c>
    </row>
    <row r="186" hidden="1">
      <c r="A186" s="7" t="s">
        <v>43</v>
      </c>
      <c r="B186" s="7" t="s">
        <v>17</v>
      </c>
      <c r="C186" s="7">
        <v>0.1</v>
      </c>
      <c r="D186" s="7">
        <v>0.5</v>
      </c>
      <c r="E186" s="7">
        <v>7.0</v>
      </c>
      <c r="F186" s="7">
        <v>89.7505950927734</v>
      </c>
      <c r="G186" s="7">
        <v>252.877917051315</v>
      </c>
      <c r="H186" s="7">
        <v>4.0</v>
      </c>
      <c r="I186" s="15">
        <v>0.81145932163769</v>
      </c>
      <c r="J186" s="15">
        <v>0.0791586703909132</v>
      </c>
      <c r="K186" s="12">
        <f>AVERAGE(I182:I186)</f>
        <v>0.6194639268</v>
      </c>
      <c r="L186" s="18">
        <v>4119.0</v>
      </c>
      <c r="M186" s="14">
        <f>STDEV(L182:L186)</f>
        <v>50259.2332</v>
      </c>
      <c r="N186" s="15" t="b">
        <f t="shared" si="1"/>
        <v>0</v>
      </c>
    </row>
    <row r="187" hidden="1">
      <c r="A187" s="7" t="s">
        <v>44</v>
      </c>
      <c r="B187" s="19" t="s">
        <v>17</v>
      </c>
      <c r="C187" s="19">
        <v>0.1</v>
      </c>
      <c r="D187" s="19">
        <v>0.5</v>
      </c>
      <c r="E187" s="19">
        <v>8.0</v>
      </c>
      <c r="F187" s="7">
        <v>119.59035205841</v>
      </c>
      <c r="G187" s="7">
        <v>280.018561124801</v>
      </c>
      <c r="H187" s="7">
        <v>0.0</v>
      </c>
      <c r="I187" s="15">
        <v>0.0683076949253439</v>
      </c>
      <c r="J187" s="15">
        <v>0.111996118503928</v>
      </c>
      <c r="K187" s="12">
        <f>AVERAGE(I187:I191)</f>
        <v>0.3740417576</v>
      </c>
      <c r="L187" s="18">
        <v>69241.0</v>
      </c>
      <c r="M187" s="14">
        <f>STDEV(L187:L191)</f>
        <v>27194.55885</v>
      </c>
      <c r="N187" s="15" t="b">
        <f t="shared" si="1"/>
        <v>0</v>
      </c>
    </row>
    <row r="188" hidden="1">
      <c r="A188" s="7" t="s">
        <v>44</v>
      </c>
      <c r="B188" s="19" t="s">
        <v>17</v>
      </c>
      <c r="C188" s="19">
        <v>0.1</v>
      </c>
      <c r="D188" s="19">
        <v>0.5</v>
      </c>
      <c r="E188" s="19">
        <v>8.0</v>
      </c>
      <c r="F188" s="7">
        <v>119.59035205841</v>
      </c>
      <c r="G188" s="7">
        <v>280.018561124801</v>
      </c>
      <c r="H188" s="7">
        <v>1.0</v>
      </c>
      <c r="I188" s="15">
        <v>0.298584717933922</v>
      </c>
      <c r="J188" s="15">
        <v>0.0806889317042243</v>
      </c>
      <c r="K188" s="12">
        <f>AVERAGE(I187:I191)</f>
        <v>0.3740417576</v>
      </c>
      <c r="L188" s="18">
        <v>41421.0</v>
      </c>
      <c r="M188" s="14">
        <f>STDEV(L187:L191)</f>
        <v>27194.55885</v>
      </c>
      <c r="N188" s="15" t="b">
        <f t="shared" si="1"/>
        <v>0</v>
      </c>
    </row>
    <row r="189" hidden="1">
      <c r="A189" s="7" t="s">
        <v>44</v>
      </c>
      <c r="B189" s="19" t="s">
        <v>17</v>
      </c>
      <c r="C189" s="19">
        <v>0.1</v>
      </c>
      <c r="D189" s="19">
        <v>0.5</v>
      </c>
      <c r="E189" s="19">
        <v>8.0</v>
      </c>
      <c r="F189" s="7">
        <v>119.59035205841</v>
      </c>
      <c r="G189" s="7">
        <v>280.018561124801</v>
      </c>
      <c r="H189" s="7">
        <v>2.0</v>
      </c>
      <c r="I189" s="15">
        <v>0.41837940107664</v>
      </c>
      <c r="J189" s="15">
        <v>0.131711847584165</v>
      </c>
      <c r="K189" s="12">
        <f>AVERAGE(I187:I191)</f>
        <v>0.3740417576</v>
      </c>
      <c r="L189" s="18">
        <v>6969.0</v>
      </c>
      <c r="M189" s="14">
        <f>STDEV(L187:L191)</f>
        <v>27194.55885</v>
      </c>
      <c r="N189" s="15" t="b">
        <f t="shared" si="1"/>
        <v>0</v>
      </c>
    </row>
    <row r="190" hidden="1">
      <c r="A190" s="7" t="s">
        <v>44</v>
      </c>
      <c r="B190" s="19" t="s">
        <v>17</v>
      </c>
      <c r="C190" s="19">
        <v>0.1</v>
      </c>
      <c r="D190" s="19">
        <v>0.5</v>
      </c>
      <c r="E190" s="19">
        <v>8.0</v>
      </c>
      <c r="F190" s="7">
        <v>119.59035205841</v>
      </c>
      <c r="G190" s="7">
        <v>280.018561124801</v>
      </c>
      <c r="H190" s="7">
        <v>3.0</v>
      </c>
      <c r="I190" s="15">
        <v>0.811356901187635</v>
      </c>
      <c r="J190" s="15">
        <v>0.0771169956843754</v>
      </c>
      <c r="K190" s="12">
        <f>AVERAGE(I187:I191)</f>
        <v>0.3740417576</v>
      </c>
      <c r="L190" s="18">
        <v>4119.0</v>
      </c>
      <c r="M190" s="14">
        <f>STDEV(L187:L191)</f>
        <v>27194.55885</v>
      </c>
      <c r="N190" s="15" t="b">
        <f t="shared" si="1"/>
        <v>0</v>
      </c>
    </row>
    <row r="191" hidden="1">
      <c r="A191" s="7" t="s">
        <v>44</v>
      </c>
      <c r="B191" s="19" t="s">
        <v>17</v>
      </c>
      <c r="C191" s="19">
        <v>0.1</v>
      </c>
      <c r="D191" s="19">
        <v>0.5</v>
      </c>
      <c r="E191" s="19">
        <v>8.0</v>
      </c>
      <c r="F191" s="7">
        <v>119.59035205841</v>
      </c>
      <c r="G191" s="7">
        <v>280.018561124801</v>
      </c>
      <c r="H191" s="7">
        <v>4.0</v>
      </c>
      <c r="I191" s="15">
        <v>0.273580073085512</v>
      </c>
      <c r="J191" s="15">
        <v>0.0708686124868657</v>
      </c>
      <c r="K191" s="12">
        <f>AVERAGE(I187:I191)</f>
        <v>0.3740417576</v>
      </c>
      <c r="L191" s="18">
        <v>19926.0</v>
      </c>
      <c r="M191" s="14">
        <f>STDEV(L187:L191)</f>
        <v>27194.55885</v>
      </c>
      <c r="N191" s="15" t="b">
        <f t="shared" si="1"/>
        <v>0</v>
      </c>
    </row>
    <row r="192" hidden="1">
      <c r="A192" s="7" t="s">
        <v>45</v>
      </c>
      <c r="B192" s="20" t="s">
        <v>17</v>
      </c>
      <c r="C192" s="20">
        <v>0.1</v>
      </c>
      <c r="D192" s="20">
        <v>0.5</v>
      </c>
      <c r="E192" s="20">
        <v>9.0</v>
      </c>
      <c r="F192" s="7">
        <v>46.2284495830535</v>
      </c>
      <c r="G192" s="7">
        <v>191.060869693756</v>
      </c>
      <c r="H192" s="7">
        <v>0.0</v>
      </c>
      <c r="I192" s="15">
        <v>0.799143408374488</v>
      </c>
      <c r="J192" s="15">
        <v>0.118949101503801</v>
      </c>
      <c r="K192" s="12">
        <f>AVERAGE(I192:I196)</f>
        <v>0.6777450478</v>
      </c>
      <c r="L192" s="18">
        <v>7484.0</v>
      </c>
      <c r="M192" s="14">
        <f>STDEV(L192:L196)</f>
        <v>54534.29101</v>
      </c>
      <c r="N192" s="15" t="b">
        <f t="shared" si="1"/>
        <v>1</v>
      </c>
    </row>
    <row r="193" hidden="1">
      <c r="A193" s="7" t="s">
        <v>45</v>
      </c>
      <c r="B193" s="20" t="s">
        <v>17</v>
      </c>
      <c r="C193" s="20">
        <v>0.1</v>
      </c>
      <c r="D193" s="20">
        <v>0.5</v>
      </c>
      <c r="E193" s="20">
        <v>9.0</v>
      </c>
      <c r="F193" s="7">
        <v>46.2284495830535</v>
      </c>
      <c r="G193" s="7">
        <v>191.060869693756</v>
      </c>
      <c r="H193" s="7">
        <v>1.0</v>
      </c>
      <c r="I193" s="15">
        <v>0.807584445480382</v>
      </c>
      <c r="J193" s="15">
        <v>0.116813889597368</v>
      </c>
      <c r="K193" s="12">
        <f>AVERAGE(I192:I196)</f>
        <v>0.6777450478</v>
      </c>
      <c r="L193" s="18">
        <v>5709.0</v>
      </c>
      <c r="M193" s="14">
        <f>STDEV(L192:L196)</f>
        <v>54534.29101</v>
      </c>
      <c r="N193" s="15" t="b">
        <f t="shared" si="1"/>
        <v>1</v>
      </c>
    </row>
    <row r="194" hidden="1">
      <c r="A194" s="7" t="s">
        <v>45</v>
      </c>
      <c r="B194" s="20" t="s">
        <v>17</v>
      </c>
      <c r="C194" s="20">
        <v>0.1</v>
      </c>
      <c r="D194" s="20">
        <v>0.5</v>
      </c>
      <c r="E194" s="20">
        <v>9.0</v>
      </c>
      <c r="F194" s="7">
        <v>46.2284495830535</v>
      </c>
      <c r="G194" s="7">
        <v>191.060869693756</v>
      </c>
      <c r="H194" s="7">
        <v>2.0</v>
      </c>
      <c r="I194" s="15">
        <v>0.0720724578421631</v>
      </c>
      <c r="J194" s="15">
        <v>0.0659760647601116</v>
      </c>
      <c r="K194" s="12">
        <f>AVERAGE(I192:I196)</f>
        <v>0.6777450478</v>
      </c>
      <c r="L194" s="18">
        <v>125766.0</v>
      </c>
      <c r="M194" s="14">
        <f>STDEV(L192:L196)</f>
        <v>54534.29101</v>
      </c>
      <c r="N194" s="15" t="b">
        <f t="shared" si="1"/>
        <v>1</v>
      </c>
    </row>
    <row r="195" hidden="1">
      <c r="A195" s="7" t="s">
        <v>45</v>
      </c>
      <c r="B195" s="20" t="s">
        <v>17</v>
      </c>
      <c r="C195" s="20">
        <v>0.1</v>
      </c>
      <c r="D195" s="20">
        <v>0.5</v>
      </c>
      <c r="E195" s="20">
        <v>9.0</v>
      </c>
      <c r="F195" s="7">
        <v>46.2284495830535</v>
      </c>
      <c r="G195" s="7">
        <v>191.060869693756</v>
      </c>
      <c r="H195" s="7">
        <v>3.0</v>
      </c>
      <c r="I195" s="15">
        <v>0.8918835528149</v>
      </c>
      <c r="J195" s="15">
        <v>0.119584663702993</v>
      </c>
      <c r="K195" s="12">
        <f>AVERAGE(I192:I196)</f>
        <v>0.6777450478</v>
      </c>
      <c r="L195" s="18">
        <v>2063.0</v>
      </c>
      <c r="M195" s="14">
        <f>STDEV(L192:L196)</f>
        <v>54534.29101</v>
      </c>
      <c r="N195" s="15" t="b">
        <f t="shared" si="1"/>
        <v>1</v>
      </c>
    </row>
    <row r="196" hidden="1">
      <c r="A196" s="7" t="s">
        <v>45</v>
      </c>
      <c r="B196" s="20" t="s">
        <v>17</v>
      </c>
      <c r="C196" s="20">
        <v>0.1</v>
      </c>
      <c r="D196" s="20">
        <v>0.5</v>
      </c>
      <c r="E196" s="20">
        <v>9.0</v>
      </c>
      <c r="F196" s="7">
        <v>46.2284495830535</v>
      </c>
      <c r="G196" s="7">
        <v>191.060869693756</v>
      </c>
      <c r="H196" s="7">
        <v>4.0</v>
      </c>
      <c r="I196" s="15">
        <v>0.818041374356613</v>
      </c>
      <c r="J196" s="15">
        <v>0.136657446013083</v>
      </c>
      <c r="K196" s="12">
        <f>AVERAGE(I192:I196)</f>
        <v>0.6777450478</v>
      </c>
      <c r="L196" s="18">
        <v>654.0</v>
      </c>
      <c r="M196" s="14">
        <f>STDEV(L192:L196)</f>
        <v>54534.29101</v>
      </c>
      <c r="N196" s="15" t="b">
        <f t="shared" si="1"/>
        <v>1</v>
      </c>
    </row>
    <row r="197" hidden="1">
      <c r="A197" s="7" t="s">
        <v>46</v>
      </c>
      <c r="B197" s="7" t="s">
        <v>17</v>
      </c>
      <c r="C197" s="7">
        <v>0.1</v>
      </c>
      <c r="D197" s="7">
        <v>0.5</v>
      </c>
      <c r="E197" s="7">
        <v>10.0</v>
      </c>
      <c r="F197" s="7">
        <v>397.528526782989</v>
      </c>
      <c r="G197" s="7">
        <v>534.470989227294</v>
      </c>
      <c r="H197" s="7">
        <v>0.0</v>
      </c>
      <c r="I197" s="15">
        <v>0.0257224213152665</v>
      </c>
      <c r="J197" s="15">
        <v>0.182102592495779</v>
      </c>
      <c r="K197" s="12">
        <f>AVERAGE(I197:I201)</f>
        <v>0.6368329157</v>
      </c>
      <c r="L197" s="18">
        <v>107558.0</v>
      </c>
      <c r="M197" s="14">
        <f>STDEV(L197:L201)</f>
        <v>44372.27931</v>
      </c>
      <c r="N197" s="15" t="b">
        <f t="shared" si="1"/>
        <v>0</v>
      </c>
    </row>
    <row r="198" hidden="1">
      <c r="A198" s="7" t="s">
        <v>46</v>
      </c>
      <c r="B198" s="7" t="s">
        <v>17</v>
      </c>
      <c r="C198" s="7">
        <v>0.1</v>
      </c>
      <c r="D198" s="7">
        <v>0.5</v>
      </c>
      <c r="E198" s="7">
        <v>10.0</v>
      </c>
      <c r="F198" s="7">
        <v>397.528526782989</v>
      </c>
      <c r="G198" s="7">
        <v>534.470989227294</v>
      </c>
      <c r="H198" s="7">
        <v>1.0</v>
      </c>
      <c r="I198" s="15">
        <v>0.788208894532407</v>
      </c>
      <c r="J198" s="15">
        <v>0.118995598063839</v>
      </c>
      <c r="K198" s="12">
        <f>AVERAGE(I197:I201)</f>
        <v>0.6368329157</v>
      </c>
      <c r="L198" s="18">
        <v>11830.0</v>
      </c>
      <c r="M198" s="14">
        <f>STDEV(L197:L201)</f>
        <v>44372.27931</v>
      </c>
      <c r="N198" s="15" t="b">
        <f t="shared" si="1"/>
        <v>0</v>
      </c>
    </row>
    <row r="199" hidden="1">
      <c r="A199" s="7" t="s">
        <v>46</v>
      </c>
      <c r="B199" s="7" t="s">
        <v>17</v>
      </c>
      <c r="C199" s="7">
        <v>0.1</v>
      </c>
      <c r="D199" s="7">
        <v>0.5</v>
      </c>
      <c r="E199" s="7">
        <v>10.0</v>
      </c>
      <c r="F199" s="7">
        <v>397.528526782989</v>
      </c>
      <c r="G199" s="7">
        <v>534.470989227294</v>
      </c>
      <c r="H199" s="7">
        <v>2.0</v>
      </c>
      <c r="I199" s="15">
        <v>0.734325402003805</v>
      </c>
      <c r="J199" s="15">
        <v>0.144829092178311</v>
      </c>
      <c r="K199" s="12">
        <f>AVERAGE(I197:I201)</f>
        <v>0.6368329157</v>
      </c>
      <c r="L199" s="18">
        <v>10018.0</v>
      </c>
      <c r="M199" s="14">
        <f>STDEV(L197:L201)</f>
        <v>44372.27931</v>
      </c>
      <c r="N199" s="15" t="b">
        <f t="shared" si="1"/>
        <v>0</v>
      </c>
    </row>
    <row r="200" hidden="1">
      <c r="A200" s="7" t="s">
        <v>46</v>
      </c>
      <c r="B200" s="7" t="s">
        <v>17</v>
      </c>
      <c r="C200" s="7">
        <v>0.1</v>
      </c>
      <c r="D200" s="7">
        <v>0.5</v>
      </c>
      <c r="E200" s="7">
        <v>10.0</v>
      </c>
      <c r="F200" s="7">
        <v>397.528526782989</v>
      </c>
      <c r="G200" s="7">
        <v>534.470989227294</v>
      </c>
      <c r="H200" s="7">
        <v>3.0</v>
      </c>
      <c r="I200" s="15">
        <v>0.764812008482328</v>
      </c>
      <c r="J200" s="15">
        <v>0.133980848132027</v>
      </c>
      <c r="K200" s="12">
        <f>AVERAGE(I197:I201)</f>
        <v>0.6368329157</v>
      </c>
      <c r="L200" s="18">
        <v>7824.0</v>
      </c>
      <c r="M200" s="14">
        <f>STDEV(L197:L201)</f>
        <v>44372.27931</v>
      </c>
      <c r="N200" s="15" t="b">
        <f t="shared" si="1"/>
        <v>0</v>
      </c>
    </row>
    <row r="201" hidden="1">
      <c r="A201" s="7" t="s">
        <v>46</v>
      </c>
      <c r="B201" s="7" t="s">
        <v>17</v>
      </c>
      <c r="C201" s="7">
        <v>0.1</v>
      </c>
      <c r="D201" s="7">
        <v>0.5</v>
      </c>
      <c r="E201" s="7">
        <v>10.0</v>
      </c>
      <c r="F201" s="7">
        <v>397.528526782989</v>
      </c>
      <c r="G201" s="7">
        <v>534.470989227294</v>
      </c>
      <c r="H201" s="7">
        <v>4.0</v>
      </c>
      <c r="I201" s="15">
        <v>0.871095852356515</v>
      </c>
      <c r="J201" s="15">
        <v>0.101128429034698</v>
      </c>
      <c r="K201" s="12">
        <f>AVERAGE(I197:I201)</f>
        <v>0.6368329157</v>
      </c>
      <c r="L201" s="18">
        <v>4446.0</v>
      </c>
      <c r="M201" s="14">
        <f>STDEV(L197:L201)</f>
        <v>44372.27931</v>
      </c>
      <c r="N201" s="15" t="b">
        <f t="shared" si="1"/>
        <v>0</v>
      </c>
    </row>
    <row r="202" hidden="1">
      <c r="A202" s="7" t="s">
        <v>47</v>
      </c>
      <c r="B202" s="7" t="s">
        <v>17</v>
      </c>
      <c r="C202" s="7">
        <v>0.1</v>
      </c>
      <c r="D202" s="7">
        <v>0.75</v>
      </c>
      <c r="E202" s="7">
        <v>1.0</v>
      </c>
      <c r="F202" s="7">
        <v>100.636466026306</v>
      </c>
      <c r="G202" s="7">
        <v>270.798076152801</v>
      </c>
      <c r="H202" s="7">
        <v>0.0</v>
      </c>
      <c r="I202" s="15">
        <v>0.089331254387364</v>
      </c>
      <c r="J202" s="15">
        <v>0.0757979448339862</v>
      </c>
      <c r="K202" s="12">
        <f>AVERAGE(I202:I206)</f>
        <v>0.5629784199</v>
      </c>
      <c r="L202" s="18">
        <v>84488.0</v>
      </c>
      <c r="M202" s="14">
        <f>STDEV(L202:L206)</f>
        <v>33943.35546</v>
      </c>
      <c r="N202" s="15" t="b">
        <f t="shared" si="1"/>
        <v>0</v>
      </c>
    </row>
    <row r="203" hidden="1">
      <c r="A203" s="7" t="s">
        <v>47</v>
      </c>
      <c r="B203" s="7" t="s">
        <v>17</v>
      </c>
      <c r="C203" s="7">
        <v>0.1</v>
      </c>
      <c r="D203" s="7">
        <v>0.75</v>
      </c>
      <c r="E203" s="7">
        <v>1.0</v>
      </c>
      <c r="F203" s="7">
        <v>100.636466026306</v>
      </c>
      <c r="G203" s="7">
        <v>270.798076152801</v>
      </c>
      <c r="H203" s="7">
        <v>1.0</v>
      </c>
      <c r="I203" s="15">
        <v>0.810383343783288</v>
      </c>
      <c r="J203" s="15">
        <v>0.116213132814294</v>
      </c>
      <c r="K203" s="12">
        <f>AVERAGE(I202:I206)</f>
        <v>0.5629784199</v>
      </c>
      <c r="L203" s="18">
        <v>5667.0</v>
      </c>
      <c r="M203" s="14">
        <f>STDEV(L202:L206)</f>
        <v>33943.35546</v>
      </c>
      <c r="N203" s="15" t="b">
        <f t="shared" si="1"/>
        <v>0</v>
      </c>
    </row>
    <row r="204" hidden="1">
      <c r="A204" s="7" t="s">
        <v>47</v>
      </c>
      <c r="B204" s="7" t="s">
        <v>17</v>
      </c>
      <c r="C204" s="7">
        <v>0.1</v>
      </c>
      <c r="D204" s="7">
        <v>0.75</v>
      </c>
      <c r="E204" s="7">
        <v>1.0</v>
      </c>
      <c r="F204" s="7">
        <v>100.636466026306</v>
      </c>
      <c r="G204" s="7">
        <v>270.798076152801</v>
      </c>
      <c r="H204" s="7">
        <v>2.0</v>
      </c>
      <c r="I204" s="15">
        <v>0.285355151850677</v>
      </c>
      <c r="J204" s="15">
        <v>0.124002958864374</v>
      </c>
      <c r="K204" s="12">
        <f>AVERAGE(I202:I206)</f>
        <v>0.5629784199</v>
      </c>
      <c r="L204" s="18">
        <v>36631.0</v>
      </c>
      <c r="M204" s="14">
        <f>STDEV(L202:L206)</f>
        <v>33943.35546</v>
      </c>
      <c r="N204" s="15" t="b">
        <f t="shared" si="1"/>
        <v>0</v>
      </c>
    </row>
    <row r="205" hidden="1">
      <c r="A205" s="7" t="s">
        <v>47</v>
      </c>
      <c r="B205" s="7" t="s">
        <v>17</v>
      </c>
      <c r="C205" s="7">
        <v>0.1</v>
      </c>
      <c r="D205" s="7">
        <v>0.75</v>
      </c>
      <c r="E205" s="7">
        <v>1.0</v>
      </c>
      <c r="F205" s="7">
        <v>100.636466026306</v>
      </c>
      <c r="G205" s="7">
        <v>270.798076152801</v>
      </c>
      <c r="H205" s="7">
        <v>3.0</v>
      </c>
      <c r="I205" s="15">
        <v>0.829553589528633</v>
      </c>
      <c r="J205" s="15">
        <v>0.0985161596251872</v>
      </c>
      <c r="K205" s="12">
        <f>AVERAGE(I202:I206)</f>
        <v>0.5629784199</v>
      </c>
      <c r="L205" s="18">
        <v>7439.0</v>
      </c>
      <c r="M205" s="14">
        <f>STDEV(L202:L206)</f>
        <v>33943.35546</v>
      </c>
      <c r="N205" s="15" t="b">
        <f t="shared" si="1"/>
        <v>0</v>
      </c>
    </row>
    <row r="206" hidden="1">
      <c r="A206" s="7" t="s">
        <v>47</v>
      </c>
      <c r="B206" s="7" t="s">
        <v>17</v>
      </c>
      <c r="C206" s="7">
        <v>0.1</v>
      </c>
      <c r="D206" s="7">
        <v>0.75</v>
      </c>
      <c r="E206" s="7">
        <v>1.0</v>
      </c>
      <c r="F206" s="7">
        <v>100.636466026306</v>
      </c>
      <c r="G206" s="7">
        <v>270.798076152801</v>
      </c>
      <c r="H206" s="7">
        <v>4.0</v>
      </c>
      <c r="I206" s="15">
        <v>0.800268759726355</v>
      </c>
      <c r="J206" s="15">
        <v>0.11762749203671</v>
      </c>
      <c r="K206" s="12">
        <f>AVERAGE(I202:I206)</f>
        <v>0.5629784199</v>
      </c>
      <c r="L206" s="18">
        <v>7451.0</v>
      </c>
      <c r="M206" s="14">
        <f>STDEV(L202:L206)</f>
        <v>33943.35546</v>
      </c>
      <c r="N206" s="15" t="b">
        <f t="shared" si="1"/>
        <v>0</v>
      </c>
    </row>
    <row r="207" hidden="1">
      <c r="A207" s="7" t="s">
        <v>48</v>
      </c>
      <c r="B207" s="20" t="s">
        <v>17</v>
      </c>
      <c r="C207" s="20">
        <v>0.1</v>
      </c>
      <c r="D207" s="20">
        <v>0.75</v>
      </c>
      <c r="E207" s="20">
        <v>2.0</v>
      </c>
      <c r="F207" s="7">
        <v>83.578064918518</v>
      </c>
      <c r="G207" s="7">
        <v>250.053596735</v>
      </c>
      <c r="H207" s="7">
        <v>0.0</v>
      </c>
      <c r="I207" s="15">
        <v>0.727321368013902</v>
      </c>
      <c r="J207" s="15">
        <v>0.154702196080294</v>
      </c>
      <c r="K207" s="12">
        <f>AVERAGE(I207:I211)</f>
        <v>0.654154417</v>
      </c>
      <c r="L207" s="18">
        <v>3863.0</v>
      </c>
      <c r="M207" s="14">
        <f>STDEV(L207:L211)</f>
        <v>50012.1244</v>
      </c>
      <c r="N207" s="15" t="b">
        <f t="shared" si="1"/>
        <v>1</v>
      </c>
    </row>
    <row r="208" hidden="1">
      <c r="A208" s="7" t="s">
        <v>48</v>
      </c>
      <c r="B208" s="20" t="s">
        <v>17</v>
      </c>
      <c r="C208" s="20">
        <v>0.1</v>
      </c>
      <c r="D208" s="20">
        <v>0.75</v>
      </c>
      <c r="E208" s="20">
        <v>2.0</v>
      </c>
      <c r="F208" s="7">
        <v>83.578064918518</v>
      </c>
      <c r="G208" s="7">
        <v>250.053596735</v>
      </c>
      <c r="H208" s="7">
        <v>1.0</v>
      </c>
      <c r="I208" s="15">
        <v>0.0431866011805837</v>
      </c>
      <c r="J208" s="15">
        <v>0.139035104818206</v>
      </c>
      <c r="K208" s="12">
        <f>AVERAGE(I207:I211)</f>
        <v>0.654154417</v>
      </c>
      <c r="L208" s="18">
        <v>117601.0</v>
      </c>
      <c r="M208" s="14">
        <f>STDEV(L207:L211)</f>
        <v>50012.1244</v>
      </c>
      <c r="N208" s="15" t="b">
        <f t="shared" si="1"/>
        <v>1</v>
      </c>
    </row>
    <row r="209" hidden="1">
      <c r="A209" s="7" t="s">
        <v>48</v>
      </c>
      <c r="B209" s="20" t="s">
        <v>17</v>
      </c>
      <c r="C209" s="20">
        <v>0.1</v>
      </c>
      <c r="D209" s="20">
        <v>0.75</v>
      </c>
      <c r="E209" s="20">
        <v>2.0</v>
      </c>
      <c r="F209" s="7">
        <v>83.578064918518</v>
      </c>
      <c r="G209" s="7">
        <v>250.053596735</v>
      </c>
      <c r="H209" s="7">
        <v>2.0</v>
      </c>
      <c r="I209" s="15">
        <v>0.798134628757334</v>
      </c>
      <c r="J209" s="15">
        <v>0.12286268345318</v>
      </c>
      <c r="K209" s="12">
        <f>AVERAGE(I207:I211)</f>
        <v>0.654154417</v>
      </c>
      <c r="L209" s="18">
        <v>7463.0</v>
      </c>
      <c r="M209" s="14">
        <f>STDEV(L207:L211)</f>
        <v>50012.1244</v>
      </c>
      <c r="N209" s="15" t="b">
        <f t="shared" si="1"/>
        <v>1</v>
      </c>
    </row>
    <row r="210" hidden="1">
      <c r="A210" s="7" t="s">
        <v>48</v>
      </c>
      <c r="B210" s="20" t="s">
        <v>17</v>
      </c>
      <c r="C210" s="20">
        <v>0.1</v>
      </c>
      <c r="D210" s="20">
        <v>0.75</v>
      </c>
      <c r="E210" s="20">
        <v>2.0</v>
      </c>
      <c r="F210" s="7">
        <v>83.578064918518</v>
      </c>
      <c r="G210" s="7">
        <v>250.053596735</v>
      </c>
      <c r="H210" s="7">
        <v>3.0</v>
      </c>
      <c r="I210" s="15">
        <v>0.911603370217023</v>
      </c>
      <c r="J210" s="15">
        <v>0.0384688321814956</v>
      </c>
      <c r="K210" s="12">
        <f>AVERAGE(I207:I211)</f>
        <v>0.654154417</v>
      </c>
      <c r="L210" s="18">
        <v>2051.0</v>
      </c>
      <c r="M210" s="14">
        <f>STDEV(L207:L211)</f>
        <v>50012.1244</v>
      </c>
      <c r="N210" s="15" t="b">
        <f t="shared" si="1"/>
        <v>1</v>
      </c>
    </row>
    <row r="211" hidden="1">
      <c r="A211" s="7" t="s">
        <v>48</v>
      </c>
      <c r="B211" s="20" t="s">
        <v>17</v>
      </c>
      <c r="C211" s="20">
        <v>0.1</v>
      </c>
      <c r="D211" s="20">
        <v>0.75</v>
      </c>
      <c r="E211" s="20">
        <v>2.0</v>
      </c>
      <c r="F211" s="7">
        <v>83.578064918518</v>
      </c>
      <c r="G211" s="7">
        <v>250.053596735</v>
      </c>
      <c r="H211" s="7">
        <v>4.0</v>
      </c>
      <c r="I211" s="15">
        <v>0.790526116949813</v>
      </c>
      <c r="J211" s="15">
        <v>0.126172798664267</v>
      </c>
      <c r="K211" s="12">
        <f>AVERAGE(I207:I211)</f>
        <v>0.654154417</v>
      </c>
      <c r="L211" s="18">
        <v>10698.0</v>
      </c>
      <c r="M211" s="14">
        <f>STDEV(L207:L211)</f>
        <v>50012.1244</v>
      </c>
      <c r="N211" s="15" t="b">
        <f t="shared" si="1"/>
        <v>1</v>
      </c>
    </row>
    <row r="212" hidden="1">
      <c r="A212" s="7" t="s">
        <v>49</v>
      </c>
      <c r="B212" s="22" t="s">
        <v>17</v>
      </c>
      <c r="C212" s="22">
        <v>0.1</v>
      </c>
      <c r="D212" s="22">
        <v>0.75</v>
      </c>
      <c r="E212" s="22">
        <v>3.0</v>
      </c>
      <c r="F212" s="7">
        <v>63.1395547389984</v>
      </c>
      <c r="G212" s="7">
        <v>238.05102610588</v>
      </c>
      <c r="H212" s="7">
        <v>0.0</v>
      </c>
      <c r="I212" s="15">
        <v>0.0815159527973857</v>
      </c>
      <c r="J212" s="15">
        <v>0.0774898192167901</v>
      </c>
      <c r="K212" s="12">
        <f>AVERAGE(I212:I216)</f>
        <v>0.4756301966</v>
      </c>
      <c r="L212" s="18">
        <v>92992.0</v>
      </c>
      <c r="M212" s="14">
        <f>STDEV(L212:L216)</f>
        <v>38845.88511</v>
      </c>
      <c r="N212" s="15" t="b">
        <f t="shared" si="1"/>
        <v>0</v>
      </c>
    </row>
    <row r="213" hidden="1">
      <c r="A213" s="7" t="s">
        <v>49</v>
      </c>
      <c r="B213" s="22" t="s">
        <v>17</v>
      </c>
      <c r="C213" s="22">
        <v>0.1</v>
      </c>
      <c r="D213" s="22">
        <v>0.75</v>
      </c>
      <c r="E213" s="22">
        <v>3.0</v>
      </c>
      <c r="F213" s="7">
        <v>63.1395547389984</v>
      </c>
      <c r="G213" s="7">
        <v>238.05102610588</v>
      </c>
      <c r="H213" s="7">
        <v>1.0</v>
      </c>
      <c r="I213" s="15">
        <v>0.317967385665471</v>
      </c>
      <c r="J213" s="15">
        <v>0.0997010238503684</v>
      </c>
      <c r="K213" s="12">
        <f>AVERAGE(I212:I216)</f>
        <v>0.4756301966</v>
      </c>
      <c r="L213" s="18">
        <v>2713.0</v>
      </c>
      <c r="M213" s="14">
        <f>STDEV(L212:L216)</f>
        <v>38845.88511</v>
      </c>
      <c r="N213" s="15" t="b">
        <f t="shared" si="1"/>
        <v>0</v>
      </c>
    </row>
    <row r="214" hidden="1">
      <c r="A214" s="7" t="s">
        <v>49</v>
      </c>
      <c r="B214" s="22" t="s">
        <v>17</v>
      </c>
      <c r="C214" s="22">
        <v>0.1</v>
      </c>
      <c r="D214" s="22">
        <v>0.75</v>
      </c>
      <c r="E214" s="22">
        <v>3.0</v>
      </c>
      <c r="F214" s="7">
        <v>63.1395547389984</v>
      </c>
      <c r="G214" s="7">
        <v>238.05102610588</v>
      </c>
      <c r="H214" s="7">
        <v>2.0</v>
      </c>
      <c r="I214" s="15">
        <v>0.270817364072609</v>
      </c>
      <c r="J214" s="15">
        <v>0.145162742797708</v>
      </c>
      <c r="K214" s="12">
        <f>AVERAGE(I212:I216)</f>
        <v>0.4756301966</v>
      </c>
      <c r="L214" s="18">
        <v>36560.0</v>
      </c>
      <c r="M214" s="14">
        <f>STDEV(L212:L216)</f>
        <v>38845.88511</v>
      </c>
      <c r="N214" s="15" t="b">
        <f t="shared" si="1"/>
        <v>0</v>
      </c>
    </row>
    <row r="215" hidden="1">
      <c r="A215" s="7" t="s">
        <v>49</v>
      </c>
      <c r="B215" s="22" t="s">
        <v>17</v>
      </c>
      <c r="C215" s="22">
        <v>0.1</v>
      </c>
      <c r="D215" s="22">
        <v>0.75</v>
      </c>
      <c r="E215" s="22">
        <v>3.0</v>
      </c>
      <c r="F215" s="7">
        <v>63.1395547389984</v>
      </c>
      <c r="G215" s="7">
        <v>238.05102610588</v>
      </c>
      <c r="H215" s="7">
        <v>3.0</v>
      </c>
      <c r="I215" s="15">
        <v>0.804254065141446</v>
      </c>
      <c r="J215" s="15">
        <v>0.114654245517303</v>
      </c>
      <c r="K215" s="12">
        <f>AVERAGE(I212:I216)</f>
        <v>0.4756301966</v>
      </c>
      <c r="L215" s="18">
        <v>7411.0</v>
      </c>
      <c r="M215" s="14">
        <f>STDEV(L212:L216)</f>
        <v>38845.88511</v>
      </c>
      <c r="N215" s="15" t="b">
        <f t="shared" si="1"/>
        <v>0</v>
      </c>
    </row>
    <row r="216" hidden="1">
      <c r="A216" s="7" t="s">
        <v>49</v>
      </c>
      <c r="B216" s="22" t="s">
        <v>17</v>
      </c>
      <c r="C216" s="22">
        <v>0.1</v>
      </c>
      <c r="D216" s="22">
        <v>0.75</v>
      </c>
      <c r="E216" s="22">
        <v>3.0</v>
      </c>
      <c r="F216" s="7">
        <v>63.1395547389984</v>
      </c>
      <c r="G216" s="7">
        <v>238.05102610588</v>
      </c>
      <c r="H216" s="7">
        <v>4.0</v>
      </c>
      <c r="I216" s="15">
        <v>0.90359621541291</v>
      </c>
      <c r="J216" s="15">
        <v>0.110488859830384</v>
      </c>
      <c r="K216" s="12">
        <f>AVERAGE(I212:I216)</f>
        <v>0.4756301966</v>
      </c>
      <c r="L216" s="18">
        <v>2000.0</v>
      </c>
      <c r="M216" s="14">
        <f>STDEV(L212:L216)</f>
        <v>38845.88511</v>
      </c>
      <c r="N216" s="15" t="b">
        <f t="shared" si="1"/>
        <v>0</v>
      </c>
    </row>
    <row r="217" hidden="1">
      <c r="A217" s="7" t="s">
        <v>50</v>
      </c>
      <c r="B217" s="7" t="s">
        <v>17</v>
      </c>
      <c r="C217" s="7">
        <v>0.1</v>
      </c>
      <c r="D217" s="7">
        <v>0.75</v>
      </c>
      <c r="E217" s="7">
        <v>4.0</v>
      </c>
      <c r="F217" s="7">
        <v>77.989250421524</v>
      </c>
      <c r="G217" s="7">
        <v>242.670192956924</v>
      </c>
      <c r="H217" s="7">
        <v>0.0</v>
      </c>
      <c r="I217" s="15">
        <v>0.759869317784049</v>
      </c>
      <c r="J217" s="15">
        <v>0.135854802010986</v>
      </c>
      <c r="K217" s="12">
        <f>AVERAGE(I217:I221)</f>
        <v>0.5407725913</v>
      </c>
      <c r="L217" s="18">
        <v>15961.0</v>
      </c>
      <c r="M217" s="14">
        <f>STDEV(L217:L221)</f>
        <v>28539.35273</v>
      </c>
      <c r="N217" s="15" t="b">
        <f t="shared" si="1"/>
        <v>0</v>
      </c>
    </row>
    <row r="218" hidden="1">
      <c r="A218" s="7" t="s">
        <v>50</v>
      </c>
      <c r="B218" s="7" t="s">
        <v>17</v>
      </c>
      <c r="C218" s="7">
        <v>0.1</v>
      </c>
      <c r="D218" s="7">
        <v>0.75</v>
      </c>
      <c r="E218" s="7">
        <v>4.0</v>
      </c>
      <c r="F218" s="7">
        <v>77.989250421524</v>
      </c>
      <c r="G218" s="7">
        <v>242.670192956924</v>
      </c>
      <c r="H218" s="7">
        <v>1.0</v>
      </c>
      <c r="I218" s="15">
        <v>0.0818172810046951</v>
      </c>
      <c r="J218" s="15">
        <v>0.0742602071239539</v>
      </c>
      <c r="K218" s="12">
        <f>AVERAGE(I217:I221)</f>
        <v>0.5407725913</v>
      </c>
      <c r="L218" s="18">
        <v>72693.0</v>
      </c>
      <c r="M218" s="14">
        <f>STDEV(L217:L221)</f>
        <v>28539.35273</v>
      </c>
      <c r="N218" s="15" t="b">
        <f t="shared" si="1"/>
        <v>0</v>
      </c>
    </row>
    <row r="219" hidden="1">
      <c r="A219" s="7" t="s">
        <v>50</v>
      </c>
      <c r="B219" s="7" t="s">
        <v>17</v>
      </c>
      <c r="C219" s="7">
        <v>0.1</v>
      </c>
      <c r="D219" s="7">
        <v>0.75</v>
      </c>
      <c r="E219" s="7">
        <v>4.0</v>
      </c>
      <c r="F219" s="7">
        <v>77.989250421524</v>
      </c>
      <c r="G219" s="7">
        <v>242.670192956924</v>
      </c>
      <c r="H219" s="7">
        <v>2.0</v>
      </c>
      <c r="I219" s="15">
        <v>0.235880621118546</v>
      </c>
      <c r="J219" s="15">
        <v>0.104083789745065</v>
      </c>
      <c r="K219" s="12">
        <f>AVERAGE(I217:I221)</f>
        <v>0.5407725913</v>
      </c>
      <c r="L219" s="18">
        <v>40707.0</v>
      </c>
      <c r="M219" s="14">
        <f>STDEV(L217:L221)</f>
        <v>28539.35273</v>
      </c>
      <c r="N219" s="15" t="b">
        <f t="shared" si="1"/>
        <v>0</v>
      </c>
    </row>
    <row r="220" hidden="1">
      <c r="A220" s="7" t="s">
        <v>50</v>
      </c>
      <c r="B220" s="7" t="s">
        <v>17</v>
      </c>
      <c r="C220" s="7">
        <v>0.1</v>
      </c>
      <c r="D220" s="7">
        <v>0.75</v>
      </c>
      <c r="E220" s="7">
        <v>4.0</v>
      </c>
      <c r="F220" s="7">
        <v>77.989250421524</v>
      </c>
      <c r="G220" s="7">
        <v>242.670192956924</v>
      </c>
      <c r="H220" s="7">
        <v>3.0</v>
      </c>
      <c r="I220" s="15">
        <v>0.816304685791747</v>
      </c>
      <c r="J220" s="15">
        <v>0.103881358541326</v>
      </c>
      <c r="K220" s="12">
        <f>AVERAGE(I217:I221)</f>
        <v>0.5407725913</v>
      </c>
      <c r="L220" s="18">
        <v>6648.0</v>
      </c>
      <c r="M220" s="14">
        <f>STDEV(L217:L221)</f>
        <v>28539.35273</v>
      </c>
      <c r="N220" s="15" t="b">
        <f t="shared" si="1"/>
        <v>0</v>
      </c>
    </row>
    <row r="221" hidden="1">
      <c r="A221" s="7" t="s">
        <v>50</v>
      </c>
      <c r="B221" s="7" t="s">
        <v>17</v>
      </c>
      <c r="C221" s="7">
        <v>0.1</v>
      </c>
      <c r="D221" s="7">
        <v>0.75</v>
      </c>
      <c r="E221" s="7">
        <v>4.0</v>
      </c>
      <c r="F221" s="7">
        <v>77.989250421524</v>
      </c>
      <c r="G221" s="7">
        <v>242.670192956924</v>
      </c>
      <c r="H221" s="7">
        <v>4.0</v>
      </c>
      <c r="I221" s="15">
        <v>0.809991050715394</v>
      </c>
      <c r="J221" s="15">
        <v>0.114815571544197</v>
      </c>
      <c r="K221" s="12">
        <f>AVERAGE(I217:I221)</f>
        <v>0.5407725913</v>
      </c>
      <c r="L221" s="18">
        <v>5667.0</v>
      </c>
      <c r="M221" s="14">
        <f>STDEV(L217:L221)</f>
        <v>28539.35273</v>
      </c>
      <c r="N221" s="15" t="b">
        <f t="shared" si="1"/>
        <v>0</v>
      </c>
    </row>
    <row r="222" hidden="1">
      <c r="A222" s="7" t="s">
        <v>51</v>
      </c>
      <c r="B222" s="7" t="s">
        <v>17</v>
      </c>
      <c r="C222" s="7">
        <v>0.1</v>
      </c>
      <c r="D222" s="7">
        <v>0.75</v>
      </c>
      <c r="E222" s="7">
        <v>5.0</v>
      </c>
      <c r="F222" s="7">
        <v>67.5137724876403</v>
      </c>
      <c r="G222" s="7">
        <v>228.20765376091</v>
      </c>
      <c r="H222" s="7">
        <v>0.0</v>
      </c>
      <c r="I222" s="15">
        <v>0.778145489873477</v>
      </c>
      <c r="J222" s="15">
        <v>0.126502897774885</v>
      </c>
      <c r="K222" s="12">
        <f>AVERAGE(I222:I226)</f>
        <v>0.5108379288</v>
      </c>
      <c r="L222" s="18">
        <v>10698.0</v>
      </c>
      <c r="M222" s="14">
        <f>STDEV(L222:L226)</f>
        <v>28163.77206</v>
      </c>
      <c r="N222" s="15" t="b">
        <f t="shared" si="1"/>
        <v>0</v>
      </c>
    </row>
    <row r="223" hidden="1">
      <c r="A223" s="7" t="s">
        <v>51</v>
      </c>
      <c r="B223" s="7" t="s">
        <v>17</v>
      </c>
      <c r="C223" s="7">
        <v>0.1</v>
      </c>
      <c r="D223" s="7">
        <v>0.75</v>
      </c>
      <c r="E223" s="7">
        <v>5.0</v>
      </c>
      <c r="F223" s="7">
        <v>67.5137724876403</v>
      </c>
      <c r="G223" s="7">
        <v>228.20765376091</v>
      </c>
      <c r="H223" s="7">
        <v>1.0</v>
      </c>
      <c r="I223" s="15">
        <v>0.799191287375</v>
      </c>
      <c r="J223" s="15">
        <v>0.119704619382167</v>
      </c>
      <c r="K223" s="12">
        <f>AVERAGE(I222:I226)</f>
        <v>0.5108379288</v>
      </c>
      <c r="L223" s="18">
        <v>7442.0</v>
      </c>
      <c r="M223" s="14">
        <f>STDEV(L222:L226)</f>
        <v>28163.77206</v>
      </c>
      <c r="N223" s="15" t="b">
        <f t="shared" si="1"/>
        <v>0</v>
      </c>
    </row>
    <row r="224" hidden="1">
      <c r="A224" s="7" t="s">
        <v>51</v>
      </c>
      <c r="B224" s="7" t="s">
        <v>17</v>
      </c>
      <c r="C224" s="7">
        <v>0.1</v>
      </c>
      <c r="D224" s="7">
        <v>0.75</v>
      </c>
      <c r="E224" s="7">
        <v>5.0</v>
      </c>
      <c r="F224" s="7">
        <v>67.5137724876403</v>
      </c>
      <c r="G224" s="7">
        <v>228.20765376091</v>
      </c>
      <c r="H224" s="7">
        <v>2.0</v>
      </c>
      <c r="I224" s="15">
        <v>0.0771356248389325</v>
      </c>
      <c r="J224" s="15">
        <v>0.071292794093857</v>
      </c>
      <c r="K224" s="12">
        <f>AVERAGE(I222:I226)</f>
        <v>0.5108379288</v>
      </c>
      <c r="L224" s="18">
        <v>75798.0</v>
      </c>
      <c r="M224" s="14">
        <f>STDEV(L222:L226)</f>
        <v>28163.77206</v>
      </c>
      <c r="N224" s="15" t="b">
        <f t="shared" si="1"/>
        <v>0</v>
      </c>
    </row>
    <row r="225" hidden="1">
      <c r="A225" s="7" t="s">
        <v>51</v>
      </c>
      <c r="B225" s="7" t="s">
        <v>17</v>
      </c>
      <c r="C225" s="7">
        <v>0.1</v>
      </c>
      <c r="D225" s="7">
        <v>0.75</v>
      </c>
      <c r="E225" s="7">
        <v>5.0</v>
      </c>
      <c r="F225" s="7">
        <v>67.5137724876403</v>
      </c>
      <c r="G225" s="7">
        <v>228.20765376091</v>
      </c>
      <c r="H225" s="7">
        <v>3.0</v>
      </c>
      <c r="I225" s="15">
        <v>0.76444198430695</v>
      </c>
      <c r="J225" s="15">
        <v>0.133087849830753</v>
      </c>
      <c r="K225" s="12">
        <f>AVERAGE(I222:I226)</f>
        <v>0.5108379288</v>
      </c>
      <c r="L225" s="18">
        <v>15727.0</v>
      </c>
      <c r="M225" s="14">
        <f>STDEV(L222:L226)</f>
        <v>28163.77206</v>
      </c>
      <c r="N225" s="15" t="b">
        <f t="shared" si="1"/>
        <v>0</v>
      </c>
    </row>
    <row r="226" hidden="1">
      <c r="A226" s="7" t="s">
        <v>51</v>
      </c>
      <c r="B226" s="7" t="s">
        <v>17</v>
      </c>
      <c r="C226" s="7">
        <v>0.1</v>
      </c>
      <c r="D226" s="7">
        <v>0.75</v>
      </c>
      <c r="E226" s="7">
        <v>5.0</v>
      </c>
      <c r="F226" s="7">
        <v>67.5137724876403</v>
      </c>
      <c r="G226" s="7">
        <v>228.20765376091</v>
      </c>
      <c r="H226" s="7">
        <v>4.0</v>
      </c>
      <c r="I226" s="15">
        <v>0.135275257492694</v>
      </c>
      <c r="J226" s="15">
        <v>0.330775945775866</v>
      </c>
      <c r="K226" s="12">
        <f>AVERAGE(I222:I226)</f>
        <v>0.5108379288</v>
      </c>
      <c r="L226" s="18">
        <v>32011.0</v>
      </c>
      <c r="M226" s="14">
        <f>STDEV(L222:L226)</f>
        <v>28163.77206</v>
      </c>
      <c r="N226" s="15" t="b">
        <f t="shared" si="1"/>
        <v>0</v>
      </c>
    </row>
    <row r="227" hidden="1">
      <c r="A227" s="7" t="s">
        <v>52</v>
      </c>
      <c r="B227" s="7" t="s">
        <v>17</v>
      </c>
      <c r="C227" s="7">
        <v>0.1</v>
      </c>
      <c r="D227" s="7">
        <v>0.75</v>
      </c>
      <c r="E227" s="7">
        <v>6.0</v>
      </c>
      <c r="F227" s="7">
        <v>212.685587644577</v>
      </c>
      <c r="G227" s="7">
        <v>367.541404247284</v>
      </c>
      <c r="H227" s="7">
        <v>0.0</v>
      </c>
      <c r="I227" s="15">
        <v>0.0860697315906724</v>
      </c>
      <c r="J227" s="15">
        <v>0.0698898718279431</v>
      </c>
      <c r="K227" s="12">
        <f>AVERAGE(I227:I231)</f>
        <v>0.5274078532</v>
      </c>
      <c r="L227" s="18">
        <v>87631.0</v>
      </c>
      <c r="M227" s="14">
        <f>STDEV(L227:L231)</f>
        <v>34584.048</v>
      </c>
      <c r="N227" s="15" t="b">
        <f t="shared" si="1"/>
        <v>0</v>
      </c>
    </row>
    <row r="228" hidden="1">
      <c r="A228" s="7" t="s">
        <v>52</v>
      </c>
      <c r="B228" s="7" t="s">
        <v>17</v>
      </c>
      <c r="C228" s="7">
        <v>0.1</v>
      </c>
      <c r="D228" s="7">
        <v>0.75</v>
      </c>
      <c r="E228" s="7">
        <v>6.0</v>
      </c>
      <c r="F228" s="7">
        <v>212.685587644577</v>
      </c>
      <c r="G228" s="7">
        <v>367.541404247284</v>
      </c>
      <c r="H228" s="7">
        <v>1.0</v>
      </c>
      <c r="I228" s="15">
        <v>0.808430598166593</v>
      </c>
      <c r="J228" s="15">
        <v>0.124119817402181</v>
      </c>
      <c r="K228" s="12">
        <f>AVERAGE(I227:I231)</f>
        <v>0.5274078532</v>
      </c>
      <c r="L228" s="18">
        <v>5660.0</v>
      </c>
      <c r="M228" s="14">
        <f>STDEV(L227:L231)</f>
        <v>34584.048</v>
      </c>
      <c r="N228" s="15" t="b">
        <f t="shared" si="1"/>
        <v>0</v>
      </c>
    </row>
    <row r="229" hidden="1">
      <c r="A229" s="7" t="s">
        <v>52</v>
      </c>
      <c r="B229" s="7" t="s">
        <v>17</v>
      </c>
      <c r="C229" s="7">
        <v>0.1</v>
      </c>
      <c r="D229" s="7">
        <v>0.75</v>
      </c>
      <c r="E229" s="7">
        <v>6.0</v>
      </c>
      <c r="F229" s="7">
        <v>212.685587644577</v>
      </c>
      <c r="G229" s="7">
        <v>367.541404247284</v>
      </c>
      <c r="H229" s="7">
        <v>2.0</v>
      </c>
      <c r="I229" s="15">
        <v>0.163636836235671</v>
      </c>
      <c r="J229" s="15">
        <v>0.354759951686954</v>
      </c>
      <c r="K229" s="12">
        <f>AVERAGE(I227:I231)</f>
        <v>0.5274078532</v>
      </c>
      <c r="L229" s="18">
        <v>30321.0</v>
      </c>
      <c r="M229" s="14">
        <f>STDEV(L227:L231)</f>
        <v>34584.048</v>
      </c>
      <c r="N229" s="15" t="b">
        <f t="shared" si="1"/>
        <v>0</v>
      </c>
    </row>
    <row r="230" hidden="1">
      <c r="A230" s="7" t="s">
        <v>52</v>
      </c>
      <c r="B230" s="7" t="s">
        <v>17</v>
      </c>
      <c r="C230" s="7">
        <v>0.1</v>
      </c>
      <c r="D230" s="7">
        <v>0.75</v>
      </c>
      <c r="E230" s="7">
        <v>6.0</v>
      </c>
      <c r="F230" s="7">
        <v>212.685587644577</v>
      </c>
      <c r="G230" s="7">
        <v>367.541404247284</v>
      </c>
      <c r="H230" s="7">
        <v>3.0</v>
      </c>
      <c r="I230" s="15">
        <v>0.780523297781175</v>
      </c>
      <c r="J230" s="15">
        <v>0.126142122274091</v>
      </c>
      <c r="K230" s="12">
        <f>AVERAGE(I227:I231)</f>
        <v>0.5274078532</v>
      </c>
      <c r="L230" s="18">
        <v>10597.0</v>
      </c>
      <c r="M230" s="14">
        <f>STDEV(L227:L231)</f>
        <v>34584.048</v>
      </c>
      <c r="N230" s="15" t="b">
        <f t="shared" si="1"/>
        <v>0</v>
      </c>
    </row>
    <row r="231" hidden="1">
      <c r="A231" s="7" t="s">
        <v>52</v>
      </c>
      <c r="B231" s="7" t="s">
        <v>17</v>
      </c>
      <c r="C231" s="7">
        <v>0.1</v>
      </c>
      <c r="D231" s="7">
        <v>0.75</v>
      </c>
      <c r="E231" s="7">
        <v>6.0</v>
      </c>
      <c r="F231" s="7">
        <v>212.685587644577</v>
      </c>
      <c r="G231" s="7">
        <v>367.541404247284</v>
      </c>
      <c r="H231" s="7">
        <v>4.0</v>
      </c>
      <c r="I231" s="15">
        <v>0.798378801981415</v>
      </c>
      <c r="J231" s="15">
        <v>0.120048194747292</v>
      </c>
      <c r="K231" s="12">
        <f>AVERAGE(I227:I231)</f>
        <v>0.5274078532</v>
      </c>
      <c r="L231" s="18">
        <v>7467.0</v>
      </c>
      <c r="M231" s="14">
        <f>STDEV(L227:L231)</f>
        <v>34584.048</v>
      </c>
      <c r="N231" s="15" t="b">
        <f t="shared" si="1"/>
        <v>0</v>
      </c>
    </row>
    <row r="232" hidden="1">
      <c r="A232" s="7" t="s">
        <v>53</v>
      </c>
      <c r="B232" s="7" t="s">
        <v>17</v>
      </c>
      <c r="C232" s="7">
        <v>0.1</v>
      </c>
      <c r="D232" s="7">
        <v>0.75</v>
      </c>
      <c r="E232" s="7">
        <v>7.0</v>
      </c>
      <c r="F232" s="7">
        <v>350.521554946899</v>
      </c>
      <c r="G232" s="7">
        <v>503.331681489944</v>
      </c>
      <c r="H232" s="7">
        <v>0.0</v>
      </c>
      <c r="I232" s="15">
        <v>0.0764869693342654</v>
      </c>
      <c r="J232" s="15">
        <v>0.058000028763904</v>
      </c>
      <c r="K232" s="12">
        <f>AVERAGE(I232:I236)</f>
        <v>0.4522771752</v>
      </c>
      <c r="L232" s="18">
        <v>94289.0</v>
      </c>
      <c r="M232" s="14">
        <f>STDEV(L232:L236)</f>
        <v>37529.86711</v>
      </c>
      <c r="N232" s="15" t="b">
        <f t="shared" si="1"/>
        <v>0</v>
      </c>
    </row>
    <row r="233" hidden="1">
      <c r="A233" s="7" t="s">
        <v>53</v>
      </c>
      <c r="B233" s="7" t="s">
        <v>17</v>
      </c>
      <c r="C233" s="7">
        <v>0.1</v>
      </c>
      <c r="D233" s="7">
        <v>0.75</v>
      </c>
      <c r="E233" s="7">
        <v>7.0</v>
      </c>
      <c r="F233" s="7">
        <v>350.521554946899</v>
      </c>
      <c r="G233" s="7">
        <v>503.331681489944</v>
      </c>
      <c r="H233" s="7">
        <v>1.0</v>
      </c>
      <c r="I233" s="15">
        <v>-0.157616812328885</v>
      </c>
      <c r="J233" s="15">
        <v>0.445401076216499</v>
      </c>
      <c r="K233" s="12">
        <f>AVERAGE(I232:I236)</f>
        <v>0.4522771752</v>
      </c>
      <c r="L233" s="18">
        <v>23314.0</v>
      </c>
      <c r="M233" s="14">
        <f>STDEV(L232:L236)</f>
        <v>37529.86711</v>
      </c>
      <c r="N233" s="15" t="b">
        <f t="shared" si="1"/>
        <v>0</v>
      </c>
    </row>
    <row r="234" hidden="1">
      <c r="A234" s="7" t="s">
        <v>53</v>
      </c>
      <c r="B234" s="7" t="s">
        <v>17</v>
      </c>
      <c r="C234" s="7">
        <v>0.1</v>
      </c>
      <c r="D234" s="7">
        <v>0.75</v>
      </c>
      <c r="E234" s="7">
        <v>7.0</v>
      </c>
      <c r="F234" s="7">
        <v>350.521554946899</v>
      </c>
      <c r="G234" s="7">
        <v>503.331681489944</v>
      </c>
      <c r="H234" s="7">
        <v>2.0</v>
      </c>
      <c r="I234" s="15">
        <v>0.76882392180579</v>
      </c>
      <c r="J234" s="15">
        <v>0.126152355756163</v>
      </c>
      <c r="K234" s="12">
        <f>AVERAGE(I232:I236)</f>
        <v>0.4522771752</v>
      </c>
      <c r="L234" s="18">
        <v>10709.0</v>
      </c>
      <c r="M234" s="14">
        <f>STDEV(L232:L236)</f>
        <v>37529.86711</v>
      </c>
      <c r="N234" s="15" t="b">
        <f t="shared" si="1"/>
        <v>0</v>
      </c>
    </row>
    <row r="235" hidden="1">
      <c r="A235" s="7" t="s">
        <v>53</v>
      </c>
      <c r="B235" s="7" t="s">
        <v>17</v>
      </c>
      <c r="C235" s="7">
        <v>0.1</v>
      </c>
      <c r="D235" s="7">
        <v>0.75</v>
      </c>
      <c r="E235" s="7">
        <v>7.0</v>
      </c>
      <c r="F235" s="7">
        <v>350.521554946899</v>
      </c>
      <c r="G235" s="7">
        <v>503.331681489944</v>
      </c>
      <c r="H235" s="7">
        <v>3.0</v>
      </c>
      <c r="I235" s="15">
        <v>0.703376684634677</v>
      </c>
      <c r="J235" s="15">
        <v>0.15083653269385</v>
      </c>
      <c r="K235" s="12">
        <f>AVERAGE(I232:I236)</f>
        <v>0.4522771752</v>
      </c>
      <c r="L235" s="18">
        <v>8967.0</v>
      </c>
      <c r="M235" s="14">
        <f>STDEV(L232:L236)</f>
        <v>37529.86711</v>
      </c>
      <c r="N235" s="15" t="b">
        <f t="shared" si="1"/>
        <v>0</v>
      </c>
    </row>
    <row r="236" hidden="1">
      <c r="A236" s="7" t="s">
        <v>53</v>
      </c>
      <c r="B236" s="7" t="s">
        <v>17</v>
      </c>
      <c r="C236" s="7">
        <v>0.1</v>
      </c>
      <c r="D236" s="7">
        <v>0.75</v>
      </c>
      <c r="E236" s="7">
        <v>7.0</v>
      </c>
      <c r="F236" s="7">
        <v>350.521554946899</v>
      </c>
      <c r="G236" s="7">
        <v>503.331681489944</v>
      </c>
      <c r="H236" s="7">
        <v>4.0</v>
      </c>
      <c r="I236" s="15">
        <v>0.870315112663129</v>
      </c>
      <c r="J236" s="15">
        <v>0.099870000120867</v>
      </c>
      <c r="K236" s="12">
        <f>AVERAGE(I232:I236)</f>
        <v>0.4522771752</v>
      </c>
      <c r="L236" s="18">
        <v>4397.0</v>
      </c>
      <c r="M236" s="14">
        <f>STDEV(L232:L236)</f>
        <v>37529.86711</v>
      </c>
      <c r="N236" s="15" t="b">
        <f t="shared" si="1"/>
        <v>0</v>
      </c>
    </row>
    <row r="237" hidden="1">
      <c r="A237" s="7" t="s">
        <v>54</v>
      </c>
      <c r="B237" s="20" t="s">
        <v>17</v>
      </c>
      <c r="C237" s="20">
        <v>0.1</v>
      </c>
      <c r="D237" s="20">
        <v>0.75</v>
      </c>
      <c r="E237" s="20">
        <v>8.0</v>
      </c>
      <c r="F237" s="7">
        <v>117.258871555328</v>
      </c>
      <c r="G237" s="7">
        <v>278.201009273529</v>
      </c>
      <c r="H237" s="7">
        <v>0.0</v>
      </c>
      <c r="I237" s="15">
        <v>0.871546313331357</v>
      </c>
      <c r="J237" s="15">
        <v>0.0991833392846291</v>
      </c>
      <c r="K237" s="12">
        <f>AVERAGE(I237:I241)</f>
        <v>0.6591830732</v>
      </c>
      <c r="L237" s="18">
        <v>4397.0</v>
      </c>
      <c r="M237" s="14">
        <f>STDEV(L237:L241)</f>
        <v>44819.38001</v>
      </c>
      <c r="N237" s="15" t="b">
        <f t="shared" si="1"/>
        <v>1</v>
      </c>
    </row>
    <row r="238" hidden="1">
      <c r="A238" s="7" t="s">
        <v>54</v>
      </c>
      <c r="B238" s="20" t="s">
        <v>17</v>
      </c>
      <c r="C238" s="20">
        <v>0.1</v>
      </c>
      <c r="D238" s="20">
        <v>0.75</v>
      </c>
      <c r="E238" s="20">
        <v>8.0</v>
      </c>
      <c r="F238" s="7">
        <v>117.258871555328</v>
      </c>
      <c r="G238" s="7">
        <v>278.201009273529</v>
      </c>
      <c r="H238" s="7">
        <v>1.0</v>
      </c>
      <c r="I238" s="15">
        <v>0.798923990096095</v>
      </c>
      <c r="J238" s="15">
        <v>0.117655309501766</v>
      </c>
      <c r="K238" s="12">
        <f>AVERAGE(I237:I241)</f>
        <v>0.6591830732</v>
      </c>
      <c r="L238" s="18">
        <v>7459.0</v>
      </c>
      <c r="M238" s="14">
        <f>STDEV(L237:L241)</f>
        <v>44819.38001</v>
      </c>
      <c r="N238" s="15" t="b">
        <f t="shared" si="1"/>
        <v>1</v>
      </c>
    </row>
    <row r="239" hidden="1">
      <c r="A239" s="7" t="s">
        <v>54</v>
      </c>
      <c r="B239" s="20" t="s">
        <v>17</v>
      </c>
      <c r="C239" s="20">
        <v>0.1</v>
      </c>
      <c r="D239" s="20">
        <v>0.75</v>
      </c>
      <c r="E239" s="20">
        <v>8.0</v>
      </c>
      <c r="F239" s="7">
        <v>117.258871555328</v>
      </c>
      <c r="G239" s="7">
        <v>278.201009273529</v>
      </c>
      <c r="H239" s="7">
        <v>2.0</v>
      </c>
      <c r="I239" s="15">
        <v>0.760122892168133</v>
      </c>
      <c r="J239" s="15">
        <v>0.136120870782385</v>
      </c>
      <c r="K239" s="12">
        <f>AVERAGE(I237:I241)</f>
        <v>0.6591830732</v>
      </c>
      <c r="L239" s="18">
        <v>16011.0</v>
      </c>
      <c r="M239" s="14">
        <f>STDEV(L237:L241)</f>
        <v>44819.38001</v>
      </c>
      <c r="N239" s="15" t="b">
        <f t="shared" si="1"/>
        <v>1</v>
      </c>
    </row>
    <row r="240" hidden="1">
      <c r="A240" s="7" t="s">
        <v>54</v>
      </c>
      <c r="B240" s="20" t="s">
        <v>17</v>
      </c>
      <c r="C240" s="20">
        <v>0.1</v>
      </c>
      <c r="D240" s="20">
        <v>0.75</v>
      </c>
      <c r="E240" s="20">
        <v>8.0</v>
      </c>
      <c r="F240" s="7">
        <v>117.258871555328</v>
      </c>
      <c r="G240" s="7">
        <v>278.201009273529</v>
      </c>
      <c r="H240" s="7">
        <v>3.0</v>
      </c>
      <c r="I240" s="15">
        <v>0.0591356840349448</v>
      </c>
      <c r="J240" s="15">
        <v>0.0784385456623081</v>
      </c>
      <c r="K240" s="12">
        <f>AVERAGE(I237:I241)</f>
        <v>0.6591830732</v>
      </c>
      <c r="L240" s="18">
        <v>108100.0</v>
      </c>
      <c r="M240" s="14">
        <f>STDEV(L237:L241)</f>
        <v>44819.38001</v>
      </c>
      <c r="N240" s="15" t="b">
        <f t="shared" si="1"/>
        <v>1</v>
      </c>
    </row>
    <row r="241" hidden="1">
      <c r="A241" s="7" t="s">
        <v>54</v>
      </c>
      <c r="B241" s="20" t="s">
        <v>17</v>
      </c>
      <c r="C241" s="20">
        <v>0.1</v>
      </c>
      <c r="D241" s="20">
        <v>0.75</v>
      </c>
      <c r="E241" s="20">
        <v>8.0</v>
      </c>
      <c r="F241" s="7">
        <v>117.258871555328</v>
      </c>
      <c r="G241" s="7">
        <v>278.201009273529</v>
      </c>
      <c r="H241" s="7">
        <v>4.0</v>
      </c>
      <c r="I241" s="15">
        <v>0.806186486326221</v>
      </c>
      <c r="J241" s="15">
        <v>0.116939331608187</v>
      </c>
      <c r="K241" s="12">
        <f>AVERAGE(I237:I241)</f>
        <v>0.6591830732</v>
      </c>
      <c r="L241" s="18">
        <v>5709.0</v>
      </c>
      <c r="M241" s="14">
        <f>STDEV(L237:L241)</f>
        <v>44819.38001</v>
      </c>
      <c r="N241" s="15" t="b">
        <f t="shared" si="1"/>
        <v>1</v>
      </c>
    </row>
    <row r="242" hidden="1">
      <c r="A242" s="7" t="s">
        <v>55</v>
      </c>
      <c r="B242" s="7" t="s">
        <v>17</v>
      </c>
      <c r="C242" s="7">
        <v>0.1</v>
      </c>
      <c r="D242" s="7">
        <v>0.75</v>
      </c>
      <c r="E242" s="7">
        <v>9.0</v>
      </c>
      <c r="F242" s="7">
        <v>164.820082426071</v>
      </c>
      <c r="G242" s="7">
        <v>324.418859481811</v>
      </c>
      <c r="H242" s="7">
        <v>0.0</v>
      </c>
      <c r="I242" s="15">
        <v>0.238836298441633</v>
      </c>
      <c r="J242" s="15">
        <v>0.270279196453363</v>
      </c>
      <c r="K242" s="12">
        <f>AVERAGE(I242:I246)</f>
        <v>0.549027066</v>
      </c>
      <c r="L242" s="18">
        <v>36645.0</v>
      </c>
      <c r="M242" s="14">
        <f>STDEV(L242:L246)</f>
        <v>37375.59133</v>
      </c>
      <c r="N242" s="15" t="b">
        <f t="shared" si="1"/>
        <v>0</v>
      </c>
    </row>
    <row r="243" hidden="1">
      <c r="A243" s="7" t="s">
        <v>55</v>
      </c>
      <c r="B243" s="7" t="s">
        <v>17</v>
      </c>
      <c r="C243" s="7">
        <v>0.1</v>
      </c>
      <c r="D243" s="7">
        <v>0.75</v>
      </c>
      <c r="E243" s="7">
        <v>9.0</v>
      </c>
      <c r="F243" s="7">
        <v>164.820082426071</v>
      </c>
      <c r="G243" s="7">
        <v>324.418859481811</v>
      </c>
      <c r="H243" s="7">
        <v>1.0</v>
      </c>
      <c r="I243" s="15">
        <v>0.81053529005174</v>
      </c>
      <c r="J243" s="15">
        <v>0.115889249303516</v>
      </c>
      <c r="K243" s="12">
        <f>AVERAGE(I242:I246)</f>
        <v>0.549027066</v>
      </c>
      <c r="L243" s="18">
        <v>5667.0</v>
      </c>
      <c r="M243" s="14">
        <f>STDEV(L242:L246)</f>
        <v>37375.59133</v>
      </c>
      <c r="N243" s="15" t="b">
        <f t="shared" si="1"/>
        <v>0</v>
      </c>
    </row>
    <row r="244" hidden="1">
      <c r="A244" s="7" t="s">
        <v>55</v>
      </c>
      <c r="B244" s="7" t="s">
        <v>17</v>
      </c>
      <c r="C244" s="7">
        <v>0.1</v>
      </c>
      <c r="D244" s="7">
        <v>0.75</v>
      </c>
      <c r="E244" s="7">
        <v>9.0</v>
      </c>
      <c r="F244" s="7">
        <v>164.820082426071</v>
      </c>
      <c r="G244" s="7">
        <v>324.418859481811</v>
      </c>
      <c r="H244" s="7">
        <v>2.0</v>
      </c>
      <c r="I244" s="15">
        <v>0.0853159540085226</v>
      </c>
      <c r="J244" s="15">
        <v>0.0633277249655332</v>
      </c>
      <c r="K244" s="12">
        <f>AVERAGE(I242:I246)</f>
        <v>0.549027066</v>
      </c>
      <c r="L244" s="18">
        <v>90486.0</v>
      </c>
      <c r="M244" s="14">
        <f>STDEV(L242:L246)</f>
        <v>37375.59133</v>
      </c>
      <c r="N244" s="15" t="b">
        <f t="shared" si="1"/>
        <v>0</v>
      </c>
    </row>
    <row r="245" hidden="1">
      <c r="A245" s="7" t="s">
        <v>55</v>
      </c>
      <c r="B245" s="7" t="s">
        <v>17</v>
      </c>
      <c r="C245" s="7">
        <v>0.1</v>
      </c>
      <c r="D245" s="7">
        <v>0.75</v>
      </c>
      <c r="E245" s="7">
        <v>9.0</v>
      </c>
      <c r="F245" s="7">
        <v>164.820082426071</v>
      </c>
      <c r="G245" s="7">
        <v>324.418859481811</v>
      </c>
      <c r="H245" s="7">
        <v>3.0</v>
      </c>
      <c r="I245" s="15">
        <v>0.784107798533227</v>
      </c>
      <c r="J245" s="15">
        <v>0.131408257729611</v>
      </c>
      <c r="K245" s="12">
        <f>AVERAGE(I242:I246)</f>
        <v>0.549027066</v>
      </c>
      <c r="L245" s="18">
        <v>4265.0</v>
      </c>
      <c r="M245" s="14">
        <f>STDEV(L242:L246)</f>
        <v>37375.59133</v>
      </c>
      <c r="N245" s="15" t="b">
        <f t="shared" si="1"/>
        <v>0</v>
      </c>
    </row>
    <row r="246" hidden="1">
      <c r="A246" s="7" t="s">
        <v>55</v>
      </c>
      <c r="B246" s="7" t="s">
        <v>17</v>
      </c>
      <c r="C246" s="7">
        <v>0.1</v>
      </c>
      <c r="D246" s="7">
        <v>0.75</v>
      </c>
      <c r="E246" s="7">
        <v>9.0</v>
      </c>
      <c r="F246" s="7">
        <v>164.820082426071</v>
      </c>
      <c r="G246" s="7">
        <v>324.418859481811</v>
      </c>
      <c r="H246" s="7">
        <v>4.0</v>
      </c>
      <c r="I246" s="15">
        <v>0.826339989130516</v>
      </c>
      <c r="J246" s="15">
        <v>0.093062963547476</v>
      </c>
      <c r="K246" s="12">
        <f>AVERAGE(I242:I246)</f>
        <v>0.549027066</v>
      </c>
      <c r="L246" s="18">
        <v>4613.0</v>
      </c>
      <c r="M246" s="14">
        <f>STDEV(L242:L246)</f>
        <v>37375.59133</v>
      </c>
      <c r="N246" s="15" t="b">
        <f t="shared" si="1"/>
        <v>0</v>
      </c>
    </row>
    <row r="247" hidden="1">
      <c r="A247" s="7" t="s">
        <v>56</v>
      </c>
      <c r="B247" s="7" t="s">
        <v>17</v>
      </c>
      <c r="C247" s="7">
        <v>0.1</v>
      </c>
      <c r="D247" s="7">
        <v>0.75</v>
      </c>
      <c r="E247" s="7">
        <v>10.0</v>
      </c>
      <c r="F247" s="7">
        <v>149.738384008407</v>
      </c>
      <c r="G247" s="7">
        <v>313.24099612236</v>
      </c>
      <c r="H247" s="7">
        <v>0.0</v>
      </c>
      <c r="I247" s="15">
        <v>0.871091082308341</v>
      </c>
      <c r="J247" s="15">
        <v>0.100463777089257</v>
      </c>
      <c r="K247" s="12">
        <f>AVERAGE(I247:I251)</f>
        <v>0.4466035382</v>
      </c>
      <c r="L247" s="18">
        <v>4397.0</v>
      </c>
      <c r="M247" s="14">
        <f>STDEV(L247:L251)</f>
        <v>29694.53755</v>
      </c>
      <c r="N247" s="15" t="b">
        <f t="shared" si="1"/>
        <v>0</v>
      </c>
    </row>
    <row r="248" hidden="1">
      <c r="A248" s="7" t="s">
        <v>56</v>
      </c>
      <c r="B248" s="7" t="s">
        <v>17</v>
      </c>
      <c r="C248" s="7">
        <v>0.1</v>
      </c>
      <c r="D248" s="7">
        <v>0.75</v>
      </c>
      <c r="E248" s="7">
        <v>10.0</v>
      </c>
      <c r="F248" s="7">
        <v>149.738384008407</v>
      </c>
      <c r="G248" s="7">
        <v>313.24099612236</v>
      </c>
      <c r="H248" s="7">
        <v>1.0</v>
      </c>
      <c r="I248" s="15">
        <v>0.10889839513846</v>
      </c>
      <c r="J248" s="15">
        <v>0.227429476784114</v>
      </c>
      <c r="K248" s="12">
        <f>AVERAGE(I247:I251)</f>
        <v>0.4466035382</v>
      </c>
      <c r="L248" s="18">
        <v>40556.0</v>
      </c>
      <c r="M248" s="14">
        <f>STDEV(L247:L251)</f>
        <v>29694.53755</v>
      </c>
      <c r="N248" s="15" t="b">
        <f t="shared" si="1"/>
        <v>0</v>
      </c>
    </row>
    <row r="249" hidden="1">
      <c r="A249" s="7" t="s">
        <v>56</v>
      </c>
      <c r="B249" s="7" t="s">
        <v>17</v>
      </c>
      <c r="C249" s="7">
        <v>0.1</v>
      </c>
      <c r="D249" s="7">
        <v>0.75</v>
      </c>
      <c r="E249" s="7">
        <v>10.0</v>
      </c>
      <c r="F249" s="7">
        <v>149.738384008407</v>
      </c>
      <c r="G249" s="7">
        <v>313.24099612236</v>
      </c>
      <c r="H249" s="7">
        <v>2.0</v>
      </c>
      <c r="I249" s="15">
        <v>0.408292469597761</v>
      </c>
      <c r="J249" s="15">
        <v>0.131037159907962</v>
      </c>
      <c r="K249" s="12">
        <f>AVERAGE(I247:I251)</f>
        <v>0.4466035382</v>
      </c>
      <c r="L249" s="18">
        <v>6183.0</v>
      </c>
      <c r="M249" s="14">
        <f>STDEV(L247:L251)</f>
        <v>29694.53755</v>
      </c>
      <c r="N249" s="15" t="b">
        <f t="shared" si="1"/>
        <v>0</v>
      </c>
    </row>
    <row r="250" hidden="1">
      <c r="A250" s="7" t="s">
        <v>56</v>
      </c>
      <c r="B250" s="7" t="s">
        <v>17</v>
      </c>
      <c r="C250" s="7">
        <v>0.1</v>
      </c>
      <c r="D250" s="7">
        <v>0.75</v>
      </c>
      <c r="E250" s="7">
        <v>10.0</v>
      </c>
      <c r="F250" s="7">
        <v>149.738384008407</v>
      </c>
      <c r="G250" s="7">
        <v>313.24099612236</v>
      </c>
      <c r="H250" s="7">
        <v>3.0</v>
      </c>
      <c r="I250" s="15">
        <v>0.079445162736888</v>
      </c>
      <c r="J250" s="15">
        <v>0.0645041222541775</v>
      </c>
      <c r="K250" s="12">
        <f>AVERAGE(I247:I251)</f>
        <v>0.4466035382</v>
      </c>
      <c r="L250" s="18">
        <v>74769.0</v>
      </c>
      <c r="M250" s="14">
        <f>STDEV(L247:L251)</f>
        <v>29694.53755</v>
      </c>
      <c r="N250" s="15" t="b">
        <f t="shared" si="1"/>
        <v>0</v>
      </c>
    </row>
    <row r="251" hidden="1">
      <c r="A251" s="7" t="s">
        <v>56</v>
      </c>
      <c r="B251" s="7" t="s">
        <v>17</v>
      </c>
      <c r="C251" s="7">
        <v>0.1</v>
      </c>
      <c r="D251" s="7">
        <v>0.75</v>
      </c>
      <c r="E251" s="7">
        <v>10.0</v>
      </c>
      <c r="F251" s="7">
        <v>149.738384008407</v>
      </c>
      <c r="G251" s="7">
        <v>313.24099612236</v>
      </c>
      <c r="H251" s="7">
        <v>4.0</v>
      </c>
      <c r="I251" s="15">
        <v>0.765290581212703</v>
      </c>
      <c r="J251" s="15">
        <v>0.132089262005492</v>
      </c>
      <c r="K251" s="12">
        <f>AVERAGE(I247:I251)</f>
        <v>0.4466035382</v>
      </c>
      <c r="L251" s="18">
        <v>15771.0</v>
      </c>
      <c r="M251" s="14">
        <f>STDEV(L247:L251)</f>
        <v>29694.53755</v>
      </c>
      <c r="N251" s="15" t="b">
        <f t="shared" si="1"/>
        <v>0</v>
      </c>
    </row>
    <row r="252" hidden="1">
      <c r="A252" s="7" t="s">
        <v>57</v>
      </c>
      <c r="B252" s="7" t="s">
        <v>17</v>
      </c>
      <c r="C252" s="7">
        <v>0.1</v>
      </c>
      <c r="D252" s="7">
        <v>1.0</v>
      </c>
      <c r="E252" s="7">
        <v>1.0</v>
      </c>
      <c r="F252" s="7">
        <v>246.673532247543</v>
      </c>
      <c r="G252" s="7">
        <v>388.040117263794</v>
      </c>
      <c r="H252" s="7">
        <v>0.0</v>
      </c>
      <c r="I252" s="15">
        <v>0.827439512978042</v>
      </c>
      <c r="J252" s="15">
        <v>0.0914991070394211</v>
      </c>
      <c r="K252" s="12">
        <f>AVERAGE(I252:I256)</f>
        <v>0.5487705047</v>
      </c>
      <c r="L252" s="18">
        <v>4603.0</v>
      </c>
      <c r="M252" s="14">
        <f>STDEV(L252:L256)</f>
        <v>46001.03374</v>
      </c>
      <c r="N252" s="15" t="b">
        <f t="shared" si="1"/>
        <v>0</v>
      </c>
    </row>
    <row r="253" hidden="1">
      <c r="A253" s="7" t="s">
        <v>57</v>
      </c>
      <c r="B253" s="7" t="s">
        <v>17</v>
      </c>
      <c r="C253" s="7">
        <v>0.1</v>
      </c>
      <c r="D253" s="7">
        <v>1.0</v>
      </c>
      <c r="E253" s="7">
        <v>1.0</v>
      </c>
      <c r="F253" s="7">
        <v>246.673532247543</v>
      </c>
      <c r="G253" s="7">
        <v>388.040117263794</v>
      </c>
      <c r="H253" s="7">
        <v>1.0</v>
      </c>
      <c r="I253" s="15">
        <v>0.729093339161158</v>
      </c>
      <c r="J253" s="15">
        <v>0.154616105162044</v>
      </c>
      <c r="K253" s="12">
        <f>AVERAGE(I252:I256)</f>
        <v>0.5487705047</v>
      </c>
      <c r="L253" s="18">
        <v>8417.0</v>
      </c>
      <c r="M253" s="14">
        <f>STDEV(L252:L256)</f>
        <v>46001.03374</v>
      </c>
      <c r="N253" s="15" t="b">
        <f t="shared" si="1"/>
        <v>0</v>
      </c>
    </row>
    <row r="254" hidden="1">
      <c r="A254" s="7" t="s">
        <v>57</v>
      </c>
      <c r="B254" s="7" t="s">
        <v>17</v>
      </c>
      <c r="C254" s="7">
        <v>0.1</v>
      </c>
      <c r="D254" s="7">
        <v>1.0</v>
      </c>
      <c r="E254" s="7">
        <v>1.0</v>
      </c>
      <c r="F254" s="7">
        <v>246.673532247543</v>
      </c>
      <c r="G254" s="7">
        <v>388.040117263794</v>
      </c>
      <c r="H254" s="7">
        <v>2.0</v>
      </c>
      <c r="I254" s="15">
        <v>0.793612461941747</v>
      </c>
      <c r="J254" s="15">
        <v>0.124425130639926</v>
      </c>
      <c r="K254" s="12">
        <f>AVERAGE(I252:I256)</f>
        <v>0.5487705047</v>
      </c>
      <c r="L254" s="18">
        <v>10275.0</v>
      </c>
      <c r="M254" s="14">
        <f>STDEV(L252:L256)</f>
        <v>46001.03374</v>
      </c>
      <c r="N254" s="15" t="b">
        <f t="shared" si="1"/>
        <v>0</v>
      </c>
    </row>
    <row r="255" hidden="1">
      <c r="A255" s="7" t="s">
        <v>57</v>
      </c>
      <c r="B255" s="7" t="s">
        <v>17</v>
      </c>
      <c r="C255" s="7">
        <v>0.1</v>
      </c>
      <c r="D255" s="7">
        <v>1.0</v>
      </c>
      <c r="E255" s="7">
        <v>1.0</v>
      </c>
      <c r="F255" s="7">
        <v>246.673532247543</v>
      </c>
      <c r="G255" s="7">
        <v>388.040117263794</v>
      </c>
      <c r="H255" s="7">
        <v>3.0</v>
      </c>
      <c r="I255" s="15">
        <v>0.0104284247854455</v>
      </c>
      <c r="J255" s="15">
        <v>0.204267792697426</v>
      </c>
      <c r="K255" s="12">
        <f>AVERAGE(I252:I256)</f>
        <v>0.5487705047</v>
      </c>
      <c r="L255" s="18">
        <v>110543.0</v>
      </c>
      <c r="M255" s="14">
        <f>STDEV(L252:L256)</f>
        <v>46001.03374</v>
      </c>
      <c r="N255" s="15" t="b">
        <f t="shared" si="1"/>
        <v>0</v>
      </c>
    </row>
    <row r="256" hidden="1">
      <c r="A256" s="7" t="s">
        <v>57</v>
      </c>
      <c r="B256" s="7" t="s">
        <v>17</v>
      </c>
      <c r="C256" s="7">
        <v>0.1</v>
      </c>
      <c r="D256" s="7">
        <v>1.0</v>
      </c>
      <c r="E256" s="7">
        <v>1.0</v>
      </c>
      <c r="F256" s="7">
        <v>246.673532247543</v>
      </c>
      <c r="G256" s="7">
        <v>388.040117263794</v>
      </c>
      <c r="H256" s="7">
        <v>4.0</v>
      </c>
      <c r="I256" s="15">
        <v>0.383278784796757</v>
      </c>
      <c r="J256" s="15">
        <v>0.0713472297517928</v>
      </c>
      <c r="K256" s="12">
        <f>AVERAGE(I252:I256)</f>
        <v>0.5487705047</v>
      </c>
      <c r="L256" s="18">
        <v>7838.0</v>
      </c>
      <c r="M256" s="14">
        <f>STDEV(L252:L256)</f>
        <v>46001.03374</v>
      </c>
      <c r="N256" s="15" t="b">
        <f t="shared" si="1"/>
        <v>0</v>
      </c>
    </row>
    <row r="257" hidden="1">
      <c r="A257" s="7" t="s">
        <v>58</v>
      </c>
      <c r="B257" s="7" t="s">
        <v>17</v>
      </c>
      <c r="C257" s="7">
        <v>0.1</v>
      </c>
      <c r="D257" s="7">
        <v>1.0</v>
      </c>
      <c r="E257" s="7">
        <v>2.0</v>
      </c>
      <c r="F257" s="7">
        <v>227.003411054611</v>
      </c>
      <c r="G257" s="7">
        <v>358.977462768554</v>
      </c>
      <c r="H257" s="7">
        <v>0.0</v>
      </c>
      <c r="I257" s="15">
        <v>0.909408049246492</v>
      </c>
      <c r="J257" s="15">
        <v>0.0459569866415252</v>
      </c>
      <c r="K257" s="12">
        <f>AVERAGE(I257:I261)</f>
        <v>0.4277621521</v>
      </c>
      <c r="L257" s="18">
        <v>2064.0</v>
      </c>
      <c r="M257" s="14">
        <f>STDEV(L257:L261)</f>
        <v>24228.47958</v>
      </c>
      <c r="N257" s="15" t="b">
        <f t="shared" si="1"/>
        <v>0</v>
      </c>
    </row>
    <row r="258" hidden="1">
      <c r="A258" s="7" t="s">
        <v>58</v>
      </c>
      <c r="B258" s="7" t="s">
        <v>17</v>
      </c>
      <c r="C258" s="7">
        <v>0.1</v>
      </c>
      <c r="D258" s="7">
        <v>1.0</v>
      </c>
      <c r="E258" s="7">
        <v>2.0</v>
      </c>
      <c r="F258" s="7">
        <v>227.003411054611</v>
      </c>
      <c r="G258" s="7">
        <v>358.977462768554</v>
      </c>
      <c r="H258" s="7">
        <v>1.0</v>
      </c>
      <c r="I258" s="15">
        <v>0.287746826927742</v>
      </c>
      <c r="J258" s="15">
        <v>0.0797204164889368</v>
      </c>
      <c r="K258" s="12">
        <f>AVERAGE(I257:I261)</f>
        <v>0.4277621521</v>
      </c>
      <c r="L258" s="18">
        <v>41188.0</v>
      </c>
      <c r="M258" s="14">
        <f>STDEV(L257:L261)</f>
        <v>24228.47958</v>
      </c>
      <c r="N258" s="15" t="b">
        <f t="shared" si="1"/>
        <v>0</v>
      </c>
    </row>
    <row r="259" hidden="1">
      <c r="A259" s="7" t="s">
        <v>58</v>
      </c>
      <c r="B259" s="7" t="s">
        <v>17</v>
      </c>
      <c r="C259" s="7">
        <v>0.1</v>
      </c>
      <c r="D259" s="7">
        <v>1.0</v>
      </c>
      <c r="E259" s="7">
        <v>2.0</v>
      </c>
      <c r="F259" s="7">
        <v>227.003411054611</v>
      </c>
      <c r="G259" s="7">
        <v>358.977462768554</v>
      </c>
      <c r="H259" s="7">
        <v>2.0</v>
      </c>
      <c r="I259" s="15">
        <v>0.705773790330555</v>
      </c>
      <c r="J259" s="15">
        <v>0.155639212046571</v>
      </c>
      <c r="K259" s="12">
        <f>AVERAGE(I257:I261)</f>
        <v>0.4277621521</v>
      </c>
      <c r="L259" s="18">
        <v>8375.0</v>
      </c>
      <c r="M259" s="14">
        <f>STDEV(L257:L261)</f>
        <v>24228.47958</v>
      </c>
      <c r="N259" s="15" t="b">
        <f t="shared" si="1"/>
        <v>0</v>
      </c>
    </row>
    <row r="260" hidden="1">
      <c r="A260" s="7" t="s">
        <v>58</v>
      </c>
      <c r="B260" s="7" t="s">
        <v>17</v>
      </c>
      <c r="C260" s="7">
        <v>0.1</v>
      </c>
      <c r="D260" s="7">
        <v>1.0</v>
      </c>
      <c r="E260" s="7">
        <v>2.0</v>
      </c>
      <c r="F260" s="7">
        <v>227.003411054611</v>
      </c>
      <c r="G260" s="7">
        <v>358.977462768554</v>
      </c>
      <c r="H260" s="7">
        <v>3.0</v>
      </c>
      <c r="I260" s="15">
        <v>0.195384545967411</v>
      </c>
      <c r="J260" s="15">
        <v>0.435859797050341</v>
      </c>
      <c r="K260" s="12">
        <f>AVERAGE(I257:I261)</f>
        <v>0.4277621521</v>
      </c>
      <c r="L260" s="18">
        <v>28635.0</v>
      </c>
      <c r="M260" s="14">
        <f>STDEV(L257:L261)</f>
        <v>24228.47958</v>
      </c>
      <c r="N260" s="15" t="b">
        <f t="shared" si="1"/>
        <v>0</v>
      </c>
    </row>
    <row r="261" hidden="1">
      <c r="A261" s="7" t="s">
        <v>58</v>
      </c>
      <c r="B261" s="7" t="s">
        <v>17</v>
      </c>
      <c r="C261" s="7">
        <v>0.1</v>
      </c>
      <c r="D261" s="7">
        <v>1.0</v>
      </c>
      <c r="E261" s="7">
        <v>2.0</v>
      </c>
      <c r="F261" s="7">
        <v>227.003411054611</v>
      </c>
      <c r="G261" s="7">
        <v>358.977462768554</v>
      </c>
      <c r="H261" s="7">
        <v>4.0</v>
      </c>
      <c r="I261" s="15">
        <v>0.0404975478658564</v>
      </c>
      <c r="J261" s="15">
        <v>0.0393132471418762</v>
      </c>
      <c r="K261" s="12">
        <f>AVERAGE(I257:I261)</f>
        <v>0.4277621521</v>
      </c>
      <c r="L261" s="18">
        <v>61414.0</v>
      </c>
      <c r="M261" s="14">
        <f>STDEV(L257:L261)</f>
        <v>24228.47958</v>
      </c>
      <c r="N261" s="15" t="b">
        <f t="shared" si="1"/>
        <v>0</v>
      </c>
    </row>
    <row r="262" hidden="1">
      <c r="A262" s="7" t="s">
        <v>59</v>
      </c>
      <c r="B262" s="7" t="s">
        <v>17</v>
      </c>
      <c r="C262" s="7">
        <v>0.1</v>
      </c>
      <c r="D262" s="7">
        <v>1.0</v>
      </c>
      <c r="E262" s="7">
        <v>3.0</v>
      </c>
      <c r="F262" s="7">
        <v>106.578196763992</v>
      </c>
      <c r="G262" s="7">
        <v>270.748294591903</v>
      </c>
      <c r="H262" s="7">
        <v>0.0</v>
      </c>
      <c r="I262" s="15">
        <v>0.720025138845891</v>
      </c>
      <c r="J262" s="15">
        <v>0.160292209211015</v>
      </c>
      <c r="K262" s="12">
        <f>AVERAGE(I262:I266)</f>
        <v>0.5081039569</v>
      </c>
      <c r="L262" s="18">
        <v>3927.0</v>
      </c>
      <c r="M262" s="14">
        <f>STDEV(L262:L266)</f>
        <v>32730.57265</v>
      </c>
      <c r="N262" s="15" t="b">
        <f t="shared" si="1"/>
        <v>0</v>
      </c>
    </row>
    <row r="263" hidden="1">
      <c r="A263" s="7" t="s">
        <v>59</v>
      </c>
      <c r="B263" s="7" t="s">
        <v>17</v>
      </c>
      <c r="C263" s="7">
        <v>0.1</v>
      </c>
      <c r="D263" s="7">
        <v>1.0</v>
      </c>
      <c r="E263" s="7">
        <v>3.0</v>
      </c>
      <c r="F263" s="7">
        <v>106.578196763992</v>
      </c>
      <c r="G263" s="7">
        <v>270.748294591903</v>
      </c>
      <c r="H263" s="7">
        <v>1.0</v>
      </c>
      <c r="I263" s="15">
        <v>0.139620244312963</v>
      </c>
      <c r="J263" s="15">
        <v>0.0770755366332767</v>
      </c>
      <c r="K263" s="12">
        <f>AVERAGE(I262:I266)</f>
        <v>0.5081039569</v>
      </c>
      <c r="L263" s="18">
        <v>67188.0</v>
      </c>
      <c r="M263" s="14">
        <f>STDEV(L262:L266)</f>
        <v>32730.57265</v>
      </c>
      <c r="N263" s="15" t="b">
        <f t="shared" si="1"/>
        <v>0</v>
      </c>
    </row>
    <row r="264" hidden="1">
      <c r="A264" s="7" t="s">
        <v>59</v>
      </c>
      <c r="B264" s="7" t="s">
        <v>17</v>
      </c>
      <c r="C264" s="7">
        <v>0.1</v>
      </c>
      <c r="D264" s="7">
        <v>1.0</v>
      </c>
      <c r="E264" s="7">
        <v>3.0</v>
      </c>
      <c r="F264" s="7">
        <v>106.578196763992</v>
      </c>
      <c r="G264" s="7">
        <v>270.748294591903</v>
      </c>
      <c r="H264" s="7">
        <v>2.0</v>
      </c>
      <c r="I264" s="15">
        <v>0.763314642556203</v>
      </c>
      <c r="J264" s="15">
        <v>0.13629560801726</v>
      </c>
      <c r="K264" s="12">
        <f>AVERAGE(I262:I266)</f>
        <v>0.5081039569</v>
      </c>
      <c r="L264" s="18">
        <v>7840.0</v>
      </c>
      <c r="M264" s="14">
        <f>STDEV(L262:L266)</f>
        <v>32730.57265</v>
      </c>
      <c r="N264" s="15" t="b">
        <f t="shared" si="1"/>
        <v>0</v>
      </c>
    </row>
    <row r="265" hidden="1">
      <c r="A265" s="7" t="s">
        <v>59</v>
      </c>
      <c r="B265" s="7" t="s">
        <v>17</v>
      </c>
      <c r="C265" s="7">
        <v>0.1</v>
      </c>
      <c r="D265" s="7">
        <v>1.0</v>
      </c>
      <c r="E265" s="7">
        <v>3.0</v>
      </c>
      <c r="F265" s="7">
        <v>106.578196763992</v>
      </c>
      <c r="G265" s="7">
        <v>270.748294591903</v>
      </c>
      <c r="H265" s="7">
        <v>3.0</v>
      </c>
      <c r="I265" s="15">
        <v>0.117294184792323</v>
      </c>
      <c r="J265" s="15">
        <v>0.0740671812270133</v>
      </c>
      <c r="K265" s="12">
        <f>AVERAGE(I262:I266)</f>
        <v>0.5081039569</v>
      </c>
      <c r="L265" s="18">
        <v>60869.0</v>
      </c>
      <c r="M265" s="14">
        <f>STDEV(L262:L266)</f>
        <v>32730.57265</v>
      </c>
      <c r="N265" s="15" t="b">
        <f t="shared" si="1"/>
        <v>0</v>
      </c>
    </row>
    <row r="266" hidden="1">
      <c r="A266" s="7" t="s">
        <v>59</v>
      </c>
      <c r="B266" s="7" t="s">
        <v>17</v>
      </c>
      <c r="C266" s="7">
        <v>0.1</v>
      </c>
      <c r="D266" s="7">
        <v>1.0</v>
      </c>
      <c r="E266" s="7">
        <v>3.0</v>
      </c>
      <c r="F266" s="7">
        <v>106.578196763992</v>
      </c>
      <c r="G266" s="7">
        <v>270.748294591903</v>
      </c>
      <c r="H266" s="7">
        <v>4.0</v>
      </c>
      <c r="I266" s="15">
        <v>0.800265574078018</v>
      </c>
      <c r="J266" s="15">
        <v>0.13198323551487</v>
      </c>
      <c r="K266" s="12">
        <f>AVERAGE(I262:I266)</f>
        <v>0.5081039569</v>
      </c>
      <c r="L266" s="18">
        <v>1852.0</v>
      </c>
      <c r="M266" s="14">
        <f>STDEV(L262:L266)</f>
        <v>32730.57265</v>
      </c>
      <c r="N266" s="15" t="b">
        <f t="shared" si="1"/>
        <v>0</v>
      </c>
    </row>
    <row r="267" hidden="1">
      <c r="A267" s="7" t="s">
        <v>60</v>
      </c>
      <c r="B267" s="7" t="s">
        <v>17</v>
      </c>
      <c r="C267" s="7">
        <v>0.1</v>
      </c>
      <c r="D267" s="7">
        <v>1.0</v>
      </c>
      <c r="E267" s="7">
        <v>4.0</v>
      </c>
      <c r="F267" s="7">
        <v>335.329742670059</v>
      </c>
      <c r="G267" s="7">
        <v>492.773555517196</v>
      </c>
      <c r="H267" s="7">
        <v>0.0</v>
      </c>
      <c r="I267" s="15">
        <v>0.766204498143585</v>
      </c>
      <c r="J267" s="15">
        <v>0.133064118260665</v>
      </c>
      <c r="K267" s="12">
        <f>AVERAGE(I267:I271)</f>
        <v>0.5304604999</v>
      </c>
      <c r="L267" s="18">
        <v>7810.0</v>
      </c>
      <c r="M267" s="14">
        <f>STDEV(L267:L271)</f>
        <v>27844.25694</v>
      </c>
      <c r="N267" s="15" t="b">
        <f t="shared" si="1"/>
        <v>0</v>
      </c>
    </row>
    <row r="268" hidden="1">
      <c r="A268" s="7" t="s">
        <v>60</v>
      </c>
      <c r="B268" s="7" t="s">
        <v>17</v>
      </c>
      <c r="C268" s="7">
        <v>0.1</v>
      </c>
      <c r="D268" s="7">
        <v>1.0</v>
      </c>
      <c r="E268" s="7">
        <v>4.0</v>
      </c>
      <c r="F268" s="7">
        <v>335.329742670059</v>
      </c>
      <c r="G268" s="7">
        <v>492.773555517196</v>
      </c>
      <c r="H268" s="7">
        <v>1.0</v>
      </c>
      <c r="I268" s="15">
        <v>0.810067608841053</v>
      </c>
      <c r="J268" s="15">
        <v>0.116457095567261</v>
      </c>
      <c r="K268" s="12">
        <f>AVERAGE(I267:I271)</f>
        <v>0.5304604999</v>
      </c>
      <c r="L268" s="18">
        <v>5657.0</v>
      </c>
      <c r="M268" s="14">
        <f>STDEV(L267:L271)</f>
        <v>27844.25694</v>
      </c>
      <c r="N268" s="15" t="b">
        <f t="shared" si="1"/>
        <v>0</v>
      </c>
    </row>
    <row r="269" hidden="1">
      <c r="A269" s="7" t="s">
        <v>60</v>
      </c>
      <c r="B269" s="7" t="s">
        <v>17</v>
      </c>
      <c r="C269" s="7">
        <v>0.1</v>
      </c>
      <c r="D269" s="7">
        <v>1.0</v>
      </c>
      <c r="E269" s="7">
        <v>4.0</v>
      </c>
      <c r="F269" s="7">
        <v>335.329742670059</v>
      </c>
      <c r="G269" s="7">
        <v>492.773555517196</v>
      </c>
      <c r="H269" s="7">
        <v>2.0</v>
      </c>
      <c r="I269" s="15">
        <v>0.760366613579605</v>
      </c>
      <c r="J269" s="15">
        <v>0.135555155610169</v>
      </c>
      <c r="K269" s="12">
        <f>AVERAGE(I267:I271)</f>
        <v>0.5304604999</v>
      </c>
      <c r="L269" s="18">
        <v>15946.0</v>
      </c>
      <c r="M269" s="14">
        <f>STDEV(L267:L271)</f>
        <v>27844.25694</v>
      </c>
      <c r="N269" s="15" t="b">
        <f t="shared" si="1"/>
        <v>0</v>
      </c>
    </row>
    <row r="270" hidden="1">
      <c r="A270" s="7" t="s">
        <v>60</v>
      </c>
      <c r="B270" s="7" t="s">
        <v>17</v>
      </c>
      <c r="C270" s="7">
        <v>0.1</v>
      </c>
      <c r="D270" s="7">
        <v>1.0</v>
      </c>
      <c r="E270" s="7">
        <v>4.0</v>
      </c>
      <c r="F270" s="7">
        <v>335.329742670059</v>
      </c>
      <c r="G270" s="7">
        <v>492.773555517196</v>
      </c>
      <c r="H270" s="7">
        <v>3.0</v>
      </c>
      <c r="I270" s="15">
        <v>0.234057243588343</v>
      </c>
      <c r="J270" s="15">
        <v>0.1045103452472</v>
      </c>
      <c r="K270" s="12">
        <f>AVERAGE(I267:I271)</f>
        <v>0.5304604999</v>
      </c>
      <c r="L270" s="18">
        <v>40853.0</v>
      </c>
      <c r="M270" s="14">
        <f>STDEV(L267:L271)</f>
        <v>27844.25694</v>
      </c>
      <c r="N270" s="15" t="b">
        <f t="shared" si="1"/>
        <v>0</v>
      </c>
    </row>
    <row r="271" hidden="1">
      <c r="A271" s="7" t="s">
        <v>60</v>
      </c>
      <c r="B271" s="7" t="s">
        <v>17</v>
      </c>
      <c r="C271" s="7">
        <v>0.1</v>
      </c>
      <c r="D271" s="7">
        <v>1.0</v>
      </c>
      <c r="E271" s="7">
        <v>4.0</v>
      </c>
      <c r="F271" s="7">
        <v>335.329742670059</v>
      </c>
      <c r="G271" s="7">
        <v>492.773555517196</v>
      </c>
      <c r="H271" s="7">
        <v>4.0</v>
      </c>
      <c r="I271" s="15">
        <v>0.0816065355857301</v>
      </c>
      <c r="J271" s="15">
        <v>0.0743984497626998</v>
      </c>
      <c r="K271" s="12">
        <f>AVERAGE(I267:I271)</f>
        <v>0.5304604999</v>
      </c>
      <c r="L271" s="18">
        <v>71410.0</v>
      </c>
      <c r="M271" s="14">
        <f>STDEV(L267:L271)</f>
        <v>27844.25694</v>
      </c>
      <c r="N271" s="15" t="b">
        <f t="shared" si="1"/>
        <v>0</v>
      </c>
    </row>
    <row r="272" hidden="1">
      <c r="A272" s="7" t="s">
        <v>61</v>
      </c>
      <c r="B272" s="7" t="s">
        <v>17</v>
      </c>
      <c r="C272" s="7">
        <v>0.1</v>
      </c>
      <c r="D272" s="7">
        <v>1.0</v>
      </c>
      <c r="E272" s="7">
        <v>5.0</v>
      </c>
      <c r="F272" s="7">
        <v>271.882249355316</v>
      </c>
      <c r="G272" s="7">
        <v>434.815953731536</v>
      </c>
      <c r="H272" s="7">
        <v>0.0</v>
      </c>
      <c r="I272" s="15">
        <v>0.139455892840269</v>
      </c>
      <c r="J272" s="15">
        <v>0.102698886642963</v>
      </c>
      <c r="K272" s="12">
        <f>AVERAGE(I272:I276)</f>
        <v>0.5471564433</v>
      </c>
      <c r="L272" s="18">
        <v>50521.0</v>
      </c>
      <c r="M272" s="14">
        <f>STDEV(L272:L276)</f>
        <v>28734.38309</v>
      </c>
      <c r="N272" s="15" t="b">
        <f t="shared" si="1"/>
        <v>0</v>
      </c>
    </row>
    <row r="273" hidden="1">
      <c r="A273" s="7" t="s">
        <v>61</v>
      </c>
      <c r="B273" s="7" t="s">
        <v>17</v>
      </c>
      <c r="C273" s="7">
        <v>0.1</v>
      </c>
      <c r="D273" s="7">
        <v>1.0</v>
      </c>
      <c r="E273" s="7">
        <v>5.0</v>
      </c>
      <c r="F273" s="7">
        <v>271.882249355316</v>
      </c>
      <c r="G273" s="7">
        <v>434.815953731536</v>
      </c>
      <c r="H273" s="7">
        <v>1.0</v>
      </c>
      <c r="I273" s="15">
        <v>0.086976743394505</v>
      </c>
      <c r="J273" s="15">
        <v>0.076494059919808</v>
      </c>
      <c r="K273" s="12">
        <f>AVERAGE(I272:I276)</f>
        <v>0.5471564433</v>
      </c>
      <c r="L273" s="18">
        <v>66295.0</v>
      </c>
      <c r="M273" s="14">
        <f>STDEV(L272:L276)</f>
        <v>28734.38309</v>
      </c>
      <c r="N273" s="15" t="b">
        <f t="shared" si="1"/>
        <v>0</v>
      </c>
    </row>
    <row r="274" hidden="1">
      <c r="A274" s="7" t="s">
        <v>61</v>
      </c>
      <c r="B274" s="7" t="s">
        <v>17</v>
      </c>
      <c r="C274" s="7">
        <v>0.1</v>
      </c>
      <c r="D274" s="7">
        <v>1.0</v>
      </c>
      <c r="E274" s="7">
        <v>5.0</v>
      </c>
      <c r="F274" s="7">
        <v>271.882249355316</v>
      </c>
      <c r="G274" s="7">
        <v>434.815953731536</v>
      </c>
      <c r="H274" s="7">
        <v>2.0</v>
      </c>
      <c r="I274" s="15">
        <v>0.790688161220717</v>
      </c>
      <c r="J274" s="15">
        <v>0.100697549863588</v>
      </c>
      <c r="K274" s="12">
        <f>AVERAGE(I272:I276)</f>
        <v>0.5471564433</v>
      </c>
      <c r="L274" s="18">
        <v>18664.0</v>
      </c>
      <c r="M274" s="14">
        <f>STDEV(L272:L276)</f>
        <v>28734.38309</v>
      </c>
      <c r="N274" s="15" t="b">
        <f t="shared" si="1"/>
        <v>0</v>
      </c>
    </row>
    <row r="275" hidden="1">
      <c r="A275" s="7" t="s">
        <v>61</v>
      </c>
      <c r="B275" s="7" t="s">
        <v>17</v>
      </c>
      <c r="C275" s="7">
        <v>0.1</v>
      </c>
      <c r="D275" s="7">
        <v>1.0</v>
      </c>
      <c r="E275" s="7">
        <v>5.0</v>
      </c>
      <c r="F275" s="7">
        <v>271.882249355316</v>
      </c>
      <c r="G275" s="7">
        <v>434.815953731536</v>
      </c>
      <c r="H275" s="7">
        <v>3.0</v>
      </c>
      <c r="I275" s="15">
        <v>0.809114871179043</v>
      </c>
      <c r="J275" s="15">
        <v>0.0797998794788209</v>
      </c>
      <c r="K275" s="12">
        <f>AVERAGE(I272:I276)</f>
        <v>0.5471564433</v>
      </c>
      <c r="L275" s="18">
        <v>4132.0</v>
      </c>
      <c r="M275" s="14">
        <f>STDEV(L272:L276)</f>
        <v>28734.38309</v>
      </c>
      <c r="N275" s="15" t="b">
        <f t="shared" si="1"/>
        <v>0</v>
      </c>
    </row>
    <row r="276" hidden="1">
      <c r="A276" s="7" t="s">
        <v>61</v>
      </c>
      <c r="B276" s="7" t="s">
        <v>17</v>
      </c>
      <c r="C276" s="7">
        <v>0.1</v>
      </c>
      <c r="D276" s="7">
        <v>1.0</v>
      </c>
      <c r="E276" s="7">
        <v>5.0</v>
      </c>
      <c r="F276" s="7">
        <v>271.882249355316</v>
      </c>
      <c r="G276" s="7">
        <v>434.815953731536</v>
      </c>
      <c r="H276" s="7">
        <v>4.0</v>
      </c>
      <c r="I276" s="15">
        <v>0.909546547899603</v>
      </c>
      <c r="J276" s="15">
        <v>0.0442713369605829</v>
      </c>
      <c r="K276" s="12">
        <f>AVERAGE(I272:I276)</f>
        <v>0.5471564433</v>
      </c>
      <c r="L276" s="18">
        <v>2064.0</v>
      </c>
      <c r="M276" s="14">
        <f>STDEV(L272:L276)</f>
        <v>28734.38309</v>
      </c>
      <c r="N276" s="15" t="b">
        <f t="shared" si="1"/>
        <v>0</v>
      </c>
    </row>
    <row r="277" hidden="1">
      <c r="A277" s="7" t="s">
        <v>62</v>
      </c>
      <c r="B277" s="7" t="s">
        <v>17</v>
      </c>
      <c r="C277" s="7">
        <v>0.1</v>
      </c>
      <c r="D277" s="7">
        <v>1.0</v>
      </c>
      <c r="E277" s="7">
        <v>6.0</v>
      </c>
      <c r="F277" s="7">
        <v>174.090986013412</v>
      </c>
      <c r="G277" s="7">
        <v>312.441928148269</v>
      </c>
      <c r="H277" s="7">
        <v>0.0</v>
      </c>
      <c r="I277" s="15">
        <v>0.826417666192858</v>
      </c>
      <c r="J277" s="15">
        <v>0.0923575340883212</v>
      </c>
      <c r="K277" s="12">
        <f>AVERAGE(I277:I281)</f>
        <v>0.4375617165</v>
      </c>
      <c r="L277" s="18">
        <v>4613.0</v>
      </c>
      <c r="M277" s="14">
        <f>STDEV(L277:L281)</f>
        <v>27818.12942</v>
      </c>
      <c r="N277" s="15" t="b">
        <f t="shared" si="1"/>
        <v>0</v>
      </c>
    </row>
    <row r="278" hidden="1">
      <c r="A278" s="7" t="s">
        <v>62</v>
      </c>
      <c r="B278" s="7" t="s">
        <v>17</v>
      </c>
      <c r="C278" s="7">
        <v>0.1</v>
      </c>
      <c r="D278" s="7">
        <v>1.0</v>
      </c>
      <c r="E278" s="7">
        <v>6.0</v>
      </c>
      <c r="F278" s="7">
        <v>174.090986013412</v>
      </c>
      <c r="G278" s="7">
        <v>312.441928148269</v>
      </c>
      <c r="H278" s="7">
        <v>1.0</v>
      </c>
      <c r="I278" s="15">
        <v>0.087657718415126</v>
      </c>
      <c r="J278" s="15">
        <v>0.0753569317590925</v>
      </c>
      <c r="K278" s="12">
        <f>AVERAGE(I277:I281)</f>
        <v>0.4375617165</v>
      </c>
      <c r="L278" s="18">
        <v>70637.0</v>
      </c>
      <c r="M278" s="14">
        <f>STDEV(L277:L281)</f>
        <v>27818.12942</v>
      </c>
      <c r="N278" s="15" t="b">
        <f t="shared" si="1"/>
        <v>0</v>
      </c>
    </row>
    <row r="279" hidden="1">
      <c r="A279" s="7" t="s">
        <v>62</v>
      </c>
      <c r="B279" s="7" t="s">
        <v>17</v>
      </c>
      <c r="C279" s="7">
        <v>0.1</v>
      </c>
      <c r="D279" s="7">
        <v>1.0</v>
      </c>
      <c r="E279" s="7">
        <v>6.0</v>
      </c>
      <c r="F279" s="7">
        <v>174.090986013412</v>
      </c>
      <c r="G279" s="7">
        <v>312.441928148269</v>
      </c>
      <c r="H279" s="7">
        <v>2.0</v>
      </c>
      <c r="I279" s="15">
        <v>0.330011719529935</v>
      </c>
      <c r="J279" s="15">
        <v>0.14030717396494</v>
      </c>
      <c r="K279" s="12">
        <f>AVERAGE(I277:I281)</f>
        <v>0.4375617165</v>
      </c>
      <c r="L279" s="18">
        <v>29360.0</v>
      </c>
      <c r="M279" s="14">
        <f>STDEV(L277:L281)</f>
        <v>27818.12942</v>
      </c>
      <c r="N279" s="15" t="b">
        <f t="shared" si="1"/>
        <v>0</v>
      </c>
    </row>
    <row r="280" hidden="1">
      <c r="A280" s="7" t="s">
        <v>62</v>
      </c>
      <c r="B280" s="7" t="s">
        <v>17</v>
      </c>
      <c r="C280" s="7">
        <v>0.1</v>
      </c>
      <c r="D280" s="7">
        <v>1.0</v>
      </c>
      <c r="E280" s="7">
        <v>6.0</v>
      </c>
      <c r="F280" s="7">
        <v>174.090986013412</v>
      </c>
      <c r="G280" s="7">
        <v>312.441928148269</v>
      </c>
      <c r="H280" s="7">
        <v>3.0</v>
      </c>
      <c r="I280" s="15">
        <v>0.16256095886227</v>
      </c>
      <c r="J280" s="15">
        <v>0.226977044431708</v>
      </c>
      <c r="K280" s="12">
        <f>AVERAGE(I277:I281)</f>
        <v>0.4375617165</v>
      </c>
      <c r="L280" s="18">
        <v>35116.0</v>
      </c>
      <c r="M280" s="14">
        <f>STDEV(L277:L281)</f>
        <v>27818.12942</v>
      </c>
      <c r="N280" s="15" t="b">
        <f t="shared" si="1"/>
        <v>0</v>
      </c>
    </row>
    <row r="281" hidden="1">
      <c r="A281" s="7" t="s">
        <v>62</v>
      </c>
      <c r="B281" s="7" t="s">
        <v>17</v>
      </c>
      <c r="C281" s="7">
        <v>0.1</v>
      </c>
      <c r="D281" s="7">
        <v>1.0</v>
      </c>
      <c r="E281" s="7">
        <v>6.0</v>
      </c>
      <c r="F281" s="7">
        <v>174.090986013412</v>
      </c>
      <c r="G281" s="7">
        <v>312.441928148269</v>
      </c>
      <c r="H281" s="7">
        <v>4.0</v>
      </c>
      <c r="I281" s="15">
        <v>0.781160519385375</v>
      </c>
      <c r="J281" s="15">
        <v>0.142094536385306</v>
      </c>
      <c r="K281" s="12">
        <f>AVERAGE(I277:I281)</f>
        <v>0.4375617165</v>
      </c>
      <c r="L281" s="18">
        <v>1950.0</v>
      </c>
      <c r="M281" s="14">
        <f>STDEV(L277:L281)</f>
        <v>27818.12942</v>
      </c>
      <c r="N281" s="15" t="b">
        <f t="shared" si="1"/>
        <v>0</v>
      </c>
    </row>
    <row r="282" hidden="1">
      <c r="A282" s="7" t="s">
        <v>63</v>
      </c>
      <c r="B282" s="21" t="s">
        <v>17</v>
      </c>
      <c r="C282" s="21">
        <v>0.1</v>
      </c>
      <c r="D282" s="21">
        <v>1.0</v>
      </c>
      <c r="E282" s="21">
        <v>7.0</v>
      </c>
      <c r="F282" s="7">
        <v>136.066507339477</v>
      </c>
      <c r="G282" s="7">
        <v>292.785821437835</v>
      </c>
      <c r="H282" s="7">
        <v>0.0</v>
      </c>
      <c r="I282" s="15">
        <v>0.759139041276486</v>
      </c>
      <c r="J282" s="15">
        <v>0.134192787544685</v>
      </c>
      <c r="K282" s="12">
        <f>AVERAGE(I282:I286)</f>
        <v>0.6663314727</v>
      </c>
      <c r="L282" s="18">
        <v>15981.0</v>
      </c>
      <c r="M282" s="14">
        <f>STDEV(L282:L286)</f>
        <v>43247.08477</v>
      </c>
      <c r="N282" s="15" t="b">
        <f t="shared" si="1"/>
        <v>1</v>
      </c>
    </row>
    <row r="283" hidden="1">
      <c r="A283" s="7" t="s">
        <v>63</v>
      </c>
      <c r="B283" s="21" t="s">
        <v>17</v>
      </c>
      <c r="C283" s="21">
        <v>0.1</v>
      </c>
      <c r="D283" s="21">
        <v>1.0</v>
      </c>
      <c r="E283" s="21">
        <v>7.0</v>
      </c>
      <c r="F283" s="7">
        <v>136.066507339477</v>
      </c>
      <c r="G283" s="7">
        <v>292.785821437835</v>
      </c>
      <c r="H283" s="7">
        <v>1.0</v>
      </c>
      <c r="I283" s="15">
        <v>0.789191171920334</v>
      </c>
      <c r="J283" s="15">
        <v>0.0991156459500647</v>
      </c>
      <c r="K283" s="12">
        <f>AVERAGE(I282:I286)</f>
        <v>0.6663314727</v>
      </c>
      <c r="L283" s="18">
        <v>18653.0</v>
      </c>
      <c r="M283" s="14">
        <f>STDEV(L282:L286)</f>
        <v>43247.08477</v>
      </c>
      <c r="N283" s="15" t="b">
        <f t="shared" si="1"/>
        <v>1</v>
      </c>
    </row>
    <row r="284" hidden="1">
      <c r="A284" s="7" t="s">
        <v>63</v>
      </c>
      <c r="B284" s="21" t="s">
        <v>17</v>
      </c>
      <c r="C284" s="21">
        <v>0.1</v>
      </c>
      <c r="D284" s="21">
        <v>1.0</v>
      </c>
      <c r="E284" s="21">
        <v>7.0</v>
      </c>
      <c r="F284" s="7">
        <v>136.066507339477</v>
      </c>
      <c r="G284" s="7">
        <v>292.785821437835</v>
      </c>
      <c r="H284" s="7">
        <v>2.0</v>
      </c>
      <c r="I284" s="15">
        <v>0.909575663353712</v>
      </c>
      <c r="J284" s="15">
        <v>0.0435833717568192</v>
      </c>
      <c r="K284" s="12">
        <f>AVERAGE(I282:I286)</f>
        <v>0.6663314727</v>
      </c>
      <c r="L284" s="18">
        <v>2064.0</v>
      </c>
      <c r="M284" s="14">
        <f>STDEV(L282:L286)</f>
        <v>43247.08477</v>
      </c>
      <c r="N284" s="15" t="b">
        <f t="shared" si="1"/>
        <v>1</v>
      </c>
    </row>
    <row r="285" hidden="1">
      <c r="A285" s="7" t="s">
        <v>63</v>
      </c>
      <c r="B285" s="21" t="s">
        <v>17</v>
      </c>
      <c r="C285" s="21">
        <v>0.1</v>
      </c>
      <c r="D285" s="21">
        <v>1.0</v>
      </c>
      <c r="E285" s="21">
        <v>7.0</v>
      </c>
      <c r="F285" s="7">
        <v>136.066507339477</v>
      </c>
      <c r="G285" s="7">
        <v>292.785821437835</v>
      </c>
      <c r="H285" s="7">
        <v>3.0</v>
      </c>
      <c r="I285" s="15">
        <v>0.0466740169752683</v>
      </c>
      <c r="J285" s="15">
        <v>0.0519140721646074</v>
      </c>
      <c r="K285" s="12">
        <f>AVERAGE(I282:I286)</f>
        <v>0.6663314727</v>
      </c>
      <c r="L285" s="18">
        <v>104344.0</v>
      </c>
      <c r="M285" s="14">
        <f>STDEV(L282:L286)</f>
        <v>43247.08477</v>
      </c>
      <c r="N285" s="15" t="b">
        <f t="shared" si="1"/>
        <v>1</v>
      </c>
    </row>
    <row r="286" hidden="1">
      <c r="A286" s="7" t="s">
        <v>63</v>
      </c>
      <c r="B286" s="21" t="s">
        <v>17</v>
      </c>
      <c r="C286" s="21">
        <v>0.1</v>
      </c>
      <c r="D286" s="21">
        <v>1.0</v>
      </c>
      <c r="E286" s="21">
        <v>7.0</v>
      </c>
      <c r="F286" s="7">
        <v>136.066507339477</v>
      </c>
      <c r="G286" s="7">
        <v>292.785821437835</v>
      </c>
      <c r="H286" s="7">
        <v>4.0</v>
      </c>
      <c r="I286" s="15">
        <v>0.827077470166059</v>
      </c>
      <c r="J286" s="15">
        <v>0.135818860466694</v>
      </c>
      <c r="K286" s="12">
        <f>AVERAGE(I282:I286)</f>
        <v>0.6663314727</v>
      </c>
      <c r="L286" s="18">
        <v>634.0</v>
      </c>
      <c r="M286" s="14">
        <f>STDEV(L282:L286)</f>
        <v>43247.08477</v>
      </c>
      <c r="N286" s="15" t="b">
        <f t="shared" si="1"/>
        <v>1</v>
      </c>
    </row>
    <row r="287" hidden="1">
      <c r="A287" s="7" t="s">
        <v>64</v>
      </c>
      <c r="B287" s="20" t="s">
        <v>17</v>
      </c>
      <c r="C287" s="20">
        <v>0.1</v>
      </c>
      <c r="D287" s="20">
        <v>1.0</v>
      </c>
      <c r="E287" s="20">
        <v>8.0</v>
      </c>
      <c r="F287" s="7">
        <v>144.137911558151</v>
      </c>
      <c r="G287" s="7">
        <v>301.84619474411</v>
      </c>
      <c r="H287" s="7">
        <v>0.0</v>
      </c>
      <c r="I287" s="15">
        <v>0.0519243356939081</v>
      </c>
      <c r="J287" s="15">
        <v>0.0434681268429548</v>
      </c>
      <c r="K287" s="12">
        <f>AVERAGE(I287:I291)</f>
        <v>0.6622735472</v>
      </c>
      <c r="L287" s="18">
        <v>97544.0</v>
      </c>
      <c r="M287" s="14">
        <f>STDEV(L287:L291)</f>
        <v>39254.1216</v>
      </c>
      <c r="N287" s="15" t="b">
        <f t="shared" si="1"/>
        <v>1</v>
      </c>
    </row>
    <row r="288" hidden="1">
      <c r="A288" s="7" t="s">
        <v>64</v>
      </c>
      <c r="B288" s="20" t="s">
        <v>17</v>
      </c>
      <c r="C288" s="20">
        <v>0.1</v>
      </c>
      <c r="D288" s="20">
        <v>1.0</v>
      </c>
      <c r="E288" s="20">
        <v>8.0</v>
      </c>
      <c r="F288" s="7">
        <v>144.137911558151</v>
      </c>
      <c r="G288" s="7">
        <v>301.84619474411</v>
      </c>
      <c r="H288" s="7">
        <v>1.0</v>
      </c>
      <c r="I288" s="15">
        <v>0.799928047838344</v>
      </c>
      <c r="J288" s="15">
        <v>0.117252574401555</v>
      </c>
      <c r="K288" s="12">
        <f>AVERAGE(I287:I291)</f>
        <v>0.6622735472</v>
      </c>
      <c r="L288" s="18">
        <v>7442.0</v>
      </c>
      <c r="M288" s="14">
        <f>STDEV(L287:L291)</f>
        <v>39254.1216</v>
      </c>
      <c r="N288" s="15" t="b">
        <f t="shared" si="1"/>
        <v>1</v>
      </c>
    </row>
    <row r="289" hidden="1">
      <c r="A289" s="7" t="s">
        <v>64</v>
      </c>
      <c r="B289" s="20" t="s">
        <v>17</v>
      </c>
      <c r="C289" s="20">
        <v>0.1</v>
      </c>
      <c r="D289" s="20">
        <v>1.0</v>
      </c>
      <c r="E289" s="20">
        <v>8.0</v>
      </c>
      <c r="F289" s="7">
        <v>144.137911558151</v>
      </c>
      <c r="G289" s="7">
        <v>301.84619474411</v>
      </c>
      <c r="H289" s="7">
        <v>2.0</v>
      </c>
      <c r="I289" s="15">
        <v>0.788701155977379</v>
      </c>
      <c r="J289" s="15">
        <v>0.100225369339493</v>
      </c>
      <c r="K289" s="12">
        <f>AVERAGE(I287:I291)</f>
        <v>0.6622735472</v>
      </c>
      <c r="L289" s="18">
        <v>18663.0</v>
      </c>
      <c r="M289" s="14">
        <f>STDEV(L287:L291)</f>
        <v>39254.1216</v>
      </c>
      <c r="N289" s="15" t="b">
        <f t="shared" si="1"/>
        <v>1</v>
      </c>
    </row>
    <row r="290" hidden="1">
      <c r="A290" s="7" t="s">
        <v>64</v>
      </c>
      <c r="B290" s="20" t="s">
        <v>17</v>
      </c>
      <c r="C290" s="20">
        <v>0.1</v>
      </c>
      <c r="D290" s="20">
        <v>1.0</v>
      </c>
      <c r="E290" s="20">
        <v>8.0</v>
      </c>
      <c r="F290" s="7">
        <v>144.137911558151</v>
      </c>
      <c r="G290" s="7">
        <v>301.84619474411</v>
      </c>
      <c r="H290" s="7">
        <v>3.0</v>
      </c>
      <c r="I290" s="15">
        <v>0.911766670518557</v>
      </c>
      <c r="J290" s="15">
        <v>0.0353408603945838</v>
      </c>
      <c r="K290" s="12">
        <f>AVERAGE(I287:I291)</f>
        <v>0.6622735472</v>
      </c>
      <c r="L290" s="18">
        <v>2051.0</v>
      </c>
      <c r="M290" s="14">
        <f>STDEV(L287:L291)</f>
        <v>39254.1216</v>
      </c>
      <c r="N290" s="15" t="b">
        <f t="shared" si="1"/>
        <v>1</v>
      </c>
    </row>
    <row r="291" hidden="1">
      <c r="A291" s="7" t="s">
        <v>64</v>
      </c>
      <c r="B291" s="20" t="s">
        <v>17</v>
      </c>
      <c r="C291" s="20">
        <v>0.1</v>
      </c>
      <c r="D291" s="20">
        <v>1.0</v>
      </c>
      <c r="E291" s="20">
        <v>8.0</v>
      </c>
      <c r="F291" s="7">
        <v>144.137911558151</v>
      </c>
      <c r="G291" s="7">
        <v>301.84619474411</v>
      </c>
      <c r="H291" s="7">
        <v>4.0</v>
      </c>
      <c r="I291" s="15">
        <v>0.75904752619287</v>
      </c>
      <c r="J291" s="15">
        <v>0.134746770357567</v>
      </c>
      <c r="K291" s="12">
        <f>AVERAGE(I287:I291)</f>
        <v>0.6622735472</v>
      </c>
      <c r="L291" s="18">
        <v>15976.0</v>
      </c>
      <c r="M291" s="14">
        <f>STDEV(L287:L291)</f>
        <v>39254.1216</v>
      </c>
      <c r="N291" s="15" t="b">
        <f t="shared" si="1"/>
        <v>1</v>
      </c>
    </row>
    <row r="292" hidden="1">
      <c r="A292" s="7" t="s">
        <v>65</v>
      </c>
      <c r="B292" s="7" t="s">
        <v>17</v>
      </c>
      <c r="C292" s="7">
        <v>0.1</v>
      </c>
      <c r="D292" s="7">
        <v>1.0</v>
      </c>
      <c r="E292" s="7">
        <v>9.0</v>
      </c>
      <c r="F292" s="7">
        <v>122.10152721405</v>
      </c>
      <c r="G292" s="7">
        <v>278.018754720687</v>
      </c>
      <c r="H292" s="7">
        <v>0.0</v>
      </c>
      <c r="I292" s="15">
        <v>0.0458074370089454</v>
      </c>
      <c r="J292" s="15">
        <v>0.0338072654751764</v>
      </c>
      <c r="K292" s="12">
        <f>AVERAGE(I292:I296)</f>
        <v>0.5264363746</v>
      </c>
      <c r="L292" s="18">
        <v>59234.0</v>
      </c>
      <c r="M292" s="14">
        <f>STDEV(L292:L296)</f>
        <v>21127.80056</v>
      </c>
      <c r="N292" s="15" t="b">
        <f t="shared" si="1"/>
        <v>0</v>
      </c>
    </row>
    <row r="293" hidden="1">
      <c r="A293" s="7" t="s">
        <v>65</v>
      </c>
      <c r="B293" s="7" t="s">
        <v>17</v>
      </c>
      <c r="C293" s="7">
        <v>0.1</v>
      </c>
      <c r="D293" s="7">
        <v>1.0</v>
      </c>
      <c r="E293" s="7">
        <v>9.0</v>
      </c>
      <c r="F293" s="7">
        <v>122.10152721405</v>
      </c>
      <c r="G293" s="7">
        <v>278.018754720687</v>
      </c>
      <c r="H293" s="7">
        <v>1.0</v>
      </c>
      <c r="I293" s="15">
        <v>0.788897180813371</v>
      </c>
      <c r="J293" s="15">
        <v>0.100178844118907</v>
      </c>
      <c r="K293" s="12">
        <f>AVERAGE(I292:I296)</f>
        <v>0.5264363746</v>
      </c>
      <c r="L293" s="18">
        <v>18642.0</v>
      </c>
      <c r="M293" s="14">
        <f>STDEV(L292:L296)</f>
        <v>21127.80056</v>
      </c>
      <c r="N293" s="15" t="b">
        <f t="shared" si="1"/>
        <v>0</v>
      </c>
    </row>
    <row r="294" hidden="1">
      <c r="A294" s="7" t="s">
        <v>65</v>
      </c>
      <c r="B294" s="7" t="s">
        <v>17</v>
      </c>
      <c r="C294" s="7">
        <v>0.1</v>
      </c>
      <c r="D294" s="7">
        <v>1.0</v>
      </c>
      <c r="E294" s="7">
        <v>9.0</v>
      </c>
      <c r="F294" s="7">
        <v>122.10152721405</v>
      </c>
      <c r="G294" s="7">
        <v>278.018754720687</v>
      </c>
      <c r="H294" s="7">
        <v>2.0</v>
      </c>
      <c r="I294" s="15">
        <v>0.80100867717143</v>
      </c>
      <c r="J294" s="15">
        <v>0.116224042315348</v>
      </c>
      <c r="K294" s="12">
        <f>AVERAGE(I292:I296)</f>
        <v>0.5264363746</v>
      </c>
      <c r="L294" s="18">
        <v>7425.0</v>
      </c>
      <c r="M294" s="14">
        <f>STDEV(L292:L296)</f>
        <v>21127.80056</v>
      </c>
      <c r="N294" s="15" t="b">
        <f t="shared" si="1"/>
        <v>0</v>
      </c>
    </row>
    <row r="295" hidden="1">
      <c r="A295" s="7" t="s">
        <v>65</v>
      </c>
      <c r="B295" s="7" t="s">
        <v>17</v>
      </c>
      <c r="C295" s="7">
        <v>0.1</v>
      </c>
      <c r="D295" s="7">
        <v>1.0</v>
      </c>
      <c r="E295" s="7">
        <v>9.0</v>
      </c>
      <c r="F295" s="7">
        <v>122.10152721405</v>
      </c>
      <c r="G295" s="7">
        <v>278.018754720687</v>
      </c>
      <c r="H295" s="7">
        <v>3.0</v>
      </c>
      <c r="I295" s="15">
        <v>0.237603539854064</v>
      </c>
      <c r="J295" s="15">
        <v>0.104889208420317</v>
      </c>
      <c r="K295" s="12">
        <f>AVERAGE(I292:I296)</f>
        <v>0.5264363746</v>
      </c>
      <c r="L295" s="18">
        <v>40426.0</v>
      </c>
      <c r="M295" s="14">
        <f>STDEV(L292:L296)</f>
        <v>21127.80056</v>
      </c>
      <c r="N295" s="15" t="b">
        <f t="shared" si="1"/>
        <v>0</v>
      </c>
    </row>
    <row r="296" hidden="1">
      <c r="A296" s="7" t="s">
        <v>65</v>
      </c>
      <c r="B296" s="7" t="s">
        <v>17</v>
      </c>
      <c r="C296" s="7">
        <v>0.1</v>
      </c>
      <c r="D296" s="7">
        <v>1.0</v>
      </c>
      <c r="E296" s="7">
        <v>9.0</v>
      </c>
      <c r="F296" s="7">
        <v>122.10152721405</v>
      </c>
      <c r="G296" s="7">
        <v>278.018754720687</v>
      </c>
      <c r="H296" s="7">
        <v>4.0</v>
      </c>
      <c r="I296" s="15">
        <v>0.758865038348396</v>
      </c>
      <c r="J296" s="15">
        <v>0.136880618841576</v>
      </c>
      <c r="K296" s="12">
        <f>AVERAGE(I292:I296)</f>
        <v>0.5264363746</v>
      </c>
      <c r="L296" s="18">
        <v>15949.0</v>
      </c>
      <c r="M296" s="14">
        <f>STDEV(L292:L296)</f>
        <v>21127.80056</v>
      </c>
      <c r="N296" s="15" t="b">
        <f t="shared" si="1"/>
        <v>0</v>
      </c>
    </row>
    <row r="297" hidden="1">
      <c r="A297" s="7" t="s">
        <v>66</v>
      </c>
      <c r="B297" s="20" t="s">
        <v>17</v>
      </c>
      <c r="C297" s="20">
        <v>0.1</v>
      </c>
      <c r="D297" s="20">
        <v>1.0</v>
      </c>
      <c r="E297" s="20">
        <v>10.0</v>
      </c>
      <c r="F297" s="7">
        <v>110.890358924865</v>
      </c>
      <c r="G297" s="7">
        <v>282.59375500679</v>
      </c>
      <c r="H297" s="7">
        <v>0.0</v>
      </c>
      <c r="I297" s="15">
        <v>0.909416123598154</v>
      </c>
      <c r="J297" s="15">
        <v>0.0461098376756021</v>
      </c>
      <c r="K297" s="12">
        <f>AVERAGE(I297:I301)</f>
        <v>0.6578360304</v>
      </c>
      <c r="L297" s="18">
        <v>2064.0</v>
      </c>
      <c r="M297" s="14">
        <f>STDEV(L297:L301)</f>
        <v>50207.70528</v>
      </c>
      <c r="N297" s="15" t="b">
        <f t="shared" si="1"/>
        <v>1</v>
      </c>
    </row>
    <row r="298" hidden="1">
      <c r="A298" s="7" t="s">
        <v>66</v>
      </c>
      <c r="B298" s="20" t="s">
        <v>17</v>
      </c>
      <c r="C298" s="20">
        <v>0.1</v>
      </c>
      <c r="D298" s="20">
        <v>1.0</v>
      </c>
      <c r="E298" s="20">
        <v>10.0</v>
      </c>
      <c r="F298" s="7">
        <v>110.890358924865</v>
      </c>
      <c r="G298" s="7">
        <v>282.59375500679</v>
      </c>
      <c r="H298" s="7">
        <v>1.0</v>
      </c>
      <c r="I298" s="15">
        <v>0.829546805220644</v>
      </c>
      <c r="J298" s="15">
        <v>0.0978832266474021</v>
      </c>
      <c r="K298" s="12">
        <f>AVERAGE(I297:I301)</f>
        <v>0.6578360304</v>
      </c>
      <c r="L298" s="18">
        <v>7422.0</v>
      </c>
      <c r="M298" s="14">
        <f>STDEV(L297:L301)</f>
        <v>50207.70528</v>
      </c>
      <c r="N298" s="15" t="b">
        <f t="shared" si="1"/>
        <v>1</v>
      </c>
    </row>
    <row r="299" hidden="1">
      <c r="A299" s="7" t="s">
        <v>66</v>
      </c>
      <c r="B299" s="20" t="s">
        <v>17</v>
      </c>
      <c r="C299" s="20">
        <v>0.1</v>
      </c>
      <c r="D299" s="20">
        <v>1.0</v>
      </c>
      <c r="E299" s="20">
        <v>10.0</v>
      </c>
      <c r="F299" s="7">
        <v>110.890358924865</v>
      </c>
      <c r="G299" s="7">
        <v>282.59375500679</v>
      </c>
      <c r="H299" s="7">
        <v>2.0</v>
      </c>
      <c r="I299" s="15">
        <v>0.04064971887926</v>
      </c>
      <c r="J299" s="15">
        <v>0.143209257578483</v>
      </c>
      <c r="K299" s="12">
        <f>AVERAGE(I297:I301)</f>
        <v>0.6578360304</v>
      </c>
      <c r="L299" s="18">
        <v>117970.0</v>
      </c>
      <c r="M299" s="14">
        <f>STDEV(L297:L301)</f>
        <v>50207.70528</v>
      </c>
      <c r="N299" s="15" t="b">
        <f t="shared" si="1"/>
        <v>1</v>
      </c>
    </row>
    <row r="300" hidden="1">
      <c r="A300" s="7" t="s">
        <v>66</v>
      </c>
      <c r="B300" s="20" t="s">
        <v>17</v>
      </c>
      <c r="C300" s="20">
        <v>0.1</v>
      </c>
      <c r="D300" s="20">
        <v>1.0</v>
      </c>
      <c r="E300" s="20">
        <v>10.0</v>
      </c>
      <c r="F300" s="7">
        <v>110.890358924865</v>
      </c>
      <c r="G300" s="7">
        <v>282.59375500679</v>
      </c>
      <c r="H300" s="7">
        <v>3.0</v>
      </c>
      <c r="I300" s="15">
        <v>0.717538733808169</v>
      </c>
      <c r="J300" s="15">
        <v>0.159260738726741</v>
      </c>
      <c r="K300" s="12">
        <f>AVERAGE(I297:I301)</f>
        <v>0.6578360304</v>
      </c>
      <c r="L300" s="18">
        <v>3924.0</v>
      </c>
      <c r="M300" s="14">
        <f>STDEV(L297:L301)</f>
        <v>50207.70528</v>
      </c>
      <c r="N300" s="15" t="b">
        <f t="shared" si="1"/>
        <v>1</v>
      </c>
    </row>
    <row r="301" hidden="1">
      <c r="A301" s="7" t="s">
        <v>66</v>
      </c>
      <c r="B301" s="20" t="s">
        <v>17</v>
      </c>
      <c r="C301" s="20">
        <v>0.1</v>
      </c>
      <c r="D301" s="20">
        <v>1.0</v>
      </c>
      <c r="E301" s="20">
        <v>10.0</v>
      </c>
      <c r="F301" s="7">
        <v>110.890358924865</v>
      </c>
      <c r="G301" s="7">
        <v>282.59375500679</v>
      </c>
      <c r="H301" s="7">
        <v>4.0</v>
      </c>
      <c r="I301" s="15">
        <v>0.792028770397314</v>
      </c>
      <c r="J301" s="15">
        <v>0.127961927245608</v>
      </c>
      <c r="K301" s="12">
        <f>AVERAGE(I297:I301)</f>
        <v>0.6578360304</v>
      </c>
      <c r="L301" s="18">
        <v>10296.0</v>
      </c>
      <c r="M301" s="14">
        <f>STDEV(L297:L301)</f>
        <v>50207.70528</v>
      </c>
      <c r="N301" s="15" t="b">
        <f t="shared" si="1"/>
        <v>1</v>
      </c>
    </row>
    <row r="302" hidden="1">
      <c r="A302" s="7" t="s">
        <v>67</v>
      </c>
      <c r="B302" s="7" t="s">
        <v>17</v>
      </c>
      <c r="C302" s="7">
        <v>0.25</v>
      </c>
      <c r="D302" s="7">
        <v>0.1</v>
      </c>
      <c r="E302" s="7">
        <v>1.0</v>
      </c>
      <c r="F302" s="7">
        <v>127.360833644866</v>
      </c>
      <c r="G302" s="7">
        <v>303.932200431823</v>
      </c>
      <c r="H302" s="7">
        <v>0.0</v>
      </c>
      <c r="I302" s="15">
        <v>0.115641355856614</v>
      </c>
      <c r="J302" s="15">
        <v>0.0858986005691055</v>
      </c>
      <c r="K302" s="12">
        <f>AVERAGE(I302:I306)</f>
        <v>0.5703573911</v>
      </c>
      <c r="L302" s="18">
        <v>77532.0</v>
      </c>
      <c r="M302" s="14">
        <f>STDEV(L302:L306)</f>
        <v>34615.21616</v>
      </c>
      <c r="N302" s="15" t="b">
        <f t="shared" si="1"/>
        <v>0</v>
      </c>
    </row>
    <row r="303" hidden="1">
      <c r="A303" s="7" t="s">
        <v>67</v>
      </c>
      <c r="B303" s="7" t="s">
        <v>17</v>
      </c>
      <c r="C303" s="7">
        <v>0.25</v>
      </c>
      <c r="D303" s="7">
        <v>0.1</v>
      </c>
      <c r="E303" s="7">
        <v>1.0</v>
      </c>
      <c r="F303" s="7">
        <v>127.360833644866</v>
      </c>
      <c r="G303" s="7">
        <v>303.932200431823</v>
      </c>
      <c r="H303" s="7">
        <v>1.0</v>
      </c>
      <c r="I303" s="15">
        <v>0.894600359669843</v>
      </c>
      <c r="J303" s="15">
        <v>0.120767290494741</v>
      </c>
      <c r="K303" s="12">
        <f>AVERAGE(I302:I306)</f>
        <v>0.5703573911</v>
      </c>
      <c r="L303" s="18">
        <v>2017.0</v>
      </c>
      <c r="M303" s="14">
        <f>STDEV(L302:L306)</f>
        <v>34615.21616</v>
      </c>
      <c r="N303" s="15" t="b">
        <f t="shared" si="1"/>
        <v>0</v>
      </c>
    </row>
    <row r="304" hidden="1">
      <c r="A304" s="7" t="s">
        <v>67</v>
      </c>
      <c r="B304" s="7" t="s">
        <v>17</v>
      </c>
      <c r="C304" s="7">
        <v>0.25</v>
      </c>
      <c r="D304" s="7">
        <v>0.1</v>
      </c>
      <c r="E304" s="7">
        <v>1.0</v>
      </c>
      <c r="F304" s="7">
        <v>127.360833644866</v>
      </c>
      <c r="G304" s="7">
        <v>303.932200431823</v>
      </c>
      <c r="H304" s="7">
        <v>2.0</v>
      </c>
      <c r="I304" s="15">
        <v>0.168283431212197</v>
      </c>
      <c r="J304" s="15">
        <v>0.100282898560844</v>
      </c>
      <c r="K304" s="12">
        <f>AVERAGE(I302:I306)</f>
        <v>0.5703573911</v>
      </c>
      <c r="L304" s="18">
        <v>52212.0</v>
      </c>
      <c r="M304" s="14">
        <f>STDEV(L302:L306)</f>
        <v>34615.21616</v>
      </c>
      <c r="N304" s="15" t="b">
        <f t="shared" si="1"/>
        <v>0</v>
      </c>
    </row>
    <row r="305" hidden="1">
      <c r="A305" s="7" t="s">
        <v>67</v>
      </c>
      <c r="B305" s="7" t="s">
        <v>17</v>
      </c>
      <c r="C305" s="7">
        <v>0.25</v>
      </c>
      <c r="D305" s="7">
        <v>0.1</v>
      </c>
      <c r="E305" s="7">
        <v>1.0</v>
      </c>
      <c r="F305" s="7">
        <v>127.360833644866</v>
      </c>
      <c r="G305" s="7">
        <v>303.932200431823</v>
      </c>
      <c r="H305" s="7">
        <v>3.0</v>
      </c>
      <c r="I305" s="15">
        <v>0.76311974959597</v>
      </c>
      <c r="J305" s="15">
        <v>0.13706700142265</v>
      </c>
      <c r="K305" s="12">
        <f>AVERAGE(I302:I306)</f>
        <v>0.5703573911</v>
      </c>
      <c r="L305" s="18">
        <v>7851.0</v>
      </c>
      <c r="M305" s="14">
        <f>STDEV(L302:L306)</f>
        <v>34615.21616</v>
      </c>
      <c r="N305" s="15" t="b">
        <f t="shared" si="1"/>
        <v>0</v>
      </c>
    </row>
    <row r="306" hidden="1">
      <c r="A306" s="7" t="s">
        <v>67</v>
      </c>
      <c r="B306" s="7" t="s">
        <v>17</v>
      </c>
      <c r="C306" s="7">
        <v>0.25</v>
      </c>
      <c r="D306" s="7">
        <v>0.1</v>
      </c>
      <c r="E306" s="7">
        <v>1.0</v>
      </c>
      <c r="F306" s="7">
        <v>127.360833644866</v>
      </c>
      <c r="G306" s="7">
        <v>303.932200431823</v>
      </c>
      <c r="H306" s="7">
        <v>4.0</v>
      </c>
      <c r="I306" s="15">
        <v>0.910142059264602</v>
      </c>
      <c r="J306" s="15">
        <v>0.0445516533994472</v>
      </c>
      <c r="K306" s="12">
        <f>AVERAGE(I302:I306)</f>
        <v>0.5703573911</v>
      </c>
      <c r="L306" s="18">
        <v>2064.0</v>
      </c>
      <c r="M306" s="14">
        <f>STDEV(L302:L306)</f>
        <v>34615.21616</v>
      </c>
      <c r="N306" s="15" t="b">
        <f t="shared" si="1"/>
        <v>0</v>
      </c>
    </row>
    <row r="307" hidden="1">
      <c r="A307" s="7" t="s">
        <v>68</v>
      </c>
      <c r="B307" s="7" t="s">
        <v>17</v>
      </c>
      <c r="C307" s="7">
        <v>0.25</v>
      </c>
      <c r="D307" s="7">
        <v>0.1</v>
      </c>
      <c r="E307" s="7">
        <v>2.0</v>
      </c>
      <c r="F307" s="7">
        <v>327.047232627868</v>
      </c>
      <c r="G307" s="7">
        <v>485.555902957916</v>
      </c>
      <c r="H307" s="7">
        <v>0.0</v>
      </c>
      <c r="I307" s="15">
        <v>0.909938643258213</v>
      </c>
      <c r="J307" s="15">
        <v>0.0446076506680993</v>
      </c>
      <c r="K307" s="12">
        <f>AVERAGE(I307:I311)</f>
        <v>0.5576958266</v>
      </c>
      <c r="L307" s="18">
        <v>2064.0</v>
      </c>
      <c r="M307" s="14">
        <f>STDEV(L307:L311)</f>
        <v>33607.46788</v>
      </c>
      <c r="N307" s="15" t="b">
        <f t="shared" si="1"/>
        <v>0</v>
      </c>
    </row>
    <row r="308" hidden="1">
      <c r="A308" s="7" t="s">
        <v>68</v>
      </c>
      <c r="B308" s="7" t="s">
        <v>17</v>
      </c>
      <c r="C308" s="7">
        <v>0.25</v>
      </c>
      <c r="D308" s="7">
        <v>0.1</v>
      </c>
      <c r="E308" s="7">
        <v>2.0</v>
      </c>
      <c r="F308" s="7">
        <v>327.047232627868</v>
      </c>
      <c r="G308" s="7">
        <v>485.555902957916</v>
      </c>
      <c r="H308" s="7">
        <v>1.0</v>
      </c>
      <c r="I308" s="15">
        <v>0.0919447693595645</v>
      </c>
      <c r="J308" s="15">
        <v>0.0753572736617869</v>
      </c>
      <c r="K308" s="12">
        <f>AVERAGE(I307:I311)</f>
        <v>0.5576958266</v>
      </c>
      <c r="L308" s="18">
        <v>72218.0</v>
      </c>
      <c r="M308" s="14">
        <f>STDEV(L307:L311)</f>
        <v>33607.46788</v>
      </c>
      <c r="N308" s="15" t="b">
        <f t="shared" si="1"/>
        <v>0</v>
      </c>
    </row>
    <row r="309" hidden="1">
      <c r="A309" s="7" t="s">
        <v>68</v>
      </c>
      <c r="B309" s="7" t="s">
        <v>17</v>
      </c>
      <c r="C309" s="7">
        <v>0.25</v>
      </c>
      <c r="D309" s="7">
        <v>0.1</v>
      </c>
      <c r="E309" s="7">
        <v>2.0</v>
      </c>
      <c r="F309" s="7">
        <v>327.047232627868</v>
      </c>
      <c r="G309" s="7">
        <v>485.555902957916</v>
      </c>
      <c r="H309" s="7">
        <v>2.0</v>
      </c>
      <c r="I309" s="15">
        <v>0.79230598868846</v>
      </c>
      <c r="J309" s="15">
        <v>0.120866747616471</v>
      </c>
      <c r="K309" s="12">
        <f>AVERAGE(I307:I311)</f>
        <v>0.5576958266</v>
      </c>
      <c r="L309" s="18">
        <v>5108.0</v>
      </c>
      <c r="M309" s="14">
        <f>STDEV(L307:L311)</f>
        <v>33607.46788</v>
      </c>
      <c r="N309" s="15" t="b">
        <f t="shared" si="1"/>
        <v>0</v>
      </c>
    </row>
    <row r="310" hidden="1">
      <c r="A310" s="7" t="s">
        <v>68</v>
      </c>
      <c r="B310" s="7" t="s">
        <v>17</v>
      </c>
      <c r="C310" s="7">
        <v>0.25</v>
      </c>
      <c r="D310" s="7">
        <v>0.1</v>
      </c>
      <c r="E310" s="7">
        <v>2.0</v>
      </c>
      <c r="F310" s="7">
        <v>327.047232627868</v>
      </c>
      <c r="G310" s="7">
        <v>485.555902957916</v>
      </c>
      <c r="H310" s="7">
        <v>3.0</v>
      </c>
      <c r="I310" s="15">
        <v>0.154123108289796</v>
      </c>
      <c r="J310" s="15">
        <v>0.196990538349526</v>
      </c>
      <c r="K310" s="12">
        <f>AVERAGE(I307:I311)</f>
        <v>0.5576958266</v>
      </c>
      <c r="L310" s="18">
        <v>57092.0</v>
      </c>
      <c r="M310" s="14">
        <f>STDEV(L307:L311)</f>
        <v>33607.46788</v>
      </c>
      <c r="N310" s="15" t="b">
        <f t="shared" si="1"/>
        <v>0</v>
      </c>
    </row>
    <row r="311" hidden="1">
      <c r="A311" s="7" t="s">
        <v>68</v>
      </c>
      <c r="B311" s="7" t="s">
        <v>17</v>
      </c>
      <c r="C311" s="7">
        <v>0.25</v>
      </c>
      <c r="D311" s="7">
        <v>0.1</v>
      </c>
      <c r="E311" s="7">
        <v>2.0</v>
      </c>
      <c r="F311" s="7">
        <v>327.047232627868</v>
      </c>
      <c r="G311" s="7">
        <v>485.555902957916</v>
      </c>
      <c r="H311" s="7">
        <v>4.0</v>
      </c>
      <c r="I311" s="15">
        <v>0.840166623201382</v>
      </c>
      <c r="J311" s="15">
        <v>0.0952212480664987</v>
      </c>
      <c r="K311" s="12">
        <f>AVERAGE(I307:I311)</f>
        <v>0.5576958266</v>
      </c>
      <c r="L311" s="18">
        <v>5194.0</v>
      </c>
      <c r="M311" s="14">
        <f>STDEV(L307:L311)</f>
        <v>33607.46788</v>
      </c>
      <c r="N311" s="15" t="b">
        <f t="shared" si="1"/>
        <v>0</v>
      </c>
    </row>
    <row r="312" hidden="1">
      <c r="A312" s="7" t="s">
        <v>69</v>
      </c>
      <c r="B312" s="7" t="s">
        <v>17</v>
      </c>
      <c r="C312" s="7">
        <v>0.25</v>
      </c>
      <c r="D312" s="7">
        <v>0.1</v>
      </c>
      <c r="E312" s="7">
        <v>3.0</v>
      </c>
      <c r="F312" s="7">
        <v>261.60515832901</v>
      </c>
      <c r="G312" s="7">
        <v>421.798403263092</v>
      </c>
      <c r="H312" s="7">
        <v>0.0</v>
      </c>
      <c r="I312" s="15">
        <v>0.826040841457423</v>
      </c>
      <c r="J312" s="15">
        <v>0.103753810320311</v>
      </c>
      <c r="K312" s="12">
        <f>AVERAGE(I312:I316)</f>
        <v>0.546390532</v>
      </c>
      <c r="L312" s="18">
        <v>7464.0</v>
      </c>
      <c r="M312" s="14">
        <f>STDEV(L312:L316)</f>
        <v>42994.43577</v>
      </c>
      <c r="N312" s="15" t="b">
        <f t="shared" si="1"/>
        <v>0</v>
      </c>
    </row>
    <row r="313" hidden="1">
      <c r="A313" s="7" t="s">
        <v>69</v>
      </c>
      <c r="B313" s="7" t="s">
        <v>17</v>
      </c>
      <c r="C313" s="7">
        <v>0.25</v>
      </c>
      <c r="D313" s="7">
        <v>0.1</v>
      </c>
      <c r="E313" s="7">
        <v>3.0</v>
      </c>
      <c r="F313" s="7">
        <v>261.60515832901</v>
      </c>
      <c r="G313" s="7">
        <v>421.798403263092</v>
      </c>
      <c r="H313" s="7">
        <v>1.0</v>
      </c>
      <c r="I313" s="15">
        <v>0.172341581143175</v>
      </c>
      <c r="J313" s="15">
        <v>0.130646650781321</v>
      </c>
      <c r="K313" s="12">
        <f>AVERAGE(I312:I316)</f>
        <v>0.546390532</v>
      </c>
      <c r="L313" s="18">
        <v>11704.0</v>
      </c>
      <c r="M313" s="14">
        <f>STDEV(L312:L316)</f>
        <v>42994.43577</v>
      </c>
      <c r="N313" s="15" t="b">
        <f t="shared" si="1"/>
        <v>0</v>
      </c>
    </row>
    <row r="314" hidden="1">
      <c r="A314" s="7" t="s">
        <v>69</v>
      </c>
      <c r="B314" s="7" t="s">
        <v>17</v>
      </c>
      <c r="C314" s="7">
        <v>0.25</v>
      </c>
      <c r="D314" s="7">
        <v>0.1</v>
      </c>
      <c r="E314" s="7">
        <v>3.0</v>
      </c>
      <c r="F314" s="7">
        <v>261.60515832901</v>
      </c>
      <c r="G314" s="7">
        <v>421.798403263092</v>
      </c>
      <c r="H314" s="7">
        <v>2.0</v>
      </c>
      <c r="I314" s="15">
        <v>0.86965335528023</v>
      </c>
      <c r="J314" s="15">
        <v>0.100554201090474</v>
      </c>
      <c r="K314" s="12">
        <f>AVERAGE(I312:I316)</f>
        <v>0.546390532</v>
      </c>
      <c r="L314" s="18">
        <v>4464.0</v>
      </c>
      <c r="M314" s="14">
        <f>STDEV(L312:L316)</f>
        <v>42994.43577</v>
      </c>
      <c r="N314" s="15" t="b">
        <f t="shared" si="1"/>
        <v>0</v>
      </c>
    </row>
    <row r="315" hidden="1">
      <c r="A315" s="7" t="s">
        <v>69</v>
      </c>
      <c r="B315" s="7" t="s">
        <v>17</v>
      </c>
      <c r="C315" s="7">
        <v>0.25</v>
      </c>
      <c r="D315" s="7">
        <v>0.1</v>
      </c>
      <c r="E315" s="7">
        <v>3.0</v>
      </c>
      <c r="F315" s="7">
        <v>261.60515832901</v>
      </c>
      <c r="G315" s="7">
        <v>421.798403263092</v>
      </c>
      <c r="H315" s="7">
        <v>3.0</v>
      </c>
      <c r="I315" s="15">
        <v>0.816228669307242</v>
      </c>
      <c r="J315" s="15">
        <v>0.0957875820343264</v>
      </c>
      <c r="K315" s="12">
        <f>AVERAGE(I312:I316)</f>
        <v>0.546390532</v>
      </c>
      <c r="L315" s="18">
        <v>13040.0</v>
      </c>
      <c r="M315" s="14">
        <f>STDEV(L312:L316)</f>
        <v>42994.43577</v>
      </c>
      <c r="N315" s="15" t="b">
        <f t="shared" si="1"/>
        <v>0</v>
      </c>
    </row>
    <row r="316" hidden="1">
      <c r="A316" s="7" t="s">
        <v>69</v>
      </c>
      <c r="B316" s="7" t="s">
        <v>17</v>
      </c>
      <c r="C316" s="7">
        <v>0.25</v>
      </c>
      <c r="D316" s="7">
        <v>0.1</v>
      </c>
      <c r="E316" s="7">
        <v>3.0</v>
      </c>
      <c r="F316" s="7">
        <v>261.60515832901</v>
      </c>
      <c r="G316" s="7">
        <v>421.798403263092</v>
      </c>
      <c r="H316" s="7">
        <v>4.0</v>
      </c>
      <c r="I316" s="15">
        <v>0.047688212863162</v>
      </c>
      <c r="J316" s="15">
        <v>0.122256416476968</v>
      </c>
      <c r="K316" s="12">
        <f>AVERAGE(I312:I316)</f>
        <v>0.546390532</v>
      </c>
      <c r="L316" s="18">
        <v>105004.0</v>
      </c>
      <c r="M316" s="14">
        <f>STDEV(L312:L316)</f>
        <v>42994.43577</v>
      </c>
      <c r="N316" s="15" t="b">
        <f t="shared" si="1"/>
        <v>0</v>
      </c>
    </row>
    <row r="317" hidden="1">
      <c r="A317" s="7" t="s">
        <v>70</v>
      </c>
      <c r="B317" s="7" t="s">
        <v>17</v>
      </c>
      <c r="C317" s="7">
        <v>0.25</v>
      </c>
      <c r="D317" s="7">
        <v>0.1</v>
      </c>
      <c r="E317" s="7">
        <v>4.0</v>
      </c>
      <c r="F317" s="7">
        <v>166.470274925231</v>
      </c>
      <c r="G317" s="7">
        <v>317.495987653732</v>
      </c>
      <c r="H317" s="7">
        <v>0.0</v>
      </c>
      <c r="I317" s="15">
        <v>0.208770046443533</v>
      </c>
      <c r="J317" s="15">
        <v>0.109431933941837</v>
      </c>
      <c r="K317" s="12">
        <f>AVERAGE(I317:I321)</f>
        <v>0.545326841</v>
      </c>
      <c r="L317" s="18">
        <v>5352.0</v>
      </c>
      <c r="M317" s="14">
        <f>STDEV(L317:L321)</f>
        <v>44796.61153</v>
      </c>
      <c r="N317" s="15" t="b">
        <f t="shared" si="1"/>
        <v>0</v>
      </c>
    </row>
    <row r="318" hidden="1">
      <c r="A318" s="7" t="s">
        <v>70</v>
      </c>
      <c r="B318" s="7" t="s">
        <v>17</v>
      </c>
      <c r="C318" s="7">
        <v>0.25</v>
      </c>
      <c r="D318" s="7">
        <v>0.1</v>
      </c>
      <c r="E318" s="7">
        <v>4.0</v>
      </c>
      <c r="F318" s="7">
        <v>166.470274925231</v>
      </c>
      <c r="G318" s="7">
        <v>317.495987653732</v>
      </c>
      <c r="H318" s="7">
        <v>1.0</v>
      </c>
      <c r="I318" s="15">
        <v>0.0465035259102849</v>
      </c>
      <c r="J318" s="15">
        <v>0.123469393974473</v>
      </c>
      <c r="K318" s="12">
        <f>AVERAGE(I317:I321)</f>
        <v>0.545326841</v>
      </c>
      <c r="L318" s="18">
        <v>107819.0</v>
      </c>
      <c r="M318" s="14">
        <f>STDEV(L317:L321)</f>
        <v>44796.61153</v>
      </c>
      <c r="N318" s="15" t="b">
        <f t="shared" si="1"/>
        <v>0</v>
      </c>
    </row>
    <row r="319" hidden="1">
      <c r="A319" s="7" t="s">
        <v>70</v>
      </c>
      <c r="B319" s="7" t="s">
        <v>17</v>
      </c>
      <c r="C319" s="7">
        <v>0.25</v>
      </c>
      <c r="D319" s="7">
        <v>0.1</v>
      </c>
      <c r="E319" s="7">
        <v>4.0</v>
      </c>
      <c r="F319" s="7">
        <v>166.470274925231</v>
      </c>
      <c r="G319" s="7">
        <v>317.495987653732</v>
      </c>
      <c r="H319" s="7">
        <v>2.0</v>
      </c>
      <c r="I319" s="15">
        <v>0.804341250617625</v>
      </c>
      <c r="J319" s="15">
        <v>0.114012710717351</v>
      </c>
      <c r="K319" s="12">
        <f>AVERAGE(I317:I321)</f>
        <v>0.545326841</v>
      </c>
      <c r="L319" s="18">
        <v>5055.0</v>
      </c>
      <c r="M319" s="14">
        <f>STDEV(L317:L321)</f>
        <v>44796.61153</v>
      </c>
      <c r="N319" s="15" t="b">
        <f t="shared" si="1"/>
        <v>0</v>
      </c>
    </row>
    <row r="320" hidden="1">
      <c r="A320" s="7" t="s">
        <v>70</v>
      </c>
      <c r="B320" s="7" t="s">
        <v>17</v>
      </c>
      <c r="C320" s="7">
        <v>0.25</v>
      </c>
      <c r="D320" s="7">
        <v>0.1</v>
      </c>
      <c r="E320" s="7">
        <v>4.0</v>
      </c>
      <c r="F320" s="7">
        <v>166.470274925231</v>
      </c>
      <c r="G320" s="7">
        <v>317.495987653732</v>
      </c>
      <c r="H320" s="7">
        <v>3.0</v>
      </c>
      <c r="I320" s="15">
        <v>0.8550480239948</v>
      </c>
      <c r="J320" s="15">
        <v>0.079110016073704</v>
      </c>
      <c r="K320" s="12">
        <f>AVERAGE(I317:I321)</f>
        <v>0.545326841</v>
      </c>
      <c r="L320" s="18">
        <v>5119.0</v>
      </c>
      <c r="M320" s="14">
        <f>STDEV(L317:L321)</f>
        <v>44796.61153</v>
      </c>
      <c r="N320" s="15" t="b">
        <f t="shared" si="1"/>
        <v>0</v>
      </c>
    </row>
    <row r="321" hidden="1">
      <c r="A321" s="7" t="s">
        <v>70</v>
      </c>
      <c r="B321" s="7" t="s">
        <v>17</v>
      </c>
      <c r="C321" s="7">
        <v>0.25</v>
      </c>
      <c r="D321" s="7">
        <v>0.1</v>
      </c>
      <c r="E321" s="7">
        <v>4.0</v>
      </c>
      <c r="F321" s="7">
        <v>166.470274925231</v>
      </c>
      <c r="G321" s="7">
        <v>317.495987653732</v>
      </c>
      <c r="H321" s="7">
        <v>4.0</v>
      </c>
      <c r="I321" s="15">
        <v>0.811971357829362</v>
      </c>
      <c r="J321" s="15">
        <v>0.0756145314357943</v>
      </c>
      <c r="K321" s="12">
        <f>AVERAGE(I317:I321)</f>
        <v>0.545326841</v>
      </c>
      <c r="L321" s="18">
        <v>18331.0</v>
      </c>
      <c r="M321" s="14">
        <f>STDEV(L317:L321)</f>
        <v>44796.61153</v>
      </c>
      <c r="N321" s="15" t="b">
        <f t="shared" si="1"/>
        <v>0</v>
      </c>
    </row>
    <row r="322" hidden="1">
      <c r="A322" s="7" t="s">
        <v>71</v>
      </c>
      <c r="B322" s="7" t="s">
        <v>17</v>
      </c>
      <c r="C322" s="7">
        <v>0.25</v>
      </c>
      <c r="D322" s="7">
        <v>0.1</v>
      </c>
      <c r="E322" s="7">
        <v>5.0</v>
      </c>
      <c r="F322" s="7">
        <v>121.181359529495</v>
      </c>
      <c r="G322" s="7">
        <v>292.32511639595</v>
      </c>
      <c r="H322" s="7">
        <v>0.0</v>
      </c>
      <c r="I322" s="15">
        <v>0.0562263593217826</v>
      </c>
      <c r="J322" s="15">
        <v>0.115392504987733</v>
      </c>
      <c r="K322" s="12">
        <f>AVERAGE(I322:I326)</f>
        <v>0.6481149029</v>
      </c>
      <c r="L322" s="18">
        <v>116744.0</v>
      </c>
      <c r="M322" s="14">
        <f>STDEV(L322:L326)</f>
        <v>49529.13445</v>
      </c>
      <c r="N322" s="15" t="b">
        <f t="shared" si="1"/>
        <v>0</v>
      </c>
    </row>
    <row r="323" hidden="1">
      <c r="A323" s="7" t="s">
        <v>71</v>
      </c>
      <c r="B323" s="7" t="s">
        <v>17</v>
      </c>
      <c r="C323" s="7">
        <v>0.25</v>
      </c>
      <c r="D323" s="7">
        <v>0.1</v>
      </c>
      <c r="E323" s="7">
        <v>5.0</v>
      </c>
      <c r="F323" s="7">
        <v>121.181359529495</v>
      </c>
      <c r="G323" s="7">
        <v>292.32511639595</v>
      </c>
      <c r="H323" s="7">
        <v>1.0</v>
      </c>
      <c r="I323" s="15">
        <v>0.753459901934233</v>
      </c>
      <c r="J323" s="15">
        <v>0.13550744810331</v>
      </c>
      <c r="K323" s="12">
        <f>AVERAGE(I322:I326)</f>
        <v>0.6481149029</v>
      </c>
      <c r="L323" s="18">
        <v>10362.0</v>
      </c>
      <c r="M323" s="14">
        <f>STDEV(L322:L326)</f>
        <v>49529.13445</v>
      </c>
      <c r="N323" s="15" t="b">
        <f t="shared" si="1"/>
        <v>0</v>
      </c>
    </row>
    <row r="324" hidden="1">
      <c r="A324" s="7" t="s">
        <v>71</v>
      </c>
      <c r="B324" s="7" t="s">
        <v>17</v>
      </c>
      <c r="C324" s="7">
        <v>0.25</v>
      </c>
      <c r="D324" s="7">
        <v>0.1</v>
      </c>
      <c r="E324" s="7">
        <v>5.0</v>
      </c>
      <c r="F324" s="7">
        <v>121.181359529495</v>
      </c>
      <c r="G324" s="7">
        <v>292.32511639595</v>
      </c>
      <c r="H324" s="7">
        <v>2.0</v>
      </c>
      <c r="I324" s="15">
        <v>0.798218649292964</v>
      </c>
      <c r="J324" s="15">
        <v>0.120716708426176</v>
      </c>
      <c r="K324" s="12">
        <f>AVERAGE(I322:I326)</f>
        <v>0.6481149029</v>
      </c>
      <c r="L324" s="18">
        <v>7478.0</v>
      </c>
      <c r="M324" s="14">
        <f>STDEV(L322:L326)</f>
        <v>49529.13445</v>
      </c>
      <c r="N324" s="15" t="b">
        <f t="shared" si="1"/>
        <v>0</v>
      </c>
    </row>
    <row r="325" hidden="1">
      <c r="A325" s="7" t="s">
        <v>71</v>
      </c>
      <c r="B325" s="7" t="s">
        <v>17</v>
      </c>
      <c r="C325" s="7">
        <v>0.25</v>
      </c>
      <c r="D325" s="7">
        <v>0.1</v>
      </c>
      <c r="E325" s="7">
        <v>5.0</v>
      </c>
      <c r="F325" s="7">
        <v>121.181359529495</v>
      </c>
      <c r="G325" s="7">
        <v>292.32511639595</v>
      </c>
      <c r="H325" s="7">
        <v>3.0</v>
      </c>
      <c r="I325" s="15">
        <v>0.825685907029012</v>
      </c>
      <c r="J325" s="15">
        <v>0.123750731381606</v>
      </c>
      <c r="K325" s="12">
        <f>AVERAGE(I322:I326)</f>
        <v>0.6481149029</v>
      </c>
      <c r="L325" s="18">
        <v>1383.0</v>
      </c>
      <c r="M325" s="14">
        <f>STDEV(L322:L326)</f>
        <v>49529.13445</v>
      </c>
      <c r="N325" s="15" t="b">
        <f t="shared" si="1"/>
        <v>0</v>
      </c>
    </row>
    <row r="326" hidden="1">
      <c r="A326" s="7" t="s">
        <v>71</v>
      </c>
      <c r="B326" s="7" t="s">
        <v>17</v>
      </c>
      <c r="C326" s="7">
        <v>0.25</v>
      </c>
      <c r="D326" s="7">
        <v>0.1</v>
      </c>
      <c r="E326" s="7">
        <v>5.0</v>
      </c>
      <c r="F326" s="7">
        <v>121.181359529495</v>
      </c>
      <c r="G326" s="7">
        <v>292.32511639595</v>
      </c>
      <c r="H326" s="7">
        <v>4.0</v>
      </c>
      <c r="I326" s="15">
        <v>0.806983696743165</v>
      </c>
      <c r="J326" s="15">
        <v>0.116977533858021</v>
      </c>
      <c r="K326" s="12">
        <f>AVERAGE(I322:I326)</f>
        <v>0.6481149029</v>
      </c>
      <c r="L326" s="18">
        <v>5709.0</v>
      </c>
      <c r="M326" s="14">
        <f>STDEV(L322:L326)</f>
        <v>49529.13445</v>
      </c>
      <c r="N326" s="15" t="b">
        <f t="shared" si="1"/>
        <v>0</v>
      </c>
    </row>
    <row r="327" hidden="1">
      <c r="A327" s="7" t="s">
        <v>72</v>
      </c>
      <c r="B327" s="7" t="s">
        <v>17</v>
      </c>
      <c r="C327" s="7">
        <v>0.25</v>
      </c>
      <c r="D327" s="7">
        <v>0.1</v>
      </c>
      <c r="E327" s="7">
        <v>6.0</v>
      </c>
      <c r="F327" s="7">
        <v>135.723385810852</v>
      </c>
      <c r="G327" s="7">
        <v>309.478456497192</v>
      </c>
      <c r="H327" s="7">
        <v>0.0</v>
      </c>
      <c r="I327" s="15">
        <v>0.764225642820169</v>
      </c>
      <c r="J327" s="15">
        <v>0.134334795595367</v>
      </c>
      <c r="K327" s="12">
        <f>AVERAGE(I327:I331)</f>
        <v>0.6479875929</v>
      </c>
      <c r="L327" s="18">
        <v>7824.0</v>
      </c>
      <c r="M327" s="14">
        <f>STDEV(L327:L331)</f>
        <v>38935.79626</v>
      </c>
      <c r="N327" s="15" t="b">
        <f t="shared" si="1"/>
        <v>0</v>
      </c>
    </row>
    <row r="328" hidden="1">
      <c r="A328" s="7" t="s">
        <v>72</v>
      </c>
      <c r="B328" s="7" t="s">
        <v>17</v>
      </c>
      <c r="C328" s="7">
        <v>0.25</v>
      </c>
      <c r="D328" s="7">
        <v>0.1</v>
      </c>
      <c r="E328" s="7">
        <v>6.0</v>
      </c>
      <c r="F328" s="7">
        <v>135.723385810852</v>
      </c>
      <c r="G328" s="7">
        <v>309.478456497192</v>
      </c>
      <c r="H328" s="7">
        <v>1.0</v>
      </c>
      <c r="I328" s="15">
        <v>0.86990270146226</v>
      </c>
      <c r="J328" s="15">
        <v>0.10595448480328</v>
      </c>
      <c r="K328" s="12">
        <f>AVERAGE(I327:I331)</f>
        <v>0.6479875929</v>
      </c>
      <c r="L328" s="18">
        <v>4459.0</v>
      </c>
      <c r="M328" s="14">
        <f>STDEV(L327:L331)</f>
        <v>38935.79626</v>
      </c>
      <c r="N328" s="15" t="b">
        <f t="shared" si="1"/>
        <v>0</v>
      </c>
    </row>
    <row r="329" hidden="1">
      <c r="A329" s="7" t="s">
        <v>72</v>
      </c>
      <c r="B329" s="7" t="s">
        <v>17</v>
      </c>
      <c r="C329" s="7">
        <v>0.25</v>
      </c>
      <c r="D329" s="7">
        <v>0.1</v>
      </c>
      <c r="E329" s="7">
        <v>6.0</v>
      </c>
      <c r="F329" s="7">
        <v>135.723385810852</v>
      </c>
      <c r="G329" s="7">
        <v>309.478456497192</v>
      </c>
      <c r="H329" s="7">
        <v>2.0</v>
      </c>
      <c r="I329" s="15">
        <v>0.0378697524135248</v>
      </c>
      <c r="J329" s="15">
        <v>0.111115298161011</v>
      </c>
      <c r="K329" s="12">
        <f>AVERAGE(I327:I331)</f>
        <v>0.6479875929</v>
      </c>
      <c r="L329" s="18">
        <v>97309.0</v>
      </c>
      <c r="M329" s="14">
        <f>STDEV(L327:L331)</f>
        <v>38935.79626</v>
      </c>
      <c r="N329" s="15" t="b">
        <f t="shared" si="1"/>
        <v>0</v>
      </c>
    </row>
    <row r="330" hidden="1">
      <c r="A330" s="7" t="s">
        <v>72</v>
      </c>
      <c r="B330" s="7" t="s">
        <v>17</v>
      </c>
      <c r="C330" s="7">
        <v>0.25</v>
      </c>
      <c r="D330" s="7">
        <v>0.1</v>
      </c>
      <c r="E330" s="7">
        <v>6.0</v>
      </c>
      <c r="F330" s="7">
        <v>135.723385810852</v>
      </c>
      <c r="G330" s="7">
        <v>309.478456497192</v>
      </c>
      <c r="H330" s="7">
        <v>3.0</v>
      </c>
      <c r="I330" s="15">
        <v>0.789101843642332</v>
      </c>
      <c r="J330" s="15">
        <v>0.100059900223719</v>
      </c>
      <c r="K330" s="12">
        <f>AVERAGE(I327:I331)</f>
        <v>0.6479875929</v>
      </c>
      <c r="L330" s="18">
        <v>18647.0</v>
      </c>
      <c r="M330" s="14">
        <f>STDEV(L327:L331)</f>
        <v>38935.79626</v>
      </c>
      <c r="N330" s="15" t="b">
        <f t="shared" si="1"/>
        <v>0</v>
      </c>
    </row>
    <row r="331" hidden="1">
      <c r="A331" s="7" t="s">
        <v>72</v>
      </c>
      <c r="B331" s="7" t="s">
        <v>17</v>
      </c>
      <c r="C331" s="7">
        <v>0.25</v>
      </c>
      <c r="D331" s="7">
        <v>0.1</v>
      </c>
      <c r="E331" s="7">
        <v>6.0</v>
      </c>
      <c r="F331" s="7">
        <v>135.723385810852</v>
      </c>
      <c r="G331" s="7">
        <v>309.478456497192</v>
      </c>
      <c r="H331" s="7">
        <v>4.0</v>
      </c>
      <c r="I331" s="15">
        <v>0.778838023992545</v>
      </c>
      <c r="J331" s="15">
        <v>0.128700308845325</v>
      </c>
      <c r="K331" s="12">
        <f>AVERAGE(I327:I331)</f>
        <v>0.6479875929</v>
      </c>
      <c r="L331" s="18">
        <v>13437.0</v>
      </c>
      <c r="M331" s="14">
        <f>STDEV(L327:L331)</f>
        <v>38935.79626</v>
      </c>
      <c r="N331" s="15" t="b">
        <f t="shared" si="1"/>
        <v>0</v>
      </c>
    </row>
    <row r="332" hidden="1">
      <c r="A332" s="7" t="s">
        <v>73</v>
      </c>
      <c r="B332" s="7" t="s">
        <v>17</v>
      </c>
      <c r="C332" s="7">
        <v>0.25</v>
      </c>
      <c r="D332" s="7">
        <v>0.1</v>
      </c>
      <c r="E332" s="7">
        <v>7.0</v>
      </c>
      <c r="F332" s="7">
        <v>269.811489343643</v>
      </c>
      <c r="G332" s="7">
        <v>443.66868185997</v>
      </c>
      <c r="H332" s="7">
        <v>0.0</v>
      </c>
      <c r="I332" s="15">
        <v>0.463348426024021</v>
      </c>
      <c r="J332" s="15">
        <v>0.149496629286546</v>
      </c>
      <c r="K332" s="12">
        <f>AVERAGE(I332:I336)</f>
        <v>0.4005184888</v>
      </c>
      <c r="L332" s="18">
        <v>17556.0</v>
      </c>
      <c r="M332" s="14">
        <f>STDEV(L332:L336)</f>
        <v>29323.91651</v>
      </c>
      <c r="N332" s="15" t="b">
        <f t="shared" si="1"/>
        <v>0</v>
      </c>
    </row>
    <row r="333" hidden="1">
      <c r="A333" s="7" t="s">
        <v>73</v>
      </c>
      <c r="B333" s="7" t="s">
        <v>17</v>
      </c>
      <c r="C333" s="7">
        <v>0.25</v>
      </c>
      <c r="D333" s="7">
        <v>0.1</v>
      </c>
      <c r="E333" s="7">
        <v>7.0</v>
      </c>
      <c r="F333" s="7">
        <v>269.811489343643</v>
      </c>
      <c r="G333" s="7">
        <v>443.66868185997</v>
      </c>
      <c r="H333" s="7">
        <v>1.0</v>
      </c>
      <c r="I333" s="15">
        <v>0.396143910609108</v>
      </c>
      <c r="J333" s="15">
        <v>0.0592044141329629</v>
      </c>
      <c r="K333" s="12">
        <f>AVERAGE(I332:I336)</f>
        <v>0.4005184888</v>
      </c>
      <c r="L333" s="18">
        <v>31927.0</v>
      </c>
      <c r="M333" s="14">
        <f>STDEV(L332:L336)</f>
        <v>29323.91651</v>
      </c>
      <c r="N333" s="15" t="b">
        <f t="shared" si="1"/>
        <v>0</v>
      </c>
    </row>
    <row r="334" hidden="1">
      <c r="A334" s="7" t="s">
        <v>73</v>
      </c>
      <c r="B334" s="7" t="s">
        <v>17</v>
      </c>
      <c r="C334" s="7">
        <v>0.25</v>
      </c>
      <c r="D334" s="7">
        <v>0.1</v>
      </c>
      <c r="E334" s="7">
        <v>7.0</v>
      </c>
      <c r="F334" s="7">
        <v>269.811489343643</v>
      </c>
      <c r="G334" s="7">
        <v>443.66868185997</v>
      </c>
      <c r="H334" s="7">
        <v>2.0</v>
      </c>
      <c r="I334" s="15">
        <v>0.293390954069704</v>
      </c>
      <c r="J334" s="15">
        <v>0.0841496361379519</v>
      </c>
      <c r="K334" s="12">
        <f>AVERAGE(I332:I336)</f>
        <v>0.4005184888</v>
      </c>
      <c r="L334" s="18">
        <v>13760.0</v>
      </c>
      <c r="M334" s="14">
        <f>STDEV(L332:L336)</f>
        <v>29323.91651</v>
      </c>
      <c r="N334" s="15" t="b">
        <f t="shared" si="1"/>
        <v>0</v>
      </c>
    </row>
    <row r="335" hidden="1">
      <c r="A335" s="7" t="s">
        <v>73</v>
      </c>
      <c r="B335" s="7" t="s">
        <v>17</v>
      </c>
      <c r="C335" s="7">
        <v>0.25</v>
      </c>
      <c r="D335" s="7">
        <v>0.1</v>
      </c>
      <c r="E335" s="7">
        <v>7.0</v>
      </c>
      <c r="F335" s="7">
        <v>269.811489343643</v>
      </c>
      <c r="G335" s="7">
        <v>443.66868185997</v>
      </c>
      <c r="H335" s="7">
        <v>3.0</v>
      </c>
      <c r="I335" s="15">
        <v>0.0293503941427972</v>
      </c>
      <c r="J335" s="15">
        <v>0.130175064750596</v>
      </c>
      <c r="K335" s="12">
        <f>AVERAGE(I332:I336)</f>
        <v>0.4005184888</v>
      </c>
      <c r="L335" s="18">
        <v>77040.0</v>
      </c>
      <c r="M335" s="14">
        <f>STDEV(L332:L336)</f>
        <v>29323.91651</v>
      </c>
      <c r="N335" s="15" t="b">
        <f t="shared" si="1"/>
        <v>0</v>
      </c>
    </row>
    <row r="336" hidden="1">
      <c r="A336" s="7" t="s">
        <v>73</v>
      </c>
      <c r="B336" s="7" t="s">
        <v>17</v>
      </c>
      <c r="C336" s="7">
        <v>0.25</v>
      </c>
      <c r="D336" s="7">
        <v>0.1</v>
      </c>
      <c r="E336" s="7">
        <v>7.0</v>
      </c>
      <c r="F336" s="7">
        <v>269.811489343643</v>
      </c>
      <c r="G336" s="7">
        <v>443.66868185997</v>
      </c>
      <c r="H336" s="7">
        <v>4.0</v>
      </c>
      <c r="I336" s="15">
        <v>0.820358759027166</v>
      </c>
      <c r="J336" s="15">
        <v>0.125769647895278</v>
      </c>
      <c r="K336" s="12">
        <f>AVERAGE(I332:I336)</f>
        <v>0.4005184888</v>
      </c>
      <c r="L336" s="18">
        <v>1393.0</v>
      </c>
      <c r="M336" s="14">
        <f>STDEV(L332:L336)</f>
        <v>29323.91651</v>
      </c>
      <c r="N336" s="15" t="b">
        <f t="shared" si="1"/>
        <v>0</v>
      </c>
    </row>
    <row r="337" hidden="1">
      <c r="A337" s="7" t="s">
        <v>74</v>
      </c>
      <c r="B337" s="7" t="s">
        <v>17</v>
      </c>
      <c r="C337" s="7">
        <v>0.25</v>
      </c>
      <c r="D337" s="7">
        <v>0.1</v>
      </c>
      <c r="E337" s="7">
        <v>8.0</v>
      </c>
      <c r="F337" s="7">
        <v>307.799222469329</v>
      </c>
      <c r="G337" s="7">
        <v>471.518280506134</v>
      </c>
      <c r="H337" s="7">
        <v>0.0</v>
      </c>
      <c r="I337" s="15">
        <v>0.075770447181745</v>
      </c>
      <c r="J337" s="15">
        <v>0.0817083567824062</v>
      </c>
      <c r="K337" s="12">
        <f>AVERAGE(I337:I341)</f>
        <v>0.475378111</v>
      </c>
      <c r="L337" s="18">
        <v>73012.0</v>
      </c>
      <c r="M337" s="14">
        <f>STDEV(L337:L341)</f>
        <v>29583.75055</v>
      </c>
      <c r="N337" s="15" t="b">
        <f t="shared" si="1"/>
        <v>0</v>
      </c>
    </row>
    <row r="338" hidden="1">
      <c r="A338" s="7" t="s">
        <v>74</v>
      </c>
      <c r="B338" s="7" t="s">
        <v>17</v>
      </c>
      <c r="C338" s="7">
        <v>0.25</v>
      </c>
      <c r="D338" s="7">
        <v>0.1</v>
      </c>
      <c r="E338" s="7">
        <v>8.0</v>
      </c>
      <c r="F338" s="7">
        <v>307.799222469329</v>
      </c>
      <c r="G338" s="7">
        <v>471.518280506134</v>
      </c>
      <c r="H338" s="7">
        <v>1.0</v>
      </c>
      <c r="I338" s="15">
        <v>0.403948672058905</v>
      </c>
      <c r="J338" s="15">
        <v>0.0856664262047479</v>
      </c>
      <c r="K338" s="12">
        <f>AVERAGE(I337:I341)</f>
        <v>0.475378111</v>
      </c>
      <c r="L338" s="18">
        <v>12383.0</v>
      </c>
      <c r="M338" s="14">
        <f>STDEV(L337:L341)</f>
        <v>29583.75055</v>
      </c>
      <c r="N338" s="15" t="b">
        <f t="shared" si="1"/>
        <v>0</v>
      </c>
    </row>
    <row r="339" hidden="1">
      <c r="A339" s="7" t="s">
        <v>74</v>
      </c>
      <c r="B339" s="7" t="s">
        <v>17</v>
      </c>
      <c r="C339" s="7">
        <v>0.25</v>
      </c>
      <c r="D339" s="7">
        <v>0.1</v>
      </c>
      <c r="E339" s="7">
        <v>8.0</v>
      </c>
      <c r="F339" s="7">
        <v>307.799222469329</v>
      </c>
      <c r="G339" s="7">
        <v>471.518280506134</v>
      </c>
      <c r="H339" s="7">
        <v>2.0</v>
      </c>
      <c r="I339" s="15">
        <v>0.829598272391939</v>
      </c>
      <c r="J339" s="15">
        <v>0.0965280551611499</v>
      </c>
      <c r="K339" s="12">
        <f>AVERAGE(I337:I341)</f>
        <v>0.475378111</v>
      </c>
      <c r="L339" s="18">
        <v>7446.0</v>
      </c>
      <c r="M339" s="14">
        <f>STDEV(L337:L341)</f>
        <v>29583.75055</v>
      </c>
      <c r="N339" s="15" t="b">
        <f t="shared" si="1"/>
        <v>0</v>
      </c>
    </row>
    <row r="340" hidden="1">
      <c r="A340" s="7" t="s">
        <v>74</v>
      </c>
      <c r="B340" s="7" t="s">
        <v>17</v>
      </c>
      <c r="C340" s="7">
        <v>0.25</v>
      </c>
      <c r="D340" s="7">
        <v>0.1</v>
      </c>
      <c r="E340" s="7">
        <v>8.0</v>
      </c>
      <c r="F340" s="7">
        <v>307.799222469329</v>
      </c>
      <c r="G340" s="7">
        <v>471.518280506134</v>
      </c>
      <c r="H340" s="7">
        <v>3.0</v>
      </c>
      <c r="I340" s="15">
        <v>0.243475474129723</v>
      </c>
      <c r="J340" s="15">
        <v>0.0819830164842995</v>
      </c>
      <c r="K340" s="12">
        <f>AVERAGE(I337:I341)</f>
        <v>0.475378111</v>
      </c>
      <c r="L340" s="18">
        <v>44207.0</v>
      </c>
      <c r="M340" s="14">
        <f>STDEV(L337:L341)</f>
        <v>29583.75055</v>
      </c>
      <c r="N340" s="15" t="b">
        <f t="shared" si="1"/>
        <v>0</v>
      </c>
    </row>
    <row r="341" hidden="1">
      <c r="A341" s="7" t="s">
        <v>74</v>
      </c>
      <c r="B341" s="7" t="s">
        <v>17</v>
      </c>
      <c r="C341" s="7">
        <v>0.25</v>
      </c>
      <c r="D341" s="7">
        <v>0.1</v>
      </c>
      <c r="E341" s="7">
        <v>8.0</v>
      </c>
      <c r="F341" s="7">
        <v>307.799222469329</v>
      </c>
      <c r="G341" s="7">
        <v>471.518280506134</v>
      </c>
      <c r="H341" s="7">
        <v>4.0</v>
      </c>
      <c r="I341" s="15">
        <v>0.824097689458054</v>
      </c>
      <c r="J341" s="15">
        <v>0.0961550338604226</v>
      </c>
      <c r="K341" s="12">
        <f>AVERAGE(I337:I341)</f>
        <v>0.475378111</v>
      </c>
      <c r="L341" s="18">
        <v>4628.0</v>
      </c>
      <c r="M341" s="14">
        <f>STDEV(L337:L341)</f>
        <v>29583.75055</v>
      </c>
      <c r="N341" s="15" t="b">
        <f t="shared" si="1"/>
        <v>0</v>
      </c>
    </row>
    <row r="342" hidden="1">
      <c r="A342" s="7" t="s">
        <v>75</v>
      </c>
      <c r="B342" s="7" t="s">
        <v>17</v>
      </c>
      <c r="C342" s="7">
        <v>0.25</v>
      </c>
      <c r="D342" s="7">
        <v>0.1</v>
      </c>
      <c r="E342" s="7">
        <v>9.0</v>
      </c>
      <c r="F342" s="7">
        <v>239.610349893569</v>
      </c>
      <c r="G342" s="7">
        <v>402.515101671218</v>
      </c>
      <c r="H342" s="7">
        <v>0.0</v>
      </c>
      <c r="I342" s="15">
        <v>0.789815113387724</v>
      </c>
      <c r="J342" s="15">
        <v>0.100032133620902</v>
      </c>
      <c r="K342" s="12">
        <f>AVERAGE(I342:I346)</f>
        <v>0.6457157248</v>
      </c>
      <c r="L342" s="18">
        <v>18630.0</v>
      </c>
      <c r="M342" s="14">
        <f>STDEV(L342:L346)</f>
        <v>38067.13627</v>
      </c>
      <c r="N342" s="15" t="b">
        <f t="shared" si="1"/>
        <v>0</v>
      </c>
    </row>
    <row r="343" hidden="1">
      <c r="A343" s="7" t="s">
        <v>75</v>
      </c>
      <c r="B343" s="7" t="s">
        <v>17</v>
      </c>
      <c r="C343" s="7">
        <v>0.25</v>
      </c>
      <c r="D343" s="7">
        <v>0.1</v>
      </c>
      <c r="E343" s="7">
        <v>9.0</v>
      </c>
      <c r="F343" s="7">
        <v>239.610349893569</v>
      </c>
      <c r="G343" s="7">
        <v>402.515101671218</v>
      </c>
      <c r="H343" s="7">
        <v>1.0</v>
      </c>
      <c r="I343" s="15">
        <v>0.754843992860884</v>
      </c>
      <c r="J343" s="15">
        <v>0.134791810765885</v>
      </c>
      <c r="K343" s="12">
        <f>AVERAGE(I342:I346)</f>
        <v>0.6457157248</v>
      </c>
      <c r="L343" s="18">
        <v>10345.0</v>
      </c>
      <c r="M343" s="14">
        <f>STDEV(L342:L346)</f>
        <v>38067.13627</v>
      </c>
      <c r="N343" s="15" t="b">
        <f t="shared" si="1"/>
        <v>0</v>
      </c>
    </row>
    <row r="344" hidden="1">
      <c r="A344" s="7" t="s">
        <v>75</v>
      </c>
      <c r="B344" s="7" t="s">
        <v>17</v>
      </c>
      <c r="C344" s="7">
        <v>0.25</v>
      </c>
      <c r="D344" s="7">
        <v>0.1</v>
      </c>
      <c r="E344" s="7">
        <v>9.0</v>
      </c>
      <c r="F344" s="7">
        <v>239.610349893569</v>
      </c>
      <c r="G344" s="7">
        <v>402.515101671218</v>
      </c>
      <c r="H344" s="7">
        <v>2.0</v>
      </c>
      <c r="I344" s="15">
        <v>0.869087395129235</v>
      </c>
      <c r="J344" s="15">
        <v>0.104284379920092</v>
      </c>
      <c r="K344" s="12">
        <f>AVERAGE(I342:I346)</f>
        <v>0.6457157248</v>
      </c>
      <c r="L344" s="18">
        <v>4464.0</v>
      </c>
      <c r="M344" s="14">
        <f>STDEV(L342:L346)</f>
        <v>38067.13627</v>
      </c>
      <c r="N344" s="15" t="b">
        <f t="shared" si="1"/>
        <v>0</v>
      </c>
    </row>
    <row r="345" hidden="1">
      <c r="A345" s="7" t="s">
        <v>75</v>
      </c>
      <c r="B345" s="7" t="s">
        <v>17</v>
      </c>
      <c r="C345" s="7">
        <v>0.25</v>
      </c>
      <c r="D345" s="7">
        <v>0.1</v>
      </c>
      <c r="E345" s="7">
        <v>9.0</v>
      </c>
      <c r="F345" s="7">
        <v>239.610349893569</v>
      </c>
      <c r="G345" s="7">
        <v>402.515101671218</v>
      </c>
      <c r="H345" s="7">
        <v>3.0</v>
      </c>
      <c r="I345" s="15">
        <v>0.0245866779414273</v>
      </c>
      <c r="J345" s="15">
        <v>0.166497564422516</v>
      </c>
      <c r="K345" s="12">
        <f>AVERAGE(I342:I346)</f>
        <v>0.6457157248</v>
      </c>
      <c r="L345" s="18">
        <v>95827.0</v>
      </c>
      <c r="M345" s="14">
        <f>STDEV(L342:L346)</f>
        <v>38067.13627</v>
      </c>
      <c r="N345" s="15" t="b">
        <f t="shared" si="1"/>
        <v>0</v>
      </c>
    </row>
    <row r="346" hidden="1">
      <c r="A346" s="7" t="s">
        <v>75</v>
      </c>
      <c r="B346" s="7" t="s">
        <v>17</v>
      </c>
      <c r="C346" s="7">
        <v>0.25</v>
      </c>
      <c r="D346" s="7">
        <v>0.1</v>
      </c>
      <c r="E346" s="7">
        <v>9.0</v>
      </c>
      <c r="F346" s="7">
        <v>239.610349893569</v>
      </c>
      <c r="G346" s="7">
        <v>402.515101671218</v>
      </c>
      <c r="H346" s="7">
        <v>4.0</v>
      </c>
      <c r="I346" s="15">
        <v>0.790245444731466</v>
      </c>
      <c r="J346" s="15">
        <v>0.115834374908212</v>
      </c>
      <c r="K346" s="12">
        <f>AVERAGE(I342:I346)</f>
        <v>0.6457157248</v>
      </c>
      <c r="L346" s="18">
        <v>12410.0</v>
      </c>
      <c r="M346" s="14">
        <f>STDEV(L342:L346)</f>
        <v>38067.13627</v>
      </c>
      <c r="N346" s="15" t="b">
        <f t="shared" si="1"/>
        <v>0</v>
      </c>
    </row>
    <row r="347" hidden="1">
      <c r="A347" s="7" t="s">
        <v>76</v>
      </c>
      <c r="B347" s="7" t="s">
        <v>17</v>
      </c>
      <c r="C347" s="7">
        <v>0.25</v>
      </c>
      <c r="D347" s="7">
        <v>0.1</v>
      </c>
      <c r="E347" s="7">
        <v>10.0</v>
      </c>
      <c r="F347" s="7">
        <v>322.129427909851</v>
      </c>
      <c r="G347" s="7">
        <v>478.760348320007</v>
      </c>
      <c r="H347" s="7">
        <v>0.0</v>
      </c>
      <c r="I347" s="15">
        <v>0.161778708223551</v>
      </c>
      <c r="J347" s="15">
        <v>0.114782616719225</v>
      </c>
      <c r="K347" s="12">
        <f>AVERAGE(I347:I351)</f>
        <v>0.4206026537</v>
      </c>
      <c r="L347" s="18">
        <v>50945.0</v>
      </c>
      <c r="M347" s="14">
        <f>STDEV(L347:L351)</f>
        <v>20037.36133</v>
      </c>
      <c r="N347" s="15" t="b">
        <f t="shared" si="1"/>
        <v>0</v>
      </c>
    </row>
    <row r="348" hidden="1">
      <c r="A348" s="7" t="s">
        <v>76</v>
      </c>
      <c r="B348" s="7" t="s">
        <v>17</v>
      </c>
      <c r="C348" s="7">
        <v>0.25</v>
      </c>
      <c r="D348" s="7">
        <v>0.1</v>
      </c>
      <c r="E348" s="7">
        <v>10.0</v>
      </c>
      <c r="F348" s="7">
        <v>322.129427909851</v>
      </c>
      <c r="G348" s="7">
        <v>478.760348320007</v>
      </c>
      <c r="H348" s="7">
        <v>1.0</v>
      </c>
      <c r="I348" s="15">
        <v>0.286416826423031</v>
      </c>
      <c r="J348" s="15">
        <v>0.0921987483309801</v>
      </c>
      <c r="K348" s="12">
        <f>AVERAGE(I347:I351)</f>
        <v>0.4206026537</v>
      </c>
      <c r="L348" s="18">
        <v>24846.0</v>
      </c>
      <c r="M348" s="14">
        <f>STDEV(L347:L351)</f>
        <v>20037.36133</v>
      </c>
      <c r="N348" s="15" t="b">
        <f t="shared" si="1"/>
        <v>0</v>
      </c>
    </row>
    <row r="349" hidden="1">
      <c r="A349" s="7" t="s">
        <v>76</v>
      </c>
      <c r="B349" s="7" t="s">
        <v>17</v>
      </c>
      <c r="C349" s="7">
        <v>0.25</v>
      </c>
      <c r="D349" s="7">
        <v>0.1</v>
      </c>
      <c r="E349" s="7">
        <v>10.0</v>
      </c>
      <c r="F349" s="7">
        <v>322.129427909851</v>
      </c>
      <c r="G349" s="7">
        <v>478.760348320007</v>
      </c>
      <c r="H349" s="7">
        <v>2.0</v>
      </c>
      <c r="I349" s="15">
        <v>0.0650616994174649</v>
      </c>
      <c r="J349" s="15">
        <v>0.190075860425214</v>
      </c>
      <c r="K349" s="12">
        <f>AVERAGE(I347:I351)</f>
        <v>0.4206026537</v>
      </c>
      <c r="L349" s="18">
        <v>46879.0</v>
      </c>
      <c r="M349" s="14">
        <f>STDEV(L347:L351)</f>
        <v>20037.36133</v>
      </c>
      <c r="N349" s="15" t="b">
        <f t="shared" si="1"/>
        <v>0</v>
      </c>
    </row>
    <row r="350" hidden="1">
      <c r="A350" s="7" t="s">
        <v>76</v>
      </c>
      <c r="B350" s="7" t="s">
        <v>17</v>
      </c>
      <c r="C350" s="7">
        <v>0.25</v>
      </c>
      <c r="D350" s="7">
        <v>0.1</v>
      </c>
      <c r="E350" s="7">
        <v>10.0</v>
      </c>
      <c r="F350" s="7">
        <v>322.129427909851</v>
      </c>
      <c r="G350" s="7">
        <v>478.760348320007</v>
      </c>
      <c r="H350" s="7">
        <v>3.0</v>
      </c>
      <c r="I350" s="15">
        <v>0.78014070289784</v>
      </c>
      <c r="J350" s="15">
        <v>0.128800951784449</v>
      </c>
      <c r="K350" s="12">
        <f>AVERAGE(I347:I351)</f>
        <v>0.4206026537</v>
      </c>
      <c r="L350" s="18">
        <v>13339.0</v>
      </c>
      <c r="M350" s="14">
        <f>STDEV(L347:L351)</f>
        <v>20037.36133</v>
      </c>
      <c r="N350" s="15" t="b">
        <f t="shared" si="1"/>
        <v>0</v>
      </c>
    </row>
    <row r="351" hidden="1">
      <c r="A351" s="7" t="s">
        <v>76</v>
      </c>
      <c r="B351" s="7" t="s">
        <v>17</v>
      </c>
      <c r="C351" s="7">
        <v>0.25</v>
      </c>
      <c r="D351" s="7">
        <v>0.1</v>
      </c>
      <c r="E351" s="7">
        <v>10.0</v>
      </c>
      <c r="F351" s="7">
        <v>322.129427909851</v>
      </c>
      <c r="G351" s="7">
        <v>478.760348320007</v>
      </c>
      <c r="H351" s="7">
        <v>4.0</v>
      </c>
      <c r="I351" s="15">
        <v>0.809615331505841</v>
      </c>
      <c r="J351" s="15">
        <v>0.116061180116556</v>
      </c>
      <c r="K351" s="12">
        <f>AVERAGE(I347:I351)</f>
        <v>0.4206026537</v>
      </c>
      <c r="L351" s="18">
        <v>5667.0</v>
      </c>
      <c r="M351" s="14">
        <f>STDEV(L347:L351)</f>
        <v>20037.36133</v>
      </c>
      <c r="N351" s="15" t="b">
        <f t="shared" si="1"/>
        <v>0</v>
      </c>
    </row>
    <row r="352" hidden="1">
      <c r="A352" s="7" t="s">
        <v>77</v>
      </c>
      <c r="B352" s="7" t="s">
        <v>17</v>
      </c>
      <c r="C352" s="7">
        <v>0.25</v>
      </c>
      <c r="D352" s="7">
        <v>0.25</v>
      </c>
      <c r="E352" s="7">
        <v>1.0</v>
      </c>
      <c r="F352" s="7">
        <v>173.216601848602</v>
      </c>
      <c r="G352" s="7">
        <v>333.083049535751</v>
      </c>
      <c r="H352" s="7">
        <v>0.0</v>
      </c>
      <c r="I352" s="15">
        <v>0.790363441573298</v>
      </c>
      <c r="J352" s="15">
        <v>0.103532540406841</v>
      </c>
      <c r="K352" s="12">
        <f>AVERAGE(I352:I356)</f>
        <v>0.5214673232</v>
      </c>
      <c r="L352" s="18">
        <v>18591.0</v>
      </c>
      <c r="M352" s="14">
        <f>STDEV(L352:L356)</f>
        <v>30765.99312</v>
      </c>
      <c r="N352" s="15" t="b">
        <f t="shared" si="1"/>
        <v>0</v>
      </c>
    </row>
    <row r="353" hidden="1">
      <c r="A353" s="7" t="s">
        <v>77</v>
      </c>
      <c r="B353" s="7" t="s">
        <v>17</v>
      </c>
      <c r="C353" s="7">
        <v>0.25</v>
      </c>
      <c r="D353" s="7">
        <v>0.25</v>
      </c>
      <c r="E353" s="7">
        <v>1.0</v>
      </c>
      <c r="F353" s="7">
        <v>173.216601848602</v>
      </c>
      <c r="G353" s="7">
        <v>333.083049535751</v>
      </c>
      <c r="H353" s="7">
        <v>1.0</v>
      </c>
      <c r="I353" s="15">
        <v>0.827648656368314</v>
      </c>
      <c r="J353" s="15">
        <v>0.0991187654313706</v>
      </c>
      <c r="K353" s="12">
        <f>AVERAGE(I352:I356)</f>
        <v>0.5214673232</v>
      </c>
      <c r="L353" s="18">
        <v>7447.0</v>
      </c>
      <c r="M353" s="14">
        <f>STDEV(L352:L356)</f>
        <v>30765.99312</v>
      </c>
      <c r="N353" s="15" t="b">
        <f t="shared" si="1"/>
        <v>0</v>
      </c>
    </row>
    <row r="354" hidden="1">
      <c r="A354" s="7" t="s">
        <v>77</v>
      </c>
      <c r="B354" s="7" t="s">
        <v>17</v>
      </c>
      <c r="C354" s="7">
        <v>0.25</v>
      </c>
      <c r="D354" s="7">
        <v>0.25</v>
      </c>
      <c r="E354" s="7">
        <v>1.0</v>
      </c>
      <c r="F354" s="7">
        <v>173.216601848602</v>
      </c>
      <c r="G354" s="7">
        <v>333.083049535751</v>
      </c>
      <c r="H354" s="7">
        <v>2.0</v>
      </c>
      <c r="I354" s="15">
        <v>0.0587358896024441</v>
      </c>
      <c r="J354" s="15">
        <v>0.0469306513763555</v>
      </c>
      <c r="K354" s="12">
        <f>AVERAGE(I352:I356)</f>
        <v>0.5214673232</v>
      </c>
      <c r="L354" s="18">
        <v>78856.0</v>
      </c>
      <c r="M354" s="14">
        <f>STDEV(L352:L356)</f>
        <v>30765.99312</v>
      </c>
      <c r="N354" s="15" t="b">
        <f t="shared" si="1"/>
        <v>0</v>
      </c>
    </row>
    <row r="355" hidden="1">
      <c r="A355" s="7" t="s">
        <v>77</v>
      </c>
      <c r="B355" s="7" t="s">
        <v>17</v>
      </c>
      <c r="C355" s="7">
        <v>0.25</v>
      </c>
      <c r="D355" s="7">
        <v>0.25</v>
      </c>
      <c r="E355" s="7">
        <v>1.0</v>
      </c>
      <c r="F355" s="7">
        <v>173.216601848602</v>
      </c>
      <c r="G355" s="7">
        <v>333.083049535751</v>
      </c>
      <c r="H355" s="7">
        <v>3.0</v>
      </c>
      <c r="I355" s="15">
        <v>0.195429106674657</v>
      </c>
      <c r="J355" s="15">
        <v>0.223482694662889</v>
      </c>
      <c r="K355" s="12">
        <f>AVERAGE(I352:I356)</f>
        <v>0.5214673232</v>
      </c>
      <c r="L355" s="18">
        <v>34278.0</v>
      </c>
      <c r="M355" s="14">
        <f>STDEV(L352:L356)</f>
        <v>30765.99312</v>
      </c>
      <c r="N355" s="15" t="b">
        <f t="shared" si="1"/>
        <v>0</v>
      </c>
    </row>
    <row r="356" hidden="1">
      <c r="A356" s="7" t="s">
        <v>77</v>
      </c>
      <c r="B356" s="7" t="s">
        <v>17</v>
      </c>
      <c r="C356" s="7">
        <v>0.25</v>
      </c>
      <c r="D356" s="7">
        <v>0.25</v>
      </c>
      <c r="E356" s="7">
        <v>1.0</v>
      </c>
      <c r="F356" s="7">
        <v>173.216601848602</v>
      </c>
      <c r="G356" s="7">
        <v>333.083049535751</v>
      </c>
      <c r="H356" s="7">
        <v>4.0</v>
      </c>
      <c r="I356" s="15">
        <v>0.735159521645498</v>
      </c>
      <c r="J356" s="15">
        <v>0.191626550687256</v>
      </c>
      <c r="K356" s="12">
        <f>AVERAGE(I352:I356)</f>
        <v>0.5214673232</v>
      </c>
      <c r="L356" s="18">
        <v>2504.0</v>
      </c>
      <c r="M356" s="14">
        <f>STDEV(L352:L356)</f>
        <v>30765.99312</v>
      </c>
      <c r="N356" s="15" t="b">
        <f t="shared" si="1"/>
        <v>0</v>
      </c>
    </row>
    <row r="357" hidden="1">
      <c r="A357" s="7" t="s">
        <v>78</v>
      </c>
      <c r="B357" s="7" t="s">
        <v>17</v>
      </c>
      <c r="C357" s="7">
        <v>0.25</v>
      </c>
      <c r="D357" s="7">
        <v>0.25</v>
      </c>
      <c r="E357" s="7">
        <v>2.0</v>
      </c>
      <c r="F357" s="7">
        <v>479.313542842865</v>
      </c>
      <c r="G357" s="7">
        <v>594.215485572814</v>
      </c>
      <c r="H357" s="7">
        <v>0.0</v>
      </c>
      <c r="I357" s="15">
        <v>0.209580687892019</v>
      </c>
      <c r="J357" s="15">
        <v>0.0824519874151512</v>
      </c>
      <c r="K357" s="12">
        <f>AVERAGE(I357:I361)</f>
        <v>0.5130139039</v>
      </c>
      <c r="L357" s="18">
        <v>13571.0</v>
      </c>
      <c r="M357" s="14">
        <f>STDEV(L357:L361)</f>
        <v>35618.36193</v>
      </c>
      <c r="N357" s="15" t="b">
        <f t="shared" si="1"/>
        <v>0</v>
      </c>
    </row>
    <row r="358" hidden="1">
      <c r="A358" s="7" t="s">
        <v>78</v>
      </c>
      <c r="B358" s="7" t="s">
        <v>17</v>
      </c>
      <c r="C358" s="7">
        <v>0.25</v>
      </c>
      <c r="D358" s="7">
        <v>0.25</v>
      </c>
      <c r="E358" s="7">
        <v>2.0</v>
      </c>
      <c r="F358" s="7">
        <v>479.313542842865</v>
      </c>
      <c r="G358" s="7">
        <v>594.215485572814</v>
      </c>
      <c r="H358" s="7">
        <v>1.0</v>
      </c>
      <c r="I358" s="15">
        <v>0.764710749777351</v>
      </c>
      <c r="J358" s="15">
        <v>0.133433070534738</v>
      </c>
      <c r="K358" s="12">
        <f>AVERAGE(I357:I361)</f>
        <v>0.5130139039</v>
      </c>
      <c r="L358" s="18">
        <v>7823.0</v>
      </c>
      <c r="M358" s="14">
        <f>STDEV(L357:L361)</f>
        <v>35618.36193</v>
      </c>
      <c r="N358" s="15" t="b">
        <f t="shared" si="1"/>
        <v>0</v>
      </c>
    </row>
    <row r="359" hidden="1">
      <c r="A359" s="7" t="s">
        <v>78</v>
      </c>
      <c r="B359" s="7" t="s">
        <v>17</v>
      </c>
      <c r="C359" s="7">
        <v>0.25</v>
      </c>
      <c r="D359" s="7">
        <v>0.25</v>
      </c>
      <c r="E359" s="7">
        <v>2.0</v>
      </c>
      <c r="F359" s="7">
        <v>479.313542842865</v>
      </c>
      <c r="G359" s="7">
        <v>594.215485572814</v>
      </c>
      <c r="H359" s="7">
        <v>2.0</v>
      </c>
      <c r="I359" s="15">
        <v>0.752519592648521</v>
      </c>
      <c r="J359" s="15">
        <v>0.136044373259621</v>
      </c>
      <c r="K359" s="12">
        <f>AVERAGE(I357:I361)</f>
        <v>0.5130139039</v>
      </c>
      <c r="L359" s="18">
        <v>9980.0</v>
      </c>
      <c r="M359" s="14">
        <f>STDEV(L357:L361)</f>
        <v>35618.36193</v>
      </c>
      <c r="N359" s="15" t="b">
        <f t="shared" si="1"/>
        <v>0</v>
      </c>
    </row>
    <row r="360" hidden="1">
      <c r="A360" s="7" t="s">
        <v>78</v>
      </c>
      <c r="B360" s="7" t="s">
        <v>17</v>
      </c>
      <c r="C360" s="7">
        <v>0.25</v>
      </c>
      <c r="D360" s="7">
        <v>0.25</v>
      </c>
      <c r="E360" s="7">
        <v>2.0</v>
      </c>
      <c r="F360" s="7">
        <v>479.313542842865</v>
      </c>
      <c r="G360" s="7">
        <v>594.215485572814</v>
      </c>
      <c r="H360" s="7">
        <v>3.0</v>
      </c>
      <c r="I360" s="15">
        <v>0.789520768746848</v>
      </c>
      <c r="J360" s="15">
        <v>0.101051140452101</v>
      </c>
      <c r="K360" s="12">
        <f>AVERAGE(I357:I361)</f>
        <v>0.5130139039</v>
      </c>
      <c r="L360" s="18">
        <v>18676.0</v>
      </c>
      <c r="M360" s="14">
        <f>STDEV(L357:L361)</f>
        <v>35618.36193</v>
      </c>
      <c r="N360" s="15" t="b">
        <f t="shared" si="1"/>
        <v>0</v>
      </c>
    </row>
    <row r="361" hidden="1">
      <c r="A361" s="7" t="s">
        <v>78</v>
      </c>
      <c r="B361" s="7" t="s">
        <v>17</v>
      </c>
      <c r="C361" s="7">
        <v>0.25</v>
      </c>
      <c r="D361" s="7">
        <v>0.25</v>
      </c>
      <c r="E361" s="7">
        <v>2.0</v>
      </c>
      <c r="F361" s="7">
        <v>479.313542842865</v>
      </c>
      <c r="G361" s="7">
        <v>594.215485572814</v>
      </c>
      <c r="H361" s="7">
        <v>4.0</v>
      </c>
      <c r="I361" s="15">
        <v>0.0487377203019846</v>
      </c>
      <c r="J361" s="15">
        <v>0.13826618967846</v>
      </c>
      <c r="K361" s="12">
        <f>AVERAGE(I357:I361)</f>
        <v>0.5130139039</v>
      </c>
      <c r="L361" s="18">
        <v>91626.0</v>
      </c>
      <c r="M361" s="14">
        <f>STDEV(L357:L361)</f>
        <v>35618.36193</v>
      </c>
      <c r="N361" s="15" t="b">
        <f t="shared" si="1"/>
        <v>0</v>
      </c>
    </row>
    <row r="362" hidden="1">
      <c r="A362" s="7" t="s">
        <v>79</v>
      </c>
      <c r="B362" s="7" t="s">
        <v>17</v>
      </c>
      <c r="C362" s="7">
        <v>0.25</v>
      </c>
      <c r="D362" s="7">
        <v>0.25</v>
      </c>
      <c r="E362" s="7">
        <v>3.0</v>
      </c>
      <c r="F362" s="7">
        <v>274.653385877609</v>
      </c>
      <c r="G362" s="7">
        <v>391.780745029449</v>
      </c>
      <c r="H362" s="7">
        <v>0.0</v>
      </c>
      <c r="I362" s="15">
        <v>0.421987826478288</v>
      </c>
      <c r="J362" s="15">
        <v>0.0832266759725395</v>
      </c>
      <c r="K362" s="12">
        <f>AVERAGE(I362:I366)</f>
        <v>0.4644406908</v>
      </c>
      <c r="L362" s="18">
        <v>24501.0</v>
      </c>
      <c r="M362" s="14">
        <f>STDEV(L362:L366)</f>
        <v>35467.96087</v>
      </c>
      <c r="N362" s="15" t="b">
        <f t="shared" si="1"/>
        <v>0</v>
      </c>
    </row>
    <row r="363" hidden="1">
      <c r="A363" s="7" t="s">
        <v>79</v>
      </c>
      <c r="B363" s="7" t="s">
        <v>17</v>
      </c>
      <c r="C363" s="7">
        <v>0.25</v>
      </c>
      <c r="D363" s="7">
        <v>0.25</v>
      </c>
      <c r="E363" s="7">
        <v>3.0</v>
      </c>
      <c r="F363" s="7">
        <v>274.653385877609</v>
      </c>
      <c r="G363" s="7">
        <v>391.780745029449</v>
      </c>
      <c r="H363" s="7">
        <v>1.0</v>
      </c>
      <c r="I363" s="15">
        <v>0.250845524558255</v>
      </c>
      <c r="J363" s="15">
        <v>0.144801960969523</v>
      </c>
      <c r="K363" s="12">
        <f>AVERAGE(I362:I366)</f>
        <v>0.4644406908</v>
      </c>
      <c r="L363" s="18">
        <v>4903.0</v>
      </c>
      <c r="M363" s="14">
        <f>STDEV(L362:L366)</f>
        <v>35467.96087</v>
      </c>
      <c r="N363" s="15" t="b">
        <f t="shared" si="1"/>
        <v>0</v>
      </c>
    </row>
    <row r="364" hidden="1">
      <c r="A364" s="7" t="s">
        <v>79</v>
      </c>
      <c r="B364" s="7" t="s">
        <v>17</v>
      </c>
      <c r="C364" s="7">
        <v>0.25</v>
      </c>
      <c r="D364" s="7">
        <v>0.25</v>
      </c>
      <c r="E364" s="7">
        <v>3.0</v>
      </c>
      <c r="F364" s="7">
        <v>274.653385877609</v>
      </c>
      <c r="G364" s="7">
        <v>391.780745029449</v>
      </c>
      <c r="H364" s="7">
        <v>2.0</v>
      </c>
      <c r="I364" s="15">
        <v>0.810240831468526</v>
      </c>
      <c r="J364" s="15">
        <v>0.0729671878351099</v>
      </c>
      <c r="K364" s="12">
        <f>AVERAGE(I362:I366)</f>
        <v>0.4644406908</v>
      </c>
      <c r="L364" s="18">
        <v>18324.0</v>
      </c>
      <c r="M364" s="14">
        <f>STDEV(L362:L366)</f>
        <v>35467.96087</v>
      </c>
      <c r="N364" s="15" t="b">
        <f t="shared" si="1"/>
        <v>0</v>
      </c>
    </row>
    <row r="365" hidden="1">
      <c r="A365" s="7" t="s">
        <v>79</v>
      </c>
      <c r="B365" s="7" t="s">
        <v>17</v>
      </c>
      <c r="C365" s="7">
        <v>0.25</v>
      </c>
      <c r="D365" s="7">
        <v>0.25</v>
      </c>
      <c r="E365" s="7">
        <v>3.0</v>
      </c>
      <c r="F365" s="7">
        <v>274.653385877609</v>
      </c>
      <c r="G365" s="7">
        <v>391.780745029449</v>
      </c>
      <c r="H365" s="7">
        <v>3.0</v>
      </c>
      <c r="I365" s="15">
        <v>0.0292878296614721</v>
      </c>
      <c r="J365" s="15">
        <v>0.0901396895901125</v>
      </c>
      <c r="K365" s="12">
        <f>AVERAGE(I362:I366)</f>
        <v>0.4644406908</v>
      </c>
      <c r="L365" s="18">
        <v>89829.0</v>
      </c>
      <c r="M365" s="14">
        <f>STDEV(L362:L366)</f>
        <v>35467.96087</v>
      </c>
      <c r="N365" s="15" t="b">
        <f t="shared" si="1"/>
        <v>0</v>
      </c>
    </row>
    <row r="366" hidden="1">
      <c r="A366" s="7" t="s">
        <v>79</v>
      </c>
      <c r="B366" s="7" t="s">
        <v>17</v>
      </c>
      <c r="C366" s="7">
        <v>0.25</v>
      </c>
      <c r="D366" s="7">
        <v>0.25</v>
      </c>
      <c r="E366" s="7">
        <v>3.0</v>
      </c>
      <c r="F366" s="7">
        <v>274.653385877609</v>
      </c>
      <c r="G366" s="7">
        <v>391.780745029449</v>
      </c>
      <c r="H366" s="7">
        <v>4.0</v>
      </c>
      <c r="I366" s="15">
        <v>0.809841441640747</v>
      </c>
      <c r="J366" s="15">
        <v>0.0827529939462247</v>
      </c>
      <c r="K366" s="12">
        <f>AVERAGE(I362:I366)</f>
        <v>0.4644406908</v>
      </c>
      <c r="L366" s="18">
        <v>4119.0</v>
      </c>
      <c r="M366" s="14">
        <f>STDEV(L362:L366)</f>
        <v>35467.96087</v>
      </c>
      <c r="N366" s="15" t="b">
        <f t="shared" si="1"/>
        <v>0</v>
      </c>
    </row>
    <row r="367" hidden="1">
      <c r="A367" s="7" t="s">
        <v>80</v>
      </c>
      <c r="B367" s="7" t="s">
        <v>17</v>
      </c>
      <c r="C367" s="7">
        <v>0.25</v>
      </c>
      <c r="D367" s="7">
        <v>0.25</v>
      </c>
      <c r="E367" s="7">
        <v>4.0</v>
      </c>
      <c r="F367" s="7">
        <v>468.222062587738</v>
      </c>
      <c r="G367" s="7">
        <v>580.150256156921</v>
      </c>
      <c r="H367" s="7">
        <v>0.0</v>
      </c>
      <c r="I367" s="15">
        <v>0.781841215517474</v>
      </c>
      <c r="J367" s="15">
        <v>0.129778035446602</v>
      </c>
      <c r="K367" s="12">
        <f>AVERAGE(I367:I371)</f>
        <v>0.4950795087</v>
      </c>
      <c r="L367" s="18">
        <v>13258.0</v>
      </c>
      <c r="M367" s="14">
        <f>STDEV(L367:L371)</f>
        <v>29985.72356</v>
      </c>
      <c r="N367" s="15" t="b">
        <f t="shared" si="1"/>
        <v>0</v>
      </c>
    </row>
    <row r="368" hidden="1">
      <c r="A368" s="7" t="s">
        <v>80</v>
      </c>
      <c r="B368" s="7" t="s">
        <v>17</v>
      </c>
      <c r="C368" s="7">
        <v>0.25</v>
      </c>
      <c r="D368" s="7">
        <v>0.25</v>
      </c>
      <c r="E368" s="7">
        <v>4.0</v>
      </c>
      <c r="F368" s="7">
        <v>468.222062587738</v>
      </c>
      <c r="G368" s="7">
        <v>580.150256156921</v>
      </c>
      <c r="H368" s="7">
        <v>1.0</v>
      </c>
      <c r="I368" s="15">
        <v>0.449192009184249</v>
      </c>
      <c r="J368" s="15">
        <v>0.16680941287835</v>
      </c>
      <c r="K368" s="12">
        <f>AVERAGE(I367:I371)</f>
        <v>0.4950795087</v>
      </c>
      <c r="L368" s="18">
        <v>14376.0</v>
      </c>
      <c r="M368" s="14">
        <f>STDEV(L367:L371)</f>
        <v>29985.72356</v>
      </c>
      <c r="N368" s="15" t="b">
        <f t="shared" si="1"/>
        <v>0</v>
      </c>
    </row>
    <row r="369" hidden="1">
      <c r="A369" s="7" t="s">
        <v>80</v>
      </c>
      <c r="B369" s="7" t="s">
        <v>17</v>
      </c>
      <c r="C369" s="7">
        <v>0.25</v>
      </c>
      <c r="D369" s="7">
        <v>0.25</v>
      </c>
      <c r="E369" s="7">
        <v>4.0</v>
      </c>
      <c r="F369" s="7">
        <v>468.222062587738</v>
      </c>
      <c r="G369" s="7">
        <v>580.150256156921</v>
      </c>
      <c r="H369" s="7">
        <v>2.0</v>
      </c>
      <c r="I369" s="15">
        <v>0.459214550993435</v>
      </c>
      <c r="J369" s="15">
        <v>0.14654465202432</v>
      </c>
      <c r="K369" s="12">
        <f>AVERAGE(I367:I371)</f>
        <v>0.4950795087</v>
      </c>
      <c r="L369" s="18">
        <v>25490.0</v>
      </c>
      <c r="M369" s="14">
        <f>STDEV(L367:L371)</f>
        <v>29985.72356</v>
      </c>
      <c r="N369" s="15" t="b">
        <f t="shared" si="1"/>
        <v>0</v>
      </c>
    </row>
    <row r="370" hidden="1">
      <c r="A370" s="7" t="s">
        <v>80</v>
      </c>
      <c r="B370" s="7" t="s">
        <v>17</v>
      </c>
      <c r="C370" s="7">
        <v>0.25</v>
      </c>
      <c r="D370" s="7">
        <v>0.25</v>
      </c>
      <c r="E370" s="7">
        <v>4.0</v>
      </c>
      <c r="F370" s="7">
        <v>468.222062587738</v>
      </c>
      <c r="G370" s="7">
        <v>580.150256156921</v>
      </c>
      <c r="H370" s="7">
        <v>3.0</v>
      </c>
      <c r="I370" s="15">
        <v>0.764506090091369</v>
      </c>
      <c r="J370" s="15">
        <v>0.134476712481975</v>
      </c>
      <c r="K370" s="12">
        <f>AVERAGE(I367:I371)</f>
        <v>0.4950795087</v>
      </c>
      <c r="L370" s="18">
        <v>7820.0</v>
      </c>
      <c r="M370" s="14">
        <f>STDEV(L367:L371)</f>
        <v>29985.72356</v>
      </c>
      <c r="N370" s="15" t="b">
        <f t="shared" si="1"/>
        <v>0</v>
      </c>
    </row>
    <row r="371" hidden="1">
      <c r="A371" s="7" t="s">
        <v>80</v>
      </c>
      <c r="B371" s="7" t="s">
        <v>17</v>
      </c>
      <c r="C371" s="7">
        <v>0.25</v>
      </c>
      <c r="D371" s="7">
        <v>0.25</v>
      </c>
      <c r="E371" s="7">
        <v>4.0</v>
      </c>
      <c r="F371" s="7">
        <v>468.222062587738</v>
      </c>
      <c r="G371" s="7">
        <v>580.150256156921</v>
      </c>
      <c r="H371" s="7">
        <v>4.0</v>
      </c>
      <c r="I371" s="15">
        <v>0.020643677563192</v>
      </c>
      <c r="J371" s="15">
        <v>0.149524605863544</v>
      </c>
      <c r="K371" s="12">
        <f>AVERAGE(I367:I371)</f>
        <v>0.4950795087</v>
      </c>
      <c r="L371" s="18">
        <v>80732.0</v>
      </c>
      <c r="M371" s="14">
        <f>STDEV(L367:L371)</f>
        <v>29985.72356</v>
      </c>
      <c r="N371" s="15" t="b">
        <f t="shared" si="1"/>
        <v>0</v>
      </c>
    </row>
    <row r="372" hidden="1">
      <c r="A372" s="7" t="s">
        <v>81</v>
      </c>
      <c r="B372" s="7" t="s">
        <v>17</v>
      </c>
      <c r="C372" s="7">
        <v>0.25</v>
      </c>
      <c r="D372" s="7">
        <v>0.25</v>
      </c>
      <c r="E372" s="7">
        <v>5.0</v>
      </c>
      <c r="F372" s="7">
        <v>410.083574295044</v>
      </c>
      <c r="G372" s="7">
        <v>535.66376709938</v>
      </c>
      <c r="H372" s="7">
        <v>0.0</v>
      </c>
      <c r="I372" s="15">
        <v>0.79020183712835</v>
      </c>
      <c r="J372" s="15">
        <v>0.101439848490296</v>
      </c>
      <c r="K372" s="12">
        <f>AVERAGE(I372:I376)</f>
        <v>0.5402564475</v>
      </c>
      <c r="L372" s="18">
        <v>18685.0</v>
      </c>
      <c r="M372" s="14">
        <f>STDEV(L372:L376)</f>
        <v>32553.32708</v>
      </c>
      <c r="N372" s="15" t="b">
        <f t="shared" si="1"/>
        <v>0</v>
      </c>
    </row>
    <row r="373" hidden="1">
      <c r="A373" s="7" t="s">
        <v>81</v>
      </c>
      <c r="B373" s="7" t="s">
        <v>17</v>
      </c>
      <c r="C373" s="7">
        <v>0.25</v>
      </c>
      <c r="D373" s="7">
        <v>0.25</v>
      </c>
      <c r="E373" s="7">
        <v>5.0</v>
      </c>
      <c r="F373" s="7">
        <v>410.083574295044</v>
      </c>
      <c r="G373" s="7">
        <v>535.66376709938</v>
      </c>
      <c r="H373" s="7">
        <v>1.0</v>
      </c>
      <c r="I373" s="15">
        <v>0.0655999093675612</v>
      </c>
      <c r="J373" s="15">
        <v>0.0972091000807341</v>
      </c>
      <c r="K373" s="12">
        <f>AVERAGE(I372:I376)</f>
        <v>0.5402564475</v>
      </c>
      <c r="L373" s="18">
        <v>85372.0</v>
      </c>
      <c r="M373" s="14">
        <f>STDEV(L372:L376)</f>
        <v>32553.32708</v>
      </c>
      <c r="N373" s="15" t="b">
        <f t="shared" si="1"/>
        <v>0</v>
      </c>
    </row>
    <row r="374" hidden="1">
      <c r="A374" s="7" t="s">
        <v>81</v>
      </c>
      <c r="B374" s="7" t="s">
        <v>17</v>
      </c>
      <c r="C374" s="7">
        <v>0.25</v>
      </c>
      <c r="D374" s="7">
        <v>0.25</v>
      </c>
      <c r="E374" s="7">
        <v>5.0</v>
      </c>
      <c r="F374" s="7">
        <v>410.083574295044</v>
      </c>
      <c r="G374" s="7">
        <v>535.66376709938</v>
      </c>
      <c r="H374" s="7">
        <v>2.0</v>
      </c>
      <c r="I374" s="15">
        <v>0.762133809344908</v>
      </c>
      <c r="J374" s="15">
        <v>0.137418701984813</v>
      </c>
      <c r="K374" s="12">
        <f>AVERAGE(I372:I376)</f>
        <v>0.5402564475</v>
      </c>
      <c r="L374" s="18">
        <v>7835.0</v>
      </c>
      <c r="M374" s="14">
        <f>STDEV(L372:L376)</f>
        <v>32553.32708</v>
      </c>
      <c r="N374" s="15" t="b">
        <f t="shared" si="1"/>
        <v>0</v>
      </c>
    </row>
    <row r="375" hidden="1">
      <c r="A375" s="7" t="s">
        <v>81</v>
      </c>
      <c r="B375" s="7" t="s">
        <v>17</v>
      </c>
      <c r="C375" s="7">
        <v>0.25</v>
      </c>
      <c r="D375" s="7">
        <v>0.25</v>
      </c>
      <c r="E375" s="7">
        <v>5.0</v>
      </c>
      <c r="F375" s="7">
        <v>410.083574295044</v>
      </c>
      <c r="G375" s="7">
        <v>535.66376709938</v>
      </c>
      <c r="H375" s="7">
        <v>3.0</v>
      </c>
      <c r="I375" s="15">
        <v>0.284062015333112</v>
      </c>
      <c r="J375" s="15">
        <v>0.100578589189915</v>
      </c>
      <c r="K375" s="12">
        <f>AVERAGE(I372:I376)</f>
        <v>0.5402564475</v>
      </c>
      <c r="L375" s="18">
        <v>22337.0</v>
      </c>
      <c r="M375" s="14">
        <f>STDEV(L372:L376)</f>
        <v>32553.32708</v>
      </c>
      <c r="N375" s="15" t="b">
        <f t="shared" si="1"/>
        <v>0</v>
      </c>
    </row>
    <row r="376" hidden="1">
      <c r="A376" s="7" t="s">
        <v>81</v>
      </c>
      <c r="B376" s="7" t="s">
        <v>17</v>
      </c>
      <c r="C376" s="7">
        <v>0.25</v>
      </c>
      <c r="D376" s="7">
        <v>0.25</v>
      </c>
      <c r="E376" s="7">
        <v>5.0</v>
      </c>
      <c r="F376" s="7">
        <v>410.083574295044</v>
      </c>
      <c r="G376" s="7">
        <v>535.66376709938</v>
      </c>
      <c r="H376" s="7">
        <v>4.0</v>
      </c>
      <c r="I376" s="15">
        <v>0.799284666181037</v>
      </c>
      <c r="J376" s="15">
        <v>0.118516209917362</v>
      </c>
      <c r="K376" s="12">
        <f>AVERAGE(I372:I376)</f>
        <v>0.5402564475</v>
      </c>
      <c r="L376" s="18">
        <v>7447.0</v>
      </c>
      <c r="M376" s="14">
        <f>STDEV(L372:L376)</f>
        <v>32553.32708</v>
      </c>
      <c r="N376" s="15" t="b">
        <f t="shared" si="1"/>
        <v>0</v>
      </c>
    </row>
    <row r="377" hidden="1">
      <c r="A377" s="7" t="s">
        <v>82</v>
      </c>
      <c r="B377" s="7" t="s">
        <v>17</v>
      </c>
      <c r="C377" s="7">
        <v>0.25</v>
      </c>
      <c r="D377" s="7">
        <v>0.25</v>
      </c>
      <c r="E377" s="7">
        <v>6.0</v>
      </c>
      <c r="F377" s="7">
        <v>178.338772058486</v>
      </c>
      <c r="G377" s="7">
        <v>335.465470075607</v>
      </c>
      <c r="H377" s="7">
        <v>0.0</v>
      </c>
      <c r="I377" s="15">
        <v>0.775060547950909</v>
      </c>
      <c r="J377" s="15">
        <v>0.135103052875082</v>
      </c>
      <c r="K377" s="12">
        <f>AVERAGE(I377:I381)</f>
        <v>0.530228528</v>
      </c>
      <c r="L377" s="18">
        <v>2292.0</v>
      </c>
      <c r="M377" s="14">
        <f>STDEV(L377:L381)</f>
        <v>31700.24074</v>
      </c>
      <c r="N377" s="15" t="b">
        <f t="shared" si="1"/>
        <v>0</v>
      </c>
    </row>
    <row r="378" hidden="1">
      <c r="A378" s="7" t="s">
        <v>82</v>
      </c>
      <c r="B378" s="7" t="s">
        <v>17</v>
      </c>
      <c r="C378" s="7">
        <v>0.25</v>
      </c>
      <c r="D378" s="7">
        <v>0.25</v>
      </c>
      <c r="E378" s="7">
        <v>6.0</v>
      </c>
      <c r="F378" s="7">
        <v>178.338772058486</v>
      </c>
      <c r="G378" s="7">
        <v>335.465470075607</v>
      </c>
      <c r="H378" s="7">
        <v>1.0</v>
      </c>
      <c r="I378" s="15">
        <v>0.0472843610612198</v>
      </c>
      <c r="J378" s="15">
        <v>0.0463796942287973</v>
      </c>
      <c r="K378" s="12">
        <f>AVERAGE(I377:I381)</f>
        <v>0.530228528</v>
      </c>
      <c r="L378" s="18">
        <v>81414.0</v>
      </c>
      <c r="M378" s="14">
        <f>STDEV(L377:L381)</f>
        <v>31700.24074</v>
      </c>
      <c r="N378" s="15" t="b">
        <f t="shared" si="1"/>
        <v>0</v>
      </c>
    </row>
    <row r="379" hidden="1">
      <c r="A379" s="7" t="s">
        <v>82</v>
      </c>
      <c r="B379" s="7" t="s">
        <v>17</v>
      </c>
      <c r="C379" s="7">
        <v>0.25</v>
      </c>
      <c r="D379" s="7">
        <v>0.25</v>
      </c>
      <c r="E379" s="7">
        <v>6.0</v>
      </c>
      <c r="F379" s="7">
        <v>178.338772058486</v>
      </c>
      <c r="G379" s="7">
        <v>335.465470075607</v>
      </c>
      <c r="H379" s="7">
        <v>2.0</v>
      </c>
      <c r="I379" s="15">
        <v>0.274670778390406</v>
      </c>
      <c r="J379" s="15">
        <v>0.304567085345607</v>
      </c>
      <c r="K379" s="12">
        <f>AVERAGE(I377:I381)</f>
        <v>0.530228528</v>
      </c>
      <c r="L379" s="18">
        <v>31482.0</v>
      </c>
      <c r="M379" s="14">
        <f>STDEV(L377:L381)</f>
        <v>31700.24074</v>
      </c>
      <c r="N379" s="15" t="b">
        <f t="shared" si="1"/>
        <v>0</v>
      </c>
    </row>
    <row r="380" hidden="1">
      <c r="A380" s="7" t="s">
        <v>82</v>
      </c>
      <c r="B380" s="7" t="s">
        <v>17</v>
      </c>
      <c r="C380" s="7">
        <v>0.25</v>
      </c>
      <c r="D380" s="7">
        <v>0.25</v>
      </c>
      <c r="E380" s="7">
        <v>6.0</v>
      </c>
      <c r="F380" s="7">
        <v>178.338772058486</v>
      </c>
      <c r="G380" s="7">
        <v>335.465470075607</v>
      </c>
      <c r="H380" s="7">
        <v>3.0</v>
      </c>
      <c r="I380" s="15">
        <v>0.764168145537365</v>
      </c>
      <c r="J380" s="15">
        <v>0.133231442427216</v>
      </c>
      <c r="K380" s="12">
        <f>AVERAGE(I377:I381)</f>
        <v>0.530228528</v>
      </c>
      <c r="L380" s="18">
        <v>7830.0</v>
      </c>
      <c r="M380" s="14">
        <f>STDEV(L377:L381)</f>
        <v>31700.24074</v>
      </c>
      <c r="N380" s="15" t="b">
        <f t="shared" si="1"/>
        <v>0</v>
      </c>
    </row>
    <row r="381" hidden="1">
      <c r="A381" s="7" t="s">
        <v>82</v>
      </c>
      <c r="B381" s="7" t="s">
        <v>17</v>
      </c>
      <c r="C381" s="7">
        <v>0.25</v>
      </c>
      <c r="D381" s="7">
        <v>0.25</v>
      </c>
      <c r="E381" s="7">
        <v>6.0</v>
      </c>
      <c r="F381" s="7">
        <v>178.338772058486</v>
      </c>
      <c r="G381" s="7">
        <v>335.465470075607</v>
      </c>
      <c r="H381" s="7">
        <v>4.0</v>
      </c>
      <c r="I381" s="15">
        <v>0.789958807092976</v>
      </c>
      <c r="J381" s="15">
        <v>0.101138655166439</v>
      </c>
      <c r="K381" s="12">
        <f>AVERAGE(I377:I381)</f>
        <v>0.530228528</v>
      </c>
      <c r="L381" s="18">
        <v>18658.0</v>
      </c>
      <c r="M381" s="14">
        <f>STDEV(L377:L381)</f>
        <v>31700.24074</v>
      </c>
      <c r="N381" s="15" t="b">
        <f t="shared" si="1"/>
        <v>0</v>
      </c>
    </row>
    <row r="382" hidden="1">
      <c r="A382" s="7" t="s">
        <v>83</v>
      </c>
      <c r="B382" s="7" t="s">
        <v>17</v>
      </c>
      <c r="C382" s="7">
        <v>0.25</v>
      </c>
      <c r="D382" s="7">
        <v>0.25</v>
      </c>
      <c r="E382" s="7">
        <v>7.0</v>
      </c>
      <c r="F382" s="7">
        <v>248.803152322769</v>
      </c>
      <c r="G382" s="7">
        <v>399.610056877136</v>
      </c>
      <c r="H382" s="7">
        <v>0.0</v>
      </c>
      <c r="I382" s="15">
        <v>0.20039739935342</v>
      </c>
      <c r="J382" s="15">
        <v>0.101033203634971</v>
      </c>
      <c r="K382" s="12">
        <f>AVERAGE(I382:I386)</f>
        <v>0.5262096205</v>
      </c>
      <c r="L382" s="18">
        <v>46603.0</v>
      </c>
      <c r="M382" s="14">
        <f>STDEV(L382:L386)</f>
        <v>36794.01144</v>
      </c>
      <c r="N382" s="15" t="b">
        <f t="shared" si="1"/>
        <v>0</v>
      </c>
    </row>
    <row r="383" hidden="1">
      <c r="A383" s="7" t="s">
        <v>83</v>
      </c>
      <c r="B383" s="7" t="s">
        <v>17</v>
      </c>
      <c r="C383" s="7">
        <v>0.25</v>
      </c>
      <c r="D383" s="7">
        <v>0.25</v>
      </c>
      <c r="E383" s="7">
        <v>7.0</v>
      </c>
      <c r="F383" s="7">
        <v>248.803152322769</v>
      </c>
      <c r="G383" s="7">
        <v>399.610056877136</v>
      </c>
      <c r="H383" s="7">
        <v>1.0</v>
      </c>
      <c r="I383" s="15">
        <v>0.813052507676884</v>
      </c>
      <c r="J383" s="15">
        <v>0.123208793859206</v>
      </c>
      <c r="K383" s="12">
        <f>AVERAGE(I382:I386)</f>
        <v>0.5262096205</v>
      </c>
      <c r="L383" s="18">
        <v>1027.0</v>
      </c>
      <c r="M383" s="14">
        <f>STDEV(L382:L386)</f>
        <v>36794.01144</v>
      </c>
      <c r="N383" s="15" t="b">
        <f t="shared" si="1"/>
        <v>0</v>
      </c>
    </row>
    <row r="384" hidden="1">
      <c r="A384" s="7" t="s">
        <v>83</v>
      </c>
      <c r="B384" s="7" t="s">
        <v>17</v>
      </c>
      <c r="C384" s="7">
        <v>0.25</v>
      </c>
      <c r="D384" s="7">
        <v>0.25</v>
      </c>
      <c r="E384" s="7">
        <v>7.0</v>
      </c>
      <c r="F384" s="7">
        <v>248.803152322769</v>
      </c>
      <c r="G384" s="7">
        <v>399.610056877136</v>
      </c>
      <c r="H384" s="7">
        <v>2.0</v>
      </c>
      <c r="I384" s="15">
        <v>0.0834289738603551</v>
      </c>
      <c r="J384" s="15">
        <v>0.0794690764705294</v>
      </c>
      <c r="K384" s="12">
        <f>AVERAGE(I382:I386)</f>
        <v>0.5262096205</v>
      </c>
      <c r="L384" s="18">
        <v>84840.0</v>
      </c>
      <c r="M384" s="14">
        <f>STDEV(L382:L386)</f>
        <v>36794.01144</v>
      </c>
      <c r="N384" s="15" t="b">
        <f t="shared" si="1"/>
        <v>0</v>
      </c>
    </row>
    <row r="385" hidden="1">
      <c r="A385" s="7" t="s">
        <v>83</v>
      </c>
      <c r="B385" s="7" t="s">
        <v>17</v>
      </c>
      <c r="C385" s="7">
        <v>0.25</v>
      </c>
      <c r="D385" s="7">
        <v>0.25</v>
      </c>
      <c r="E385" s="7">
        <v>7.0</v>
      </c>
      <c r="F385" s="7">
        <v>248.803152322769</v>
      </c>
      <c r="G385" s="7">
        <v>399.610056877136</v>
      </c>
      <c r="H385" s="7">
        <v>3.0</v>
      </c>
      <c r="I385" s="15">
        <v>0.799259639009833</v>
      </c>
      <c r="J385" s="15">
        <v>0.118442458064182</v>
      </c>
      <c r="K385" s="12">
        <f>AVERAGE(I382:I386)</f>
        <v>0.5262096205</v>
      </c>
      <c r="L385" s="18">
        <v>7477.0</v>
      </c>
      <c r="M385" s="14">
        <f>STDEV(L382:L386)</f>
        <v>36794.01144</v>
      </c>
      <c r="N385" s="15" t="b">
        <f t="shared" si="1"/>
        <v>0</v>
      </c>
    </row>
    <row r="386" hidden="1">
      <c r="A386" s="7" t="s">
        <v>83</v>
      </c>
      <c r="B386" s="7" t="s">
        <v>17</v>
      </c>
      <c r="C386" s="7">
        <v>0.25</v>
      </c>
      <c r="D386" s="7">
        <v>0.25</v>
      </c>
      <c r="E386" s="7">
        <v>7.0</v>
      </c>
      <c r="F386" s="7">
        <v>248.803152322769</v>
      </c>
      <c r="G386" s="7">
        <v>399.610056877136</v>
      </c>
      <c r="H386" s="7">
        <v>4.0</v>
      </c>
      <c r="I386" s="15">
        <v>0.734909582669937</v>
      </c>
      <c r="J386" s="15">
        <v>0.156029234504619</v>
      </c>
      <c r="K386" s="12">
        <f>AVERAGE(I382:I386)</f>
        <v>0.5262096205</v>
      </c>
      <c r="L386" s="18">
        <v>1729.0</v>
      </c>
      <c r="M386" s="14">
        <f>STDEV(L382:L386)</f>
        <v>36794.01144</v>
      </c>
      <c r="N386" s="15" t="b">
        <f t="shared" si="1"/>
        <v>0</v>
      </c>
    </row>
    <row r="387" hidden="1">
      <c r="A387" s="7" t="s">
        <v>84</v>
      </c>
      <c r="B387" s="7" t="s">
        <v>17</v>
      </c>
      <c r="C387" s="7">
        <v>0.25</v>
      </c>
      <c r="D387" s="7">
        <v>0.25</v>
      </c>
      <c r="E387" s="7">
        <v>8.0</v>
      </c>
      <c r="F387" s="7">
        <v>321.515417337417</v>
      </c>
      <c r="G387" s="7">
        <v>478.815776348114</v>
      </c>
      <c r="H387" s="7">
        <v>0.0</v>
      </c>
      <c r="I387" s="15">
        <v>0.789879915086838</v>
      </c>
      <c r="J387" s="15">
        <v>0.100021257566588</v>
      </c>
      <c r="K387" s="12">
        <f>AVERAGE(I387:I391)</f>
        <v>0.5134516685</v>
      </c>
      <c r="L387" s="18">
        <v>18663.0</v>
      </c>
      <c r="M387" s="14">
        <f>STDEV(L387:L391)</f>
        <v>24496.4474</v>
      </c>
      <c r="N387" s="15" t="b">
        <f t="shared" si="1"/>
        <v>0</v>
      </c>
    </row>
    <row r="388" hidden="1">
      <c r="A388" s="7" t="s">
        <v>84</v>
      </c>
      <c r="B388" s="7" t="s">
        <v>17</v>
      </c>
      <c r="C388" s="7">
        <v>0.25</v>
      </c>
      <c r="D388" s="7">
        <v>0.25</v>
      </c>
      <c r="E388" s="7">
        <v>8.0</v>
      </c>
      <c r="F388" s="7">
        <v>321.515417337417</v>
      </c>
      <c r="G388" s="7">
        <v>478.815776348114</v>
      </c>
      <c r="H388" s="7">
        <v>1.0</v>
      </c>
      <c r="I388" s="15">
        <v>0.748532506799895</v>
      </c>
      <c r="J388" s="15">
        <v>0.136463111856475</v>
      </c>
      <c r="K388" s="12">
        <f>AVERAGE(I387:I391)</f>
        <v>0.5134516685</v>
      </c>
      <c r="L388" s="18">
        <v>9959.0</v>
      </c>
      <c r="M388" s="14">
        <f>STDEV(L387:L391)</f>
        <v>24496.4474</v>
      </c>
      <c r="N388" s="15" t="b">
        <f t="shared" si="1"/>
        <v>0</v>
      </c>
    </row>
    <row r="389" hidden="1">
      <c r="A389" s="7" t="s">
        <v>84</v>
      </c>
      <c r="B389" s="7" t="s">
        <v>17</v>
      </c>
      <c r="C389" s="7">
        <v>0.25</v>
      </c>
      <c r="D389" s="7">
        <v>0.25</v>
      </c>
      <c r="E389" s="7">
        <v>8.0</v>
      </c>
      <c r="F389" s="7">
        <v>321.515417337417</v>
      </c>
      <c r="G389" s="7">
        <v>478.815776348114</v>
      </c>
      <c r="H389" s="7">
        <v>2.0</v>
      </c>
      <c r="I389" s="15">
        <v>0.811352489857087</v>
      </c>
      <c r="J389" s="15">
        <v>0.0758963424898896</v>
      </c>
      <c r="K389" s="12">
        <f>AVERAGE(I387:I391)</f>
        <v>0.5134516685</v>
      </c>
      <c r="L389" s="18">
        <v>4119.0</v>
      </c>
      <c r="M389" s="14">
        <f>STDEV(L387:L391)</f>
        <v>24496.4474</v>
      </c>
      <c r="N389" s="15" t="b">
        <f t="shared" si="1"/>
        <v>0</v>
      </c>
    </row>
    <row r="390" hidden="1">
      <c r="A390" s="7" t="s">
        <v>84</v>
      </c>
      <c r="B390" s="7" t="s">
        <v>17</v>
      </c>
      <c r="C390" s="7">
        <v>0.25</v>
      </c>
      <c r="D390" s="7">
        <v>0.25</v>
      </c>
      <c r="E390" s="7">
        <v>8.0</v>
      </c>
      <c r="F390" s="7">
        <v>321.515417337417</v>
      </c>
      <c r="G390" s="7">
        <v>478.815776348114</v>
      </c>
      <c r="H390" s="7">
        <v>3.0</v>
      </c>
      <c r="I390" s="15">
        <v>0.173311633330862</v>
      </c>
      <c r="J390" s="15">
        <v>0.210623848853047</v>
      </c>
      <c r="K390" s="12">
        <f>AVERAGE(I387:I391)</f>
        <v>0.5134516685</v>
      </c>
      <c r="L390" s="18">
        <v>51565.0</v>
      </c>
      <c r="M390" s="14">
        <f>STDEV(L387:L391)</f>
        <v>24496.4474</v>
      </c>
      <c r="N390" s="15" t="b">
        <f t="shared" si="1"/>
        <v>0</v>
      </c>
    </row>
    <row r="391" hidden="1">
      <c r="A391" s="7" t="s">
        <v>84</v>
      </c>
      <c r="B391" s="7" t="s">
        <v>17</v>
      </c>
      <c r="C391" s="7">
        <v>0.25</v>
      </c>
      <c r="D391" s="7">
        <v>0.25</v>
      </c>
      <c r="E391" s="7">
        <v>8.0</v>
      </c>
      <c r="F391" s="7">
        <v>321.515417337417</v>
      </c>
      <c r="G391" s="7">
        <v>478.815776348114</v>
      </c>
      <c r="H391" s="7">
        <v>4.0</v>
      </c>
      <c r="I391" s="15">
        <v>0.0441817971810064</v>
      </c>
      <c r="J391" s="15">
        <v>0.0317020879787045</v>
      </c>
      <c r="K391" s="12">
        <f>AVERAGE(I387:I391)</f>
        <v>0.5134516685</v>
      </c>
      <c r="L391" s="18">
        <v>57370.0</v>
      </c>
      <c r="M391" s="14">
        <f>STDEV(L387:L391)</f>
        <v>24496.4474</v>
      </c>
      <c r="N391" s="15" t="b">
        <f t="shared" si="1"/>
        <v>0</v>
      </c>
    </row>
    <row r="392" hidden="1">
      <c r="A392" s="7" t="s">
        <v>85</v>
      </c>
      <c r="B392" s="7" t="s">
        <v>17</v>
      </c>
      <c r="C392" s="7">
        <v>0.25</v>
      </c>
      <c r="D392" s="7">
        <v>0.25</v>
      </c>
      <c r="E392" s="7">
        <v>9.0</v>
      </c>
      <c r="F392" s="7">
        <v>198.106851816177</v>
      </c>
      <c r="G392" s="7">
        <v>332.780663251876</v>
      </c>
      <c r="H392" s="7">
        <v>0.0</v>
      </c>
      <c r="I392" s="15">
        <v>0.385241240926098</v>
      </c>
      <c r="J392" s="15">
        <v>0.0822556922999857</v>
      </c>
      <c r="K392" s="12">
        <f>AVERAGE(I392:I396)</f>
        <v>0.5572461358</v>
      </c>
      <c r="L392" s="18">
        <v>22011.0</v>
      </c>
      <c r="M392" s="14">
        <f>STDEV(L392:L396)</f>
        <v>39169.65942</v>
      </c>
      <c r="N392" s="15" t="b">
        <f t="shared" si="1"/>
        <v>0</v>
      </c>
    </row>
    <row r="393" hidden="1">
      <c r="A393" s="7" t="s">
        <v>85</v>
      </c>
      <c r="B393" s="7" t="s">
        <v>17</v>
      </c>
      <c r="C393" s="7">
        <v>0.25</v>
      </c>
      <c r="D393" s="7">
        <v>0.25</v>
      </c>
      <c r="E393" s="7">
        <v>9.0</v>
      </c>
      <c r="F393" s="7">
        <v>198.106851816177</v>
      </c>
      <c r="G393" s="7">
        <v>332.780663251876</v>
      </c>
      <c r="H393" s="7">
        <v>1.0</v>
      </c>
      <c r="I393" s="15">
        <v>0.811416357403505</v>
      </c>
      <c r="J393" s="15">
        <v>0.0758622324874326</v>
      </c>
      <c r="K393" s="12">
        <f>AVERAGE(I392:I396)</f>
        <v>0.5572461358</v>
      </c>
      <c r="L393" s="18">
        <v>4119.0</v>
      </c>
      <c r="M393" s="14">
        <f>STDEV(L392:L396)</f>
        <v>39169.65942</v>
      </c>
      <c r="N393" s="15" t="b">
        <f t="shared" si="1"/>
        <v>0</v>
      </c>
    </row>
    <row r="394" hidden="1">
      <c r="A394" s="7" t="s">
        <v>85</v>
      </c>
      <c r="B394" s="7" t="s">
        <v>17</v>
      </c>
      <c r="C394" s="7">
        <v>0.25</v>
      </c>
      <c r="D394" s="7">
        <v>0.25</v>
      </c>
      <c r="E394" s="7">
        <v>9.0</v>
      </c>
      <c r="F394" s="7">
        <v>198.106851816177</v>
      </c>
      <c r="G394" s="7">
        <v>332.780663251876</v>
      </c>
      <c r="H394" s="7">
        <v>2.0</v>
      </c>
      <c r="I394" s="15">
        <v>0.0170025731028359</v>
      </c>
      <c r="J394" s="15">
        <v>0.165109819003148</v>
      </c>
      <c r="K394" s="12">
        <f>AVERAGE(I392:I396)</f>
        <v>0.5572461358</v>
      </c>
      <c r="L394" s="18">
        <v>97194.0</v>
      </c>
      <c r="M394" s="14">
        <f>STDEV(L392:L396)</f>
        <v>39169.65942</v>
      </c>
      <c r="N394" s="15" t="b">
        <f t="shared" si="1"/>
        <v>0</v>
      </c>
    </row>
    <row r="395" hidden="1">
      <c r="A395" s="7" t="s">
        <v>85</v>
      </c>
      <c r="B395" s="7" t="s">
        <v>17</v>
      </c>
      <c r="C395" s="7">
        <v>0.25</v>
      </c>
      <c r="D395" s="7">
        <v>0.25</v>
      </c>
      <c r="E395" s="7">
        <v>9.0</v>
      </c>
      <c r="F395" s="7">
        <v>198.106851816177</v>
      </c>
      <c r="G395" s="7">
        <v>332.780663251876</v>
      </c>
      <c r="H395" s="7">
        <v>3.0</v>
      </c>
      <c r="I395" s="15">
        <v>0.794528331579761</v>
      </c>
      <c r="J395" s="15">
        <v>0.120818363415554</v>
      </c>
      <c r="K395" s="12">
        <f>AVERAGE(I392:I396)</f>
        <v>0.5572461358</v>
      </c>
      <c r="L395" s="18">
        <v>4996.0</v>
      </c>
      <c r="M395" s="14">
        <f>STDEV(L392:L396)</f>
        <v>39169.65942</v>
      </c>
      <c r="N395" s="15" t="b">
        <f t="shared" si="1"/>
        <v>0</v>
      </c>
    </row>
    <row r="396" hidden="1">
      <c r="A396" s="7" t="s">
        <v>85</v>
      </c>
      <c r="B396" s="7" t="s">
        <v>17</v>
      </c>
      <c r="C396" s="7">
        <v>0.25</v>
      </c>
      <c r="D396" s="7">
        <v>0.25</v>
      </c>
      <c r="E396" s="7">
        <v>9.0</v>
      </c>
      <c r="F396" s="7">
        <v>198.106851816177</v>
      </c>
      <c r="G396" s="7">
        <v>332.780663251876</v>
      </c>
      <c r="H396" s="7">
        <v>4.0</v>
      </c>
      <c r="I396" s="15">
        <v>0.77804217586821</v>
      </c>
      <c r="J396" s="15">
        <v>0.133206634164211</v>
      </c>
      <c r="K396" s="12">
        <f>AVERAGE(I392:I396)</f>
        <v>0.5572461358</v>
      </c>
      <c r="L396" s="18">
        <v>13356.0</v>
      </c>
      <c r="M396" s="14">
        <f>STDEV(L392:L396)</f>
        <v>39169.65942</v>
      </c>
      <c r="N396" s="15" t="b">
        <f t="shared" si="1"/>
        <v>0</v>
      </c>
    </row>
    <row r="397" hidden="1">
      <c r="A397" s="7" t="s">
        <v>86</v>
      </c>
      <c r="B397" s="7" t="s">
        <v>17</v>
      </c>
      <c r="C397" s="7">
        <v>0.25</v>
      </c>
      <c r="D397" s="7">
        <v>0.25</v>
      </c>
      <c r="E397" s="7">
        <v>10.0</v>
      </c>
      <c r="F397" s="7">
        <v>453.778771877288</v>
      </c>
      <c r="G397" s="7">
        <v>570.253054618835</v>
      </c>
      <c r="H397" s="7">
        <v>0.0</v>
      </c>
      <c r="I397" s="15">
        <v>-0.0084378616541101</v>
      </c>
      <c r="J397" s="15">
        <v>0.312844572271479</v>
      </c>
      <c r="K397" s="12">
        <f>AVERAGE(I397:I401)</f>
        <v>0.4069889438</v>
      </c>
      <c r="L397" s="18">
        <v>26493.0</v>
      </c>
      <c r="M397" s="14">
        <f>STDEV(L397:L401)</f>
        <v>20672.04716</v>
      </c>
      <c r="N397" s="15" t="b">
        <f t="shared" si="1"/>
        <v>0</v>
      </c>
    </row>
    <row r="398" hidden="1">
      <c r="A398" s="7" t="s">
        <v>86</v>
      </c>
      <c r="B398" s="7" t="s">
        <v>17</v>
      </c>
      <c r="C398" s="7">
        <v>0.25</v>
      </c>
      <c r="D398" s="7">
        <v>0.25</v>
      </c>
      <c r="E398" s="7">
        <v>10.0</v>
      </c>
      <c r="F398" s="7">
        <v>453.778771877288</v>
      </c>
      <c r="G398" s="7">
        <v>570.253054618835</v>
      </c>
      <c r="H398" s="7">
        <v>1.0</v>
      </c>
      <c r="I398" s="15">
        <v>0.0367676026903646</v>
      </c>
      <c r="J398" s="15">
        <v>0.0297132387753783</v>
      </c>
      <c r="K398" s="12">
        <f>AVERAGE(I397:I401)</f>
        <v>0.4069889438</v>
      </c>
      <c r="L398" s="18">
        <v>64174.0</v>
      </c>
      <c r="M398" s="14">
        <f>STDEV(L397:L401)</f>
        <v>20672.04716</v>
      </c>
      <c r="N398" s="15" t="b">
        <f t="shared" si="1"/>
        <v>0</v>
      </c>
    </row>
    <row r="399" hidden="1">
      <c r="A399" s="7" t="s">
        <v>86</v>
      </c>
      <c r="B399" s="7" t="s">
        <v>17</v>
      </c>
      <c r="C399" s="7">
        <v>0.25</v>
      </c>
      <c r="D399" s="7">
        <v>0.25</v>
      </c>
      <c r="E399" s="7">
        <v>10.0</v>
      </c>
      <c r="F399" s="7">
        <v>453.778771877288</v>
      </c>
      <c r="G399" s="7">
        <v>570.253054618835</v>
      </c>
      <c r="H399" s="7">
        <v>2.0</v>
      </c>
      <c r="I399" s="15">
        <v>0.77586220540178</v>
      </c>
      <c r="J399" s="15">
        <v>0.120518736425794</v>
      </c>
      <c r="K399" s="12">
        <f>AVERAGE(I397:I401)</f>
        <v>0.4069889438</v>
      </c>
      <c r="L399" s="18">
        <v>12170.0</v>
      </c>
      <c r="M399" s="14">
        <f>STDEV(L397:L401)</f>
        <v>20672.04716</v>
      </c>
      <c r="N399" s="15" t="b">
        <f t="shared" si="1"/>
        <v>0</v>
      </c>
    </row>
    <row r="400" hidden="1">
      <c r="A400" s="7" t="s">
        <v>86</v>
      </c>
      <c r="B400" s="7" t="s">
        <v>17</v>
      </c>
      <c r="C400" s="7">
        <v>0.25</v>
      </c>
      <c r="D400" s="7">
        <v>0.25</v>
      </c>
      <c r="E400" s="7">
        <v>10.0</v>
      </c>
      <c r="F400" s="7">
        <v>453.778771877288</v>
      </c>
      <c r="G400" s="7">
        <v>570.253054618835</v>
      </c>
      <c r="H400" s="7">
        <v>3.0</v>
      </c>
      <c r="I400" s="15">
        <v>0.789348510081051</v>
      </c>
      <c r="J400" s="15">
        <v>0.100488668683436</v>
      </c>
      <c r="K400" s="12">
        <f>AVERAGE(I397:I401)</f>
        <v>0.4069889438</v>
      </c>
      <c r="L400" s="18">
        <v>18636.0</v>
      </c>
      <c r="M400" s="14">
        <f>STDEV(L397:L401)</f>
        <v>20672.04716</v>
      </c>
      <c r="N400" s="15" t="b">
        <f t="shared" si="1"/>
        <v>0</v>
      </c>
    </row>
    <row r="401" hidden="1">
      <c r="A401" s="7" t="s">
        <v>86</v>
      </c>
      <c r="B401" s="7" t="s">
        <v>17</v>
      </c>
      <c r="C401" s="7">
        <v>0.25</v>
      </c>
      <c r="D401" s="7">
        <v>0.25</v>
      </c>
      <c r="E401" s="7">
        <v>10.0</v>
      </c>
      <c r="F401" s="7">
        <v>453.778771877288</v>
      </c>
      <c r="G401" s="7">
        <v>570.253054618835</v>
      </c>
      <c r="H401" s="7">
        <v>4.0</v>
      </c>
      <c r="I401" s="15">
        <v>0.441404262552103</v>
      </c>
      <c r="J401" s="15">
        <v>0.14274191026609</v>
      </c>
      <c r="K401" s="12">
        <f>AVERAGE(I397:I401)</f>
        <v>0.4069889438</v>
      </c>
      <c r="L401" s="18">
        <v>20203.0</v>
      </c>
      <c r="M401" s="14">
        <f>STDEV(L397:L401)</f>
        <v>20672.04716</v>
      </c>
      <c r="N401" s="15" t="b">
        <f t="shared" si="1"/>
        <v>0</v>
      </c>
    </row>
    <row r="402" hidden="1">
      <c r="A402" s="7" t="s">
        <v>87</v>
      </c>
      <c r="B402" s="7" t="s">
        <v>17</v>
      </c>
      <c r="C402" s="7">
        <v>0.25</v>
      </c>
      <c r="D402" s="7">
        <v>0.5</v>
      </c>
      <c r="E402" s="7">
        <v>1.0</v>
      </c>
      <c r="F402" s="7">
        <v>239.084723949432</v>
      </c>
      <c r="G402" s="7">
        <v>371.052771806716</v>
      </c>
      <c r="H402" s="7">
        <v>0.0</v>
      </c>
      <c r="I402" s="15">
        <v>0.871597482664574</v>
      </c>
      <c r="J402" s="15">
        <v>0.102087456610759</v>
      </c>
      <c r="K402" s="12">
        <f>AVERAGE(I402:I406)</f>
        <v>0.631690173</v>
      </c>
      <c r="L402" s="18">
        <v>4441.0</v>
      </c>
      <c r="M402" s="14">
        <f>STDEV(L402:L406)</f>
        <v>51085.30514</v>
      </c>
      <c r="N402" s="15" t="b">
        <f t="shared" si="1"/>
        <v>0</v>
      </c>
    </row>
    <row r="403" hidden="1">
      <c r="A403" s="7" t="s">
        <v>87</v>
      </c>
      <c r="B403" s="7" t="s">
        <v>17</v>
      </c>
      <c r="C403" s="7">
        <v>0.25</v>
      </c>
      <c r="D403" s="7">
        <v>0.5</v>
      </c>
      <c r="E403" s="7">
        <v>1.0</v>
      </c>
      <c r="F403" s="7">
        <v>239.084723949432</v>
      </c>
      <c r="G403" s="7">
        <v>371.052771806716</v>
      </c>
      <c r="H403" s="7">
        <v>1.0</v>
      </c>
      <c r="I403" s="15">
        <v>0.649918642715987</v>
      </c>
      <c r="J403" s="15">
        <v>0.124887744098037</v>
      </c>
      <c r="K403" s="12">
        <f>AVERAGE(I402:I406)</f>
        <v>0.631690173</v>
      </c>
      <c r="L403" s="18">
        <v>2327.0</v>
      </c>
      <c r="M403" s="14">
        <f>STDEV(L402:L406)</f>
        <v>51085.30514</v>
      </c>
      <c r="N403" s="15" t="b">
        <f t="shared" si="1"/>
        <v>0</v>
      </c>
    </row>
    <row r="404" hidden="1">
      <c r="A404" s="7" t="s">
        <v>87</v>
      </c>
      <c r="B404" s="7" t="s">
        <v>17</v>
      </c>
      <c r="C404" s="7">
        <v>0.25</v>
      </c>
      <c r="D404" s="7">
        <v>0.5</v>
      </c>
      <c r="E404" s="7">
        <v>1.0</v>
      </c>
      <c r="F404" s="7">
        <v>239.084723949432</v>
      </c>
      <c r="G404" s="7">
        <v>371.052771806716</v>
      </c>
      <c r="H404" s="7">
        <v>2.0</v>
      </c>
      <c r="I404" s="15">
        <v>0.764042093566302</v>
      </c>
      <c r="J404" s="15">
        <v>0.139837701339108</v>
      </c>
      <c r="K404" s="12">
        <f>AVERAGE(I402:I406)</f>
        <v>0.631690173</v>
      </c>
      <c r="L404" s="18">
        <v>7824.0</v>
      </c>
      <c r="M404" s="14">
        <f>STDEV(L402:L406)</f>
        <v>51085.30514</v>
      </c>
      <c r="N404" s="15" t="b">
        <f t="shared" si="1"/>
        <v>0</v>
      </c>
    </row>
    <row r="405" hidden="1">
      <c r="A405" s="7" t="s">
        <v>87</v>
      </c>
      <c r="B405" s="7" t="s">
        <v>17</v>
      </c>
      <c r="C405" s="7">
        <v>0.25</v>
      </c>
      <c r="D405" s="7">
        <v>0.5</v>
      </c>
      <c r="E405" s="7">
        <v>1.0</v>
      </c>
      <c r="F405" s="7">
        <v>239.084723949432</v>
      </c>
      <c r="G405" s="7">
        <v>371.052771806716</v>
      </c>
      <c r="H405" s="7">
        <v>3.0</v>
      </c>
      <c r="I405" s="15">
        <v>0.0739838305290223</v>
      </c>
      <c r="J405" s="15">
        <v>0.0734657012871603</v>
      </c>
      <c r="K405" s="12">
        <f>AVERAGE(I402:I406)</f>
        <v>0.631690173</v>
      </c>
      <c r="L405" s="18">
        <v>119630.0</v>
      </c>
      <c r="M405" s="14">
        <f>STDEV(L402:L406)</f>
        <v>51085.30514</v>
      </c>
      <c r="N405" s="15" t="b">
        <f t="shared" si="1"/>
        <v>0</v>
      </c>
    </row>
    <row r="406" hidden="1">
      <c r="A406" s="7" t="s">
        <v>87</v>
      </c>
      <c r="B406" s="7" t="s">
        <v>17</v>
      </c>
      <c r="C406" s="7">
        <v>0.25</v>
      </c>
      <c r="D406" s="7">
        <v>0.5</v>
      </c>
      <c r="E406" s="7">
        <v>1.0</v>
      </c>
      <c r="F406" s="7">
        <v>239.084723949432</v>
      </c>
      <c r="G406" s="7">
        <v>371.052771806716</v>
      </c>
      <c r="H406" s="7">
        <v>4.0</v>
      </c>
      <c r="I406" s="15">
        <v>0.798908815408609</v>
      </c>
      <c r="J406" s="15">
        <v>0.12401157773158</v>
      </c>
      <c r="K406" s="12">
        <f>AVERAGE(I402:I406)</f>
        <v>0.631690173</v>
      </c>
      <c r="L406" s="18">
        <v>7454.0</v>
      </c>
      <c r="M406" s="14">
        <f>STDEV(L402:L406)</f>
        <v>51085.30514</v>
      </c>
      <c r="N406" s="15" t="b">
        <f t="shared" si="1"/>
        <v>0</v>
      </c>
    </row>
    <row r="407" hidden="1">
      <c r="A407" s="7" t="s">
        <v>88</v>
      </c>
      <c r="B407" s="7" t="s">
        <v>17</v>
      </c>
      <c r="C407" s="7">
        <v>0.25</v>
      </c>
      <c r="D407" s="7">
        <v>0.5</v>
      </c>
      <c r="E407" s="7">
        <v>2.0</v>
      </c>
      <c r="F407" s="7">
        <v>247.679173707962</v>
      </c>
      <c r="G407" s="7">
        <v>409.73616862297</v>
      </c>
      <c r="H407" s="7">
        <v>0.0</v>
      </c>
      <c r="I407" s="15">
        <v>0.743456742901009</v>
      </c>
      <c r="J407" s="15">
        <v>0.148343713086354</v>
      </c>
      <c r="K407" s="12">
        <f>AVERAGE(I407:I411)</f>
        <v>0.5877713981</v>
      </c>
      <c r="L407" s="18">
        <v>1690.0</v>
      </c>
      <c r="M407" s="14">
        <f>STDEV(L407:L411)</f>
        <v>40649.62975</v>
      </c>
      <c r="N407" s="15" t="b">
        <f t="shared" si="1"/>
        <v>0</v>
      </c>
    </row>
    <row r="408" hidden="1">
      <c r="A408" s="7" t="s">
        <v>88</v>
      </c>
      <c r="B408" s="7" t="s">
        <v>17</v>
      </c>
      <c r="C408" s="7">
        <v>0.25</v>
      </c>
      <c r="D408" s="7">
        <v>0.5</v>
      </c>
      <c r="E408" s="7">
        <v>2.0</v>
      </c>
      <c r="F408" s="7">
        <v>247.679173707962</v>
      </c>
      <c r="G408" s="7">
        <v>409.73616862297</v>
      </c>
      <c r="H408" s="7">
        <v>1.0</v>
      </c>
      <c r="I408" s="15">
        <v>0.452768018920335</v>
      </c>
      <c r="J408" s="15">
        <v>0.14759523531451</v>
      </c>
      <c r="K408" s="12">
        <f>AVERAGE(I407:I411)</f>
        <v>0.5877713981</v>
      </c>
      <c r="L408" s="18">
        <v>19908.0</v>
      </c>
      <c r="M408" s="14">
        <f>STDEV(L407:L411)</f>
        <v>40649.62975</v>
      </c>
      <c r="N408" s="15" t="b">
        <f t="shared" si="1"/>
        <v>0</v>
      </c>
    </row>
    <row r="409" hidden="1">
      <c r="A409" s="7" t="s">
        <v>88</v>
      </c>
      <c r="B409" s="7" t="s">
        <v>17</v>
      </c>
      <c r="C409" s="7">
        <v>0.25</v>
      </c>
      <c r="D409" s="7">
        <v>0.5</v>
      </c>
      <c r="E409" s="7">
        <v>2.0</v>
      </c>
      <c r="F409" s="7">
        <v>247.679173707962</v>
      </c>
      <c r="G409" s="7">
        <v>409.73616862297</v>
      </c>
      <c r="H409" s="7">
        <v>2.0</v>
      </c>
      <c r="I409" s="15">
        <v>0.0432494675486984</v>
      </c>
      <c r="J409" s="15">
        <v>0.0826930390397257</v>
      </c>
      <c r="K409" s="12">
        <f>AVERAGE(I407:I411)</f>
        <v>0.5877713981</v>
      </c>
      <c r="L409" s="18">
        <v>99361.0</v>
      </c>
      <c r="M409" s="14">
        <f>STDEV(L407:L411)</f>
        <v>40649.62975</v>
      </c>
      <c r="N409" s="15" t="b">
        <f t="shared" si="1"/>
        <v>0</v>
      </c>
    </row>
    <row r="410" hidden="1">
      <c r="A410" s="7" t="s">
        <v>88</v>
      </c>
      <c r="B410" s="7" t="s">
        <v>17</v>
      </c>
      <c r="C410" s="7">
        <v>0.25</v>
      </c>
      <c r="D410" s="7">
        <v>0.5</v>
      </c>
      <c r="E410" s="7">
        <v>2.0</v>
      </c>
      <c r="F410" s="7">
        <v>247.679173707962</v>
      </c>
      <c r="G410" s="7">
        <v>409.73616862297</v>
      </c>
      <c r="H410" s="7">
        <v>3.0</v>
      </c>
      <c r="I410" s="15">
        <v>0.909446837488556</v>
      </c>
      <c r="J410" s="15">
        <v>0.0461575985247434</v>
      </c>
      <c r="K410" s="12">
        <f>AVERAGE(I407:I411)</f>
        <v>0.5877713981</v>
      </c>
      <c r="L410" s="18">
        <v>2064.0</v>
      </c>
      <c r="M410" s="14">
        <f>STDEV(L407:L411)</f>
        <v>40649.62975</v>
      </c>
      <c r="N410" s="15" t="b">
        <f t="shared" si="1"/>
        <v>0</v>
      </c>
    </row>
    <row r="411" hidden="1">
      <c r="A411" s="7" t="s">
        <v>88</v>
      </c>
      <c r="B411" s="7" t="s">
        <v>17</v>
      </c>
      <c r="C411" s="7">
        <v>0.25</v>
      </c>
      <c r="D411" s="7">
        <v>0.5</v>
      </c>
      <c r="E411" s="7">
        <v>2.0</v>
      </c>
      <c r="F411" s="7">
        <v>247.679173707962</v>
      </c>
      <c r="G411" s="7">
        <v>409.73616862297</v>
      </c>
      <c r="H411" s="7">
        <v>4.0</v>
      </c>
      <c r="I411" s="15">
        <v>0.789935923464334</v>
      </c>
      <c r="J411" s="15">
        <v>0.0991510422817567</v>
      </c>
      <c r="K411" s="12">
        <f>AVERAGE(I407:I411)</f>
        <v>0.5877713981</v>
      </c>
      <c r="L411" s="18">
        <v>18653.0</v>
      </c>
      <c r="M411" s="14">
        <f>STDEV(L407:L411)</f>
        <v>40649.62975</v>
      </c>
      <c r="N411" s="15" t="b">
        <f t="shared" si="1"/>
        <v>0</v>
      </c>
    </row>
    <row r="412" hidden="1">
      <c r="A412" s="7" t="s">
        <v>89</v>
      </c>
      <c r="B412" s="7" t="s">
        <v>17</v>
      </c>
      <c r="C412" s="7">
        <v>0.25</v>
      </c>
      <c r="D412" s="7">
        <v>0.5</v>
      </c>
      <c r="E412" s="7">
        <v>3.0</v>
      </c>
      <c r="F412" s="7">
        <v>248.2219581604</v>
      </c>
      <c r="G412" s="7">
        <v>424.138889074325</v>
      </c>
      <c r="H412" s="7">
        <v>0.0</v>
      </c>
      <c r="I412" s="15">
        <v>0.778234427224031</v>
      </c>
      <c r="J412" s="15">
        <v>0.121347664703645</v>
      </c>
      <c r="K412" s="12">
        <f>AVERAGE(I412:I416)</f>
        <v>0.5189233738</v>
      </c>
      <c r="L412" s="18">
        <v>11566.0</v>
      </c>
      <c r="M412" s="14">
        <f>STDEV(L412:L416)</f>
        <v>28074.83391</v>
      </c>
      <c r="N412" s="15" t="b">
        <f t="shared" si="1"/>
        <v>0</v>
      </c>
    </row>
    <row r="413" hidden="1">
      <c r="A413" s="7" t="s">
        <v>89</v>
      </c>
      <c r="B413" s="7" t="s">
        <v>17</v>
      </c>
      <c r="C413" s="7">
        <v>0.25</v>
      </c>
      <c r="D413" s="7">
        <v>0.5</v>
      </c>
      <c r="E413" s="7">
        <v>3.0</v>
      </c>
      <c r="F413" s="7">
        <v>248.2219581604</v>
      </c>
      <c r="G413" s="7">
        <v>424.138889074325</v>
      </c>
      <c r="H413" s="7">
        <v>1.0</v>
      </c>
      <c r="I413" s="15">
        <v>0.789012321357758</v>
      </c>
      <c r="J413" s="15">
        <v>0.100329713745294</v>
      </c>
      <c r="K413" s="12">
        <f>AVERAGE(I412:I416)</f>
        <v>0.5189233738</v>
      </c>
      <c r="L413" s="18">
        <v>18658.0</v>
      </c>
      <c r="M413" s="14">
        <f>STDEV(L412:L416)</f>
        <v>28074.83391</v>
      </c>
      <c r="N413" s="15" t="b">
        <f t="shared" si="1"/>
        <v>0</v>
      </c>
    </row>
    <row r="414" hidden="1">
      <c r="A414" s="7" t="s">
        <v>89</v>
      </c>
      <c r="B414" s="7" t="s">
        <v>17</v>
      </c>
      <c r="C414" s="7">
        <v>0.25</v>
      </c>
      <c r="D414" s="7">
        <v>0.5</v>
      </c>
      <c r="E414" s="7">
        <v>3.0</v>
      </c>
      <c r="F414" s="7">
        <v>248.2219581604</v>
      </c>
      <c r="G414" s="7">
        <v>424.138889074325</v>
      </c>
      <c r="H414" s="7">
        <v>2.0</v>
      </c>
      <c r="I414" s="15">
        <v>0.838071139308988</v>
      </c>
      <c r="J414" s="15">
        <v>0.099514191865284</v>
      </c>
      <c r="K414" s="12">
        <f>AVERAGE(I412:I416)</f>
        <v>0.5189233738</v>
      </c>
      <c r="L414" s="18">
        <v>5040.0</v>
      </c>
      <c r="M414" s="14">
        <f>STDEV(L412:L416)</f>
        <v>28074.83391</v>
      </c>
      <c r="N414" s="15" t="b">
        <f t="shared" si="1"/>
        <v>0</v>
      </c>
    </row>
    <row r="415" hidden="1">
      <c r="A415" s="7" t="s">
        <v>89</v>
      </c>
      <c r="B415" s="7" t="s">
        <v>17</v>
      </c>
      <c r="C415" s="7">
        <v>0.25</v>
      </c>
      <c r="D415" s="7">
        <v>0.5</v>
      </c>
      <c r="E415" s="7">
        <v>3.0</v>
      </c>
      <c r="F415" s="7">
        <v>248.2219581604</v>
      </c>
      <c r="G415" s="7">
        <v>424.138889074325</v>
      </c>
      <c r="H415" s="7">
        <v>3.0</v>
      </c>
      <c r="I415" s="15">
        <v>0.0522552476359509</v>
      </c>
      <c r="J415" s="15">
        <v>0.0498811152978635</v>
      </c>
      <c r="K415" s="12">
        <f>AVERAGE(I412:I416)</f>
        <v>0.5189233738</v>
      </c>
      <c r="L415" s="18">
        <v>75546.0</v>
      </c>
      <c r="M415" s="14">
        <f>STDEV(L412:L416)</f>
        <v>28074.83391</v>
      </c>
      <c r="N415" s="15" t="b">
        <f t="shared" si="1"/>
        <v>0</v>
      </c>
    </row>
    <row r="416" hidden="1">
      <c r="A416" s="7" t="s">
        <v>89</v>
      </c>
      <c r="B416" s="7" t="s">
        <v>17</v>
      </c>
      <c r="C416" s="7">
        <v>0.25</v>
      </c>
      <c r="D416" s="7">
        <v>0.5</v>
      </c>
      <c r="E416" s="7">
        <v>3.0</v>
      </c>
      <c r="F416" s="7">
        <v>248.2219581604</v>
      </c>
      <c r="G416" s="7">
        <v>424.138889074325</v>
      </c>
      <c r="H416" s="7">
        <v>4.0</v>
      </c>
      <c r="I416" s="15">
        <v>0.137043733527475</v>
      </c>
      <c r="J416" s="15">
        <v>0.395948688367984</v>
      </c>
      <c r="K416" s="12">
        <f>AVERAGE(I412:I416)</f>
        <v>0.5189233738</v>
      </c>
      <c r="L416" s="18">
        <v>30866.0</v>
      </c>
      <c r="M416" s="14">
        <f>STDEV(L412:L416)</f>
        <v>28074.83391</v>
      </c>
      <c r="N416" s="15" t="b">
        <f t="shared" si="1"/>
        <v>0</v>
      </c>
    </row>
    <row r="417" hidden="1">
      <c r="A417" s="7" t="s">
        <v>90</v>
      </c>
      <c r="B417" s="7" t="s">
        <v>17</v>
      </c>
      <c r="C417" s="7">
        <v>0.25</v>
      </c>
      <c r="D417" s="7">
        <v>0.5</v>
      </c>
      <c r="E417" s="7">
        <v>4.0</v>
      </c>
      <c r="F417" s="7">
        <v>199.721328020095</v>
      </c>
      <c r="G417" s="7">
        <v>373.468246936798</v>
      </c>
      <c r="H417" s="7">
        <v>0.0</v>
      </c>
      <c r="I417" s="15">
        <v>0.234968827052492</v>
      </c>
      <c r="J417" s="15">
        <v>0.0777478102384117</v>
      </c>
      <c r="K417" s="12">
        <f>AVERAGE(I417:I421)</f>
        <v>0.503416392</v>
      </c>
      <c r="L417" s="18">
        <v>5019.0</v>
      </c>
      <c r="M417" s="14">
        <f>STDEV(L417:L421)</f>
        <v>54193.09299</v>
      </c>
      <c r="N417" s="15" t="b">
        <f t="shared" si="1"/>
        <v>0</v>
      </c>
    </row>
    <row r="418" hidden="1">
      <c r="A418" s="7" t="s">
        <v>90</v>
      </c>
      <c r="B418" s="7" t="s">
        <v>17</v>
      </c>
      <c r="C418" s="7">
        <v>0.25</v>
      </c>
      <c r="D418" s="7">
        <v>0.5</v>
      </c>
      <c r="E418" s="7">
        <v>4.0</v>
      </c>
      <c r="F418" s="7">
        <v>199.721328020095</v>
      </c>
      <c r="G418" s="7">
        <v>373.468246936798</v>
      </c>
      <c r="H418" s="7">
        <v>1.0</v>
      </c>
      <c r="I418" s="15">
        <v>0.764955814169224</v>
      </c>
      <c r="J418" s="15">
        <v>0.139408826399824</v>
      </c>
      <c r="K418" s="12">
        <f>AVERAGE(I417:I421)</f>
        <v>0.503416392</v>
      </c>
      <c r="L418" s="18">
        <v>7812.0</v>
      </c>
      <c r="M418" s="14">
        <f>STDEV(L417:L421)</f>
        <v>54193.09299</v>
      </c>
      <c r="N418" s="15" t="b">
        <f t="shared" si="1"/>
        <v>0</v>
      </c>
    </row>
    <row r="419" hidden="1">
      <c r="A419" s="7" t="s">
        <v>90</v>
      </c>
      <c r="B419" s="7" t="s">
        <v>17</v>
      </c>
      <c r="C419" s="7">
        <v>0.25</v>
      </c>
      <c r="D419" s="7">
        <v>0.5</v>
      </c>
      <c r="E419" s="7">
        <v>4.0</v>
      </c>
      <c r="F419" s="7">
        <v>199.721328020095</v>
      </c>
      <c r="G419" s="7">
        <v>373.468246936798</v>
      </c>
      <c r="H419" s="7">
        <v>2.0</v>
      </c>
      <c r="I419" s="15">
        <v>0.819643552192455</v>
      </c>
      <c r="J419" s="15">
        <v>0.125761320455348</v>
      </c>
      <c r="K419" s="12">
        <f>AVERAGE(I417:I421)</f>
        <v>0.503416392</v>
      </c>
      <c r="L419" s="18">
        <v>1337.0</v>
      </c>
      <c r="M419" s="14">
        <f>STDEV(L417:L421)</f>
        <v>54193.09299</v>
      </c>
      <c r="N419" s="15" t="b">
        <f t="shared" si="1"/>
        <v>0</v>
      </c>
    </row>
    <row r="420" hidden="1">
      <c r="A420" s="7" t="s">
        <v>90</v>
      </c>
      <c r="B420" s="7" t="s">
        <v>17</v>
      </c>
      <c r="C420" s="7">
        <v>0.25</v>
      </c>
      <c r="D420" s="7">
        <v>0.5</v>
      </c>
      <c r="E420" s="7">
        <v>4.0</v>
      </c>
      <c r="F420" s="7">
        <v>199.721328020095</v>
      </c>
      <c r="G420" s="7">
        <v>373.468246936798</v>
      </c>
      <c r="H420" s="7">
        <v>3.0</v>
      </c>
      <c r="I420" s="15">
        <v>0.0691904044082563</v>
      </c>
      <c r="J420" s="15">
        <v>0.0690654476953011</v>
      </c>
      <c r="K420" s="12">
        <f>AVERAGE(I417:I421)</f>
        <v>0.503416392</v>
      </c>
      <c r="L420" s="18">
        <v>125174.0</v>
      </c>
      <c r="M420" s="14">
        <f>STDEV(L417:L421)</f>
        <v>54193.09299</v>
      </c>
      <c r="N420" s="15" t="b">
        <f t="shared" si="1"/>
        <v>0</v>
      </c>
    </row>
    <row r="421" hidden="1">
      <c r="A421" s="7" t="s">
        <v>90</v>
      </c>
      <c r="B421" s="7" t="s">
        <v>17</v>
      </c>
      <c r="C421" s="7">
        <v>0.25</v>
      </c>
      <c r="D421" s="7">
        <v>0.5</v>
      </c>
      <c r="E421" s="7">
        <v>4.0</v>
      </c>
      <c r="F421" s="7">
        <v>199.721328020095</v>
      </c>
      <c r="G421" s="7">
        <v>373.468246936798</v>
      </c>
      <c r="H421" s="7">
        <v>4.0</v>
      </c>
      <c r="I421" s="15">
        <v>0.628323362079239</v>
      </c>
      <c r="J421" s="15">
        <v>0.14834687495551</v>
      </c>
      <c r="K421" s="12">
        <f>AVERAGE(I417:I421)</f>
        <v>0.503416392</v>
      </c>
      <c r="L421" s="18">
        <v>2334.0</v>
      </c>
      <c r="M421" s="14">
        <f>STDEV(L417:L421)</f>
        <v>54193.09299</v>
      </c>
      <c r="N421" s="15" t="b">
        <f t="shared" si="1"/>
        <v>0</v>
      </c>
    </row>
    <row r="422" hidden="1">
      <c r="A422" s="7" t="s">
        <v>91</v>
      </c>
      <c r="B422" s="7" t="s">
        <v>17</v>
      </c>
      <c r="C422" s="7">
        <v>0.25</v>
      </c>
      <c r="D422" s="7">
        <v>0.5</v>
      </c>
      <c r="E422" s="7">
        <v>5.0</v>
      </c>
      <c r="F422" s="7">
        <v>311.618943929672</v>
      </c>
      <c r="G422" s="7">
        <v>451.218047380447</v>
      </c>
      <c r="H422" s="7">
        <v>0.0</v>
      </c>
      <c r="I422" s="15">
        <v>0.286742683145624</v>
      </c>
      <c r="J422" s="15">
        <v>0.113900659664682</v>
      </c>
      <c r="K422" s="12">
        <f>AVERAGE(I422:I426)</f>
        <v>0.3493217239</v>
      </c>
      <c r="L422" s="18">
        <v>8766.0</v>
      </c>
      <c r="M422" s="14">
        <f>STDEV(L422:L426)</f>
        <v>35063.89543</v>
      </c>
      <c r="N422" s="15" t="b">
        <f t="shared" si="1"/>
        <v>0</v>
      </c>
    </row>
    <row r="423" hidden="1">
      <c r="A423" s="7" t="s">
        <v>91</v>
      </c>
      <c r="B423" s="7" t="s">
        <v>17</v>
      </c>
      <c r="C423" s="7">
        <v>0.25</v>
      </c>
      <c r="D423" s="7">
        <v>0.5</v>
      </c>
      <c r="E423" s="7">
        <v>5.0</v>
      </c>
      <c r="F423" s="7">
        <v>311.618943929672</v>
      </c>
      <c r="G423" s="7">
        <v>451.218047380447</v>
      </c>
      <c r="H423" s="7">
        <v>1.0</v>
      </c>
      <c r="I423" s="15">
        <v>0.890201209276074</v>
      </c>
      <c r="J423" s="15">
        <v>0.130600378792155</v>
      </c>
      <c r="K423" s="12">
        <f>AVERAGE(I422:I426)</f>
        <v>0.3493217239</v>
      </c>
      <c r="L423" s="18">
        <v>2028.0</v>
      </c>
      <c r="M423" s="14">
        <f>STDEV(L422:L426)</f>
        <v>35063.89543</v>
      </c>
      <c r="N423" s="15" t="b">
        <f t="shared" si="1"/>
        <v>0</v>
      </c>
    </row>
    <row r="424" hidden="1">
      <c r="A424" s="7" t="s">
        <v>91</v>
      </c>
      <c r="B424" s="7" t="s">
        <v>17</v>
      </c>
      <c r="C424" s="7">
        <v>0.25</v>
      </c>
      <c r="D424" s="7">
        <v>0.5</v>
      </c>
      <c r="E424" s="7">
        <v>5.0</v>
      </c>
      <c r="F424" s="7">
        <v>311.618943929672</v>
      </c>
      <c r="G424" s="7">
        <v>451.218047380447</v>
      </c>
      <c r="H424" s="7">
        <v>2.0</v>
      </c>
      <c r="I424" s="15">
        <v>0.0871967364576057</v>
      </c>
      <c r="J424" s="15">
        <v>0.057484415420552</v>
      </c>
      <c r="K424" s="12">
        <f>AVERAGE(I422:I426)</f>
        <v>0.3493217239</v>
      </c>
      <c r="L424" s="18">
        <v>84049.0</v>
      </c>
      <c r="M424" s="14">
        <f>STDEV(L422:L426)</f>
        <v>35063.89543</v>
      </c>
      <c r="N424" s="15" t="b">
        <f t="shared" si="1"/>
        <v>0</v>
      </c>
    </row>
    <row r="425" hidden="1">
      <c r="A425" s="7" t="s">
        <v>91</v>
      </c>
      <c r="B425" s="7" t="s">
        <v>17</v>
      </c>
      <c r="C425" s="7">
        <v>0.25</v>
      </c>
      <c r="D425" s="7">
        <v>0.5</v>
      </c>
      <c r="E425" s="7">
        <v>5.0</v>
      </c>
      <c r="F425" s="7">
        <v>311.618943929672</v>
      </c>
      <c r="G425" s="7">
        <v>451.218047380447</v>
      </c>
      <c r="H425" s="7">
        <v>3.0</v>
      </c>
      <c r="I425" s="15">
        <v>0.205251841066453</v>
      </c>
      <c r="J425" s="15">
        <v>0.214082785869416</v>
      </c>
      <c r="K425" s="12">
        <f>AVERAGE(I422:I426)</f>
        <v>0.3493217239</v>
      </c>
      <c r="L425" s="18">
        <v>41997.0</v>
      </c>
      <c r="M425" s="14">
        <f>STDEV(L422:L426)</f>
        <v>35063.89543</v>
      </c>
      <c r="N425" s="15" t="b">
        <f t="shared" si="1"/>
        <v>0</v>
      </c>
    </row>
    <row r="426" hidden="1">
      <c r="A426" s="7" t="s">
        <v>91</v>
      </c>
      <c r="B426" s="7" t="s">
        <v>17</v>
      </c>
      <c r="C426" s="7">
        <v>0.25</v>
      </c>
      <c r="D426" s="7">
        <v>0.5</v>
      </c>
      <c r="E426" s="7">
        <v>5.0</v>
      </c>
      <c r="F426" s="7">
        <v>311.618943929672</v>
      </c>
      <c r="G426" s="7">
        <v>451.218047380447</v>
      </c>
      <c r="H426" s="7">
        <v>4.0</v>
      </c>
      <c r="I426" s="15">
        <v>0.277216149727394</v>
      </c>
      <c r="J426" s="15">
        <v>0.107362603800317</v>
      </c>
      <c r="K426" s="12">
        <f>AVERAGE(I422:I426)</f>
        <v>0.3493217239</v>
      </c>
      <c r="L426" s="18">
        <v>4836.0</v>
      </c>
      <c r="M426" s="14">
        <f>STDEV(L422:L426)</f>
        <v>35063.89543</v>
      </c>
      <c r="N426" s="15" t="b">
        <f t="shared" si="1"/>
        <v>0</v>
      </c>
    </row>
    <row r="427" hidden="1">
      <c r="A427" s="7" t="s">
        <v>92</v>
      </c>
      <c r="B427" s="22" t="s">
        <v>17</v>
      </c>
      <c r="C427" s="22">
        <v>0.25</v>
      </c>
      <c r="D427" s="22">
        <v>0.5</v>
      </c>
      <c r="E427" s="22">
        <v>6.0</v>
      </c>
      <c r="F427" s="7">
        <v>286.659921407699</v>
      </c>
      <c r="G427" s="7">
        <v>441.768632173538</v>
      </c>
      <c r="H427" s="7">
        <v>0.0</v>
      </c>
      <c r="I427" s="15">
        <v>0.892700887835125</v>
      </c>
      <c r="J427" s="15">
        <v>0.120588960490102</v>
      </c>
      <c r="K427" s="12">
        <f>AVERAGE(I427:I431)</f>
        <v>0.6468819854</v>
      </c>
      <c r="L427" s="18">
        <v>2028.0</v>
      </c>
      <c r="M427" s="14">
        <f>STDEV(L427:L431)</f>
        <v>40623.01029</v>
      </c>
      <c r="N427" s="15" t="b">
        <f t="shared" si="1"/>
        <v>0</v>
      </c>
    </row>
    <row r="428" hidden="1">
      <c r="A428" s="7" t="s">
        <v>92</v>
      </c>
      <c r="B428" s="22" t="s">
        <v>17</v>
      </c>
      <c r="C428" s="22">
        <v>0.25</v>
      </c>
      <c r="D428" s="22">
        <v>0.5</v>
      </c>
      <c r="E428" s="22">
        <v>6.0</v>
      </c>
      <c r="F428" s="7">
        <v>286.659921407699</v>
      </c>
      <c r="G428" s="7">
        <v>441.768632173538</v>
      </c>
      <c r="H428" s="7">
        <v>1.0</v>
      </c>
      <c r="I428" s="15">
        <v>0.791991723471294</v>
      </c>
      <c r="J428" s="15">
        <v>0.118794017284349</v>
      </c>
      <c r="K428" s="12">
        <f>AVERAGE(I427:I431)</f>
        <v>0.6468819854</v>
      </c>
      <c r="L428" s="18">
        <v>11542.0</v>
      </c>
      <c r="M428" s="14">
        <f>STDEV(L427:L431)</f>
        <v>40623.01029</v>
      </c>
      <c r="N428" s="15" t="b">
        <f t="shared" si="1"/>
        <v>0</v>
      </c>
    </row>
    <row r="429" hidden="1">
      <c r="A429" s="7" t="s">
        <v>92</v>
      </c>
      <c r="B429" s="22" t="s">
        <v>17</v>
      </c>
      <c r="C429" s="22">
        <v>0.25</v>
      </c>
      <c r="D429" s="22">
        <v>0.5</v>
      </c>
      <c r="E429" s="22">
        <v>6.0</v>
      </c>
      <c r="F429" s="7">
        <v>286.659921407699</v>
      </c>
      <c r="G429" s="7">
        <v>441.768632173538</v>
      </c>
      <c r="H429" s="7">
        <v>2.0</v>
      </c>
      <c r="I429" s="15">
        <v>0.789932458214811</v>
      </c>
      <c r="J429" s="15">
        <v>0.0991636512504153</v>
      </c>
      <c r="K429" s="12">
        <f>AVERAGE(I427:I431)</f>
        <v>0.6468819854</v>
      </c>
      <c r="L429" s="18">
        <v>18636.0</v>
      </c>
      <c r="M429" s="14">
        <f>STDEV(L427:L431)</f>
        <v>40623.01029</v>
      </c>
      <c r="N429" s="15" t="b">
        <f t="shared" si="1"/>
        <v>0</v>
      </c>
    </row>
    <row r="430" hidden="1">
      <c r="A430" s="7" t="s">
        <v>92</v>
      </c>
      <c r="B430" s="22" t="s">
        <v>17</v>
      </c>
      <c r="C430" s="22">
        <v>0.25</v>
      </c>
      <c r="D430" s="22">
        <v>0.5</v>
      </c>
      <c r="E430" s="22">
        <v>6.0</v>
      </c>
      <c r="F430" s="7">
        <v>286.659921407699</v>
      </c>
      <c r="G430" s="7">
        <v>441.768632173538</v>
      </c>
      <c r="H430" s="7">
        <v>3.0</v>
      </c>
      <c r="I430" s="15">
        <v>0.0102796253321733</v>
      </c>
      <c r="J430" s="15">
        <v>0.189868721791144</v>
      </c>
      <c r="K430" s="12">
        <f>AVERAGE(I427:I431)</f>
        <v>0.6468819854</v>
      </c>
      <c r="L430" s="18">
        <v>100226.0</v>
      </c>
      <c r="M430" s="14">
        <f>STDEV(L427:L431)</f>
        <v>40623.01029</v>
      </c>
      <c r="N430" s="15" t="b">
        <f t="shared" si="1"/>
        <v>0</v>
      </c>
    </row>
    <row r="431" hidden="1">
      <c r="A431" s="7" t="s">
        <v>92</v>
      </c>
      <c r="B431" s="22" t="s">
        <v>17</v>
      </c>
      <c r="C431" s="22">
        <v>0.25</v>
      </c>
      <c r="D431" s="22">
        <v>0.5</v>
      </c>
      <c r="E431" s="22">
        <v>6.0</v>
      </c>
      <c r="F431" s="7">
        <v>286.659921407699</v>
      </c>
      <c r="G431" s="7">
        <v>441.768632173538</v>
      </c>
      <c r="H431" s="7">
        <v>4.0</v>
      </c>
      <c r="I431" s="15">
        <v>0.749505232059442</v>
      </c>
      <c r="J431" s="15">
        <v>0.141160240129637</v>
      </c>
      <c r="K431" s="12">
        <f>AVERAGE(I427:I431)</f>
        <v>0.6468819854</v>
      </c>
      <c r="L431" s="18">
        <v>9244.0</v>
      </c>
      <c r="M431" s="14">
        <f>STDEV(L427:L431)</f>
        <v>40623.01029</v>
      </c>
      <c r="N431" s="15" t="b">
        <f t="shared" si="1"/>
        <v>0</v>
      </c>
    </row>
    <row r="432" hidden="1">
      <c r="A432" s="7" t="s">
        <v>93</v>
      </c>
      <c r="B432" s="7" t="s">
        <v>17</v>
      </c>
      <c r="C432" s="7">
        <v>0.25</v>
      </c>
      <c r="D432" s="7">
        <v>0.5</v>
      </c>
      <c r="E432" s="7">
        <v>7.0</v>
      </c>
      <c r="F432" s="7">
        <v>204.939177036285</v>
      </c>
      <c r="G432" s="7">
        <v>338.482533454894</v>
      </c>
      <c r="H432" s="7">
        <v>0.0</v>
      </c>
      <c r="I432" s="15">
        <v>0.894535063495572</v>
      </c>
      <c r="J432" s="15">
        <v>0.12078986845172</v>
      </c>
      <c r="K432" s="12">
        <f>AVERAGE(I432:I436)</f>
        <v>0.6512051349</v>
      </c>
      <c r="L432" s="18">
        <v>2017.0</v>
      </c>
      <c r="M432" s="14">
        <f>STDEV(L432:L436)</f>
        <v>48586.1661</v>
      </c>
      <c r="N432" s="15" t="b">
        <f t="shared" si="1"/>
        <v>0</v>
      </c>
    </row>
    <row r="433" hidden="1">
      <c r="A433" s="7" t="s">
        <v>93</v>
      </c>
      <c r="B433" s="7" t="s">
        <v>17</v>
      </c>
      <c r="C433" s="7">
        <v>0.25</v>
      </c>
      <c r="D433" s="7">
        <v>0.5</v>
      </c>
      <c r="E433" s="7">
        <v>7.0</v>
      </c>
      <c r="F433" s="7">
        <v>204.939177036285</v>
      </c>
      <c r="G433" s="7">
        <v>338.482533454894</v>
      </c>
      <c r="H433" s="7">
        <v>1.0</v>
      </c>
      <c r="I433" s="15">
        <v>0.799814276606499</v>
      </c>
      <c r="J433" s="15">
        <v>0.118489200176456</v>
      </c>
      <c r="K433" s="12">
        <f>AVERAGE(I432:I436)</f>
        <v>0.6512051349</v>
      </c>
      <c r="L433" s="18">
        <v>7454.0</v>
      </c>
      <c r="M433" s="14">
        <f>STDEV(L432:L436)</f>
        <v>48586.1661</v>
      </c>
      <c r="N433" s="15" t="b">
        <f t="shared" si="1"/>
        <v>0</v>
      </c>
    </row>
    <row r="434" hidden="1">
      <c r="A434" s="7" t="s">
        <v>93</v>
      </c>
      <c r="B434" s="7" t="s">
        <v>17</v>
      </c>
      <c r="C434" s="7">
        <v>0.25</v>
      </c>
      <c r="D434" s="7">
        <v>0.5</v>
      </c>
      <c r="E434" s="7">
        <v>7.0</v>
      </c>
      <c r="F434" s="7">
        <v>204.939177036285</v>
      </c>
      <c r="G434" s="7">
        <v>338.482533454894</v>
      </c>
      <c r="H434" s="7">
        <v>2.0</v>
      </c>
      <c r="I434" s="15">
        <v>0.0496059817790491</v>
      </c>
      <c r="J434" s="15">
        <v>0.139011635569653</v>
      </c>
      <c r="K434" s="12">
        <f>AVERAGE(I432:I436)</f>
        <v>0.6512051349</v>
      </c>
      <c r="L434" s="18">
        <v>115109.0</v>
      </c>
      <c r="M434" s="14">
        <f>STDEV(L432:L436)</f>
        <v>48586.1661</v>
      </c>
      <c r="N434" s="15" t="b">
        <f t="shared" si="1"/>
        <v>0</v>
      </c>
    </row>
    <row r="435" hidden="1">
      <c r="A435" s="7" t="s">
        <v>93</v>
      </c>
      <c r="B435" s="7" t="s">
        <v>17</v>
      </c>
      <c r="C435" s="7">
        <v>0.25</v>
      </c>
      <c r="D435" s="7">
        <v>0.5</v>
      </c>
      <c r="E435" s="7">
        <v>7.0</v>
      </c>
      <c r="F435" s="7">
        <v>204.939177036285</v>
      </c>
      <c r="G435" s="7">
        <v>338.482533454894</v>
      </c>
      <c r="H435" s="7">
        <v>3.0</v>
      </c>
      <c r="I435" s="15">
        <v>0.763573615039534</v>
      </c>
      <c r="J435" s="15">
        <v>0.138322845086215</v>
      </c>
      <c r="K435" s="12">
        <f>AVERAGE(I432:I436)</f>
        <v>0.6512051349</v>
      </c>
      <c r="L435" s="18">
        <v>7830.0</v>
      </c>
      <c r="M435" s="14">
        <f>STDEV(L432:L436)</f>
        <v>48586.1661</v>
      </c>
      <c r="N435" s="15" t="b">
        <f t="shared" si="1"/>
        <v>0</v>
      </c>
    </row>
    <row r="436" hidden="1">
      <c r="A436" s="7" t="s">
        <v>93</v>
      </c>
      <c r="B436" s="7" t="s">
        <v>17</v>
      </c>
      <c r="C436" s="7">
        <v>0.25</v>
      </c>
      <c r="D436" s="7">
        <v>0.5</v>
      </c>
      <c r="E436" s="7">
        <v>7.0</v>
      </c>
      <c r="F436" s="7">
        <v>204.939177036285</v>
      </c>
      <c r="G436" s="7">
        <v>338.482533454894</v>
      </c>
      <c r="H436" s="7">
        <v>4.0</v>
      </c>
      <c r="I436" s="15">
        <v>0.748496737503487</v>
      </c>
      <c r="J436" s="15">
        <v>0.140376272626656</v>
      </c>
      <c r="K436" s="12">
        <f>AVERAGE(I432:I436)</f>
        <v>0.6512051349</v>
      </c>
      <c r="L436" s="18">
        <v>9266.0</v>
      </c>
      <c r="M436" s="14">
        <f>STDEV(L432:L436)</f>
        <v>48586.1661</v>
      </c>
      <c r="N436" s="15" t="b">
        <f t="shared" si="1"/>
        <v>0</v>
      </c>
    </row>
    <row r="437" hidden="1">
      <c r="A437" s="7" t="s">
        <v>94</v>
      </c>
      <c r="B437" s="7" t="s">
        <v>17</v>
      </c>
      <c r="C437" s="7">
        <v>0.25</v>
      </c>
      <c r="D437" s="7">
        <v>0.5</v>
      </c>
      <c r="E437" s="7">
        <v>8.0</v>
      </c>
      <c r="F437" s="7">
        <v>456.069901227951</v>
      </c>
      <c r="G437" s="7">
        <v>565.951588630676</v>
      </c>
      <c r="H437" s="7">
        <v>0.0</v>
      </c>
      <c r="I437" s="15">
        <v>0.169343295239165</v>
      </c>
      <c r="J437" s="15">
        <v>0.120567140143944</v>
      </c>
      <c r="K437" s="12">
        <f>AVERAGE(I437:I441)</f>
        <v>0.4338526422</v>
      </c>
      <c r="L437" s="18">
        <v>46400.0</v>
      </c>
      <c r="M437" s="14">
        <f>STDEV(L437:L441)</f>
        <v>21550.93027</v>
      </c>
      <c r="N437" s="15" t="b">
        <f t="shared" si="1"/>
        <v>0</v>
      </c>
    </row>
    <row r="438" hidden="1">
      <c r="A438" s="7" t="s">
        <v>94</v>
      </c>
      <c r="B438" s="7" t="s">
        <v>17</v>
      </c>
      <c r="C438" s="7">
        <v>0.25</v>
      </c>
      <c r="D438" s="7">
        <v>0.5</v>
      </c>
      <c r="E438" s="7">
        <v>8.0</v>
      </c>
      <c r="F438" s="7">
        <v>456.069901227951</v>
      </c>
      <c r="G438" s="7">
        <v>565.951588630676</v>
      </c>
      <c r="H438" s="7">
        <v>1.0</v>
      </c>
      <c r="I438" s="15">
        <v>0.798379290938017</v>
      </c>
      <c r="J438" s="15">
        <v>0.120392838619016</v>
      </c>
      <c r="K438" s="12">
        <f>AVERAGE(I437:I441)</f>
        <v>0.4338526422</v>
      </c>
      <c r="L438" s="18">
        <v>7466.0</v>
      </c>
      <c r="M438" s="14">
        <f>STDEV(L437:L441)</f>
        <v>21550.93027</v>
      </c>
      <c r="N438" s="15" t="b">
        <f t="shared" si="1"/>
        <v>0</v>
      </c>
    </row>
    <row r="439" hidden="1">
      <c r="A439" s="7" t="s">
        <v>94</v>
      </c>
      <c r="B439" s="7" t="s">
        <v>17</v>
      </c>
      <c r="C439" s="7">
        <v>0.25</v>
      </c>
      <c r="D439" s="7">
        <v>0.5</v>
      </c>
      <c r="E439" s="7">
        <v>8.0</v>
      </c>
      <c r="F439" s="7">
        <v>456.069901227951</v>
      </c>
      <c r="G439" s="7">
        <v>565.951588630676</v>
      </c>
      <c r="H439" s="7">
        <v>2.0</v>
      </c>
      <c r="I439" s="15">
        <v>0.301774258621931</v>
      </c>
      <c r="J439" s="15">
        <v>0.107581894815802</v>
      </c>
      <c r="K439" s="12">
        <f>AVERAGE(I437:I441)</f>
        <v>0.4338526422</v>
      </c>
      <c r="L439" s="18">
        <v>31094.0</v>
      </c>
      <c r="M439" s="14">
        <f>STDEV(L437:L441)</f>
        <v>21550.93027</v>
      </c>
      <c r="N439" s="15" t="b">
        <f t="shared" si="1"/>
        <v>0</v>
      </c>
    </row>
    <row r="440" hidden="1">
      <c r="A440" s="7" t="s">
        <v>94</v>
      </c>
      <c r="B440" s="7" t="s">
        <v>17</v>
      </c>
      <c r="C440" s="7">
        <v>0.25</v>
      </c>
      <c r="D440" s="7">
        <v>0.5</v>
      </c>
      <c r="E440" s="7">
        <v>8.0</v>
      </c>
      <c r="F440" s="7">
        <v>456.069901227951</v>
      </c>
      <c r="G440" s="7">
        <v>565.951588630676</v>
      </c>
      <c r="H440" s="7">
        <v>3.0</v>
      </c>
      <c r="I440" s="15">
        <v>0.0580217538409855</v>
      </c>
      <c r="J440" s="15">
        <v>0.17981104783576</v>
      </c>
      <c r="K440" s="12">
        <f>AVERAGE(I437:I441)</f>
        <v>0.4338526422</v>
      </c>
      <c r="L440" s="18">
        <v>51685.0</v>
      </c>
      <c r="M440" s="14">
        <f>STDEV(L437:L441)</f>
        <v>21550.93027</v>
      </c>
      <c r="N440" s="15" t="b">
        <f t="shared" si="1"/>
        <v>0</v>
      </c>
    </row>
    <row r="441" hidden="1">
      <c r="A441" s="7" t="s">
        <v>94</v>
      </c>
      <c r="B441" s="7" t="s">
        <v>17</v>
      </c>
      <c r="C441" s="7">
        <v>0.25</v>
      </c>
      <c r="D441" s="7">
        <v>0.5</v>
      </c>
      <c r="E441" s="7">
        <v>8.0</v>
      </c>
      <c r="F441" s="7">
        <v>456.069901227951</v>
      </c>
      <c r="G441" s="7">
        <v>565.951588630676</v>
      </c>
      <c r="H441" s="7">
        <v>4.0</v>
      </c>
      <c r="I441" s="15">
        <v>0.841744612286444</v>
      </c>
      <c r="J441" s="15">
        <v>0.0973747989887186</v>
      </c>
      <c r="K441" s="12">
        <f>AVERAGE(I437:I441)</f>
        <v>0.4338526422</v>
      </c>
      <c r="L441" s="18">
        <v>5031.0</v>
      </c>
      <c r="M441" s="14">
        <f>STDEV(L437:L441)</f>
        <v>21550.93027</v>
      </c>
      <c r="N441" s="15" t="b">
        <f t="shared" si="1"/>
        <v>0</v>
      </c>
    </row>
    <row r="442" hidden="1">
      <c r="A442" s="7" t="s">
        <v>95</v>
      </c>
      <c r="B442" s="23" t="s">
        <v>17</v>
      </c>
      <c r="C442" s="23">
        <v>0.25</v>
      </c>
      <c r="D442" s="23">
        <v>0.5</v>
      </c>
      <c r="E442" s="23">
        <v>9.0</v>
      </c>
      <c r="F442" s="7">
        <v>279.376145362854</v>
      </c>
      <c r="G442" s="7">
        <v>417.447371959686</v>
      </c>
      <c r="H442" s="7">
        <v>0.0</v>
      </c>
      <c r="I442" s="15">
        <v>0.79455299549561</v>
      </c>
      <c r="J442" s="15">
        <v>0.118649737840862</v>
      </c>
      <c r="K442" s="12">
        <f>AVERAGE(I442:I446)</f>
        <v>0.6599157387</v>
      </c>
      <c r="L442" s="18">
        <v>11466.0</v>
      </c>
      <c r="M442" s="14">
        <f>STDEV(L442:L446)</f>
        <v>45588.94644</v>
      </c>
      <c r="N442" s="15" t="b">
        <f t="shared" si="1"/>
        <v>1</v>
      </c>
    </row>
    <row r="443" hidden="1">
      <c r="A443" s="7" t="s">
        <v>95</v>
      </c>
      <c r="B443" s="23" t="s">
        <v>17</v>
      </c>
      <c r="C443" s="23">
        <v>0.25</v>
      </c>
      <c r="D443" s="23">
        <v>0.5</v>
      </c>
      <c r="E443" s="23">
        <v>9.0</v>
      </c>
      <c r="F443" s="7">
        <v>279.376145362854</v>
      </c>
      <c r="G443" s="7">
        <v>417.447371959686</v>
      </c>
      <c r="H443" s="7">
        <v>1.0</v>
      </c>
      <c r="I443" s="15">
        <v>0.780802006432947</v>
      </c>
      <c r="J443" s="15">
        <v>0.130634515811737</v>
      </c>
      <c r="K443" s="12">
        <f>AVERAGE(I442:I446)</f>
        <v>0.6599157387</v>
      </c>
      <c r="L443" s="18">
        <v>13020.0</v>
      </c>
      <c r="M443" s="14">
        <f>STDEV(L442:L446)</f>
        <v>45588.94644</v>
      </c>
      <c r="N443" s="15" t="b">
        <f t="shared" si="1"/>
        <v>1</v>
      </c>
    </row>
    <row r="444" hidden="1">
      <c r="A444" s="7" t="s">
        <v>95</v>
      </c>
      <c r="B444" s="23" t="s">
        <v>17</v>
      </c>
      <c r="C444" s="23">
        <v>0.25</v>
      </c>
      <c r="D444" s="23">
        <v>0.5</v>
      </c>
      <c r="E444" s="23">
        <v>9.0</v>
      </c>
      <c r="F444" s="7">
        <v>279.376145362854</v>
      </c>
      <c r="G444" s="7">
        <v>417.447371959686</v>
      </c>
      <c r="H444" s="7">
        <v>2.0</v>
      </c>
      <c r="I444" s="15">
        <v>0.808592737719039</v>
      </c>
      <c r="J444" s="15">
        <v>0.12334065348222</v>
      </c>
      <c r="K444" s="12">
        <f>AVERAGE(I442:I446)</f>
        <v>0.6599157387</v>
      </c>
      <c r="L444" s="18">
        <v>5660.0</v>
      </c>
      <c r="M444" s="14">
        <f>STDEV(L442:L446)</f>
        <v>45588.94644</v>
      </c>
      <c r="N444" s="15" t="b">
        <f t="shared" si="1"/>
        <v>1</v>
      </c>
    </row>
    <row r="445" hidden="1">
      <c r="A445" s="7" t="s">
        <v>95</v>
      </c>
      <c r="B445" s="23" t="s">
        <v>17</v>
      </c>
      <c r="C445" s="23">
        <v>0.25</v>
      </c>
      <c r="D445" s="23">
        <v>0.5</v>
      </c>
      <c r="E445" s="23">
        <v>9.0</v>
      </c>
      <c r="F445" s="7">
        <v>279.376145362854</v>
      </c>
      <c r="G445" s="7">
        <v>417.447371959686</v>
      </c>
      <c r="H445" s="7">
        <v>3.0</v>
      </c>
      <c r="I445" s="15">
        <v>0.0227491181622998</v>
      </c>
      <c r="J445" s="15">
        <v>0.165155136558689</v>
      </c>
      <c r="K445" s="12">
        <f>AVERAGE(I442:I446)</f>
        <v>0.6599157387</v>
      </c>
      <c r="L445" s="18">
        <v>109502.0</v>
      </c>
      <c r="M445" s="14">
        <f>STDEV(L442:L446)</f>
        <v>45588.94644</v>
      </c>
      <c r="N445" s="15" t="b">
        <f t="shared" si="1"/>
        <v>1</v>
      </c>
    </row>
    <row r="446" hidden="1">
      <c r="A446" s="7" t="s">
        <v>95</v>
      </c>
      <c r="B446" s="23" t="s">
        <v>17</v>
      </c>
      <c r="C446" s="23">
        <v>0.25</v>
      </c>
      <c r="D446" s="23">
        <v>0.5</v>
      </c>
      <c r="E446" s="23">
        <v>9.0</v>
      </c>
      <c r="F446" s="7">
        <v>279.376145362854</v>
      </c>
      <c r="G446" s="7">
        <v>417.447371959686</v>
      </c>
      <c r="H446" s="7">
        <v>4.0</v>
      </c>
      <c r="I446" s="15">
        <v>0.892881835654388</v>
      </c>
      <c r="J446" s="15">
        <v>0.119929648792418</v>
      </c>
      <c r="K446" s="12">
        <f>AVERAGE(I442:I446)</f>
        <v>0.6599157387</v>
      </c>
      <c r="L446" s="18">
        <v>2028.0</v>
      </c>
      <c r="M446" s="14">
        <f>STDEV(L442:L446)</f>
        <v>45588.94644</v>
      </c>
      <c r="N446" s="15" t="b">
        <f t="shared" si="1"/>
        <v>1</v>
      </c>
    </row>
    <row r="447" hidden="1">
      <c r="A447" s="7" t="s">
        <v>96</v>
      </c>
      <c r="B447" s="7" t="s">
        <v>17</v>
      </c>
      <c r="C447" s="7">
        <v>0.25</v>
      </c>
      <c r="D447" s="7">
        <v>0.5</v>
      </c>
      <c r="E447" s="7">
        <v>10.0</v>
      </c>
      <c r="F447" s="7">
        <v>208.10064291954</v>
      </c>
      <c r="G447" s="7">
        <v>371.177466154098</v>
      </c>
      <c r="H447" s="7">
        <v>0.0</v>
      </c>
      <c r="I447" s="15">
        <v>0.825820698518942</v>
      </c>
      <c r="J447" s="15">
        <v>0.0920137062392828</v>
      </c>
      <c r="K447" s="12">
        <f>AVERAGE(I447:I451)</f>
        <v>0.6405841004</v>
      </c>
      <c r="L447" s="18">
        <v>4613.0</v>
      </c>
      <c r="M447" s="14">
        <f>STDEV(L447:L451)</f>
        <v>41325.35339</v>
      </c>
      <c r="N447" s="15" t="b">
        <f t="shared" si="1"/>
        <v>0</v>
      </c>
    </row>
    <row r="448" hidden="1">
      <c r="A448" s="7" t="s">
        <v>96</v>
      </c>
      <c r="B448" s="7" t="s">
        <v>17</v>
      </c>
      <c r="C448" s="7">
        <v>0.25</v>
      </c>
      <c r="D448" s="7">
        <v>0.5</v>
      </c>
      <c r="E448" s="7">
        <v>10.0</v>
      </c>
      <c r="F448" s="7">
        <v>208.10064291954</v>
      </c>
      <c r="G448" s="7">
        <v>371.177466154098</v>
      </c>
      <c r="H448" s="7">
        <v>1.0</v>
      </c>
      <c r="I448" s="15">
        <v>0.0398275571414927</v>
      </c>
      <c r="J448" s="15">
        <v>0.140651206309295</v>
      </c>
      <c r="K448" s="12">
        <f>AVERAGE(I447:I451)</f>
        <v>0.6405841004</v>
      </c>
      <c r="L448" s="18">
        <v>101656.0</v>
      </c>
      <c r="M448" s="14">
        <f>STDEV(L447:L451)</f>
        <v>41325.35339</v>
      </c>
      <c r="N448" s="15" t="b">
        <f t="shared" si="1"/>
        <v>0</v>
      </c>
    </row>
    <row r="449" hidden="1">
      <c r="A449" s="7" t="s">
        <v>96</v>
      </c>
      <c r="B449" s="7" t="s">
        <v>17</v>
      </c>
      <c r="C449" s="7">
        <v>0.25</v>
      </c>
      <c r="D449" s="7">
        <v>0.5</v>
      </c>
      <c r="E449" s="7">
        <v>10.0</v>
      </c>
      <c r="F449" s="7">
        <v>208.10064291954</v>
      </c>
      <c r="G449" s="7">
        <v>371.177466154098</v>
      </c>
      <c r="H449" s="7">
        <v>2.0</v>
      </c>
      <c r="I449" s="15">
        <v>0.789670411892165</v>
      </c>
      <c r="J449" s="15">
        <v>0.100745942674317</v>
      </c>
      <c r="K449" s="12">
        <f>AVERAGE(I447:I451)</f>
        <v>0.6405841004</v>
      </c>
      <c r="L449" s="18">
        <v>18676.0</v>
      </c>
      <c r="M449" s="14">
        <f>STDEV(L447:L451)</f>
        <v>41325.35339</v>
      </c>
      <c r="N449" s="15" t="b">
        <f t="shared" si="1"/>
        <v>0</v>
      </c>
    </row>
    <row r="450" hidden="1">
      <c r="A450" s="7" t="s">
        <v>96</v>
      </c>
      <c r="B450" s="7" t="s">
        <v>17</v>
      </c>
      <c r="C450" s="7">
        <v>0.25</v>
      </c>
      <c r="D450" s="7">
        <v>0.5</v>
      </c>
      <c r="E450" s="7">
        <v>10.0</v>
      </c>
      <c r="F450" s="7">
        <v>208.10064291954</v>
      </c>
      <c r="G450" s="7">
        <v>371.177466154098</v>
      </c>
      <c r="H450" s="7">
        <v>3.0</v>
      </c>
      <c r="I450" s="15">
        <v>0.749369839314361</v>
      </c>
      <c r="J450" s="15">
        <v>0.139793108085275</v>
      </c>
      <c r="K450" s="12">
        <f>AVERAGE(I447:I451)</f>
        <v>0.6405841004</v>
      </c>
      <c r="L450" s="18">
        <v>9254.0</v>
      </c>
      <c r="M450" s="14">
        <f>STDEV(L447:L451)</f>
        <v>41325.35339</v>
      </c>
      <c r="N450" s="15" t="b">
        <f t="shared" si="1"/>
        <v>0</v>
      </c>
    </row>
    <row r="451" hidden="1">
      <c r="A451" s="7" t="s">
        <v>96</v>
      </c>
      <c r="B451" s="7" t="s">
        <v>17</v>
      </c>
      <c r="C451" s="7">
        <v>0.25</v>
      </c>
      <c r="D451" s="7">
        <v>0.5</v>
      </c>
      <c r="E451" s="7">
        <v>10.0</v>
      </c>
      <c r="F451" s="7">
        <v>208.10064291954</v>
      </c>
      <c r="G451" s="7">
        <v>371.177466154098</v>
      </c>
      <c r="H451" s="7">
        <v>4.0</v>
      </c>
      <c r="I451" s="15">
        <v>0.7982319952698</v>
      </c>
      <c r="J451" s="15">
        <v>0.117849207529049</v>
      </c>
      <c r="K451" s="12">
        <f>AVERAGE(I447:I451)</f>
        <v>0.6405841004</v>
      </c>
      <c r="L451" s="18">
        <v>7477.0</v>
      </c>
      <c r="M451" s="14">
        <f>STDEV(L447:L451)</f>
        <v>41325.35339</v>
      </c>
      <c r="N451" s="15" t="b">
        <f t="shared" si="1"/>
        <v>0</v>
      </c>
    </row>
    <row r="452" hidden="1">
      <c r="A452" s="7" t="s">
        <v>97</v>
      </c>
      <c r="B452" s="22" t="s">
        <v>17</v>
      </c>
      <c r="C452" s="22">
        <v>0.25</v>
      </c>
      <c r="D452" s="22">
        <v>0.75</v>
      </c>
      <c r="E452" s="22">
        <v>1.0</v>
      </c>
      <c r="F452" s="7">
        <v>208.387226343154</v>
      </c>
      <c r="G452" s="7">
        <v>339.10780596733</v>
      </c>
      <c r="H452" s="7">
        <v>0.0</v>
      </c>
      <c r="I452" s="15">
        <v>0.846653943977524</v>
      </c>
      <c r="J452" s="15">
        <v>0.0956448781803019</v>
      </c>
      <c r="K452" s="12">
        <f>AVERAGE(I452:I456)</f>
        <v>0.6513924572</v>
      </c>
      <c r="L452" s="18">
        <v>4788.0</v>
      </c>
      <c r="M452" s="14">
        <f>STDEV(L452:L456)</f>
        <v>40595.48941</v>
      </c>
      <c r="N452" s="15" t="b">
        <f t="shared" si="1"/>
        <v>0</v>
      </c>
    </row>
    <row r="453" hidden="1">
      <c r="A453" s="7" t="s">
        <v>97</v>
      </c>
      <c r="B453" s="22" t="s">
        <v>17</v>
      </c>
      <c r="C453" s="22">
        <v>0.25</v>
      </c>
      <c r="D453" s="22">
        <v>0.75</v>
      </c>
      <c r="E453" s="22">
        <v>1.0</v>
      </c>
      <c r="F453" s="7">
        <v>208.387226343154</v>
      </c>
      <c r="G453" s="7">
        <v>339.10780596733</v>
      </c>
      <c r="H453" s="7">
        <v>1.0</v>
      </c>
      <c r="I453" s="15">
        <v>0.0271222718042867</v>
      </c>
      <c r="J453" s="15">
        <v>0.17273706002996</v>
      </c>
      <c r="K453" s="12">
        <f>AVERAGE(I452:I456)</f>
        <v>0.6513924572</v>
      </c>
      <c r="L453" s="18">
        <v>100356.0</v>
      </c>
      <c r="M453" s="14">
        <f>STDEV(L452:L456)</f>
        <v>40595.48941</v>
      </c>
      <c r="N453" s="15" t="b">
        <f t="shared" si="1"/>
        <v>0</v>
      </c>
    </row>
    <row r="454" hidden="1">
      <c r="A454" s="7" t="s">
        <v>97</v>
      </c>
      <c r="B454" s="22" t="s">
        <v>17</v>
      </c>
      <c r="C454" s="22">
        <v>0.25</v>
      </c>
      <c r="D454" s="22">
        <v>0.75</v>
      </c>
      <c r="E454" s="22">
        <v>1.0</v>
      </c>
      <c r="F454" s="7">
        <v>208.387226343154</v>
      </c>
      <c r="G454" s="7">
        <v>339.10780596733</v>
      </c>
      <c r="H454" s="7">
        <v>2.0</v>
      </c>
      <c r="I454" s="15">
        <v>0.799090226666341</v>
      </c>
      <c r="J454" s="15">
        <v>0.119606624656774</v>
      </c>
      <c r="K454" s="12">
        <f>AVERAGE(I452:I456)</f>
        <v>0.6513924572</v>
      </c>
      <c r="L454" s="18">
        <v>7449.0</v>
      </c>
      <c r="M454" s="14">
        <f>STDEV(L452:L456)</f>
        <v>40595.48941</v>
      </c>
      <c r="N454" s="15" t="b">
        <f t="shared" si="1"/>
        <v>0</v>
      </c>
    </row>
    <row r="455" hidden="1">
      <c r="A455" s="7" t="s">
        <v>97</v>
      </c>
      <c r="B455" s="22" t="s">
        <v>17</v>
      </c>
      <c r="C455" s="22">
        <v>0.25</v>
      </c>
      <c r="D455" s="22">
        <v>0.75</v>
      </c>
      <c r="E455" s="22">
        <v>1.0</v>
      </c>
      <c r="F455" s="7">
        <v>208.387226343154</v>
      </c>
      <c r="G455" s="7">
        <v>339.10780596733</v>
      </c>
      <c r="H455" s="7">
        <v>3.0</v>
      </c>
      <c r="I455" s="15">
        <v>0.789484435958267</v>
      </c>
      <c r="J455" s="15">
        <v>0.10013857267216</v>
      </c>
      <c r="K455" s="12">
        <f>AVERAGE(I452:I456)</f>
        <v>0.6513924572</v>
      </c>
      <c r="L455" s="18">
        <v>18649.0</v>
      </c>
      <c r="M455" s="14">
        <f>STDEV(L452:L456)</f>
        <v>40595.48941</v>
      </c>
      <c r="N455" s="15" t="b">
        <f t="shared" si="1"/>
        <v>0</v>
      </c>
    </row>
    <row r="456" hidden="1">
      <c r="A456" s="7" t="s">
        <v>97</v>
      </c>
      <c r="B456" s="22" t="s">
        <v>17</v>
      </c>
      <c r="C456" s="22">
        <v>0.25</v>
      </c>
      <c r="D456" s="22">
        <v>0.75</v>
      </c>
      <c r="E456" s="22">
        <v>1.0</v>
      </c>
      <c r="F456" s="7">
        <v>208.387226343154</v>
      </c>
      <c r="G456" s="7">
        <v>339.10780596733</v>
      </c>
      <c r="H456" s="7">
        <v>4.0</v>
      </c>
      <c r="I456" s="15">
        <v>0.794611407434841</v>
      </c>
      <c r="J456" s="15">
        <v>0.123896004192725</v>
      </c>
      <c r="K456" s="12">
        <f>AVERAGE(I452:I456)</f>
        <v>0.6513924572</v>
      </c>
      <c r="L456" s="18">
        <v>10434.0</v>
      </c>
      <c r="M456" s="14">
        <f>STDEV(L452:L456)</f>
        <v>40595.48941</v>
      </c>
      <c r="N456" s="15" t="b">
        <f t="shared" si="1"/>
        <v>0</v>
      </c>
    </row>
    <row r="457" hidden="1">
      <c r="A457" s="7" t="s">
        <v>98</v>
      </c>
      <c r="B457" s="7" t="s">
        <v>17</v>
      </c>
      <c r="C457" s="7">
        <v>0.25</v>
      </c>
      <c r="D457" s="7">
        <v>0.75</v>
      </c>
      <c r="E457" s="7">
        <v>2.0</v>
      </c>
      <c r="F457" s="7">
        <v>355.52398109436</v>
      </c>
      <c r="G457" s="7">
        <v>478.209981203079</v>
      </c>
      <c r="H457" s="7">
        <v>0.0</v>
      </c>
      <c r="I457" s="15">
        <v>0.648052659952743</v>
      </c>
      <c r="J457" s="15">
        <v>0.125337831785248</v>
      </c>
      <c r="K457" s="12">
        <f>AVERAGE(I457:I461)</f>
        <v>0.4018852933</v>
      </c>
      <c r="L457" s="18">
        <v>2342.0</v>
      </c>
      <c r="M457" s="14">
        <f>STDEV(L457:L461)</f>
        <v>26493.11485</v>
      </c>
      <c r="N457" s="15" t="b">
        <f t="shared" si="1"/>
        <v>0</v>
      </c>
    </row>
    <row r="458" hidden="1">
      <c r="A458" s="7" t="s">
        <v>98</v>
      </c>
      <c r="B458" s="7" t="s">
        <v>17</v>
      </c>
      <c r="C458" s="7">
        <v>0.25</v>
      </c>
      <c r="D458" s="7">
        <v>0.75</v>
      </c>
      <c r="E458" s="7">
        <v>2.0</v>
      </c>
      <c r="F458" s="7">
        <v>355.52398109436</v>
      </c>
      <c r="G458" s="7">
        <v>478.209981203079</v>
      </c>
      <c r="H458" s="7">
        <v>1.0</v>
      </c>
      <c r="I458" s="15">
        <v>0.147383418036799</v>
      </c>
      <c r="J458" s="15">
        <v>0.196755111508098</v>
      </c>
      <c r="K458" s="12">
        <f>AVERAGE(I457:I461)</f>
        <v>0.4018852933</v>
      </c>
      <c r="L458" s="18">
        <v>38128.0</v>
      </c>
      <c r="M458" s="14">
        <f>STDEV(L457:L461)</f>
        <v>26493.11485</v>
      </c>
      <c r="N458" s="15" t="b">
        <f t="shared" si="1"/>
        <v>0</v>
      </c>
    </row>
    <row r="459" hidden="1">
      <c r="A459" s="7" t="s">
        <v>98</v>
      </c>
      <c r="B459" s="7" t="s">
        <v>17</v>
      </c>
      <c r="C459" s="7">
        <v>0.25</v>
      </c>
      <c r="D459" s="7">
        <v>0.75</v>
      </c>
      <c r="E459" s="7">
        <v>2.0</v>
      </c>
      <c r="F459" s="7">
        <v>355.52398109436</v>
      </c>
      <c r="G459" s="7">
        <v>478.209981203079</v>
      </c>
      <c r="H459" s="7">
        <v>2.0</v>
      </c>
      <c r="I459" s="15">
        <v>0.200199111217517</v>
      </c>
      <c r="J459" s="15">
        <v>0.0832296417952769</v>
      </c>
      <c r="K459" s="12">
        <f>AVERAGE(I457:I461)</f>
        <v>0.4018852933</v>
      </c>
      <c r="L459" s="18">
        <v>34673.0</v>
      </c>
      <c r="M459" s="14">
        <f>STDEV(L457:L461)</f>
        <v>26493.11485</v>
      </c>
      <c r="N459" s="15" t="b">
        <f t="shared" si="1"/>
        <v>0</v>
      </c>
    </row>
    <row r="460" hidden="1">
      <c r="A460" s="7" t="s">
        <v>98</v>
      </c>
      <c r="B460" s="7" t="s">
        <v>17</v>
      </c>
      <c r="C460" s="7">
        <v>0.25</v>
      </c>
      <c r="D460" s="7">
        <v>0.75</v>
      </c>
      <c r="E460" s="7">
        <v>2.0</v>
      </c>
      <c r="F460" s="7">
        <v>355.52398109436</v>
      </c>
      <c r="G460" s="7">
        <v>478.209981203079</v>
      </c>
      <c r="H460" s="7">
        <v>3.0</v>
      </c>
      <c r="I460" s="15">
        <v>0.104066123146868</v>
      </c>
      <c r="J460" s="15">
        <v>0.0928999897306658</v>
      </c>
      <c r="K460" s="12">
        <f>AVERAGE(I457:I461)</f>
        <v>0.4018852933</v>
      </c>
      <c r="L460" s="18">
        <v>64469.0</v>
      </c>
      <c r="M460" s="14">
        <f>STDEV(L457:L461)</f>
        <v>26493.11485</v>
      </c>
      <c r="N460" s="15" t="b">
        <f t="shared" si="1"/>
        <v>0</v>
      </c>
    </row>
    <row r="461" hidden="1">
      <c r="A461" s="7" t="s">
        <v>98</v>
      </c>
      <c r="B461" s="7" t="s">
        <v>17</v>
      </c>
      <c r="C461" s="7">
        <v>0.25</v>
      </c>
      <c r="D461" s="7">
        <v>0.75</v>
      </c>
      <c r="E461" s="7">
        <v>2.0</v>
      </c>
      <c r="F461" s="7">
        <v>355.52398109436</v>
      </c>
      <c r="G461" s="7">
        <v>478.209981203079</v>
      </c>
      <c r="H461" s="7">
        <v>4.0</v>
      </c>
      <c r="I461" s="15">
        <v>0.909725154133609</v>
      </c>
      <c r="J461" s="15">
        <v>0.0452376060158891</v>
      </c>
      <c r="K461" s="12">
        <f>AVERAGE(I457:I461)</f>
        <v>0.4018852933</v>
      </c>
      <c r="L461" s="18">
        <v>2064.0</v>
      </c>
      <c r="M461" s="14">
        <f>STDEV(L457:L461)</f>
        <v>26493.11485</v>
      </c>
      <c r="N461" s="15" t="b">
        <f t="shared" si="1"/>
        <v>0</v>
      </c>
    </row>
    <row r="462" hidden="1">
      <c r="A462" s="7" t="s">
        <v>99</v>
      </c>
      <c r="B462" s="7" t="s">
        <v>17</v>
      </c>
      <c r="C462" s="7">
        <v>0.25</v>
      </c>
      <c r="D462" s="7">
        <v>0.75</v>
      </c>
      <c r="E462" s="7">
        <v>3.0</v>
      </c>
      <c r="F462" s="7">
        <v>230.837663173675</v>
      </c>
      <c r="G462" s="7">
        <v>365.276588201522</v>
      </c>
      <c r="H462" s="7">
        <v>0.0</v>
      </c>
      <c r="I462" s="15">
        <v>0.795285882976689</v>
      </c>
      <c r="J462" s="15">
        <v>0.123450416008903</v>
      </c>
      <c r="K462" s="12">
        <f>AVERAGE(I462:I466)</f>
        <v>0.6249666739</v>
      </c>
      <c r="L462" s="18">
        <v>10426.0</v>
      </c>
      <c r="M462" s="14">
        <f>STDEV(L462:L466)</f>
        <v>45282.77147</v>
      </c>
      <c r="N462" s="15" t="b">
        <f t="shared" si="1"/>
        <v>0</v>
      </c>
    </row>
    <row r="463" hidden="1">
      <c r="A463" s="7" t="s">
        <v>99</v>
      </c>
      <c r="B463" s="7" t="s">
        <v>17</v>
      </c>
      <c r="C463" s="7">
        <v>0.25</v>
      </c>
      <c r="D463" s="7">
        <v>0.75</v>
      </c>
      <c r="E463" s="7">
        <v>3.0</v>
      </c>
      <c r="F463" s="7">
        <v>230.837663173675</v>
      </c>
      <c r="G463" s="7">
        <v>365.276588201522</v>
      </c>
      <c r="H463" s="7">
        <v>1.0</v>
      </c>
      <c r="I463" s="15">
        <v>0.790666948394069</v>
      </c>
      <c r="J463" s="15">
        <v>0.10280021746424</v>
      </c>
      <c r="K463" s="12">
        <f>AVERAGE(I462:I466)</f>
        <v>0.6249666739</v>
      </c>
      <c r="L463" s="18">
        <v>18551.0</v>
      </c>
      <c r="M463" s="14">
        <f>STDEV(L462:L466)</f>
        <v>45282.77147</v>
      </c>
      <c r="N463" s="15" t="b">
        <f t="shared" si="1"/>
        <v>0</v>
      </c>
    </row>
    <row r="464" hidden="1">
      <c r="A464" s="7" t="s">
        <v>99</v>
      </c>
      <c r="B464" s="7" t="s">
        <v>17</v>
      </c>
      <c r="C464" s="7">
        <v>0.25</v>
      </c>
      <c r="D464" s="7">
        <v>0.75</v>
      </c>
      <c r="E464" s="7">
        <v>3.0</v>
      </c>
      <c r="F464" s="7">
        <v>230.837663173675</v>
      </c>
      <c r="G464" s="7">
        <v>365.276588201522</v>
      </c>
      <c r="H464" s="7">
        <v>2.0</v>
      </c>
      <c r="I464" s="15">
        <v>0.735632764627601</v>
      </c>
      <c r="J464" s="15">
        <v>0.196521822538558</v>
      </c>
      <c r="K464" s="12">
        <f>AVERAGE(I462:I466)</f>
        <v>0.6249666739</v>
      </c>
      <c r="L464" s="18">
        <v>2325.0</v>
      </c>
      <c r="M464" s="14">
        <f>STDEV(L462:L466)</f>
        <v>45282.77147</v>
      </c>
      <c r="N464" s="15" t="b">
        <f t="shared" si="1"/>
        <v>0</v>
      </c>
    </row>
    <row r="465" hidden="1">
      <c r="A465" s="7" t="s">
        <v>99</v>
      </c>
      <c r="B465" s="7" t="s">
        <v>17</v>
      </c>
      <c r="C465" s="7">
        <v>0.25</v>
      </c>
      <c r="D465" s="7">
        <v>0.75</v>
      </c>
      <c r="E465" s="7">
        <v>3.0</v>
      </c>
      <c r="F465" s="7">
        <v>230.837663173675</v>
      </c>
      <c r="G465" s="7">
        <v>365.276588201522</v>
      </c>
      <c r="H465" s="7">
        <v>3.0</v>
      </c>
      <c r="I465" s="15">
        <v>0.785853851353646</v>
      </c>
      <c r="J465" s="15">
        <v>0.143086117108524</v>
      </c>
      <c r="K465" s="12">
        <f>AVERAGE(I462:I466)</f>
        <v>0.6249666739</v>
      </c>
      <c r="L465" s="18">
        <v>1956.0</v>
      </c>
      <c r="M465" s="14">
        <f>STDEV(L462:L466)</f>
        <v>45282.77147</v>
      </c>
      <c r="N465" s="15" t="b">
        <f t="shared" si="1"/>
        <v>0</v>
      </c>
    </row>
    <row r="466" hidden="1">
      <c r="A466" s="7" t="s">
        <v>99</v>
      </c>
      <c r="B466" s="7" t="s">
        <v>17</v>
      </c>
      <c r="C466" s="7">
        <v>0.25</v>
      </c>
      <c r="D466" s="7">
        <v>0.75</v>
      </c>
      <c r="E466" s="7">
        <v>3.0</v>
      </c>
      <c r="F466" s="7">
        <v>230.837663173675</v>
      </c>
      <c r="G466" s="7">
        <v>365.276588201522</v>
      </c>
      <c r="H466" s="7">
        <v>4.0</v>
      </c>
      <c r="I466" s="15">
        <v>0.0173939222920461</v>
      </c>
      <c r="J466" s="15">
        <v>0.176568667517747</v>
      </c>
      <c r="K466" s="12">
        <f>AVERAGE(I462:I466)</f>
        <v>0.6249666739</v>
      </c>
      <c r="L466" s="18">
        <v>108418.0</v>
      </c>
      <c r="M466" s="14">
        <f>STDEV(L462:L466)</f>
        <v>45282.77147</v>
      </c>
      <c r="N466" s="15" t="b">
        <f t="shared" si="1"/>
        <v>0</v>
      </c>
    </row>
    <row r="467" hidden="1">
      <c r="A467" s="7" t="s">
        <v>100</v>
      </c>
      <c r="B467" s="7" t="s">
        <v>17</v>
      </c>
      <c r="C467" s="7">
        <v>0.25</v>
      </c>
      <c r="D467" s="7">
        <v>0.75</v>
      </c>
      <c r="E467" s="7">
        <v>4.0</v>
      </c>
      <c r="F467" s="7">
        <v>185.849087953567</v>
      </c>
      <c r="G467" s="7">
        <v>315.689528942108</v>
      </c>
      <c r="H467" s="7">
        <v>0.0</v>
      </c>
      <c r="I467" s="15">
        <v>0.829278737092117</v>
      </c>
      <c r="J467" s="15">
        <v>0.0975235410283455</v>
      </c>
      <c r="K467" s="12">
        <f>AVERAGE(I467:I471)</f>
        <v>0.6506905758</v>
      </c>
      <c r="L467" s="18">
        <v>7439.0</v>
      </c>
      <c r="M467" s="14">
        <f>STDEV(L467:L471)</f>
        <v>51698.60965</v>
      </c>
      <c r="N467" s="15" t="b">
        <f t="shared" si="1"/>
        <v>0</v>
      </c>
    </row>
    <row r="468" hidden="1">
      <c r="A468" s="7" t="s">
        <v>100</v>
      </c>
      <c r="B468" s="7" t="s">
        <v>17</v>
      </c>
      <c r="C468" s="7">
        <v>0.25</v>
      </c>
      <c r="D468" s="7">
        <v>0.75</v>
      </c>
      <c r="E468" s="7">
        <v>4.0</v>
      </c>
      <c r="F468" s="7">
        <v>185.849087953567</v>
      </c>
      <c r="G468" s="7">
        <v>315.689528942108</v>
      </c>
      <c r="H468" s="7">
        <v>1.0</v>
      </c>
      <c r="I468" s="15">
        <v>0.031459476514639</v>
      </c>
      <c r="J468" s="15">
        <v>0.164661283314958</v>
      </c>
      <c r="K468" s="12">
        <f>AVERAGE(I467:I471)</f>
        <v>0.6506905758</v>
      </c>
      <c r="L468" s="18">
        <v>120564.0</v>
      </c>
      <c r="M468" s="14">
        <f>STDEV(L467:L471)</f>
        <v>51698.60965</v>
      </c>
      <c r="N468" s="15" t="b">
        <f t="shared" si="1"/>
        <v>0</v>
      </c>
    </row>
    <row r="469" hidden="1">
      <c r="A469" s="7" t="s">
        <v>100</v>
      </c>
      <c r="B469" s="7" t="s">
        <v>17</v>
      </c>
      <c r="C469" s="7">
        <v>0.25</v>
      </c>
      <c r="D469" s="7">
        <v>0.75</v>
      </c>
      <c r="E469" s="7">
        <v>4.0</v>
      </c>
      <c r="F469" s="7">
        <v>185.849087953567</v>
      </c>
      <c r="G469" s="7">
        <v>315.689528942108</v>
      </c>
      <c r="H469" s="7">
        <v>2.0</v>
      </c>
      <c r="I469" s="15">
        <v>0.808275357103797</v>
      </c>
      <c r="J469" s="15">
        <v>0.137781097429335</v>
      </c>
      <c r="K469" s="12">
        <f>AVERAGE(I467:I471)</f>
        <v>0.6506905758</v>
      </c>
      <c r="L469" s="18">
        <v>1287.0</v>
      </c>
      <c r="M469" s="14">
        <f>STDEV(L467:L471)</f>
        <v>51698.60965</v>
      </c>
      <c r="N469" s="15" t="b">
        <f t="shared" si="1"/>
        <v>0</v>
      </c>
    </row>
    <row r="470" hidden="1">
      <c r="A470" s="7" t="s">
        <v>100</v>
      </c>
      <c r="B470" s="7" t="s">
        <v>17</v>
      </c>
      <c r="C470" s="7">
        <v>0.25</v>
      </c>
      <c r="D470" s="7">
        <v>0.75</v>
      </c>
      <c r="E470" s="7">
        <v>4.0</v>
      </c>
      <c r="F470" s="7">
        <v>185.849087953567</v>
      </c>
      <c r="G470" s="7">
        <v>315.689528942108</v>
      </c>
      <c r="H470" s="7">
        <v>3.0</v>
      </c>
      <c r="I470" s="15">
        <v>0.788719636742688</v>
      </c>
      <c r="J470" s="15">
        <v>0.140036563753127</v>
      </c>
      <c r="K470" s="12">
        <f>AVERAGE(I467:I471)</f>
        <v>0.6506905758</v>
      </c>
      <c r="L470" s="18">
        <v>1949.0</v>
      </c>
      <c r="M470" s="14">
        <f>STDEV(L467:L471)</f>
        <v>51698.60965</v>
      </c>
      <c r="N470" s="15" t="b">
        <f t="shared" si="1"/>
        <v>0</v>
      </c>
    </row>
    <row r="471" hidden="1">
      <c r="A471" s="7" t="s">
        <v>100</v>
      </c>
      <c r="B471" s="7" t="s">
        <v>17</v>
      </c>
      <c r="C471" s="7">
        <v>0.25</v>
      </c>
      <c r="D471" s="7">
        <v>0.75</v>
      </c>
      <c r="E471" s="7">
        <v>4.0</v>
      </c>
      <c r="F471" s="7">
        <v>185.849087953567</v>
      </c>
      <c r="G471" s="7">
        <v>315.689528942108</v>
      </c>
      <c r="H471" s="7">
        <v>4.0</v>
      </c>
      <c r="I471" s="15">
        <v>0.795719671559065</v>
      </c>
      <c r="J471" s="15">
        <v>0.121557074363269</v>
      </c>
      <c r="K471" s="12">
        <f>AVERAGE(I467:I471)</f>
        <v>0.6506905758</v>
      </c>
      <c r="L471" s="18">
        <v>10437.0</v>
      </c>
      <c r="M471" s="14">
        <f>STDEV(L467:L471)</f>
        <v>51698.60965</v>
      </c>
      <c r="N471" s="15" t="b">
        <f t="shared" si="1"/>
        <v>0</v>
      </c>
    </row>
    <row r="472" hidden="1">
      <c r="A472" s="7" t="s">
        <v>101</v>
      </c>
      <c r="B472" s="7" t="s">
        <v>17</v>
      </c>
      <c r="C472" s="7">
        <v>0.25</v>
      </c>
      <c r="D472" s="7">
        <v>0.75</v>
      </c>
      <c r="E472" s="7">
        <v>5.0</v>
      </c>
      <c r="F472" s="7">
        <v>221.943046808242</v>
      </c>
      <c r="G472" s="7">
        <v>356.878677606582</v>
      </c>
      <c r="H472" s="7">
        <v>0.0</v>
      </c>
      <c r="I472" s="15">
        <v>0.0427935845275544</v>
      </c>
      <c r="J472" s="15">
        <v>0.256552568118626</v>
      </c>
      <c r="K472" s="12">
        <f>AVERAGE(I472:I476)</f>
        <v>0.5274362657</v>
      </c>
      <c r="L472" s="18">
        <v>60420.0</v>
      </c>
      <c r="M472" s="14">
        <f>STDEV(L472:L476)</f>
        <v>34794.37111</v>
      </c>
      <c r="N472" s="15" t="b">
        <f t="shared" si="1"/>
        <v>0</v>
      </c>
    </row>
    <row r="473" hidden="1">
      <c r="A473" s="7" t="s">
        <v>101</v>
      </c>
      <c r="B473" s="7" t="s">
        <v>17</v>
      </c>
      <c r="C473" s="7">
        <v>0.25</v>
      </c>
      <c r="D473" s="7">
        <v>0.75</v>
      </c>
      <c r="E473" s="7">
        <v>5.0</v>
      </c>
      <c r="F473" s="7">
        <v>221.943046808242</v>
      </c>
      <c r="G473" s="7">
        <v>356.878677606582</v>
      </c>
      <c r="H473" s="7">
        <v>1.0</v>
      </c>
      <c r="I473" s="15">
        <v>0.944649007733568</v>
      </c>
      <c r="J473" s="15">
        <v>0.0123002228651643</v>
      </c>
      <c r="K473" s="12">
        <f>AVERAGE(I472:I476)</f>
        <v>0.5274362657</v>
      </c>
      <c r="L473" s="18">
        <v>61.0</v>
      </c>
      <c r="M473" s="14">
        <f>STDEV(L472:L476)</f>
        <v>34794.37111</v>
      </c>
      <c r="N473" s="15" t="b">
        <f t="shared" si="1"/>
        <v>0</v>
      </c>
    </row>
    <row r="474" hidden="1">
      <c r="A474" s="7" t="s">
        <v>101</v>
      </c>
      <c r="B474" s="7" t="s">
        <v>17</v>
      </c>
      <c r="C474" s="7">
        <v>0.25</v>
      </c>
      <c r="D474" s="7">
        <v>0.75</v>
      </c>
      <c r="E474" s="7">
        <v>5.0</v>
      </c>
      <c r="F474" s="7">
        <v>221.943046808242</v>
      </c>
      <c r="G474" s="7">
        <v>356.878677606582</v>
      </c>
      <c r="H474" s="7">
        <v>2.0</v>
      </c>
      <c r="I474" s="15">
        <v>0.738695612669688</v>
      </c>
      <c r="J474" s="15">
        <v>0.148441279430087</v>
      </c>
      <c r="K474" s="12">
        <f>AVERAGE(I472:I476)</f>
        <v>0.5274362657</v>
      </c>
      <c r="L474" s="18">
        <v>8261.0</v>
      </c>
      <c r="M474" s="14">
        <f>STDEV(L472:L476)</f>
        <v>34794.37111</v>
      </c>
      <c r="N474" s="15" t="b">
        <f t="shared" si="1"/>
        <v>0</v>
      </c>
    </row>
    <row r="475" hidden="1">
      <c r="A475" s="7" t="s">
        <v>101</v>
      </c>
      <c r="B475" s="7" t="s">
        <v>17</v>
      </c>
      <c r="C475" s="7">
        <v>0.25</v>
      </c>
      <c r="D475" s="7">
        <v>0.75</v>
      </c>
      <c r="E475" s="7">
        <v>5.0</v>
      </c>
      <c r="F475" s="7">
        <v>221.943046808242</v>
      </c>
      <c r="G475" s="7">
        <v>356.878677606582</v>
      </c>
      <c r="H475" s="7">
        <v>3.0</v>
      </c>
      <c r="I475" s="15">
        <v>0.819076491831842</v>
      </c>
      <c r="J475" s="15">
        <v>0.128496585828447</v>
      </c>
      <c r="K475" s="12">
        <f>AVERAGE(I472:I476)</f>
        <v>0.5274362657</v>
      </c>
      <c r="L475" s="18">
        <v>1264.0</v>
      </c>
      <c r="M475" s="14">
        <f>STDEV(L472:L476)</f>
        <v>34794.37111</v>
      </c>
      <c r="N475" s="15" t="b">
        <f t="shared" si="1"/>
        <v>0</v>
      </c>
    </row>
    <row r="476" hidden="1">
      <c r="A476" s="7" t="s">
        <v>101</v>
      </c>
      <c r="B476" s="7" t="s">
        <v>17</v>
      </c>
      <c r="C476" s="7">
        <v>0.25</v>
      </c>
      <c r="D476" s="7">
        <v>0.75</v>
      </c>
      <c r="E476" s="7">
        <v>5.0</v>
      </c>
      <c r="F476" s="7">
        <v>221.943046808242</v>
      </c>
      <c r="G476" s="7">
        <v>356.878677606582</v>
      </c>
      <c r="H476" s="7">
        <v>4.0</v>
      </c>
      <c r="I476" s="15">
        <v>0.0919666315660057</v>
      </c>
      <c r="J476" s="15">
        <v>0.0680619455589837</v>
      </c>
      <c r="K476" s="12">
        <f>AVERAGE(I472:I476)</f>
        <v>0.5274362657</v>
      </c>
      <c r="L476" s="18">
        <v>71670.0</v>
      </c>
      <c r="M476" s="14">
        <f>STDEV(L472:L476)</f>
        <v>34794.37111</v>
      </c>
      <c r="N476" s="15" t="b">
        <f t="shared" si="1"/>
        <v>0</v>
      </c>
    </row>
    <row r="477" hidden="1">
      <c r="A477" s="7" t="s">
        <v>102</v>
      </c>
      <c r="B477" s="21" t="s">
        <v>17</v>
      </c>
      <c r="C477" s="21">
        <v>0.25</v>
      </c>
      <c r="D477" s="21">
        <v>0.75</v>
      </c>
      <c r="E477" s="21">
        <v>6.0</v>
      </c>
      <c r="F477" s="7">
        <v>183.918199062347</v>
      </c>
      <c r="G477" s="7">
        <v>321.293144226074</v>
      </c>
      <c r="H477" s="7">
        <v>0.0</v>
      </c>
      <c r="I477" s="15">
        <v>0.798921510301025</v>
      </c>
      <c r="J477" s="15">
        <v>0.117587971421617</v>
      </c>
      <c r="K477" s="12">
        <f>AVERAGE(I477:I481)</f>
        <v>0.6643459609</v>
      </c>
      <c r="L477" s="18">
        <v>7459.0</v>
      </c>
      <c r="M477" s="14">
        <f>STDEV(L477:L481)</f>
        <v>47358.04259</v>
      </c>
      <c r="N477" s="15" t="b">
        <f t="shared" si="1"/>
        <v>1</v>
      </c>
    </row>
    <row r="478" hidden="1">
      <c r="A478" s="7" t="s">
        <v>102</v>
      </c>
      <c r="B478" s="21" t="s">
        <v>17</v>
      </c>
      <c r="C478" s="21">
        <v>0.25</v>
      </c>
      <c r="D478" s="21">
        <v>0.75</v>
      </c>
      <c r="E478" s="21">
        <v>6.0</v>
      </c>
      <c r="F478" s="7">
        <v>183.918199062347</v>
      </c>
      <c r="G478" s="7">
        <v>321.293144226074</v>
      </c>
      <c r="H478" s="7">
        <v>1.0</v>
      </c>
      <c r="I478" s="15">
        <v>0.783591347434913</v>
      </c>
      <c r="J478" s="15">
        <v>0.133574237829161</v>
      </c>
      <c r="K478" s="12">
        <f>AVERAGE(I477:I481)</f>
        <v>0.6643459609</v>
      </c>
      <c r="L478" s="18">
        <v>12355.0</v>
      </c>
      <c r="M478" s="14">
        <f>STDEV(L477:L481)</f>
        <v>47358.04259</v>
      </c>
      <c r="N478" s="15" t="b">
        <f t="shared" si="1"/>
        <v>1</v>
      </c>
    </row>
    <row r="479" hidden="1">
      <c r="A479" s="7" t="s">
        <v>102</v>
      </c>
      <c r="B479" s="21" t="s">
        <v>17</v>
      </c>
      <c r="C479" s="21">
        <v>0.25</v>
      </c>
      <c r="D479" s="21">
        <v>0.75</v>
      </c>
      <c r="E479" s="21">
        <v>6.0</v>
      </c>
      <c r="F479" s="7">
        <v>183.918199062347</v>
      </c>
      <c r="G479" s="7">
        <v>321.293144226074</v>
      </c>
      <c r="H479" s="7">
        <v>2.0</v>
      </c>
      <c r="I479" s="15">
        <v>0.87197058481059</v>
      </c>
      <c r="J479" s="15">
        <v>0.0990766216195762</v>
      </c>
      <c r="K479" s="12">
        <f>AVERAGE(I477:I481)</f>
        <v>0.6643459609</v>
      </c>
      <c r="L479" s="18">
        <v>4392.0</v>
      </c>
      <c r="M479" s="14">
        <f>STDEV(L477:L481)</f>
        <v>47358.04259</v>
      </c>
      <c r="N479" s="15" t="b">
        <f t="shared" si="1"/>
        <v>1</v>
      </c>
    </row>
    <row r="480" hidden="1">
      <c r="A480" s="7" t="s">
        <v>102</v>
      </c>
      <c r="B480" s="21" t="s">
        <v>17</v>
      </c>
      <c r="C480" s="21">
        <v>0.25</v>
      </c>
      <c r="D480" s="21">
        <v>0.75</v>
      </c>
      <c r="E480" s="21">
        <v>6.0</v>
      </c>
      <c r="F480" s="7">
        <v>183.918199062347</v>
      </c>
      <c r="G480" s="7">
        <v>321.293144226074</v>
      </c>
      <c r="H480" s="7">
        <v>3.0</v>
      </c>
      <c r="I480" s="15">
        <v>0.82595576961094</v>
      </c>
      <c r="J480" s="15">
        <v>0.091977637560075</v>
      </c>
      <c r="K480" s="12">
        <f>AVERAGE(I477:I481)</f>
        <v>0.6643459609</v>
      </c>
      <c r="L480" s="18">
        <v>4613.0</v>
      </c>
      <c r="M480" s="14">
        <f>STDEV(L477:L481)</f>
        <v>47358.04259</v>
      </c>
      <c r="N480" s="15" t="b">
        <f t="shared" si="1"/>
        <v>1</v>
      </c>
    </row>
    <row r="481" hidden="1">
      <c r="A481" s="7" t="s">
        <v>102</v>
      </c>
      <c r="B481" s="21" t="s">
        <v>17</v>
      </c>
      <c r="C481" s="21">
        <v>0.25</v>
      </c>
      <c r="D481" s="21">
        <v>0.75</v>
      </c>
      <c r="E481" s="21">
        <v>6.0</v>
      </c>
      <c r="F481" s="7">
        <v>183.918199062347</v>
      </c>
      <c r="G481" s="7">
        <v>321.293144226074</v>
      </c>
      <c r="H481" s="7">
        <v>4.0</v>
      </c>
      <c r="I481" s="15">
        <v>0.0412905923034011</v>
      </c>
      <c r="J481" s="15">
        <v>0.130534409055556</v>
      </c>
      <c r="K481" s="12">
        <f>AVERAGE(I477:I481)</f>
        <v>0.6643459609</v>
      </c>
      <c r="L481" s="18">
        <v>112857.0</v>
      </c>
      <c r="M481" s="14">
        <f>STDEV(L477:L481)</f>
        <v>47358.04259</v>
      </c>
      <c r="N481" s="15" t="b">
        <f t="shared" si="1"/>
        <v>1</v>
      </c>
    </row>
    <row r="482" hidden="1">
      <c r="A482" s="7" t="s">
        <v>103</v>
      </c>
      <c r="B482" s="7" t="s">
        <v>17</v>
      </c>
      <c r="C482" s="7">
        <v>0.25</v>
      </c>
      <c r="D482" s="7">
        <v>0.75</v>
      </c>
      <c r="E482" s="7">
        <v>7.0</v>
      </c>
      <c r="F482" s="7">
        <v>228.294856548309</v>
      </c>
      <c r="G482" s="7">
        <v>355.793762683868</v>
      </c>
      <c r="H482" s="7">
        <v>0.0</v>
      </c>
      <c r="I482" s="15">
        <v>0.128020607735586</v>
      </c>
      <c r="J482" s="15">
        <v>0.105788308119998</v>
      </c>
      <c r="K482" s="12">
        <f>AVERAGE(I482:I486)</f>
        <v>0.4811287052</v>
      </c>
      <c r="L482" s="18">
        <v>57354.0</v>
      </c>
      <c r="M482" s="14">
        <f>STDEV(L482:L486)</f>
        <v>27117.40853</v>
      </c>
      <c r="N482" s="15" t="b">
        <f t="shared" si="1"/>
        <v>0</v>
      </c>
    </row>
    <row r="483" hidden="1">
      <c r="A483" s="7" t="s">
        <v>103</v>
      </c>
      <c r="B483" s="7" t="s">
        <v>17</v>
      </c>
      <c r="C483" s="7">
        <v>0.25</v>
      </c>
      <c r="D483" s="7">
        <v>0.75</v>
      </c>
      <c r="E483" s="7">
        <v>7.0</v>
      </c>
      <c r="F483" s="7">
        <v>228.294856548309</v>
      </c>
      <c r="G483" s="7">
        <v>355.793762683868</v>
      </c>
      <c r="H483" s="7">
        <v>1.0</v>
      </c>
      <c r="I483" s="15">
        <v>0.122556029325857</v>
      </c>
      <c r="J483" s="15">
        <v>0.143169700359403</v>
      </c>
      <c r="K483" s="12">
        <f>AVERAGE(I482:I486)</f>
        <v>0.4811287052</v>
      </c>
      <c r="L483" s="18">
        <v>56964.0</v>
      </c>
      <c r="M483" s="14">
        <f>STDEV(L482:L486)</f>
        <v>27117.40853</v>
      </c>
      <c r="N483" s="15" t="b">
        <f t="shared" si="1"/>
        <v>0</v>
      </c>
    </row>
    <row r="484" hidden="1">
      <c r="A484" s="7" t="s">
        <v>103</v>
      </c>
      <c r="B484" s="7" t="s">
        <v>17</v>
      </c>
      <c r="C484" s="7">
        <v>0.25</v>
      </c>
      <c r="D484" s="7">
        <v>0.75</v>
      </c>
      <c r="E484" s="7">
        <v>7.0</v>
      </c>
      <c r="F484" s="7">
        <v>228.294856548309</v>
      </c>
      <c r="G484" s="7">
        <v>355.793762683868</v>
      </c>
      <c r="H484" s="7">
        <v>2.0</v>
      </c>
      <c r="I484" s="15">
        <v>0.909571592094537</v>
      </c>
      <c r="J484" s="15">
        <v>0.0465620229547292</v>
      </c>
      <c r="K484" s="12">
        <f>AVERAGE(I482:I486)</f>
        <v>0.4811287052</v>
      </c>
      <c r="L484" s="18">
        <v>2064.0</v>
      </c>
      <c r="M484" s="14">
        <f>STDEV(L482:L486)</f>
        <v>27117.40853</v>
      </c>
      <c r="N484" s="15" t="b">
        <f t="shared" si="1"/>
        <v>0</v>
      </c>
    </row>
    <row r="485" hidden="1">
      <c r="A485" s="7" t="s">
        <v>103</v>
      </c>
      <c r="B485" s="7" t="s">
        <v>17</v>
      </c>
      <c r="C485" s="7">
        <v>0.25</v>
      </c>
      <c r="D485" s="7">
        <v>0.75</v>
      </c>
      <c r="E485" s="7">
        <v>7.0</v>
      </c>
      <c r="F485" s="7">
        <v>228.294856548309</v>
      </c>
      <c r="G485" s="7">
        <v>355.793762683868</v>
      </c>
      <c r="H485" s="7">
        <v>3.0</v>
      </c>
      <c r="I485" s="15">
        <v>0.43566181284639</v>
      </c>
      <c r="J485" s="15">
        <v>0.138443105072219</v>
      </c>
      <c r="K485" s="12">
        <f>AVERAGE(I482:I486)</f>
        <v>0.4811287052</v>
      </c>
      <c r="L485" s="18">
        <v>19622.0</v>
      </c>
      <c r="M485" s="14">
        <f>STDEV(L482:L486)</f>
        <v>27117.40853</v>
      </c>
      <c r="N485" s="15" t="b">
        <f t="shared" si="1"/>
        <v>0</v>
      </c>
    </row>
    <row r="486" hidden="1">
      <c r="A486" s="7" t="s">
        <v>103</v>
      </c>
      <c r="B486" s="7" t="s">
        <v>17</v>
      </c>
      <c r="C486" s="7">
        <v>0.25</v>
      </c>
      <c r="D486" s="7">
        <v>0.75</v>
      </c>
      <c r="E486" s="7">
        <v>7.0</v>
      </c>
      <c r="F486" s="7">
        <v>228.294856548309</v>
      </c>
      <c r="G486" s="7">
        <v>355.793762683868</v>
      </c>
      <c r="H486" s="7">
        <v>4.0</v>
      </c>
      <c r="I486" s="15">
        <v>0.80983348424038</v>
      </c>
      <c r="J486" s="15">
        <v>0.114969566137717</v>
      </c>
      <c r="K486" s="12">
        <f>AVERAGE(I482:I486)</f>
        <v>0.4811287052</v>
      </c>
      <c r="L486" s="18">
        <v>5672.0</v>
      </c>
      <c r="M486" s="14">
        <f>STDEV(L482:L486)</f>
        <v>27117.40853</v>
      </c>
      <c r="N486" s="15" t="b">
        <f t="shared" si="1"/>
        <v>0</v>
      </c>
    </row>
    <row r="487" hidden="1">
      <c r="A487" s="7" t="s">
        <v>104</v>
      </c>
      <c r="B487" s="7" t="s">
        <v>17</v>
      </c>
      <c r="C487" s="7">
        <v>0.25</v>
      </c>
      <c r="D487" s="7">
        <v>0.75</v>
      </c>
      <c r="E487" s="7">
        <v>8.0</v>
      </c>
      <c r="F487" s="7">
        <v>238.183506965637</v>
      </c>
      <c r="G487" s="7">
        <v>379.40372800827</v>
      </c>
      <c r="H487" s="7">
        <v>0.0</v>
      </c>
      <c r="I487" s="15">
        <v>0.785805673088037</v>
      </c>
      <c r="J487" s="15">
        <v>0.133749735982702</v>
      </c>
      <c r="K487" s="12">
        <f>AVERAGE(I487:I491)</f>
        <v>0.6431889851</v>
      </c>
      <c r="L487" s="18">
        <v>12272.0</v>
      </c>
      <c r="M487" s="14">
        <f>STDEV(L487:L491)</f>
        <v>45086.83823</v>
      </c>
      <c r="N487" s="15" t="b">
        <f t="shared" si="1"/>
        <v>0</v>
      </c>
    </row>
    <row r="488" hidden="1">
      <c r="A488" s="7" t="s">
        <v>104</v>
      </c>
      <c r="B488" s="7" t="s">
        <v>17</v>
      </c>
      <c r="C488" s="7">
        <v>0.25</v>
      </c>
      <c r="D488" s="7">
        <v>0.75</v>
      </c>
      <c r="E488" s="7">
        <v>8.0</v>
      </c>
      <c r="F488" s="7">
        <v>238.183506965637</v>
      </c>
      <c r="G488" s="7">
        <v>379.40372800827</v>
      </c>
      <c r="H488" s="7">
        <v>1.0</v>
      </c>
      <c r="I488" s="15">
        <v>0.909190210613192</v>
      </c>
      <c r="J488" s="15">
        <v>0.0460374629668309</v>
      </c>
      <c r="K488" s="12">
        <f>AVERAGE(I487:I491)</f>
        <v>0.6431889851</v>
      </c>
      <c r="L488" s="18">
        <v>2064.0</v>
      </c>
      <c r="M488" s="14">
        <f>STDEV(L487:L491)</f>
        <v>45086.83823</v>
      </c>
      <c r="N488" s="15" t="b">
        <f t="shared" si="1"/>
        <v>0</v>
      </c>
    </row>
    <row r="489" hidden="1">
      <c r="A489" s="7" t="s">
        <v>104</v>
      </c>
      <c r="B489" s="7" t="s">
        <v>17</v>
      </c>
      <c r="C489" s="7">
        <v>0.25</v>
      </c>
      <c r="D489" s="7">
        <v>0.75</v>
      </c>
      <c r="E489" s="7">
        <v>8.0</v>
      </c>
      <c r="F489" s="7">
        <v>238.183506965637</v>
      </c>
      <c r="G489" s="7">
        <v>379.40372800827</v>
      </c>
      <c r="H489" s="7">
        <v>2.0</v>
      </c>
      <c r="I489" s="15">
        <v>0.795788368326983</v>
      </c>
      <c r="J489" s="15">
        <v>0.121360300486696</v>
      </c>
      <c r="K489" s="12">
        <f>AVERAGE(I487:I491)</f>
        <v>0.6431889851</v>
      </c>
      <c r="L489" s="18">
        <v>10424.0</v>
      </c>
      <c r="M489" s="14">
        <f>STDEV(L487:L491)</f>
        <v>45086.83823</v>
      </c>
      <c r="N489" s="15" t="b">
        <f t="shared" si="1"/>
        <v>0</v>
      </c>
    </row>
    <row r="490" hidden="1">
      <c r="A490" s="7" t="s">
        <v>104</v>
      </c>
      <c r="B490" s="7" t="s">
        <v>17</v>
      </c>
      <c r="C490" s="7">
        <v>0.25</v>
      </c>
      <c r="D490" s="7">
        <v>0.75</v>
      </c>
      <c r="E490" s="7">
        <v>8.0</v>
      </c>
      <c r="F490" s="7">
        <v>238.183506965637</v>
      </c>
      <c r="G490" s="7">
        <v>379.40372800827</v>
      </c>
      <c r="H490" s="7">
        <v>3.0</v>
      </c>
      <c r="I490" s="15">
        <v>0.744481724064671</v>
      </c>
      <c r="J490" s="15">
        <v>0.156790459544038</v>
      </c>
      <c r="K490" s="12">
        <f>AVERAGE(I487:I491)</f>
        <v>0.6431889851</v>
      </c>
      <c r="L490" s="18">
        <v>8221.0</v>
      </c>
      <c r="M490" s="14">
        <f>STDEV(L487:L491)</f>
        <v>45086.83823</v>
      </c>
      <c r="N490" s="15" t="b">
        <f t="shared" si="1"/>
        <v>0</v>
      </c>
    </row>
    <row r="491" hidden="1">
      <c r="A491" s="7" t="s">
        <v>104</v>
      </c>
      <c r="B491" s="7" t="s">
        <v>17</v>
      </c>
      <c r="C491" s="7">
        <v>0.25</v>
      </c>
      <c r="D491" s="7">
        <v>0.75</v>
      </c>
      <c r="E491" s="7">
        <v>8.0</v>
      </c>
      <c r="F491" s="7">
        <v>238.183506965637</v>
      </c>
      <c r="G491" s="7">
        <v>379.40372800827</v>
      </c>
      <c r="H491" s="7">
        <v>4.0</v>
      </c>
      <c r="I491" s="15">
        <v>-0.0193210503917873</v>
      </c>
      <c r="J491" s="15">
        <v>0.228465202431282</v>
      </c>
      <c r="K491" s="12">
        <f>AVERAGE(I487:I491)</f>
        <v>0.6431889851</v>
      </c>
      <c r="L491" s="18">
        <v>108695.0</v>
      </c>
      <c r="M491" s="14">
        <f>STDEV(L487:L491)</f>
        <v>45086.83823</v>
      </c>
      <c r="N491" s="15" t="b">
        <f t="shared" si="1"/>
        <v>0</v>
      </c>
    </row>
    <row r="492" hidden="1">
      <c r="A492" s="7" t="s">
        <v>105</v>
      </c>
      <c r="B492" s="7" t="s">
        <v>17</v>
      </c>
      <c r="C492" s="7">
        <v>0.25</v>
      </c>
      <c r="D492" s="7">
        <v>0.75</v>
      </c>
      <c r="E492" s="7">
        <v>9.0</v>
      </c>
      <c r="F492" s="7">
        <v>205.538161754608</v>
      </c>
      <c r="G492" s="7">
        <v>342.154530286788</v>
      </c>
      <c r="H492" s="7">
        <v>0.0</v>
      </c>
      <c r="I492" s="15">
        <v>0.743997070408286</v>
      </c>
      <c r="J492" s="15">
        <v>0.142104247197375</v>
      </c>
      <c r="K492" s="12">
        <f>AVERAGE(I492:I496)</f>
        <v>0.4075360107</v>
      </c>
      <c r="L492" s="18">
        <v>8182.0</v>
      </c>
      <c r="M492" s="14">
        <f>STDEV(L492:L496)</f>
        <v>32573.70043</v>
      </c>
      <c r="N492" s="15" t="b">
        <f t="shared" si="1"/>
        <v>0</v>
      </c>
    </row>
    <row r="493" hidden="1">
      <c r="A493" s="7" t="s">
        <v>105</v>
      </c>
      <c r="B493" s="7" t="s">
        <v>17</v>
      </c>
      <c r="C493" s="7">
        <v>0.25</v>
      </c>
      <c r="D493" s="7">
        <v>0.75</v>
      </c>
      <c r="E493" s="7">
        <v>9.0</v>
      </c>
      <c r="F493" s="7">
        <v>205.538161754608</v>
      </c>
      <c r="G493" s="7">
        <v>342.154530286788</v>
      </c>
      <c r="H493" s="7">
        <v>1.0</v>
      </c>
      <c r="I493" s="15">
        <v>0.773160255016584</v>
      </c>
      <c r="J493" s="15">
        <v>0.130712178277984</v>
      </c>
      <c r="K493" s="12">
        <f>AVERAGE(I492:I496)</f>
        <v>0.4075360107</v>
      </c>
      <c r="L493" s="18">
        <v>7751.0</v>
      </c>
      <c r="M493" s="14">
        <f>STDEV(L492:L496)</f>
        <v>32573.70043</v>
      </c>
      <c r="N493" s="15" t="b">
        <f t="shared" si="1"/>
        <v>0</v>
      </c>
    </row>
    <row r="494" hidden="1">
      <c r="A494" s="7" t="s">
        <v>105</v>
      </c>
      <c r="B494" s="7" t="s">
        <v>17</v>
      </c>
      <c r="C494" s="7">
        <v>0.25</v>
      </c>
      <c r="D494" s="7">
        <v>0.75</v>
      </c>
      <c r="E494" s="7">
        <v>9.0</v>
      </c>
      <c r="F494" s="7">
        <v>205.538161754608</v>
      </c>
      <c r="G494" s="7">
        <v>342.154530286788</v>
      </c>
      <c r="H494" s="7">
        <v>2.0</v>
      </c>
      <c r="I494" s="15">
        <v>0.0820811701945875</v>
      </c>
      <c r="J494" s="15">
        <v>0.313363145248858</v>
      </c>
      <c r="K494" s="12">
        <f>AVERAGE(I492:I496)</f>
        <v>0.4075360107</v>
      </c>
      <c r="L494" s="18">
        <v>44402.0</v>
      </c>
      <c r="M494" s="14">
        <f>STDEV(L492:L496)</f>
        <v>32573.70043</v>
      </c>
      <c r="N494" s="15" t="b">
        <f t="shared" si="1"/>
        <v>0</v>
      </c>
    </row>
    <row r="495" hidden="1">
      <c r="A495" s="7" t="s">
        <v>105</v>
      </c>
      <c r="B495" s="7" t="s">
        <v>17</v>
      </c>
      <c r="C495" s="7">
        <v>0.25</v>
      </c>
      <c r="D495" s="7">
        <v>0.75</v>
      </c>
      <c r="E495" s="7">
        <v>9.0</v>
      </c>
      <c r="F495" s="7">
        <v>205.538161754608</v>
      </c>
      <c r="G495" s="7">
        <v>342.154530286788</v>
      </c>
      <c r="H495" s="7">
        <v>3.0</v>
      </c>
      <c r="I495" s="15">
        <v>0.0804421265138702</v>
      </c>
      <c r="J495" s="15">
        <v>0.0638555265012174</v>
      </c>
      <c r="K495" s="12">
        <f>AVERAGE(I492:I496)</f>
        <v>0.4075360107</v>
      </c>
      <c r="L495" s="18">
        <v>78432.0</v>
      </c>
      <c r="M495" s="14">
        <f>STDEV(L492:L496)</f>
        <v>32573.70043</v>
      </c>
      <c r="N495" s="15" t="b">
        <f t="shared" si="1"/>
        <v>0</v>
      </c>
    </row>
    <row r="496" hidden="1">
      <c r="A496" s="7" t="s">
        <v>105</v>
      </c>
      <c r="B496" s="7" t="s">
        <v>17</v>
      </c>
      <c r="C496" s="7">
        <v>0.25</v>
      </c>
      <c r="D496" s="7">
        <v>0.75</v>
      </c>
      <c r="E496" s="7">
        <v>9.0</v>
      </c>
      <c r="F496" s="7">
        <v>205.538161754608</v>
      </c>
      <c r="G496" s="7">
        <v>342.154530286788</v>
      </c>
      <c r="H496" s="7">
        <v>4.0</v>
      </c>
      <c r="I496" s="15">
        <v>0.357999431153734</v>
      </c>
      <c r="J496" s="15">
        <v>0.0977577206174601</v>
      </c>
      <c r="K496" s="12">
        <f>AVERAGE(I492:I496)</f>
        <v>0.4075360107</v>
      </c>
      <c r="L496" s="18">
        <v>2909.0</v>
      </c>
      <c r="M496" s="14">
        <f>STDEV(L492:L496)</f>
        <v>32573.70043</v>
      </c>
      <c r="N496" s="15" t="b">
        <f t="shared" si="1"/>
        <v>0</v>
      </c>
    </row>
    <row r="497" hidden="1">
      <c r="A497" s="7" t="s">
        <v>106</v>
      </c>
      <c r="B497" s="7" t="s">
        <v>17</v>
      </c>
      <c r="C497" s="7">
        <v>0.25</v>
      </c>
      <c r="D497" s="7">
        <v>0.75</v>
      </c>
      <c r="E497" s="7">
        <v>10.0</v>
      </c>
      <c r="F497" s="7">
        <v>216.460913658142</v>
      </c>
      <c r="G497" s="7">
        <v>331.613605260849</v>
      </c>
      <c r="H497" s="7">
        <v>0.0</v>
      </c>
      <c r="I497" s="15">
        <v>0.237088251071496</v>
      </c>
      <c r="J497" s="15">
        <v>0.0791290601850469</v>
      </c>
      <c r="K497" s="12">
        <f>AVERAGE(I497:I501)</f>
        <v>0.5431292799</v>
      </c>
      <c r="L497" s="18">
        <v>45153.0</v>
      </c>
      <c r="M497" s="14">
        <f>STDEV(L497:L501)</f>
        <v>32650.15192</v>
      </c>
      <c r="N497" s="15" t="b">
        <f t="shared" si="1"/>
        <v>0</v>
      </c>
    </row>
    <row r="498" hidden="1">
      <c r="A498" s="7" t="s">
        <v>106</v>
      </c>
      <c r="B498" s="7" t="s">
        <v>17</v>
      </c>
      <c r="C498" s="7">
        <v>0.25</v>
      </c>
      <c r="D498" s="7">
        <v>0.75</v>
      </c>
      <c r="E498" s="7">
        <v>10.0</v>
      </c>
      <c r="F498" s="7">
        <v>216.460913658142</v>
      </c>
      <c r="G498" s="7">
        <v>331.613605260849</v>
      </c>
      <c r="H498" s="7">
        <v>1.0</v>
      </c>
      <c r="I498" s="15">
        <v>0.0553826739333621</v>
      </c>
      <c r="J498" s="15">
        <v>0.124293953967822</v>
      </c>
      <c r="K498" s="12">
        <f>AVERAGE(I497:I501)</f>
        <v>0.5431292799</v>
      </c>
      <c r="L498" s="18">
        <v>78254.0</v>
      </c>
      <c r="M498" s="14">
        <f>STDEV(L497:L501)</f>
        <v>32650.15192</v>
      </c>
      <c r="N498" s="15" t="b">
        <f t="shared" si="1"/>
        <v>0</v>
      </c>
    </row>
    <row r="499" hidden="1">
      <c r="A499" s="7" t="s">
        <v>106</v>
      </c>
      <c r="B499" s="7" t="s">
        <v>17</v>
      </c>
      <c r="C499" s="7">
        <v>0.25</v>
      </c>
      <c r="D499" s="7">
        <v>0.75</v>
      </c>
      <c r="E499" s="7">
        <v>10.0</v>
      </c>
      <c r="F499" s="7">
        <v>216.460913658142</v>
      </c>
      <c r="G499" s="7">
        <v>331.613605260849</v>
      </c>
      <c r="H499" s="7">
        <v>2.0</v>
      </c>
      <c r="I499" s="15">
        <v>0.767004691946818</v>
      </c>
      <c r="J499" s="15">
        <v>0.132079686846282</v>
      </c>
      <c r="K499" s="12">
        <f>AVERAGE(I497:I501)</f>
        <v>0.5431292799</v>
      </c>
      <c r="L499" s="18">
        <v>7810.0</v>
      </c>
      <c r="M499" s="14">
        <f>STDEV(L497:L501)</f>
        <v>32650.15192</v>
      </c>
      <c r="N499" s="15" t="b">
        <f t="shared" si="1"/>
        <v>0</v>
      </c>
    </row>
    <row r="500" hidden="1">
      <c r="A500" s="7" t="s">
        <v>106</v>
      </c>
      <c r="B500" s="7" t="s">
        <v>17</v>
      </c>
      <c r="C500" s="7">
        <v>0.25</v>
      </c>
      <c r="D500" s="7">
        <v>0.75</v>
      </c>
      <c r="E500" s="7">
        <v>10.0</v>
      </c>
      <c r="F500" s="7">
        <v>216.460913658142</v>
      </c>
      <c r="G500" s="7">
        <v>331.613605260849</v>
      </c>
      <c r="H500" s="7">
        <v>3.0</v>
      </c>
      <c r="I500" s="15">
        <v>0.845788812051113</v>
      </c>
      <c r="J500" s="15">
        <v>0.0976267936015646</v>
      </c>
      <c r="K500" s="12">
        <f>AVERAGE(I497:I501)</f>
        <v>0.5431292799</v>
      </c>
      <c r="L500" s="18">
        <v>4797.0</v>
      </c>
      <c r="M500" s="14">
        <f>STDEV(L497:L501)</f>
        <v>32650.15192</v>
      </c>
      <c r="N500" s="15" t="b">
        <f t="shared" si="1"/>
        <v>0</v>
      </c>
    </row>
    <row r="501" hidden="1">
      <c r="A501" s="7" t="s">
        <v>106</v>
      </c>
      <c r="B501" s="7" t="s">
        <v>17</v>
      </c>
      <c r="C501" s="7">
        <v>0.25</v>
      </c>
      <c r="D501" s="7">
        <v>0.75</v>
      </c>
      <c r="E501" s="7">
        <v>10.0</v>
      </c>
      <c r="F501" s="7">
        <v>216.460913658142</v>
      </c>
      <c r="G501" s="7">
        <v>331.613605260849</v>
      </c>
      <c r="H501" s="7">
        <v>4.0</v>
      </c>
      <c r="I501" s="15">
        <v>0.810381970437224</v>
      </c>
      <c r="J501" s="15">
        <v>0.115103342811436</v>
      </c>
      <c r="K501" s="12">
        <f>AVERAGE(I497:I501)</f>
        <v>0.5431292799</v>
      </c>
      <c r="L501" s="18">
        <v>5662.0</v>
      </c>
      <c r="M501" s="14">
        <f>STDEV(L497:L501)</f>
        <v>32650.15192</v>
      </c>
      <c r="N501" s="15" t="b">
        <f t="shared" si="1"/>
        <v>0</v>
      </c>
    </row>
    <row r="502" hidden="1">
      <c r="A502" s="7" t="s">
        <v>107</v>
      </c>
      <c r="B502" s="7" t="s">
        <v>17</v>
      </c>
      <c r="C502" s="7">
        <v>0.25</v>
      </c>
      <c r="D502" s="7">
        <v>1.0</v>
      </c>
      <c r="E502" s="7">
        <v>1.0</v>
      </c>
      <c r="F502" s="7">
        <v>436.546980857849</v>
      </c>
      <c r="G502" s="7">
        <v>556.152522087097</v>
      </c>
      <c r="H502" s="7">
        <v>0.0</v>
      </c>
      <c r="I502" s="15">
        <v>0.800100182464749</v>
      </c>
      <c r="J502" s="15">
        <v>0.117707045439835</v>
      </c>
      <c r="K502" s="12">
        <f>AVERAGE(I502:I506)</f>
        <v>0.4690024337</v>
      </c>
      <c r="L502" s="18">
        <v>7455.0</v>
      </c>
      <c r="M502" s="14">
        <f>STDEV(L502:L506)</f>
        <v>41877.7602</v>
      </c>
      <c r="N502" s="15" t="b">
        <f t="shared" si="1"/>
        <v>0</v>
      </c>
    </row>
    <row r="503" hidden="1">
      <c r="A503" s="7" t="s">
        <v>107</v>
      </c>
      <c r="B503" s="7" t="s">
        <v>17</v>
      </c>
      <c r="C503" s="7">
        <v>0.25</v>
      </c>
      <c r="D503" s="7">
        <v>1.0</v>
      </c>
      <c r="E503" s="7">
        <v>1.0</v>
      </c>
      <c r="F503" s="7">
        <v>436.546980857849</v>
      </c>
      <c r="G503" s="7">
        <v>556.152522087097</v>
      </c>
      <c r="H503" s="7">
        <v>1.0</v>
      </c>
      <c r="I503" s="15">
        <v>0.271317570090896</v>
      </c>
      <c r="J503" s="15">
        <v>0.0839138569384569</v>
      </c>
      <c r="K503" s="12">
        <f>AVERAGE(I502:I506)</f>
        <v>0.4690024337</v>
      </c>
      <c r="L503" s="18">
        <v>22211.0</v>
      </c>
      <c r="M503" s="14">
        <f>STDEV(L502:L506)</f>
        <v>41877.7602</v>
      </c>
      <c r="N503" s="15" t="b">
        <f t="shared" si="1"/>
        <v>0</v>
      </c>
    </row>
    <row r="504" hidden="1">
      <c r="A504" s="7" t="s">
        <v>107</v>
      </c>
      <c r="B504" s="7" t="s">
        <v>17</v>
      </c>
      <c r="C504" s="7">
        <v>0.25</v>
      </c>
      <c r="D504" s="7">
        <v>1.0</v>
      </c>
      <c r="E504" s="7">
        <v>1.0</v>
      </c>
      <c r="F504" s="7">
        <v>436.546980857849</v>
      </c>
      <c r="G504" s="7">
        <v>556.152522087097</v>
      </c>
      <c r="H504" s="7">
        <v>2.0</v>
      </c>
      <c r="I504" s="15">
        <v>0.0373183960726946</v>
      </c>
      <c r="J504" s="15">
        <v>0.142625699546351</v>
      </c>
      <c r="K504" s="12">
        <f>AVERAGE(I502:I506)</f>
        <v>0.4690024337</v>
      </c>
      <c r="L504" s="18">
        <v>102129.0</v>
      </c>
      <c r="M504" s="14">
        <f>STDEV(L502:L506)</f>
        <v>41877.7602</v>
      </c>
      <c r="N504" s="15" t="b">
        <f t="shared" si="1"/>
        <v>0</v>
      </c>
    </row>
    <row r="505" hidden="1">
      <c r="A505" s="7" t="s">
        <v>107</v>
      </c>
      <c r="B505" s="7" t="s">
        <v>17</v>
      </c>
      <c r="C505" s="7">
        <v>0.25</v>
      </c>
      <c r="D505" s="7">
        <v>1.0</v>
      </c>
      <c r="E505" s="7">
        <v>1.0</v>
      </c>
      <c r="F505" s="7">
        <v>436.546980857849</v>
      </c>
      <c r="G505" s="7">
        <v>556.152522087097</v>
      </c>
      <c r="H505" s="7">
        <v>3.0</v>
      </c>
      <c r="I505" s="15">
        <v>0.812171954804833</v>
      </c>
      <c r="J505" s="15">
        <v>0.0758142211400498</v>
      </c>
      <c r="K505" s="12">
        <f>AVERAGE(I502:I506)</f>
        <v>0.4690024337</v>
      </c>
      <c r="L505" s="18">
        <v>4119.0</v>
      </c>
      <c r="M505" s="14">
        <f>STDEV(L502:L506)</f>
        <v>41877.7602</v>
      </c>
      <c r="N505" s="15" t="b">
        <f t="shared" si="1"/>
        <v>0</v>
      </c>
    </row>
    <row r="506" hidden="1">
      <c r="A506" s="7" t="s">
        <v>107</v>
      </c>
      <c r="B506" s="7" t="s">
        <v>17</v>
      </c>
      <c r="C506" s="7">
        <v>0.25</v>
      </c>
      <c r="D506" s="7">
        <v>1.0</v>
      </c>
      <c r="E506" s="7">
        <v>1.0</v>
      </c>
      <c r="F506" s="7">
        <v>436.546980857849</v>
      </c>
      <c r="G506" s="7">
        <v>556.152522087097</v>
      </c>
      <c r="H506" s="7">
        <v>4.0</v>
      </c>
      <c r="I506" s="15">
        <v>0.424104065058378</v>
      </c>
      <c r="J506" s="15">
        <v>0.134795574979139</v>
      </c>
      <c r="K506" s="12">
        <f>AVERAGE(I502:I506)</f>
        <v>0.4690024337</v>
      </c>
      <c r="L506" s="18">
        <v>5762.0</v>
      </c>
      <c r="M506" s="14">
        <f>STDEV(L502:L506)</f>
        <v>41877.7602</v>
      </c>
      <c r="N506" s="15" t="b">
        <f t="shared" si="1"/>
        <v>0</v>
      </c>
    </row>
    <row r="507" hidden="1">
      <c r="A507" s="7" t="s">
        <v>108</v>
      </c>
      <c r="B507" s="7" t="s">
        <v>17</v>
      </c>
      <c r="C507" s="7">
        <v>0.25</v>
      </c>
      <c r="D507" s="7">
        <v>1.0</v>
      </c>
      <c r="E507" s="7">
        <v>2.0</v>
      </c>
      <c r="F507" s="7">
        <v>251.578300714492</v>
      </c>
      <c r="G507" s="7">
        <v>361.865264892578</v>
      </c>
      <c r="H507" s="7">
        <v>0.0</v>
      </c>
      <c r="I507" s="15">
        <v>0.807071346569274</v>
      </c>
      <c r="J507" s="15">
        <v>0.117319531384844</v>
      </c>
      <c r="K507" s="12">
        <f>AVERAGE(I507:I511)</f>
        <v>0.5484093296</v>
      </c>
      <c r="L507" s="18">
        <v>5709.0</v>
      </c>
      <c r="M507" s="14">
        <f>STDEV(L507:L511)</f>
        <v>40400.03036</v>
      </c>
      <c r="N507" s="15" t="b">
        <f t="shared" si="1"/>
        <v>0</v>
      </c>
    </row>
    <row r="508" hidden="1">
      <c r="A508" s="7" t="s">
        <v>108</v>
      </c>
      <c r="B508" s="7" t="s">
        <v>17</v>
      </c>
      <c r="C508" s="7">
        <v>0.25</v>
      </c>
      <c r="D508" s="7">
        <v>1.0</v>
      </c>
      <c r="E508" s="7">
        <v>2.0</v>
      </c>
      <c r="F508" s="7">
        <v>251.578300714492</v>
      </c>
      <c r="G508" s="7">
        <v>361.865264892578</v>
      </c>
      <c r="H508" s="7">
        <v>1.0</v>
      </c>
      <c r="I508" s="15">
        <v>0.268780234668176</v>
      </c>
      <c r="J508" s="15">
        <v>0.128731804114407</v>
      </c>
      <c r="K508" s="12">
        <f>AVERAGE(I507:I511)</f>
        <v>0.5484093296</v>
      </c>
      <c r="L508" s="18">
        <v>37412.0</v>
      </c>
      <c r="M508" s="14">
        <f>STDEV(L507:L511)</f>
        <v>40400.03036</v>
      </c>
      <c r="N508" s="15" t="b">
        <f t="shared" si="1"/>
        <v>0</v>
      </c>
    </row>
    <row r="509" hidden="1">
      <c r="A509" s="7" t="s">
        <v>108</v>
      </c>
      <c r="B509" s="7" t="s">
        <v>17</v>
      </c>
      <c r="C509" s="7">
        <v>0.25</v>
      </c>
      <c r="D509" s="7">
        <v>1.0</v>
      </c>
      <c r="E509" s="7">
        <v>2.0</v>
      </c>
      <c r="F509" s="7">
        <v>251.578300714492</v>
      </c>
      <c r="G509" s="7">
        <v>361.865264892578</v>
      </c>
      <c r="H509" s="7">
        <v>2.0</v>
      </c>
      <c r="I509" s="15">
        <v>0.791102636820196</v>
      </c>
      <c r="J509" s="15">
        <v>0.138829269844543</v>
      </c>
      <c r="K509" s="12">
        <f>AVERAGE(I507:I511)</f>
        <v>0.5484093296</v>
      </c>
      <c r="L509" s="18">
        <v>1862.0</v>
      </c>
      <c r="M509" s="14">
        <f>STDEV(L507:L511)</f>
        <v>40400.03036</v>
      </c>
      <c r="N509" s="15" t="b">
        <f t="shared" si="1"/>
        <v>0</v>
      </c>
    </row>
    <row r="510" hidden="1">
      <c r="A510" s="7" t="s">
        <v>108</v>
      </c>
      <c r="B510" s="7" t="s">
        <v>17</v>
      </c>
      <c r="C510" s="7">
        <v>0.25</v>
      </c>
      <c r="D510" s="7">
        <v>1.0</v>
      </c>
      <c r="E510" s="7">
        <v>2.0</v>
      </c>
      <c r="F510" s="7">
        <v>251.578300714492</v>
      </c>
      <c r="G510" s="7">
        <v>361.865264892578</v>
      </c>
      <c r="H510" s="7">
        <v>3.0</v>
      </c>
      <c r="I510" s="15">
        <v>0.8077249537589</v>
      </c>
      <c r="J510" s="15">
        <v>0.138599188524758</v>
      </c>
      <c r="K510" s="12">
        <f>AVERAGE(I507:I511)</f>
        <v>0.5484093296</v>
      </c>
      <c r="L510" s="18">
        <v>1269.0</v>
      </c>
      <c r="M510" s="14">
        <f>STDEV(L507:L511)</f>
        <v>40400.03036</v>
      </c>
      <c r="N510" s="15" t="b">
        <f t="shared" si="1"/>
        <v>0</v>
      </c>
    </row>
    <row r="511" hidden="1">
      <c r="A511" s="7" t="s">
        <v>108</v>
      </c>
      <c r="B511" s="7" t="s">
        <v>17</v>
      </c>
      <c r="C511" s="7">
        <v>0.25</v>
      </c>
      <c r="D511" s="7">
        <v>1.0</v>
      </c>
      <c r="E511" s="7">
        <v>2.0</v>
      </c>
      <c r="F511" s="7">
        <v>251.578300714492</v>
      </c>
      <c r="G511" s="7">
        <v>361.865264892578</v>
      </c>
      <c r="H511" s="7">
        <v>4.0</v>
      </c>
      <c r="I511" s="15">
        <v>0.0673674763345974</v>
      </c>
      <c r="J511" s="15">
        <v>0.127293171331029</v>
      </c>
      <c r="K511" s="12">
        <f>AVERAGE(I507:I511)</f>
        <v>0.5484093296</v>
      </c>
      <c r="L511" s="18">
        <v>95424.0</v>
      </c>
      <c r="M511" s="14">
        <f>STDEV(L507:L511)</f>
        <v>40400.03036</v>
      </c>
      <c r="N511" s="15" t="b">
        <f t="shared" si="1"/>
        <v>0</v>
      </c>
    </row>
    <row r="512" hidden="1">
      <c r="A512" s="7" t="s">
        <v>109</v>
      </c>
      <c r="B512" s="21" t="s">
        <v>17</v>
      </c>
      <c r="C512" s="21">
        <v>0.25</v>
      </c>
      <c r="D512" s="21">
        <v>1.0</v>
      </c>
      <c r="E512" s="21">
        <v>3.0</v>
      </c>
      <c r="F512" s="7">
        <v>199.068029880523</v>
      </c>
      <c r="G512" s="7">
        <v>327.948857069015</v>
      </c>
      <c r="H512" s="7">
        <v>0.0</v>
      </c>
      <c r="I512" s="15">
        <v>0.0292118363255217</v>
      </c>
      <c r="J512" s="15">
        <v>0.155989742588463</v>
      </c>
      <c r="K512" s="12">
        <f>AVERAGE(I512:I516)</f>
        <v>0.6641097054</v>
      </c>
      <c r="L512" s="18">
        <v>106870.0</v>
      </c>
      <c r="M512" s="14">
        <f>STDEV(L512:L516)</f>
        <v>44373.74031</v>
      </c>
      <c r="N512" s="15" t="b">
        <f t="shared" si="1"/>
        <v>1</v>
      </c>
    </row>
    <row r="513" hidden="1">
      <c r="A513" s="7" t="s">
        <v>109</v>
      </c>
      <c r="B513" s="21" t="s">
        <v>17</v>
      </c>
      <c r="C513" s="21">
        <v>0.25</v>
      </c>
      <c r="D513" s="21">
        <v>1.0</v>
      </c>
      <c r="E513" s="21">
        <v>3.0</v>
      </c>
      <c r="F513" s="7">
        <v>199.068029880523</v>
      </c>
      <c r="G513" s="7">
        <v>327.948857069015</v>
      </c>
      <c r="H513" s="7">
        <v>1.0</v>
      </c>
      <c r="I513" s="15">
        <v>0.811388871068915</v>
      </c>
      <c r="J513" s="15">
        <v>0.0757326932708068</v>
      </c>
      <c r="K513" s="12">
        <f>AVERAGE(I512:I516)</f>
        <v>0.6641097054</v>
      </c>
      <c r="L513" s="18">
        <v>4119.0</v>
      </c>
      <c r="M513" s="14">
        <f>STDEV(L512:L516)</f>
        <v>44373.74031</v>
      </c>
      <c r="N513" s="15" t="b">
        <f t="shared" si="1"/>
        <v>1</v>
      </c>
    </row>
    <row r="514" hidden="1">
      <c r="A514" s="7" t="s">
        <v>109</v>
      </c>
      <c r="B514" s="21" t="s">
        <v>17</v>
      </c>
      <c r="C514" s="21">
        <v>0.25</v>
      </c>
      <c r="D514" s="21">
        <v>1.0</v>
      </c>
      <c r="E514" s="21">
        <v>3.0</v>
      </c>
      <c r="F514" s="7">
        <v>199.068029880523</v>
      </c>
      <c r="G514" s="7">
        <v>327.948857069015</v>
      </c>
      <c r="H514" s="7">
        <v>2.0</v>
      </c>
      <c r="I514" s="15">
        <v>0.796892213284999</v>
      </c>
      <c r="J514" s="15">
        <v>0.124039699341959</v>
      </c>
      <c r="K514" s="12">
        <f>AVERAGE(I512:I516)</f>
        <v>0.6641097054</v>
      </c>
      <c r="L514" s="18">
        <v>10027.0</v>
      </c>
      <c r="M514" s="14">
        <f>STDEV(L512:L516)</f>
        <v>44373.74031</v>
      </c>
      <c r="N514" s="15" t="b">
        <f t="shared" si="1"/>
        <v>1</v>
      </c>
    </row>
    <row r="515" hidden="1">
      <c r="A515" s="7" t="s">
        <v>109</v>
      </c>
      <c r="B515" s="21" t="s">
        <v>17</v>
      </c>
      <c r="C515" s="21">
        <v>0.25</v>
      </c>
      <c r="D515" s="21">
        <v>1.0</v>
      </c>
      <c r="E515" s="21">
        <v>3.0</v>
      </c>
      <c r="F515" s="7">
        <v>199.068029880523</v>
      </c>
      <c r="G515" s="7">
        <v>327.948857069015</v>
      </c>
      <c r="H515" s="7">
        <v>3.0</v>
      </c>
      <c r="I515" s="15">
        <v>0.893376208534461</v>
      </c>
      <c r="J515" s="15">
        <v>0.12055876987281</v>
      </c>
      <c r="K515" s="12">
        <f>AVERAGE(I512:I516)</f>
        <v>0.6641097054</v>
      </c>
      <c r="L515" s="18">
        <v>2011.0</v>
      </c>
      <c r="M515" s="14">
        <f>STDEV(L512:L516)</f>
        <v>44373.74031</v>
      </c>
      <c r="N515" s="15" t="b">
        <f t="shared" si="1"/>
        <v>1</v>
      </c>
    </row>
    <row r="516" hidden="1">
      <c r="A516" s="7" t="s">
        <v>109</v>
      </c>
      <c r="B516" s="21" t="s">
        <v>17</v>
      </c>
      <c r="C516" s="21">
        <v>0.25</v>
      </c>
      <c r="D516" s="21">
        <v>1.0</v>
      </c>
      <c r="E516" s="21">
        <v>3.0</v>
      </c>
      <c r="F516" s="7">
        <v>199.068029880523</v>
      </c>
      <c r="G516" s="7">
        <v>327.948857069015</v>
      </c>
      <c r="H516" s="7">
        <v>4.0</v>
      </c>
      <c r="I516" s="15">
        <v>0.789679397896575</v>
      </c>
      <c r="J516" s="15">
        <v>0.0992806955302264</v>
      </c>
      <c r="K516" s="12">
        <f>AVERAGE(I512:I516)</f>
        <v>0.6641097054</v>
      </c>
      <c r="L516" s="18">
        <v>18649.0</v>
      </c>
      <c r="M516" s="14">
        <f>STDEV(L512:L516)</f>
        <v>44373.74031</v>
      </c>
      <c r="N516" s="15" t="b">
        <f t="shared" si="1"/>
        <v>1</v>
      </c>
    </row>
    <row r="517" hidden="1">
      <c r="A517" s="7" t="s">
        <v>110</v>
      </c>
      <c r="B517" s="7" t="s">
        <v>17</v>
      </c>
      <c r="C517" s="7">
        <v>0.25</v>
      </c>
      <c r="D517" s="7">
        <v>1.0</v>
      </c>
      <c r="E517" s="7">
        <v>4.0</v>
      </c>
      <c r="F517" s="7">
        <v>221.628694534301</v>
      </c>
      <c r="G517" s="7">
        <v>349.283378601074</v>
      </c>
      <c r="H517" s="7">
        <v>0.0</v>
      </c>
      <c r="I517" s="15">
        <v>0.821873755688479</v>
      </c>
      <c r="J517" s="15">
        <v>0.0948614457530199</v>
      </c>
      <c r="K517" s="12">
        <f>AVERAGE(I517:I521)</f>
        <v>0.4080328521</v>
      </c>
      <c r="L517" s="18">
        <v>11686.0</v>
      </c>
      <c r="M517" s="14">
        <f>STDEV(L517:L521)</f>
        <v>30823.74811</v>
      </c>
      <c r="N517" s="15" t="b">
        <f t="shared" si="1"/>
        <v>0</v>
      </c>
    </row>
    <row r="518" hidden="1">
      <c r="A518" s="7" t="s">
        <v>110</v>
      </c>
      <c r="B518" s="7" t="s">
        <v>17</v>
      </c>
      <c r="C518" s="7">
        <v>0.25</v>
      </c>
      <c r="D518" s="7">
        <v>1.0</v>
      </c>
      <c r="E518" s="7">
        <v>4.0</v>
      </c>
      <c r="F518" s="7">
        <v>221.628694534301</v>
      </c>
      <c r="G518" s="7">
        <v>349.283378601074</v>
      </c>
      <c r="H518" s="7">
        <v>1.0</v>
      </c>
      <c r="I518" s="15">
        <v>0.0771349577234834</v>
      </c>
      <c r="J518" s="15">
        <v>0.0634095722844376</v>
      </c>
      <c r="K518" s="12">
        <f>AVERAGE(I517:I521)</f>
        <v>0.4080328521</v>
      </c>
      <c r="L518" s="18">
        <v>75558.0</v>
      </c>
      <c r="M518" s="14">
        <f>STDEV(L517:L521)</f>
        <v>30823.74811</v>
      </c>
      <c r="N518" s="15" t="b">
        <f t="shared" si="1"/>
        <v>0</v>
      </c>
    </row>
    <row r="519" hidden="1">
      <c r="A519" s="7" t="s">
        <v>110</v>
      </c>
      <c r="B519" s="7" t="s">
        <v>17</v>
      </c>
      <c r="C519" s="7">
        <v>0.25</v>
      </c>
      <c r="D519" s="7">
        <v>1.0</v>
      </c>
      <c r="E519" s="7">
        <v>4.0</v>
      </c>
      <c r="F519" s="7">
        <v>221.628694534301</v>
      </c>
      <c r="G519" s="7">
        <v>349.283378601074</v>
      </c>
      <c r="H519" s="7">
        <v>2.0</v>
      </c>
      <c r="I519" s="15">
        <v>0.0839542869647453</v>
      </c>
      <c r="J519" s="15">
        <v>0.252546750618668</v>
      </c>
      <c r="K519" s="12">
        <f>AVERAGE(I517:I521)</f>
        <v>0.4080328521</v>
      </c>
      <c r="L519" s="18">
        <v>43404.0</v>
      </c>
      <c r="M519" s="14">
        <f>STDEV(L517:L521)</f>
        <v>30823.74811</v>
      </c>
      <c r="N519" s="15" t="b">
        <f t="shared" si="1"/>
        <v>0</v>
      </c>
    </row>
    <row r="520" hidden="1">
      <c r="A520" s="7" t="s">
        <v>110</v>
      </c>
      <c r="B520" s="7" t="s">
        <v>17</v>
      </c>
      <c r="C520" s="7">
        <v>0.25</v>
      </c>
      <c r="D520" s="7">
        <v>1.0</v>
      </c>
      <c r="E520" s="7">
        <v>4.0</v>
      </c>
      <c r="F520" s="7">
        <v>221.628694534301</v>
      </c>
      <c r="G520" s="7">
        <v>349.283378601074</v>
      </c>
      <c r="H520" s="7">
        <v>3.0</v>
      </c>
      <c r="I520" s="15">
        <v>0.891622682686867</v>
      </c>
      <c r="J520" s="15">
        <v>0.126850254295755</v>
      </c>
      <c r="K520" s="12">
        <f>AVERAGE(I517:I521)</f>
        <v>0.4080328521</v>
      </c>
      <c r="L520" s="18">
        <v>2011.0</v>
      </c>
      <c r="M520" s="14">
        <f>STDEV(L517:L521)</f>
        <v>30823.74811</v>
      </c>
      <c r="N520" s="15" t="b">
        <f t="shared" si="1"/>
        <v>0</v>
      </c>
    </row>
    <row r="521" hidden="1">
      <c r="A521" s="7" t="s">
        <v>110</v>
      </c>
      <c r="B521" s="7" t="s">
        <v>17</v>
      </c>
      <c r="C521" s="7">
        <v>0.25</v>
      </c>
      <c r="D521" s="7">
        <v>1.0</v>
      </c>
      <c r="E521" s="7">
        <v>4.0</v>
      </c>
      <c r="F521" s="7">
        <v>221.628694534301</v>
      </c>
      <c r="G521" s="7">
        <v>349.283378601074</v>
      </c>
      <c r="H521" s="7">
        <v>4.0</v>
      </c>
      <c r="I521" s="15">
        <v>0.165578577684658</v>
      </c>
      <c r="J521" s="15">
        <v>0.106638655644805</v>
      </c>
      <c r="K521" s="12">
        <f>AVERAGE(I517:I521)</f>
        <v>0.4080328521</v>
      </c>
      <c r="L521" s="18">
        <v>9017.0</v>
      </c>
      <c r="M521" s="14">
        <f>STDEV(L517:L521)</f>
        <v>30823.74811</v>
      </c>
      <c r="N521" s="15" t="b">
        <f t="shared" si="1"/>
        <v>0</v>
      </c>
    </row>
    <row r="522" hidden="1">
      <c r="A522" s="7" t="s">
        <v>111</v>
      </c>
      <c r="B522" s="7" t="s">
        <v>17</v>
      </c>
      <c r="C522" s="7">
        <v>0.25</v>
      </c>
      <c r="D522" s="7">
        <v>1.0</v>
      </c>
      <c r="E522" s="7">
        <v>5.0</v>
      </c>
      <c r="F522" s="7">
        <v>276.217693567276</v>
      </c>
      <c r="G522" s="7">
        <v>402.372650146484</v>
      </c>
      <c r="H522" s="7">
        <v>0.0</v>
      </c>
      <c r="I522" s="15">
        <v>0.788043710940553</v>
      </c>
      <c r="J522" s="15">
        <v>0.104614330664486</v>
      </c>
      <c r="K522" s="12">
        <f>AVERAGE(I522:I526)</f>
        <v>0.4705247003</v>
      </c>
      <c r="L522" s="18">
        <v>18658.0</v>
      </c>
      <c r="M522" s="14">
        <f>STDEV(L522:L526)</f>
        <v>29112.76209</v>
      </c>
      <c r="N522" s="15" t="b">
        <f t="shared" si="1"/>
        <v>0</v>
      </c>
    </row>
    <row r="523" hidden="1">
      <c r="A523" s="7" t="s">
        <v>111</v>
      </c>
      <c r="B523" s="7" t="s">
        <v>17</v>
      </c>
      <c r="C523" s="7">
        <v>0.25</v>
      </c>
      <c r="D523" s="7">
        <v>1.0</v>
      </c>
      <c r="E523" s="7">
        <v>5.0</v>
      </c>
      <c r="F523" s="7">
        <v>276.217693567276</v>
      </c>
      <c r="G523" s="7">
        <v>402.372650146484</v>
      </c>
      <c r="H523" s="7">
        <v>1.0</v>
      </c>
      <c r="I523" s="15">
        <v>0.0898008738127802</v>
      </c>
      <c r="J523" s="15">
        <v>0.358303723151934</v>
      </c>
      <c r="K523" s="12">
        <f>AVERAGE(I522:I526)</f>
        <v>0.4705247003</v>
      </c>
      <c r="L523" s="18">
        <v>34957.0</v>
      </c>
      <c r="M523" s="14">
        <f>STDEV(L522:L526)</f>
        <v>29112.76209</v>
      </c>
      <c r="N523" s="15" t="b">
        <f t="shared" si="1"/>
        <v>0</v>
      </c>
    </row>
    <row r="524" hidden="1">
      <c r="A524" s="7" t="s">
        <v>111</v>
      </c>
      <c r="B524" s="7" t="s">
        <v>17</v>
      </c>
      <c r="C524" s="7">
        <v>0.25</v>
      </c>
      <c r="D524" s="7">
        <v>1.0</v>
      </c>
      <c r="E524" s="7">
        <v>5.0</v>
      </c>
      <c r="F524" s="7">
        <v>276.217693567276</v>
      </c>
      <c r="G524" s="7">
        <v>402.372650146484</v>
      </c>
      <c r="H524" s="7">
        <v>2.0</v>
      </c>
      <c r="I524" s="15">
        <v>0.0461522975937486</v>
      </c>
      <c r="J524" s="15">
        <v>0.0453134932499346</v>
      </c>
      <c r="K524" s="12">
        <f>AVERAGE(I522:I526)</f>
        <v>0.4705247003</v>
      </c>
      <c r="L524" s="18">
        <v>75686.0</v>
      </c>
      <c r="M524" s="14">
        <f>STDEV(L522:L526)</f>
        <v>29112.76209</v>
      </c>
      <c r="N524" s="15" t="b">
        <f t="shared" si="1"/>
        <v>0</v>
      </c>
    </row>
    <row r="525" hidden="1">
      <c r="A525" s="7" t="s">
        <v>111</v>
      </c>
      <c r="B525" s="7" t="s">
        <v>17</v>
      </c>
      <c r="C525" s="7">
        <v>0.25</v>
      </c>
      <c r="D525" s="7">
        <v>1.0</v>
      </c>
      <c r="E525" s="7">
        <v>5.0</v>
      </c>
      <c r="F525" s="7">
        <v>276.217693567276</v>
      </c>
      <c r="G525" s="7">
        <v>402.372650146484</v>
      </c>
      <c r="H525" s="7">
        <v>3.0</v>
      </c>
      <c r="I525" s="15">
        <v>0.647738147837916</v>
      </c>
      <c r="J525" s="15">
        <v>0.124599676707019</v>
      </c>
      <c r="K525" s="12">
        <f>AVERAGE(I522:I526)</f>
        <v>0.4705247003</v>
      </c>
      <c r="L525" s="18">
        <v>2342.0</v>
      </c>
      <c r="M525" s="14">
        <f>STDEV(L522:L526)</f>
        <v>29112.76209</v>
      </c>
      <c r="N525" s="15" t="b">
        <f t="shared" si="1"/>
        <v>0</v>
      </c>
    </row>
    <row r="526" hidden="1">
      <c r="A526" s="7" t="s">
        <v>111</v>
      </c>
      <c r="B526" s="7" t="s">
        <v>17</v>
      </c>
      <c r="C526" s="7">
        <v>0.25</v>
      </c>
      <c r="D526" s="7">
        <v>1.0</v>
      </c>
      <c r="E526" s="7">
        <v>5.0</v>
      </c>
      <c r="F526" s="7">
        <v>276.217693567276</v>
      </c>
      <c r="G526" s="7">
        <v>402.372650146484</v>
      </c>
      <c r="H526" s="7">
        <v>4.0</v>
      </c>
      <c r="I526" s="15">
        <v>0.780888471295066</v>
      </c>
      <c r="J526" s="15">
        <v>0.128025853414961</v>
      </c>
      <c r="K526" s="12">
        <f>AVERAGE(I522:I526)</f>
        <v>0.4705247003</v>
      </c>
      <c r="L526" s="18">
        <v>10033.0</v>
      </c>
      <c r="M526" s="14">
        <f>STDEV(L522:L526)</f>
        <v>29112.76209</v>
      </c>
      <c r="N526" s="15" t="b">
        <f t="shared" si="1"/>
        <v>0</v>
      </c>
    </row>
    <row r="527" hidden="1">
      <c r="A527" s="7" t="s">
        <v>112</v>
      </c>
      <c r="B527" s="7" t="s">
        <v>17</v>
      </c>
      <c r="C527" s="7">
        <v>0.25</v>
      </c>
      <c r="D527" s="7">
        <v>1.0</v>
      </c>
      <c r="E527" s="7">
        <v>6.0</v>
      </c>
      <c r="F527" s="7">
        <v>334.699509382247</v>
      </c>
      <c r="G527" s="7">
        <v>460.246818065643</v>
      </c>
      <c r="H527" s="7">
        <v>0.0</v>
      </c>
      <c r="I527" s="15">
        <v>0.810306066154639</v>
      </c>
      <c r="J527" s="15">
        <v>0.114845617240289</v>
      </c>
      <c r="K527" s="12">
        <f>AVERAGE(I527:I531)</f>
        <v>0.4686739361</v>
      </c>
      <c r="L527" s="18">
        <v>5667.0</v>
      </c>
      <c r="M527" s="14">
        <f>STDEV(L527:L531)</f>
        <v>25595.63937</v>
      </c>
      <c r="N527" s="15" t="b">
        <f t="shared" si="1"/>
        <v>0</v>
      </c>
    </row>
    <row r="528" hidden="1">
      <c r="A528" s="7" t="s">
        <v>112</v>
      </c>
      <c r="B528" s="7" t="s">
        <v>17</v>
      </c>
      <c r="C528" s="7">
        <v>0.25</v>
      </c>
      <c r="D528" s="7">
        <v>1.0</v>
      </c>
      <c r="E528" s="7">
        <v>6.0</v>
      </c>
      <c r="F528" s="7">
        <v>334.699509382247</v>
      </c>
      <c r="G528" s="7">
        <v>460.246818065643</v>
      </c>
      <c r="H528" s="7">
        <v>1.0</v>
      </c>
      <c r="I528" s="15">
        <v>0.438352848946628</v>
      </c>
      <c r="J528" s="15">
        <v>0.135060251716908</v>
      </c>
      <c r="K528" s="12">
        <f>AVERAGE(I527:I531)</f>
        <v>0.4686739361</v>
      </c>
      <c r="L528" s="18">
        <v>19132.0</v>
      </c>
      <c r="M528" s="14">
        <f>STDEV(L527:L531)</f>
        <v>25595.63937</v>
      </c>
      <c r="N528" s="15" t="b">
        <f t="shared" si="1"/>
        <v>0</v>
      </c>
    </row>
    <row r="529" hidden="1">
      <c r="A529" s="7" t="s">
        <v>112</v>
      </c>
      <c r="B529" s="7" t="s">
        <v>17</v>
      </c>
      <c r="C529" s="7">
        <v>0.25</v>
      </c>
      <c r="D529" s="7">
        <v>1.0</v>
      </c>
      <c r="E529" s="7">
        <v>6.0</v>
      </c>
      <c r="F529" s="7">
        <v>334.699509382247</v>
      </c>
      <c r="G529" s="7">
        <v>460.246818065643</v>
      </c>
      <c r="H529" s="7">
        <v>2.0</v>
      </c>
      <c r="I529" s="15">
        <v>0.180636190874337</v>
      </c>
      <c r="J529" s="15">
        <v>0.200600549882608</v>
      </c>
      <c r="K529" s="12">
        <f>AVERAGE(I527:I531)</f>
        <v>0.4686739361</v>
      </c>
      <c r="L529" s="18">
        <v>44892.0</v>
      </c>
      <c r="M529" s="14">
        <f>STDEV(L527:L531)</f>
        <v>25595.63937</v>
      </c>
      <c r="N529" s="15" t="b">
        <f t="shared" si="1"/>
        <v>0</v>
      </c>
    </row>
    <row r="530" hidden="1">
      <c r="A530" s="7" t="s">
        <v>112</v>
      </c>
      <c r="B530" s="7" t="s">
        <v>17</v>
      </c>
      <c r="C530" s="7">
        <v>0.25</v>
      </c>
      <c r="D530" s="7">
        <v>1.0</v>
      </c>
      <c r="E530" s="7">
        <v>6.0</v>
      </c>
      <c r="F530" s="7">
        <v>334.699509382247</v>
      </c>
      <c r="G530" s="7">
        <v>460.246818065643</v>
      </c>
      <c r="H530" s="7">
        <v>3.0</v>
      </c>
      <c r="I530" s="15">
        <v>0.829363182061354</v>
      </c>
      <c r="J530" s="15">
        <v>0.09696210171109</v>
      </c>
      <c r="K530" s="12">
        <f>AVERAGE(I527:I531)</f>
        <v>0.4686739361</v>
      </c>
      <c r="L530" s="18">
        <v>7439.0</v>
      </c>
      <c r="M530" s="14">
        <f>STDEV(L527:L531)</f>
        <v>25595.63937</v>
      </c>
      <c r="N530" s="15" t="b">
        <f t="shared" si="1"/>
        <v>0</v>
      </c>
    </row>
    <row r="531" hidden="1">
      <c r="A531" s="7" t="s">
        <v>112</v>
      </c>
      <c r="B531" s="7" t="s">
        <v>17</v>
      </c>
      <c r="C531" s="7">
        <v>0.25</v>
      </c>
      <c r="D531" s="7">
        <v>1.0</v>
      </c>
      <c r="E531" s="7">
        <v>6.0</v>
      </c>
      <c r="F531" s="7">
        <v>334.699509382247</v>
      </c>
      <c r="G531" s="7">
        <v>460.246818065643</v>
      </c>
      <c r="H531" s="7">
        <v>4.0</v>
      </c>
      <c r="I531" s="15">
        <v>0.0847113924482486</v>
      </c>
      <c r="J531" s="15">
        <v>0.0918179785603482</v>
      </c>
      <c r="K531" s="12">
        <f>AVERAGE(I527:I531)</f>
        <v>0.4686739361</v>
      </c>
      <c r="L531" s="18">
        <v>64546.0</v>
      </c>
      <c r="M531" s="14">
        <f>STDEV(L527:L531)</f>
        <v>25595.63937</v>
      </c>
      <c r="N531" s="15" t="b">
        <f t="shared" si="1"/>
        <v>0</v>
      </c>
    </row>
    <row r="532" hidden="1">
      <c r="A532" s="7" t="s">
        <v>113</v>
      </c>
      <c r="B532" s="7" t="s">
        <v>17</v>
      </c>
      <c r="C532" s="7">
        <v>0.25</v>
      </c>
      <c r="D532" s="7">
        <v>1.0</v>
      </c>
      <c r="E532" s="7">
        <v>7.0</v>
      </c>
      <c r="F532" s="7">
        <v>314.064073085784</v>
      </c>
      <c r="G532" s="7">
        <v>440.490842580795</v>
      </c>
      <c r="H532" s="7">
        <v>0.0</v>
      </c>
      <c r="I532" s="15">
        <v>0.083695837942674</v>
      </c>
      <c r="J532" s="15">
        <v>0.0682715539858431</v>
      </c>
      <c r="K532" s="12">
        <f>AVERAGE(I532:I536)</f>
        <v>0.3209883581</v>
      </c>
      <c r="L532" s="18">
        <v>75222.0</v>
      </c>
      <c r="M532" s="14">
        <f>STDEV(L532:L536)</f>
        <v>29165.05395</v>
      </c>
      <c r="N532" s="15" t="b">
        <f t="shared" si="1"/>
        <v>0</v>
      </c>
    </row>
    <row r="533" hidden="1">
      <c r="A533" s="7" t="s">
        <v>113</v>
      </c>
      <c r="B533" s="7" t="s">
        <v>17</v>
      </c>
      <c r="C533" s="7">
        <v>0.25</v>
      </c>
      <c r="D533" s="7">
        <v>1.0</v>
      </c>
      <c r="E533" s="7">
        <v>7.0</v>
      </c>
      <c r="F533" s="7">
        <v>314.064073085784</v>
      </c>
      <c r="G533" s="7">
        <v>440.490842580795</v>
      </c>
      <c r="H533" s="7">
        <v>1.0</v>
      </c>
      <c r="I533" s="15">
        <v>0.646525618846081</v>
      </c>
      <c r="J533" s="15">
        <v>0.128943490672006</v>
      </c>
      <c r="K533" s="12">
        <f>AVERAGE(I532:I536)</f>
        <v>0.3209883581</v>
      </c>
      <c r="L533" s="18">
        <v>2347.0</v>
      </c>
      <c r="M533" s="14">
        <f>STDEV(L532:L536)</f>
        <v>29165.05395</v>
      </c>
      <c r="N533" s="15" t="b">
        <f t="shared" si="1"/>
        <v>0</v>
      </c>
    </row>
    <row r="534" hidden="1">
      <c r="A534" s="7" t="s">
        <v>113</v>
      </c>
      <c r="B534" s="7" t="s">
        <v>17</v>
      </c>
      <c r="C534" s="7">
        <v>0.25</v>
      </c>
      <c r="D534" s="7">
        <v>1.0</v>
      </c>
      <c r="E534" s="7">
        <v>7.0</v>
      </c>
      <c r="F534" s="7">
        <v>314.064073085784</v>
      </c>
      <c r="G534" s="7">
        <v>440.490842580795</v>
      </c>
      <c r="H534" s="7">
        <v>2.0</v>
      </c>
      <c r="I534" s="15">
        <v>0.348231162839393</v>
      </c>
      <c r="J534" s="15">
        <v>0.080930288259836</v>
      </c>
      <c r="K534" s="12">
        <f>AVERAGE(I532:I536)</f>
        <v>0.3209883581</v>
      </c>
      <c r="L534" s="18">
        <v>15050.0</v>
      </c>
      <c r="M534" s="14">
        <f>STDEV(L532:L536)</f>
        <v>29165.05395</v>
      </c>
      <c r="N534" s="15" t="b">
        <f t="shared" si="1"/>
        <v>0</v>
      </c>
    </row>
    <row r="535" hidden="1">
      <c r="A535" s="7" t="s">
        <v>113</v>
      </c>
      <c r="B535" s="7" t="s">
        <v>17</v>
      </c>
      <c r="C535" s="7">
        <v>0.25</v>
      </c>
      <c r="D535" s="7">
        <v>1.0</v>
      </c>
      <c r="E535" s="7">
        <v>7.0</v>
      </c>
      <c r="F535" s="7">
        <v>314.064073085784</v>
      </c>
      <c r="G535" s="7">
        <v>440.490842580795</v>
      </c>
      <c r="H535" s="7">
        <v>3.0</v>
      </c>
      <c r="I535" s="15">
        <v>0.383517308776711</v>
      </c>
      <c r="J535" s="15">
        <v>0.12205242382436</v>
      </c>
      <c r="K535" s="12">
        <f>AVERAGE(I532:I536)</f>
        <v>0.3209883581</v>
      </c>
      <c r="L535" s="18">
        <v>11817.0</v>
      </c>
      <c r="M535" s="14">
        <f>STDEV(L532:L536)</f>
        <v>29165.05395</v>
      </c>
      <c r="N535" s="15" t="b">
        <f t="shared" si="1"/>
        <v>0</v>
      </c>
    </row>
    <row r="536" hidden="1">
      <c r="A536" s="7" t="s">
        <v>113</v>
      </c>
      <c r="B536" s="7" t="s">
        <v>17</v>
      </c>
      <c r="C536" s="7">
        <v>0.25</v>
      </c>
      <c r="D536" s="7">
        <v>1.0</v>
      </c>
      <c r="E536" s="7">
        <v>7.0</v>
      </c>
      <c r="F536" s="7">
        <v>314.064073085784</v>
      </c>
      <c r="G536" s="7">
        <v>440.490842580795</v>
      </c>
      <c r="H536" s="7">
        <v>4.0</v>
      </c>
      <c r="I536" s="15">
        <v>0.142971862250843</v>
      </c>
      <c r="J536" s="15">
        <v>0.283586909660753</v>
      </c>
      <c r="K536" s="12">
        <f>AVERAGE(I532:I536)</f>
        <v>0.3209883581</v>
      </c>
      <c r="L536" s="18">
        <v>37240.0</v>
      </c>
      <c r="M536" s="14">
        <f>STDEV(L532:L536)</f>
        <v>29165.05395</v>
      </c>
      <c r="N536" s="15" t="b">
        <f t="shared" si="1"/>
        <v>0</v>
      </c>
    </row>
    <row r="537" hidden="1">
      <c r="A537" s="7" t="s">
        <v>114</v>
      </c>
      <c r="B537" s="7" t="s">
        <v>17</v>
      </c>
      <c r="C537" s="7">
        <v>0.25</v>
      </c>
      <c r="D537" s="7">
        <v>1.0</v>
      </c>
      <c r="E537" s="7">
        <v>8.0</v>
      </c>
      <c r="F537" s="7">
        <v>175.961374044418</v>
      </c>
      <c r="G537" s="7">
        <v>310.776235103607</v>
      </c>
      <c r="H537" s="7">
        <v>0.0</v>
      </c>
      <c r="I537" s="15">
        <v>0.8091601564091</v>
      </c>
      <c r="J537" s="15">
        <v>0.115976883829989</v>
      </c>
      <c r="K537" s="12">
        <f>AVERAGE(I537:I541)</f>
        <v>0.5246470165</v>
      </c>
      <c r="L537" s="18">
        <v>5685.0</v>
      </c>
      <c r="M537" s="14">
        <f>STDEV(L537:L541)</f>
        <v>31246.17845</v>
      </c>
      <c r="N537" s="15" t="b">
        <f t="shared" si="1"/>
        <v>0</v>
      </c>
    </row>
    <row r="538" hidden="1">
      <c r="A538" s="7" t="s">
        <v>114</v>
      </c>
      <c r="B538" s="7" t="s">
        <v>17</v>
      </c>
      <c r="C538" s="7">
        <v>0.25</v>
      </c>
      <c r="D538" s="7">
        <v>1.0</v>
      </c>
      <c r="E538" s="7">
        <v>8.0</v>
      </c>
      <c r="F538" s="7">
        <v>175.961374044418</v>
      </c>
      <c r="G538" s="7">
        <v>310.776235103607</v>
      </c>
      <c r="H538" s="7">
        <v>1.0</v>
      </c>
      <c r="I538" s="15">
        <v>0.735248679566483</v>
      </c>
      <c r="J538" s="15">
        <v>0.154177338110828</v>
      </c>
      <c r="K538" s="12">
        <f>AVERAGE(I537:I541)</f>
        <v>0.5246470165</v>
      </c>
      <c r="L538" s="18">
        <v>7668.0</v>
      </c>
      <c r="M538" s="14">
        <f>STDEV(L537:L541)</f>
        <v>31246.17845</v>
      </c>
      <c r="N538" s="15" t="b">
        <f t="shared" si="1"/>
        <v>0</v>
      </c>
    </row>
    <row r="539" hidden="1">
      <c r="A539" s="7" t="s">
        <v>114</v>
      </c>
      <c r="B539" s="7" t="s">
        <v>17</v>
      </c>
      <c r="C539" s="7">
        <v>0.25</v>
      </c>
      <c r="D539" s="7">
        <v>1.0</v>
      </c>
      <c r="E539" s="7">
        <v>8.0</v>
      </c>
      <c r="F539" s="7">
        <v>175.961374044418</v>
      </c>
      <c r="G539" s="7">
        <v>310.776235103607</v>
      </c>
      <c r="H539" s="7">
        <v>2.0</v>
      </c>
      <c r="I539" s="15">
        <v>0.120435585080654</v>
      </c>
      <c r="J539" s="15">
        <v>0.284089525834465</v>
      </c>
      <c r="K539" s="12">
        <f>AVERAGE(I537:I541)</f>
        <v>0.5246470165</v>
      </c>
      <c r="L539" s="18">
        <v>53928.0</v>
      </c>
      <c r="M539" s="14">
        <f>STDEV(L537:L541)</f>
        <v>31246.17845</v>
      </c>
      <c r="N539" s="15" t="b">
        <f t="shared" si="1"/>
        <v>0</v>
      </c>
    </row>
    <row r="540" hidden="1">
      <c r="A540" s="7" t="s">
        <v>114</v>
      </c>
      <c r="B540" s="7" t="s">
        <v>17</v>
      </c>
      <c r="C540" s="7">
        <v>0.25</v>
      </c>
      <c r="D540" s="7">
        <v>1.0</v>
      </c>
      <c r="E540" s="7">
        <v>8.0</v>
      </c>
      <c r="F540" s="7">
        <v>175.961374044418</v>
      </c>
      <c r="G540" s="7">
        <v>310.776235103607</v>
      </c>
      <c r="H540" s="7">
        <v>3.0</v>
      </c>
      <c r="I540" s="15">
        <v>0.086723174546519</v>
      </c>
      <c r="J540" s="15">
        <v>0.0796415894133645</v>
      </c>
      <c r="K540" s="12">
        <f>AVERAGE(I537:I541)</f>
        <v>0.5246470165</v>
      </c>
      <c r="L540" s="18">
        <v>70008.0</v>
      </c>
      <c r="M540" s="14">
        <f>STDEV(L537:L541)</f>
        <v>31246.17845</v>
      </c>
      <c r="N540" s="15" t="b">
        <f t="shared" si="1"/>
        <v>0</v>
      </c>
    </row>
    <row r="541" hidden="1">
      <c r="A541" s="7" t="s">
        <v>114</v>
      </c>
      <c r="B541" s="7" t="s">
        <v>17</v>
      </c>
      <c r="C541" s="7">
        <v>0.25</v>
      </c>
      <c r="D541" s="7">
        <v>1.0</v>
      </c>
      <c r="E541" s="7">
        <v>8.0</v>
      </c>
      <c r="F541" s="7">
        <v>175.961374044418</v>
      </c>
      <c r="G541" s="7">
        <v>310.776235103607</v>
      </c>
      <c r="H541" s="7">
        <v>4.0</v>
      </c>
      <c r="I541" s="15">
        <v>0.871667487014544</v>
      </c>
      <c r="J541" s="15">
        <v>0.0997531654461887</v>
      </c>
      <c r="K541" s="12">
        <f>AVERAGE(I537:I541)</f>
        <v>0.5246470165</v>
      </c>
      <c r="L541" s="18">
        <v>4387.0</v>
      </c>
      <c r="M541" s="14">
        <f>STDEV(L537:L541)</f>
        <v>31246.17845</v>
      </c>
      <c r="N541" s="15" t="b">
        <f t="shared" si="1"/>
        <v>0</v>
      </c>
    </row>
    <row r="542" hidden="1">
      <c r="A542" s="7" t="s">
        <v>115</v>
      </c>
      <c r="B542" s="7" t="s">
        <v>17</v>
      </c>
      <c r="C542" s="7">
        <v>0.25</v>
      </c>
      <c r="D542" s="7">
        <v>1.0</v>
      </c>
      <c r="E542" s="7">
        <v>9.0</v>
      </c>
      <c r="F542" s="7">
        <v>180.900586605072</v>
      </c>
      <c r="G542" s="7">
        <v>317.204163312912</v>
      </c>
      <c r="H542" s="7">
        <v>0.0</v>
      </c>
      <c r="I542" s="15">
        <v>-0.00576023349547504</v>
      </c>
      <c r="J542" s="15">
        <v>0.198575465278835</v>
      </c>
      <c r="K542" s="12">
        <f>AVERAGE(I542:I546)</f>
        <v>0.4383005238</v>
      </c>
      <c r="L542" s="18">
        <v>99089.0</v>
      </c>
      <c r="M542" s="14">
        <f>STDEV(L542:L546)</f>
        <v>40000.64713</v>
      </c>
      <c r="N542" s="15" t="b">
        <f t="shared" si="1"/>
        <v>0</v>
      </c>
    </row>
    <row r="543" hidden="1">
      <c r="A543" s="7" t="s">
        <v>115</v>
      </c>
      <c r="B543" s="7" t="s">
        <v>17</v>
      </c>
      <c r="C543" s="7">
        <v>0.25</v>
      </c>
      <c r="D543" s="7">
        <v>1.0</v>
      </c>
      <c r="E543" s="7">
        <v>9.0</v>
      </c>
      <c r="F543" s="7">
        <v>180.900586605072</v>
      </c>
      <c r="G543" s="7">
        <v>317.204163312912</v>
      </c>
      <c r="H543" s="7">
        <v>1.0</v>
      </c>
      <c r="I543" s="15">
        <v>0.43006097191358</v>
      </c>
      <c r="J543" s="15">
        <v>0.101659029841964</v>
      </c>
      <c r="K543" s="12">
        <f>AVERAGE(I542:I546)</f>
        <v>0.4383005238</v>
      </c>
      <c r="L543" s="18">
        <v>20968.0</v>
      </c>
      <c r="M543" s="14">
        <f>STDEV(L542:L546)</f>
        <v>40000.64713</v>
      </c>
      <c r="N543" s="15" t="b">
        <f t="shared" si="1"/>
        <v>0</v>
      </c>
    </row>
    <row r="544" hidden="1">
      <c r="A544" s="7" t="s">
        <v>115</v>
      </c>
      <c r="B544" s="7" t="s">
        <v>17</v>
      </c>
      <c r="C544" s="7">
        <v>0.25</v>
      </c>
      <c r="D544" s="7">
        <v>1.0</v>
      </c>
      <c r="E544" s="7">
        <v>9.0</v>
      </c>
      <c r="F544" s="7">
        <v>180.900586605072</v>
      </c>
      <c r="G544" s="7">
        <v>317.204163312912</v>
      </c>
      <c r="H544" s="7">
        <v>2.0</v>
      </c>
      <c r="I544" s="15">
        <v>0.185373234619298</v>
      </c>
      <c r="J544" s="15">
        <v>0.0991053814091622</v>
      </c>
      <c r="K544" s="12">
        <f>AVERAGE(I542:I546)</f>
        <v>0.4383005238</v>
      </c>
      <c r="L544" s="18">
        <v>6606.0</v>
      </c>
      <c r="M544" s="14">
        <f>STDEV(L542:L546)</f>
        <v>40000.64713</v>
      </c>
      <c r="N544" s="15" t="b">
        <f t="shared" si="1"/>
        <v>0</v>
      </c>
    </row>
    <row r="545" hidden="1">
      <c r="A545" s="7" t="s">
        <v>115</v>
      </c>
      <c r="B545" s="7" t="s">
        <v>17</v>
      </c>
      <c r="C545" s="7">
        <v>0.25</v>
      </c>
      <c r="D545" s="7">
        <v>1.0</v>
      </c>
      <c r="E545" s="7">
        <v>9.0</v>
      </c>
      <c r="F545" s="7">
        <v>180.900586605072</v>
      </c>
      <c r="G545" s="7">
        <v>317.204163312912</v>
      </c>
      <c r="H545" s="7">
        <v>3.0</v>
      </c>
      <c r="I545" s="15">
        <v>0.824653352384107</v>
      </c>
      <c r="J545" s="15">
        <v>0.110919885221086</v>
      </c>
      <c r="K545" s="12">
        <f>AVERAGE(I542:I546)</f>
        <v>0.4383005238</v>
      </c>
      <c r="L545" s="18">
        <v>7464.0</v>
      </c>
      <c r="M545" s="14">
        <f>STDEV(L542:L546)</f>
        <v>40000.64713</v>
      </c>
      <c r="N545" s="15" t="b">
        <f t="shared" si="1"/>
        <v>0</v>
      </c>
    </row>
    <row r="546" hidden="1">
      <c r="A546" s="7" t="s">
        <v>115</v>
      </c>
      <c r="B546" s="7" t="s">
        <v>17</v>
      </c>
      <c r="C546" s="7">
        <v>0.25</v>
      </c>
      <c r="D546" s="7">
        <v>1.0</v>
      </c>
      <c r="E546" s="7">
        <v>9.0</v>
      </c>
      <c r="F546" s="7">
        <v>180.900586605072</v>
      </c>
      <c r="G546" s="7">
        <v>317.204163312912</v>
      </c>
      <c r="H546" s="7">
        <v>4.0</v>
      </c>
      <c r="I546" s="15">
        <v>0.757175293685756</v>
      </c>
      <c r="J546" s="15">
        <v>0.147602580871808</v>
      </c>
      <c r="K546" s="12">
        <f>AVERAGE(I542:I546)</f>
        <v>0.4383005238</v>
      </c>
      <c r="L546" s="18">
        <v>7549.0</v>
      </c>
      <c r="M546" s="14">
        <f>STDEV(L542:L546)</f>
        <v>40000.64713</v>
      </c>
      <c r="N546" s="15" t="b">
        <f t="shared" si="1"/>
        <v>0</v>
      </c>
    </row>
    <row r="547" hidden="1">
      <c r="A547" s="7" t="s">
        <v>116</v>
      </c>
      <c r="B547" s="7" t="s">
        <v>17</v>
      </c>
      <c r="C547" s="7">
        <v>0.25</v>
      </c>
      <c r="D547" s="7">
        <v>1.0</v>
      </c>
      <c r="E547" s="7">
        <v>10.0</v>
      </c>
      <c r="F547" s="7">
        <v>291.29390335083</v>
      </c>
      <c r="G547" s="7">
        <v>411.544617414474</v>
      </c>
      <c r="H547" s="7">
        <v>0.0</v>
      </c>
      <c r="I547" s="15">
        <v>0.0698579150405604</v>
      </c>
      <c r="J547" s="15">
        <v>0.0575254780896597</v>
      </c>
      <c r="K547" s="12">
        <f>AVERAGE(I547:I551)</f>
        <v>0.5041734469</v>
      </c>
      <c r="L547" s="18">
        <v>64154.0</v>
      </c>
      <c r="M547" s="14">
        <f>STDEV(L547:L551)</f>
        <v>24760.42871</v>
      </c>
      <c r="N547" s="15" t="b">
        <f t="shared" si="1"/>
        <v>0</v>
      </c>
    </row>
    <row r="548" hidden="1">
      <c r="A548" s="7" t="s">
        <v>116</v>
      </c>
      <c r="B548" s="7" t="s">
        <v>17</v>
      </c>
      <c r="C548" s="7">
        <v>0.25</v>
      </c>
      <c r="D548" s="7">
        <v>1.0</v>
      </c>
      <c r="E548" s="7">
        <v>10.0</v>
      </c>
      <c r="F548" s="7">
        <v>291.29390335083</v>
      </c>
      <c r="G548" s="7">
        <v>411.544617414474</v>
      </c>
      <c r="H548" s="7">
        <v>1.0</v>
      </c>
      <c r="I548" s="15">
        <v>0.789750614922789</v>
      </c>
      <c r="J548" s="15">
        <v>0.126759107017252</v>
      </c>
      <c r="K548" s="12">
        <f>AVERAGE(I547:I551)</f>
        <v>0.5041734469</v>
      </c>
      <c r="L548" s="18">
        <v>9939.0</v>
      </c>
      <c r="M548" s="14">
        <f>STDEV(L547:L551)</f>
        <v>24760.42871</v>
      </c>
      <c r="N548" s="15" t="b">
        <f t="shared" si="1"/>
        <v>0</v>
      </c>
    </row>
    <row r="549" hidden="1">
      <c r="A549" s="7" t="s">
        <v>116</v>
      </c>
      <c r="B549" s="7" t="s">
        <v>17</v>
      </c>
      <c r="C549" s="7">
        <v>0.25</v>
      </c>
      <c r="D549" s="7">
        <v>1.0</v>
      </c>
      <c r="E549" s="7">
        <v>10.0</v>
      </c>
      <c r="F549" s="7">
        <v>291.29390335083</v>
      </c>
      <c r="G549" s="7">
        <v>411.544617414474</v>
      </c>
      <c r="H549" s="7">
        <v>2.0</v>
      </c>
      <c r="I549" s="15">
        <v>0.0635303221705692</v>
      </c>
      <c r="J549" s="15">
        <v>0.291286043400705</v>
      </c>
      <c r="K549" s="12">
        <f>AVERAGE(I547:I551)</f>
        <v>0.5041734469</v>
      </c>
      <c r="L549" s="18">
        <v>43269.0</v>
      </c>
      <c r="M549" s="14">
        <f>STDEV(L547:L551)</f>
        <v>24760.42871</v>
      </c>
      <c r="N549" s="15" t="b">
        <f t="shared" si="1"/>
        <v>0</v>
      </c>
    </row>
    <row r="550" hidden="1">
      <c r="A550" s="7" t="s">
        <v>116</v>
      </c>
      <c r="B550" s="7" t="s">
        <v>17</v>
      </c>
      <c r="C550" s="7">
        <v>0.25</v>
      </c>
      <c r="D550" s="7">
        <v>1.0</v>
      </c>
      <c r="E550" s="7">
        <v>10.0</v>
      </c>
      <c r="F550" s="7">
        <v>291.29390335083</v>
      </c>
      <c r="G550" s="7">
        <v>411.544617414474</v>
      </c>
      <c r="H550" s="7">
        <v>3.0</v>
      </c>
      <c r="I550" s="15">
        <v>0.789381560622584</v>
      </c>
      <c r="J550" s="15">
        <v>0.0999247302366255</v>
      </c>
      <c r="K550" s="12">
        <f>AVERAGE(I547:I551)</f>
        <v>0.5041734469</v>
      </c>
      <c r="L550" s="18">
        <v>18654.0</v>
      </c>
      <c r="M550" s="14">
        <f>STDEV(L547:L551)</f>
        <v>24760.42871</v>
      </c>
      <c r="N550" s="15" t="b">
        <f t="shared" si="1"/>
        <v>0</v>
      </c>
    </row>
    <row r="551" hidden="1">
      <c r="A551" s="7" t="s">
        <v>116</v>
      </c>
      <c r="B551" s="7" t="s">
        <v>17</v>
      </c>
      <c r="C551" s="7">
        <v>0.25</v>
      </c>
      <c r="D551" s="7">
        <v>1.0</v>
      </c>
      <c r="E551" s="7">
        <v>10.0</v>
      </c>
      <c r="F551" s="7">
        <v>291.29390335083</v>
      </c>
      <c r="G551" s="7">
        <v>411.544617414474</v>
      </c>
      <c r="H551" s="7">
        <v>4.0</v>
      </c>
      <c r="I551" s="15">
        <v>0.808346821745055</v>
      </c>
      <c r="J551" s="15">
        <v>0.124161759560164</v>
      </c>
      <c r="K551" s="12">
        <f>AVERAGE(I547:I551)</f>
        <v>0.5041734469</v>
      </c>
      <c r="L551" s="18">
        <v>5660.0</v>
      </c>
      <c r="M551" s="14">
        <f>STDEV(L547:L551)</f>
        <v>24760.42871</v>
      </c>
      <c r="N551" s="15" t="b">
        <f t="shared" si="1"/>
        <v>0</v>
      </c>
    </row>
    <row r="552" hidden="1">
      <c r="A552" s="7" t="s">
        <v>117</v>
      </c>
      <c r="B552" s="7" t="s">
        <v>17</v>
      </c>
      <c r="C552" s="7">
        <v>0.5</v>
      </c>
      <c r="D552" s="7">
        <v>0.1</v>
      </c>
      <c r="E552" s="7">
        <v>1.0</v>
      </c>
      <c r="F552" s="7">
        <v>235.32632780075</v>
      </c>
      <c r="G552" s="7">
        <v>365.4838078022</v>
      </c>
      <c r="H552" s="7">
        <v>0.0</v>
      </c>
      <c r="I552" s="15">
        <v>0.0603928886366666</v>
      </c>
      <c r="J552" s="15">
        <v>0.0421295163277588</v>
      </c>
      <c r="K552" s="12">
        <f>AVERAGE(I552:I556)</f>
        <v>0.5268943082</v>
      </c>
      <c r="L552" s="18">
        <v>38448.0</v>
      </c>
      <c r="M552" s="14">
        <f>STDEV(L552:L556)</f>
        <v>36735.10179</v>
      </c>
      <c r="N552" s="15" t="b">
        <f t="shared" si="1"/>
        <v>0</v>
      </c>
    </row>
    <row r="553" hidden="1">
      <c r="A553" s="7" t="s">
        <v>117</v>
      </c>
      <c r="B553" s="7" t="s">
        <v>17</v>
      </c>
      <c r="C553" s="7">
        <v>0.5</v>
      </c>
      <c r="D553" s="7">
        <v>0.1</v>
      </c>
      <c r="E553" s="7">
        <v>1.0</v>
      </c>
      <c r="F553" s="7">
        <v>235.32632780075</v>
      </c>
      <c r="G553" s="7">
        <v>365.4838078022</v>
      </c>
      <c r="H553" s="7">
        <v>1.0</v>
      </c>
      <c r="I553" s="15">
        <v>0.11502860082573</v>
      </c>
      <c r="J553" s="15">
        <v>0.149687389967728</v>
      </c>
      <c r="K553" s="12">
        <f>AVERAGE(I552:I556)</f>
        <v>0.5268943082</v>
      </c>
      <c r="L553" s="18">
        <v>88578.0</v>
      </c>
      <c r="M553" s="14">
        <f>STDEV(L552:L556)</f>
        <v>36735.10179</v>
      </c>
      <c r="N553" s="15" t="b">
        <f t="shared" si="1"/>
        <v>0</v>
      </c>
    </row>
    <row r="554" hidden="1">
      <c r="A554" s="7" t="s">
        <v>117</v>
      </c>
      <c r="B554" s="7" t="s">
        <v>17</v>
      </c>
      <c r="C554" s="7">
        <v>0.5</v>
      </c>
      <c r="D554" s="7">
        <v>0.1</v>
      </c>
      <c r="E554" s="7">
        <v>1.0</v>
      </c>
      <c r="F554" s="7">
        <v>235.32632780075</v>
      </c>
      <c r="G554" s="7">
        <v>365.4838078022</v>
      </c>
      <c r="H554" s="7">
        <v>2.0</v>
      </c>
      <c r="I554" s="15">
        <v>0.838132942851533</v>
      </c>
      <c r="J554" s="15">
        <v>0.0994963841489554</v>
      </c>
      <c r="K554" s="12">
        <f>AVERAGE(I552:I556)</f>
        <v>0.5268943082</v>
      </c>
      <c r="L554" s="18">
        <v>4751.0</v>
      </c>
      <c r="M554" s="14">
        <f>STDEV(L552:L556)</f>
        <v>36735.10179</v>
      </c>
      <c r="N554" s="15" t="b">
        <f t="shared" si="1"/>
        <v>0</v>
      </c>
    </row>
    <row r="555" hidden="1">
      <c r="A555" s="7" t="s">
        <v>117</v>
      </c>
      <c r="B555" s="7" t="s">
        <v>17</v>
      </c>
      <c r="C555" s="7">
        <v>0.5</v>
      </c>
      <c r="D555" s="7">
        <v>0.1</v>
      </c>
      <c r="E555" s="7">
        <v>1.0</v>
      </c>
      <c r="F555" s="7">
        <v>235.32632780075</v>
      </c>
      <c r="G555" s="7">
        <v>365.4838078022</v>
      </c>
      <c r="H555" s="7">
        <v>3.0</v>
      </c>
      <c r="I555" s="15">
        <v>0.766616618166495</v>
      </c>
      <c r="J555" s="15">
        <v>0.132236838900461</v>
      </c>
      <c r="K555" s="12">
        <f>AVERAGE(I552:I556)</f>
        <v>0.5268943082</v>
      </c>
      <c r="L555" s="18">
        <v>7814.0</v>
      </c>
      <c r="M555" s="14">
        <f>STDEV(L552:L556)</f>
        <v>36735.10179</v>
      </c>
      <c r="N555" s="15" t="b">
        <f t="shared" si="1"/>
        <v>0</v>
      </c>
    </row>
    <row r="556" hidden="1">
      <c r="A556" s="7" t="s">
        <v>117</v>
      </c>
      <c r="B556" s="7" t="s">
        <v>17</v>
      </c>
      <c r="C556" s="7">
        <v>0.5</v>
      </c>
      <c r="D556" s="7">
        <v>0.1</v>
      </c>
      <c r="E556" s="7">
        <v>1.0</v>
      </c>
      <c r="F556" s="7">
        <v>235.32632780075</v>
      </c>
      <c r="G556" s="7">
        <v>365.4838078022</v>
      </c>
      <c r="H556" s="7">
        <v>4.0</v>
      </c>
      <c r="I556" s="15">
        <v>0.854300490672809</v>
      </c>
      <c r="J556" s="15">
        <v>0.0847945471826561</v>
      </c>
      <c r="K556" s="12">
        <f>AVERAGE(I552:I556)</f>
        <v>0.5268943082</v>
      </c>
      <c r="L556" s="18">
        <v>2085.0</v>
      </c>
      <c r="M556" s="14">
        <f>STDEV(L552:L556)</f>
        <v>36735.10179</v>
      </c>
      <c r="N556" s="15" t="b">
        <f t="shared" si="1"/>
        <v>0</v>
      </c>
    </row>
    <row r="557" hidden="1">
      <c r="A557" s="7" t="s">
        <v>118</v>
      </c>
      <c r="B557" s="7" t="s">
        <v>17</v>
      </c>
      <c r="C557" s="7">
        <v>0.5</v>
      </c>
      <c r="D557" s="7">
        <v>0.1</v>
      </c>
      <c r="E557" s="7">
        <v>2.0</v>
      </c>
      <c r="F557" s="7">
        <v>412.899441480636</v>
      </c>
      <c r="G557" s="7">
        <v>507.657413959503</v>
      </c>
      <c r="H557" s="7">
        <v>0.0</v>
      </c>
      <c r="I557" s="15">
        <v>-0.00147332668542161</v>
      </c>
      <c r="J557" s="15">
        <v>0.1532920862021</v>
      </c>
      <c r="K557" s="12">
        <f>AVERAGE(I557:I561)</f>
        <v>0.3968981147</v>
      </c>
      <c r="L557" s="18">
        <v>66029.0</v>
      </c>
      <c r="M557" s="14">
        <f>STDEV(L557:L561)</f>
        <v>23714.49295</v>
      </c>
      <c r="N557" s="15" t="b">
        <f t="shared" si="1"/>
        <v>0</v>
      </c>
    </row>
    <row r="558" hidden="1">
      <c r="A558" s="7" t="s">
        <v>118</v>
      </c>
      <c r="B558" s="7" t="s">
        <v>17</v>
      </c>
      <c r="C558" s="7">
        <v>0.5</v>
      </c>
      <c r="D558" s="7">
        <v>0.1</v>
      </c>
      <c r="E558" s="7">
        <v>2.0</v>
      </c>
      <c r="F558" s="7">
        <v>412.899441480636</v>
      </c>
      <c r="G558" s="7">
        <v>507.657413959503</v>
      </c>
      <c r="H558" s="7">
        <v>1.0</v>
      </c>
      <c r="I558" s="15">
        <v>0.399841894765718</v>
      </c>
      <c r="J558" s="15">
        <v>0.0597166858133949</v>
      </c>
      <c r="K558" s="12">
        <f>AVERAGE(I557:I561)</f>
        <v>0.3968981147</v>
      </c>
      <c r="L558" s="18">
        <v>29144.0</v>
      </c>
      <c r="M558" s="14">
        <f>STDEV(L557:L561)</f>
        <v>23714.49295</v>
      </c>
      <c r="N558" s="15" t="b">
        <f t="shared" si="1"/>
        <v>0</v>
      </c>
    </row>
    <row r="559" hidden="1">
      <c r="A559" s="7" t="s">
        <v>118</v>
      </c>
      <c r="B559" s="7" t="s">
        <v>17</v>
      </c>
      <c r="C559" s="7">
        <v>0.5</v>
      </c>
      <c r="D559" s="7">
        <v>0.1</v>
      </c>
      <c r="E559" s="7">
        <v>2.0</v>
      </c>
      <c r="F559" s="7">
        <v>412.899441480636</v>
      </c>
      <c r="G559" s="7">
        <v>507.657413959503</v>
      </c>
      <c r="H559" s="7">
        <v>2.0</v>
      </c>
      <c r="I559" s="15">
        <v>0.219457100655678</v>
      </c>
      <c r="J559" s="15">
        <v>0.0855210853004256</v>
      </c>
      <c r="K559" s="12">
        <f>AVERAGE(I557:I561)</f>
        <v>0.3968981147</v>
      </c>
      <c r="L559" s="18">
        <v>27774.0</v>
      </c>
      <c r="M559" s="14">
        <f>STDEV(L557:L561)</f>
        <v>23714.49295</v>
      </c>
      <c r="N559" s="15" t="b">
        <f t="shared" si="1"/>
        <v>0</v>
      </c>
    </row>
    <row r="560" hidden="1">
      <c r="A560" s="7" t="s">
        <v>118</v>
      </c>
      <c r="B560" s="7" t="s">
        <v>17</v>
      </c>
      <c r="C560" s="7">
        <v>0.5</v>
      </c>
      <c r="D560" s="7">
        <v>0.1</v>
      </c>
      <c r="E560" s="7">
        <v>2.0</v>
      </c>
      <c r="F560" s="7">
        <v>412.899441480636</v>
      </c>
      <c r="G560" s="7">
        <v>507.657413959503</v>
      </c>
      <c r="H560" s="7">
        <v>3.0</v>
      </c>
      <c r="I560" s="15">
        <v>0.472587096797599</v>
      </c>
      <c r="J560" s="15">
        <v>0.159672947780642</v>
      </c>
      <c r="K560" s="12">
        <f>AVERAGE(I557:I561)</f>
        <v>0.3968981147</v>
      </c>
      <c r="L560" s="18">
        <v>16711.0</v>
      </c>
      <c r="M560" s="14">
        <f>STDEV(L557:L561)</f>
        <v>23714.49295</v>
      </c>
      <c r="N560" s="15" t="b">
        <f t="shared" si="1"/>
        <v>0</v>
      </c>
    </row>
    <row r="561" hidden="1">
      <c r="A561" s="7" t="s">
        <v>118</v>
      </c>
      <c r="B561" s="7" t="s">
        <v>17</v>
      </c>
      <c r="C561" s="7">
        <v>0.5</v>
      </c>
      <c r="D561" s="7">
        <v>0.1</v>
      </c>
      <c r="E561" s="7">
        <v>2.0</v>
      </c>
      <c r="F561" s="7">
        <v>412.899441480636</v>
      </c>
      <c r="G561" s="7">
        <v>507.657413959503</v>
      </c>
      <c r="H561" s="7">
        <v>4.0</v>
      </c>
      <c r="I561" s="15">
        <v>0.894077808141893</v>
      </c>
      <c r="J561" s="15">
        <v>0.119607766157846</v>
      </c>
      <c r="K561" s="12">
        <f>AVERAGE(I557:I561)</f>
        <v>0.3968981147</v>
      </c>
      <c r="L561" s="18">
        <v>2018.0</v>
      </c>
      <c r="M561" s="14">
        <f>STDEV(L557:L561)</f>
        <v>23714.49295</v>
      </c>
      <c r="N561" s="15" t="b">
        <f t="shared" si="1"/>
        <v>0</v>
      </c>
    </row>
    <row r="562" hidden="1">
      <c r="A562" s="7" t="s">
        <v>119</v>
      </c>
      <c r="B562" s="7" t="s">
        <v>17</v>
      </c>
      <c r="C562" s="7">
        <v>0.5</v>
      </c>
      <c r="D562" s="7">
        <v>0.1</v>
      </c>
      <c r="E562" s="7">
        <v>3.0</v>
      </c>
      <c r="F562" s="7">
        <v>165.761232376098</v>
      </c>
      <c r="G562" s="7">
        <v>293.42721915245</v>
      </c>
      <c r="H562" s="7">
        <v>0.0</v>
      </c>
      <c r="I562" s="15">
        <v>0.0388798346587471</v>
      </c>
      <c r="J562" s="15">
        <v>0.1433970530211</v>
      </c>
      <c r="K562" s="12">
        <f>AVERAGE(I562:I566)</f>
        <v>0.6462471286</v>
      </c>
      <c r="L562" s="18">
        <v>98234.0</v>
      </c>
      <c r="M562" s="14">
        <f>STDEV(L562:L566)</f>
        <v>39229.07006</v>
      </c>
      <c r="N562" s="15" t="b">
        <f t="shared" si="1"/>
        <v>0</v>
      </c>
    </row>
    <row r="563" hidden="1">
      <c r="A563" s="7" t="s">
        <v>119</v>
      </c>
      <c r="B563" s="7" t="s">
        <v>17</v>
      </c>
      <c r="C563" s="7">
        <v>0.5</v>
      </c>
      <c r="D563" s="7">
        <v>0.1</v>
      </c>
      <c r="E563" s="7">
        <v>3.0</v>
      </c>
      <c r="F563" s="7">
        <v>165.761232376098</v>
      </c>
      <c r="G563" s="7">
        <v>293.42721915245</v>
      </c>
      <c r="H563" s="7">
        <v>1.0</v>
      </c>
      <c r="I563" s="15">
        <v>0.792582469171143</v>
      </c>
      <c r="J563" s="15">
        <v>0.114604890261268</v>
      </c>
      <c r="K563" s="12">
        <f>AVERAGE(I562:I566)</f>
        <v>0.6462471286</v>
      </c>
      <c r="L563" s="18">
        <v>12260.0</v>
      </c>
      <c r="M563" s="14">
        <f>STDEV(L562:L566)</f>
        <v>39229.07006</v>
      </c>
      <c r="N563" s="15" t="b">
        <f t="shared" si="1"/>
        <v>0</v>
      </c>
    </row>
    <row r="564" hidden="1">
      <c r="A564" s="7" t="s">
        <v>119</v>
      </c>
      <c r="B564" s="7" t="s">
        <v>17</v>
      </c>
      <c r="C564" s="7">
        <v>0.5</v>
      </c>
      <c r="D564" s="7">
        <v>0.1</v>
      </c>
      <c r="E564" s="7">
        <v>3.0</v>
      </c>
      <c r="F564" s="7">
        <v>165.761232376098</v>
      </c>
      <c r="G564" s="7">
        <v>293.42721915245</v>
      </c>
      <c r="H564" s="7">
        <v>2.0</v>
      </c>
      <c r="I564" s="15">
        <v>0.828683498808473</v>
      </c>
      <c r="J564" s="15">
        <v>0.097865028707328</v>
      </c>
      <c r="K564" s="12">
        <f>AVERAGE(I562:I566)</f>
        <v>0.6462471286</v>
      </c>
      <c r="L564" s="18">
        <v>7439.0</v>
      </c>
      <c r="M564" s="14">
        <f>STDEV(L562:L566)</f>
        <v>39229.07006</v>
      </c>
      <c r="N564" s="15" t="b">
        <f t="shared" si="1"/>
        <v>0</v>
      </c>
    </row>
    <row r="565" hidden="1">
      <c r="A565" s="7" t="s">
        <v>119</v>
      </c>
      <c r="B565" s="7" t="s">
        <v>17</v>
      </c>
      <c r="C565" s="7">
        <v>0.5</v>
      </c>
      <c r="D565" s="7">
        <v>0.1</v>
      </c>
      <c r="E565" s="7">
        <v>3.0</v>
      </c>
      <c r="F565" s="7">
        <v>165.761232376098</v>
      </c>
      <c r="G565" s="7">
        <v>293.42721915245</v>
      </c>
      <c r="H565" s="7">
        <v>3.0</v>
      </c>
      <c r="I565" s="15">
        <v>0.764207985583702</v>
      </c>
      <c r="J565" s="15">
        <v>0.133023630140634</v>
      </c>
      <c r="K565" s="12">
        <f>AVERAGE(I562:I566)</f>
        <v>0.6462471286</v>
      </c>
      <c r="L565" s="18">
        <v>7830.0</v>
      </c>
      <c r="M565" s="14">
        <f>STDEV(L562:L566)</f>
        <v>39229.07006</v>
      </c>
      <c r="N565" s="15" t="b">
        <f t="shared" si="1"/>
        <v>0</v>
      </c>
    </row>
    <row r="566" hidden="1">
      <c r="A566" s="7" t="s">
        <v>119</v>
      </c>
      <c r="B566" s="7" t="s">
        <v>17</v>
      </c>
      <c r="C566" s="7">
        <v>0.5</v>
      </c>
      <c r="D566" s="7">
        <v>0.1</v>
      </c>
      <c r="E566" s="7">
        <v>3.0</v>
      </c>
      <c r="F566" s="7">
        <v>165.761232376098</v>
      </c>
      <c r="G566" s="7">
        <v>293.42721915245</v>
      </c>
      <c r="H566" s="7">
        <v>4.0</v>
      </c>
      <c r="I566" s="15">
        <v>0.806881854584668</v>
      </c>
      <c r="J566" s="15">
        <v>0.0933570479937523</v>
      </c>
      <c r="K566" s="12">
        <f>AVERAGE(I562:I566)</f>
        <v>0.6462471286</v>
      </c>
      <c r="L566" s="18">
        <v>15913.0</v>
      </c>
      <c r="M566" s="14">
        <f>STDEV(L562:L566)</f>
        <v>39229.07006</v>
      </c>
      <c r="N566" s="15" t="b">
        <f t="shared" si="1"/>
        <v>0</v>
      </c>
    </row>
    <row r="567" hidden="1">
      <c r="A567" s="7" t="s">
        <v>120</v>
      </c>
      <c r="B567" s="7" t="s">
        <v>17</v>
      </c>
      <c r="C567" s="7">
        <v>0.5</v>
      </c>
      <c r="D567" s="7">
        <v>0.1</v>
      </c>
      <c r="E567" s="7">
        <v>4.0</v>
      </c>
      <c r="F567" s="7">
        <v>198.29399394989</v>
      </c>
      <c r="G567" s="7">
        <v>323.93676829338</v>
      </c>
      <c r="H567" s="7">
        <v>0.0</v>
      </c>
      <c r="I567" s="15">
        <v>0.0250860016594875</v>
      </c>
      <c r="J567" s="15">
        <v>0.0994577124695024</v>
      </c>
      <c r="K567" s="12">
        <f>AVERAGE(I567:I571)</f>
        <v>0.5173928449</v>
      </c>
      <c r="L567" s="18">
        <v>90949.0</v>
      </c>
      <c r="M567" s="14">
        <f>STDEV(L567:L571)</f>
        <v>38621.82452</v>
      </c>
      <c r="N567" s="15" t="b">
        <f t="shared" si="1"/>
        <v>0</v>
      </c>
    </row>
    <row r="568" hidden="1">
      <c r="A568" s="7" t="s">
        <v>120</v>
      </c>
      <c r="B568" s="7" t="s">
        <v>17</v>
      </c>
      <c r="C568" s="7">
        <v>0.5</v>
      </c>
      <c r="D568" s="7">
        <v>0.1</v>
      </c>
      <c r="E568" s="7">
        <v>4.0</v>
      </c>
      <c r="F568" s="7">
        <v>198.29399394989</v>
      </c>
      <c r="G568" s="7">
        <v>323.93676829338</v>
      </c>
      <c r="H568" s="7">
        <v>1.0</v>
      </c>
      <c r="I568" s="15">
        <v>0.275907123994583</v>
      </c>
      <c r="J568" s="15">
        <v>0.0560759177612205</v>
      </c>
      <c r="K568" s="12">
        <f>AVERAGE(I567:I571)</f>
        <v>0.5173928449</v>
      </c>
      <c r="L568" s="18">
        <v>40595.0</v>
      </c>
      <c r="M568" s="14">
        <f>STDEV(L567:L571)</f>
        <v>38621.82452</v>
      </c>
      <c r="N568" s="15" t="b">
        <f t="shared" si="1"/>
        <v>0</v>
      </c>
    </row>
    <row r="569" hidden="1">
      <c r="A569" s="7" t="s">
        <v>120</v>
      </c>
      <c r="B569" s="7" t="s">
        <v>17</v>
      </c>
      <c r="C569" s="7">
        <v>0.5</v>
      </c>
      <c r="D569" s="7">
        <v>0.1</v>
      </c>
      <c r="E569" s="7">
        <v>4.0</v>
      </c>
      <c r="F569" s="7">
        <v>198.29399394989</v>
      </c>
      <c r="G569" s="7">
        <v>323.93676829338</v>
      </c>
      <c r="H569" s="7">
        <v>2.0</v>
      </c>
      <c r="I569" s="15">
        <v>0.827535029008025</v>
      </c>
      <c r="J569" s="15">
        <v>0.100121041616675</v>
      </c>
      <c r="K569" s="12">
        <f>AVERAGE(I567:I571)</f>
        <v>0.5173928449</v>
      </c>
      <c r="L569" s="18">
        <v>7447.0</v>
      </c>
      <c r="M569" s="14">
        <f>STDEV(L567:L571)</f>
        <v>38621.82452</v>
      </c>
      <c r="N569" s="15" t="b">
        <f t="shared" si="1"/>
        <v>0</v>
      </c>
    </row>
    <row r="570" hidden="1">
      <c r="A570" s="7" t="s">
        <v>120</v>
      </c>
      <c r="B570" s="7" t="s">
        <v>17</v>
      </c>
      <c r="C570" s="7">
        <v>0.5</v>
      </c>
      <c r="D570" s="7">
        <v>0.1</v>
      </c>
      <c r="E570" s="7">
        <v>4.0</v>
      </c>
      <c r="F570" s="7">
        <v>198.29399394989</v>
      </c>
      <c r="G570" s="7">
        <v>323.93676829338</v>
      </c>
      <c r="H570" s="7">
        <v>3.0</v>
      </c>
      <c r="I570" s="15">
        <v>0.755264749047092</v>
      </c>
      <c r="J570" s="15">
        <v>0.159112965185552</v>
      </c>
      <c r="K570" s="12">
        <f>AVERAGE(I567:I571)</f>
        <v>0.5173928449</v>
      </c>
      <c r="L570" s="18">
        <v>2406.0</v>
      </c>
      <c r="M570" s="14">
        <f>STDEV(L567:L571)</f>
        <v>38621.82452</v>
      </c>
      <c r="N570" s="15" t="b">
        <f t="shared" si="1"/>
        <v>0</v>
      </c>
    </row>
    <row r="571" hidden="1">
      <c r="A571" s="7" t="s">
        <v>120</v>
      </c>
      <c r="B571" s="7" t="s">
        <v>17</v>
      </c>
      <c r="C571" s="7">
        <v>0.5</v>
      </c>
      <c r="D571" s="7">
        <v>0.1</v>
      </c>
      <c r="E571" s="7">
        <v>4.0</v>
      </c>
      <c r="F571" s="7">
        <v>198.29399394989</v>
      </c>
      <c r="G571" s="7">
        <v>323.93676829338</v>
      </c>
      <c r="H571" s="7">
        <v>4.0</v>
      </c>
      <c r="I571" s="15">
        <v>0.7031713209546</v>
      </c>
      <c r="J571" s="15">
        <v>0.136154115497412</v>
      </c>
      <c r="K571" s="12">
        <f>AVERAGE(I567:I571)</f>
        <v>0.5173928449</v>
      </c>
      <c r="L571" s="18">
        <v>279.0</v>
      </c>
      <c r="M571" s="14">
        <f>STDEV(L567:L571)</f>
        <v>38621.82452</v>
      </c>
      <c r="N571" s="15" t="b">
        <f t="shared" si="1"/>
        <v>0</v>
      </c>
    </row>
    <row r="572" hidden="1">
      <c r="A572" s="7" t="s">
        <v>121</v>
      </c>
      <c r="B572" s="21" t="s">
        <v>17</v>
      </c>
      <c r="C572" s="21">
        <v>0.5</v>
      </c>
      <c r="D572" s="21">
        <v>0.1</v>
      </c>
      <c r="E572" s="21">
        <v>5.0</v>
      </c>
      <c r="F572" s="7">
        <v>208.066729545593</v>
      </c>
      <c r="G572" s="7">
        <v>321.069693803787</v>
      </c>
      <c r="H572" s="7">
        <v>0.0</v>
      </c>
      <c r="I572" s="15">
        <v>0.0413703914422244</v>
      </c>
      <c r="J572" s="15">
        <v>0.140026433415075</v>
      </c>
      <c r="K572" s="12">
        <f>AVERAGE(I572:I576)</f>
        <v>0.6522151111</v>
      </c>
      <c r="L572" s="18">
        <v>124319.0</v>
      </c>
      <c r="M572" s="14">
        <f>STDEV(L572:L576)</f>
        <v>53794.08709</v>
      </c>
      <c r="N572" s="15" t="b">
        <f t="shared" si="1"/>
        <v>1</v>
      </c>
    </row>
    <row r="573" hidden="1">
      <c r="A573" s="7" t="s">
        <v>121</v>
      </c>
      <c r="B573" s="21" t="s">
        <v>17</v>
      </c>
      <c r="C573" s="21">
        <v>0.5</v>
      </c>
      <c r="D573" s="21">
        <v>0.1</v>
      </c>
      <c r="E573" s="21">
        <v>5.0</v>
      </c>
      <c r="F573" s="7">
        <v>208.066729545593</v>
      </c>
      <c r="G573" s="7">
        <v>321.069693803787</v>
      </c>
      <c r="H573" s="7">
        <v>1.0</v>
      </c>
      <c r="I573" s="15">
        <v>0.818866064959663</v>
      </c>
      <c r="J573" s="15">
        <v>0.128016509388224</v>
      </c>
      <c r="K573" s="12">
        <f>AVERAGE(I572:I576)</f>
        <v>0.6522151111</v>
      </c>
      <c r="L573" s="18">
        <v>1394.0</v>
      </c>
      <c r="M573" s="14">
        <f>STDEV(L572:L576)</f>
        <v>53794.08709</v>
      </c>
      <c r="N573" s="15" t="b">
        <f t="shared" si="1"/>
        <v>1</v>
      </c>
    </row>
    <row r="574" hidden="1">
      <c r="A574" s="7" t="s">
        <v>121</v>
      </c>
      <c r="B574" s="21" t="s">
        <v>17</v>
      </c>
      <c r="C574" s="21">
        <v>0.5</v>
      </c>
      <c r="D574" s="21">
        <v>0.1</v>
      </c>
      <c r="E574" s="21">
        <v>5.0</v>
      </c>
      <c r="F574" s="7">
        <v>208.066729545593</v>
      </c>
      <c r="G574" s="7">
        <v>321.069693803787</v>
      </c>
      <c r="H574" s="7">
        <v>2.0</v>
      </c>
      <c r="I574" s="15">
        <v>0.797889908749402</v>
      </c>
      <c r="J574" s="15">
        <v>0.118262720730025</v>
      </c>
      <c r="K574" s="12">
        <f>AVERAGE(I572:I576)</f>
        <v>0.6522151111</v>
      </c>
      <c r="L574" s="18">
        <v>5024.0</v>
      </c>
      <c r="M574" s="14">
        <f>STDEV(L572:L576)</f>
        <v>53794.08709</v>
      </c>
      <c r="N574" s="15" t="b">
        <f t="shared" si="1"/>
        <v>1</v>
      </c>
    </row>
    <row r="575" hidden="1">
      <c r="A575" s="7" t="s">
        <v>121</v>
      </c>
      <c r="B575" s="21" t="s">
        <v>17</v>
      </c>
      <c r="C575" s="21">
        <v>0.5</v>
      </c>
      <c r="D575" s="21">
        <v>0.1</v>
      </c>
      <c r="E575" s="21">
        <v>5.0</v>
      </c>
      <c r="F575" s="7">
        <v>208.066729545593</v>
      </c>
      <c r="G575" s="7">
        <v>321.069693803787</v>
      </c>
      <c r="H575" s="7">
        <v>3.0</v>
      </c>
      <c r="I575" s="15">
        <v>0.84881958108522</v>
      </c>
      <c r="J575" s="15">
        <v>0.122571614106162</v>
      </c>
      <c r="K575" s="12">
        <f>AVERAGE(I572:I576)</f>
        <v>0.6522151111</v>
      </c>
      <c r="L575" s="18">
        <v>601.0</v>
      </c>
      <c r="M575" s="14">
        <f>STDEV(L572:L576)</f>
        <v>53794.08709</v>
      </c>
      <c r="N575" s="15" t="b">
        <f t="shared" si="1"/>
        <v>1</v>
      </c>
    </row>
    <row r="576" hidden="1">
      <c r="A576" s="7" t="s">
        <v>121</v>
      </c>
      <c r="B576" s="21" t="s">
        <v>17</v>
      </c>
      <c r="C576" s="21">
        <v>0.5</v>
      </c>
      <c r="D576" s="21">
        <v>0.1</v>
      </c>
      <c r="E576" s="21">
        <v>5.0</v>
      </c>
      <c r="F576" s="7">
        <v>208.066729545593</v>
      </c>
      <c r="G576" s="7">
        <v>321.069693803787</v>
      </c>
      <c r="H576" s="7">
        <v>4.0</v>
      </c>
      <c r="I576" s="15">
        <v>0.75412960915984</v>
      </c>
      <c r="J576" s="15">
        <v>0.136982678360329</v>
      </c>
      <c r="K576" s="12">
        <f>AVERAGE(I572:I576)</f>
        <v>0.6522151111</v>
      </c>
      <c r="L576" s="18">
        <v>10338.0</v>
      </c>
      <c r="M576" s="14">
        <f>STDEV(L572:L576)</f>
        <v>53794.08709</v>
      </c>
      <c r="N576" s="15" t="b">
        <f t="shared" si="1"/>
        <v>1</v>
      </c>
    </row>
    <row r="577" hidden="1">
      <c r="A577" s="7" t="s">
        <v>122</v>
      </c>
      <c r="B577" s="7" t="s">
        <v>17</v>
      </c>
      <c r="C577" s="7">
        <v>0.5</v>
      </c>
      <c r="D577" s="7">
        <v>0.1</v>
      </c>
      <c r="E577" s="7">
        <v>6.0</v>
      </c>
      <c r="F577" s="7">
        <v>267.651289701461</v>
      </c>
      <c r="G577" s="7">
        <v>400.50374507904</v>
      </c>
      <c r="H577" s="7">
        <v>0.0</v>
      </c>
      <c r="I577" s="15">
        <v>0.796036822053411</v>
      </c>
      <c r="J577" s="15">
        <v>0.113202265429044</v>
      </c>
      <c r="K577" s="12">
        <f>AVERAGE(I577:I581)</f>
        <v>0.6099045839</v>
      </c>
      <c r="L577" s="18">
        <v>12164.0</v>
      </c>
      <c r="M577" s="14">
        <f>STDEV(L577:L581)</f>
        <v>48624.38301</v>
      </c>
      <c r="N577" s="15" t="b">
        <f t="shared" si="1"/>
        <v>0</v>
      </c>
    </row>
    <row r="578" hidden="1">
      <c r="A578" s="7" t="s">
        <v>122</v>
      </c>
      <c r="B578" s="7" t="s">
        <v>17</v>
      </c>
      <c r="C578" s="7">
        <v>0.5</v>
      </c>
      <c r="D578" s="7">
        <v>0.1</v>
      </c>
      <c r="E578" s="7">
        <v>6.0</v>
      </c>
      <c r="F578" s="7">
        <v>267.651289701461</v>
      </c>
      <c r="G578" s="7">
        <v>400.50374507904</v>
      </c>
      <c r="H578" s="7">
        <v>1.0</v>
      </c>
      <c r="I578" s="15">
        <v>0.476199900943818</v>
      </c>
      <c r="J578" s="15">
        <v>0.171059873389578</v>
      </c>
      <c r="K578" s="12">
        <f>AVERAGE(I577:I581)</f>
        <v>0.6099045839</v>
      </c>
      <c r="L578" s="18">
        <v>7090.0</v>
      </c>
      <c r="M578" s="14">
        <f>STDEV(L577:L581)</f>
        <v>48624.38301</v>
      </c>
      <c r="N578" s="15" t="b">
        <f t="shared" si="1"/>
        <v>0</v>
      </c>
    </row>
    <row r="579" hidden="1">
      <c r="A579" s="7" t="s">
        <v>122</v>
      </c>
      <c r="B579" s="7" t="s">
        <v>17</v>
      </c>
      <c r="C579" s="7">
        <v>0.5</v>
      </c>
      <c r="D579" s="7">
        <v>0.1</v>
      </c>
      <c r="E579" s="7">
        <v>6.0</v>
      </c>
      <c r="F579" s="7">
        <v>267.651289701461</v>
      </c>
      <c r="G579" s="7">
        <v>400.50374507904</v>
      </c>
      <c r="H579" s="7">
        <v>2.0</v>
      </c>
      <c r="I579" s="15">
        <v>0.921060819231803</v>
      </c>
      <c r="J579" s="15">
        <v>0.0350525394414817</v>
      </c>
      <c r="K579" s="12">
        <f>AVERAGE(I577:I581)</f>
        <v>0.6099045839</v>
      </c>
      <c r="L579" s="18">
        <v>1703.0</v>
      </c>
      <c r="M579" s="14">
        <f>STDEV(L577:L581)</f>
        <v>48624.38301</v>
      </c>
      <c r="N579" s="15" t="b">
        <f t="shared" si="1"/>
        <v>0</v>
      </c>
    </row>
    <row r="580" hidden="1">
      <c r="A580" s="7" t="s">
        <v>122</v>
      </c>
      <c r="B580" s="7" t="s">
        <v>17</v>
      </c>
      <c r="C580" s="7">
        <v>0.5</v>
      </c>
      <c r="D580" s="7">
        <v>0.1</v>
      </c>
      <c r="E580" s="7">
        <v>6.0</v>
      </c>
      <c r="F580" s="7">
        <v>267.651289701461</v>
      </c>
      <c r="G580" s="7">
        <v>400.50374507904</v>
      </c>
      <c r="H580" s="7">
        <v>3.0</v>
      </c>
      <c r="I580" s="15">
        <v>0.80882633280703</v>
      </c>
      <c r="J580" s="15">
        <v>0.123398405131564</v>
      </c>
      <c r="K580" s="12">
        <f>AVERAGE(I577:I581)</f>
        <v>0.6099045839</v>
      </c>
      <c r="L580" s="18">
        <v>5660.0</v>
      </c>
      <c r="M580" s="14">
        <f>STDEV(L577:L581)</f>
        <v>48624.38301</v>
      </c>
      <c r="N580" s="15" t="b">
        <f t="shared" si="1"/>
        <v>0</v>
      </c>
    </row>
    <row r="581" hidden="1">
      <c r="A581" s="7" t="s">
        <v>122</v>
      </c>
      <c r="B581" s="7" t="s">
        <v>17</v>
      </c>
      <c r="C581" s="7">
        <v>0.5</v>
      </c>
      <c r="D581" s="7">
        <v>0.1</v>
      </c>
      <c r="E581" s="7">
        <v>6.0</v>
      </c>
      <c r="F581" s="7">
        <v>267.651289701461</v>
      </c>
      <c r="G581" s="7">
        <v>400.50374507904</v>
      </c>
      <c r="H581" s="7">
        <v>4.0</v>
      </c>
      <c r="I581" s="15">
        <v>0.0473990445598575</v>
      </c>
      <c r="J581" s="15">
        <v>0.136183762100528</v>
      </c>
      <c r="K581" s="12">
        <f>AVERAGE(I577:I581)</f>
        <v>0.6099045839</v>
      </c>
      <c r="L581" s="18">
        <v>115059.0</v>
      </c>
      <c r="M581" s="14">
        <f>STDEV(L577:L581)</f>
        <v>48624.38301</v>
      </c>
      <c r="N581" s="15" t="b">
        <f t="shared" si="1"/>
        <v>0</v>
      </c>
    </row>
    <row r="582" hidden="1">
      <c r="A582" s="7" t="s">
        <v>123</v>
      </c>
      <c r="B582" s="21" t="s">
        <v>17</v>
      </c>
      <c r="C582" s="21">
        <v>0.5</v>
      </c>
      <c r="D582" s="21">
        <v>0.1</v>
      </c>
      <c r="E582" s="21">
        <v>7.0</v>
      </c>
      <c r="F582" s="7">
        <v>174.997466087341</v>
      </c>
      <c r="G582" s="7">
        <v>293.916671514511</v>
      </c>
      <c r="H582" s="7">
        <v>0.0</v>
      </c>
      <c r="I582" s="15">
        <v>0.797073056822195</v>
      </c>
      <c r="J582" s="15">
        <v>0.118098178630783</v>
      </c>
      <c r="K582" s="12">
        <f>AVERAGE(I582:I586)</f>
        <v>0.691353652</v>
      </c>
      <c r="L582" s="18">
        <v>5033.0</v>
      </c>
      <c r="M582" s="14">
        <f>STDEV(L582:L586)</f>
        <v>52792.64251</v>
      </c>
      <c r="N582" s="15" t="b">
        <f t="shared" si="1"/>
        <v>1</v>
      </c>
    </row>
    <row r="583" hidden="1">
      <c r="A583" s="7" t="s">
        <v>123</v>
      </c>
      <c r="B583" s="21" t="s">
        <v>17</v>
      </c>
      <c r="C583" s="21">
        <v>0.5</v>
      </c>
      <c r="D583" s="21">
        <v>0.1</v>
      </c>
      <c r="E583" s="21">
        <v>7.0</v>
      </c>
      <c r="F583" s="7">
        <v>174.997466087341</v>
      </c>
      <c r="G583" s="7">
        <v>293.916671514511</v>
      </c>
      <c r="H583" s="7">
        <v>1.0</v>
      </c>
      <c r="I583" s="15">
        <v>0.894569798237203</v>
      </c>
      <c r="J583" s="15">
        <v>0.119316035349084</v>
      </c>
      <c r="K583" s="12">
        <f>AVERAGE(I582:I586)</f>
        <v>0.691353652</v>
      </c>
      <c r="L583" s="18">
        <v>2018.0</v>
      </c>
      <c r="M583" s="14">
        <f>STDEV(L582:L586)</f>
        <v>52792.64251</v>
      </c>
      <c r="N583" s="15" t="b">
        <f t="shared" si="1"/>
        <v>1</v>
      </c>
    </row>
    <row r="584" hidden="1">
      <c r="A584" s="7" t="s">
        <v>123</v>
      </c>
      <c r="B584" s="21" t="s">
        <v>17</v>
      </c>
      <c r="C584" s="21">
        <v>0.5</v>
      </c>
      <c r="D584" s="21">
        <v>0.1</v>
      </c>
      <c r="E584" s="21">
        <v>7.0</v>
      </c>
      <c r="F584" s="7">
        <v>174.997466087341</v>
      </c>
      <c r="G584" s="7">
        <v>293.916671514511</v>
      </c>
      <c r="H584" s="7">
        <v>2.0</v>
      </c>
      <c r="I584" s="15">
        <v>0.0650527356741867</v>
      </c>
      <c r="J584" s="15">
        <v>0.115900754433323</v>
      </c>
      <c r="K584" s="12">
        <f>AVERAGE(I582:I586)</f>
        <v>0.691353652</v>
      </c>
      <c r="L584" s="18">
        <v>122710.0</v>
      </c>
      <c r="M584" s="14">
        <f>STDEV(L582:L586)</f>
        <v>52792.64251</v>
      </c>
      <c r="N584" s="15" t="b">
        <f t="shared" si="1"/>
        <v>1</v>
      </c>
    </row>
    <row r="585" hidden="1">
      <c r="A585" s="7" t="s">
        <v>123</v>
      </c>
      <c r="B585" s="21" t="s">
        <v>17</v>
      </c>
      <c r="C585" s="21">
        <v>0.5</v>
      </c>
      <c r="D585" s="21">
        <v>0.1</v>
      </c>
      <c r="E585" s="21">
        <v>7.0</v>
      </c>
      <c r="F585" s="7">
        <v>174.997466087341</v>
      </c>
      <c r="G585" s="7">
        <v>293.916671514511</v>
      </c>
      <c r="H585" s="7">
        <v>3.0</v>
      </c>
      <c r="I585" s="15">
        <v>0.828706216744036</v>
      </c>
      <c r="J585" s="15">
        <v>0.0985530197389918</v>
      </c>
      <c r="K585" s="12">
        <f>AVERAGE(I582:I586)</f>
        <v>0.691353652</v>
      </c>
      <c r="L585" s="18">
        <v>7464.0</v>
      </c>
      <c r="M585" s="14">
        <f>STDEV(L582:L586)</f>
        <v>52792.64251</v>
      </c>
      <c r="N585" s="15" t="b">
        <f t="shared" si="1"/>
        <v>1</v>
      </c>
    </row>
    <row r="586" hidden="1">
      <c r="A586" s="7" t="s">
        <v>123</v>
      </c>
      <c r="B586" s="21" t="s">
        <v>17</v>
      </c>
      <c r="C586" s="21">
        <v>0.5</v>
      </c>
      <c r="D586" s="21">
        <v>0.1</v>
      </c>
      <c r="E586" s="21">
        <v>7.0</v>
      </c>
      <c r="F586" s="7">
        <v>174.997466087341</v>
      </c>
      <c r="G586" s="7">
        <v>293.916671514511</v>
      </c>
      <c r="H586" s="7">
        <v>4.0</v>
      </c>
      <c r="I586" s="15">
        <v>0.87136645238603</v>
      </c>
      <c r="J586" s="15">
        <v>0.0987445602273992</v>
      </c>
      <c r="K586" s="12">
        <f>AVERAGE(I582:I586)</f>
        <v>0.691353652</v>
      </c>
      <c r="L586" s="18">
        <v>4451.0</v>
      </c>
      <c r="M586" s="14">
        <f>STDEV(L582:L586)</f>
        <v>52792.64251</v>
      </c>
      <c r="N586" s="15" t="b">
        <f t="shared" si="1"/>
        <v>1</v>
      </c>
    </row>
    <row r="587" hidden="1">
      <c r="A587" s="7" t="s">
        <v>124</v>
      </c>
      <c r="B587" s="7" t="s">
        <v>17</v>
      </c>
      <c r="C587" s="7">
        <v>0.5</v>
      </c>
      <c r="D587" s="7">
        <v>0.1</v>
      </c>
      <c r="E587" s="7">
        <v>8.0</v>
      </c>
      <c r="F587" s="7">
        <v>479.800706863403</v>
      </c>
      <c r="G587" s="7">
        <v>566.85396027565</v>
      </c>
      <c r="H587" s="7">
        <v>0.0</v>
      </c>
      <c r="I587" s="15">
        <v>0.469945791454763</v>
      </c>
      <c r="J587" s="15">
        <v>0.161602450477392</v>
      </c>
      <c r="K587" s="12">
        <f>AVERAGE(I587:I591)</f>
        <v>0.361301956</v>
      </c>
      <c r="L587" s="18">
        <v>18438.0</v>
      </c>
      <c r="M587" s="14">
        <f>STDEV(L587:L591)</f>
        <v>24084.83495</v>
      </c>
      <c r="N587" s="15" t="b">
        <f t="shared" si="1"/>
        <v>0</v>
      </c>
    </row>
    <row r="588" hidden="1">
      <c r="A588" s="7" t="s">
        <v>124</v>
      </c>
      <c r="B588" s="7" t="s">
        <v>17</v>
      </c>
      <c r="C588" s="7">
        <v>0.5</v>
      </c>
      <c r="D588" s="7">
        <v>0.1</v>
      </c>
      <c r="E588" s="7">
        <v>8.0</v>
      </c>
      <c r="F588" s="7">
        <v>479.800706863403</v>
      </c>
      <c r="G588" s="7">
        <v>566.85396027565</v>
      </c>
      <c r="H588" s="7">
        <v>1.0</v>
      </c>
      <c r="I588" s="15">
        <v>0.806034042696616</v>
      </c>
      <c r="J588" s="15">
        <v>0.0946276424832465</v>
      </c>
      <c r="K588" s="12">
        <f>AVERAGE(I587:I591)</f>
        <v>0.361301956</v>
      </c>
      <c r="L588" s="18">
        <v>15919.0</v>
      </c>
      <c r="M588" s="14">
        <f>STDEV(L587:L591)</f>
        <v>24084.83495</v>
      </c>
      <c r="N588" s="15" t="b">
        <f t="shared" si="1"/>
        <v>0</v>
      </c>
    </row>
    <row r="589" hidden="1">
      <c r="A589" s="7" t="s">
        <v>124</v>
      </c>
      <c r="B589" s="7" t="s">
        <v>17</v>
      </c>
      <c r="C589" s="7">
        <v>0.5</v>
      </c>
      <c r="D589" s="7">
        <v>0.1</v>
      </c>
      <c r="E589" s="7">
        <v>8.0</v>
      </c>
      <c r="F589" s="7">
        <v>479.800706863403</v>
      </c>
      <c r="G589" s="7">
        <v>566.85396027565</v>
      </c>
      <c r="H589" s="7">
        <v>2.0</v>
      </c>
      <c r="I589" s="15">
        <v>0.421253935106524</v>
      </c>
      <c r="J589" s="15">
        <v>0.128756695632952</v>
      </c>
      <c r="K589" s="12">
        <f>AVERAGE(I587:I591)</f>
        <v>0.361301956</v>
      </c>
      <c r="L589" s="18">
        <v>15598.0</v>
      </c>
      <c r="M589" s="14">
        <f>STDEV(L587:L591)</f>
        <v>24084.83495</v>
      </c>
      <c r="N589" s="15" t="b">
        <f t="shared" si="1"/>
        <v>0</v>
      </c>
    </row>
    <row r="590" hidden="1">
      <c r="A590" s="7" t="s">
        <v>124</v>
      </c>
      <c r="B590" s="7" t="s">
        <v>17</v>
      </c>
      <c r="C590" s="7">
        <v>0.5</v>
      </c>
      <c r="D590" s="7">
        <v>0.1</v>
      </c>
      <c r="E590" s="7">
        <v>8.0</v>
      </c>
      <c r="F590" s="7">
        <v>479.800706863403</v>
      </c>
      <c r="G590" s="7">
        <v>566.85396027565</v>
      </c>
      <c r="H590" s="7">
        <v>3.0</v>
      </c>
      <c r="I590" s="15">
        <v>0.0731529737891089</v>
      </c>
      <c r="J590" s="15">
        <v>0.0640112647798844</v>
      </c>
      <c r="K590" s="12">
        <f>AVERAGE(I587:I591)</f>
        <v>0.361301956</v>
      </c>
      <c r="L590" s="18">
        <v>20447.0</v>
      </c>
      <c r="M590" s="14">
        <f>STDEV(L587:L591)</f>
        <v>24084.83495</v>
      </c>
      <c r="N590" s="15" t="b">
        <f t="shared" si="1"/>
        <v>0</v>
      </c>
    </row>
    <row r="591" hidden="1">
      <c r="A591" s="7" t="s">
        <v>124</v>
      </c>
      <c r="B591" s="7" t="s">
        <v>17</v>
      </c>
      <c r="C591" s="7">
        <v>0.5</v>
      </c>
      <c r="D591" s="7">
        <v>0.1</v>
      </c>
      <c r="E591" s="7">
        <v>8.0</v>
      </c>
      <c r="F591" s="7">
        <v>479.800706863403</v>
      </c>
      <c r="G591" s="7">
        <v>566.85396027565</v>
      </c>
      <c r="H591" s="7">
        <v>4.0</v>
      </c>
      <c r="I591" s="15">
        <v>0.0361230367991188</v>
      </c>
      <c r="J591" s="15">
        <v>0.179801341090526</v>
      </c>
      <c r="K591" s="12">
        <f>AVERAGE(I587:I591)</f>
        <v>0.361301956</v>
      </c>
      <c r="L591" s="18">
        <v>71274.0</v>
      </c>
      <c r="M591" s="14">
        <f>STDEV(L587:L591)</f>
        <v>24084.83495</v>
      </c>
      <c r="N591" s="15" t="b">
        <f t="shared" si="1"/>
        <v>0</v>
      </c>
    </row>
    <row r="592" hidden="1">
      <c r="A592" s="7" t="s">
        <v>125</v>
      </c>
      <c r="B592" s="7" t="s">
        <v>17</v>
      </c>
      <c r="C592" s="7">
        <v>0.5</v>
      </c>
      <c r="D592" s="7">
        <v>0.1</v>
      </c>
      <c r="E592" s="7">
        <v>9.0</v>
      </c>
      <c r="F592" s="7">
        <v>453.557502985</v>
      </c>
      <c r="G592" s="7">
        <v>532.308676004409</v>
      </c>
      <c r="H592" s="7">
        <v>0.0</v>
      </c>
      <c r="I592" s="15">
        <v>0.399116777605095</v>
      </c>
      <c r="J592" s="15">
        <v>0.0587553337099372</v>
      </c>
      <c r="K592" s="12">
        <f>AVERAGE(I592:I596)</f>
        <v>0.5564035499</v>
      </c>
      <c r="L592" s="18">
        <v>29117.0</v>
      </c>
      <c r="M592" s="14">
        <f>STDEV(L592:L596)</f>
        <v>34000.05977</v>
      </c>
      <c r="N592" s="15" t="b">
        <f t="shared" si="1"/>
        <v>0</v>
      </c>
    </row>
    <row r="593" hidden="1">
      <c r="A593" s="7" t="s">
        <v>125</v>
      </c>
      <c r="B593" s="7" t="s">
        <v>17</v>
      </c>
      <c r="C593" s="7">
        <v>0.5</v>
      </c>
      <c r="D593" s="7">
        <v>0.1</v>
      </c>
      <c r="E593" s="7">
        <v>9.0</v>
      </c>
      <c r="F593" s="7">
        <v>453.557502985</v>
      </c>
      <c r="G593" s="7">
        <v>532.308676004409</v>
      </c>
      <c r="H593" s="7">
        <v>1.0</v>
      </c>
      <c r="I593" s="15">
        <v>0.792904001323656</v>
      </c>
      <c r="J593" s="15">
        <v>0.113621156360801</v>
      </c>
      <c r="K593" s="12">
        <f>AVERAGE(I592:I596)</f>
        <v>0.5564035499</v>
      </c>
      <c r="L593" s="18">
        <v>12249.0</v>
      </c>
      <c r="M593" s="14">
        <f>STDEV(L592:L596)</f>
        <v>34000.05977</v>
      </c>
      <c r="N593" s="15" t="b">
        <f t="shared" si="1"/>
        <v>0</v>
      </c>
    </row>
    <row r="594" hidden="1">
      <c r="A594" s="7" t="s">
        <v>125</v>
      </c>
      <c r="B594" s="7" t="s">
        <v>17</v>
      </c>
      <c r="C594" s="7">
        <v>0.5</v>
      </c>
      <c r="D594" s="7">
        <v>0.1</v>
      </c>
      <c r="E594" s="7">
        <v>9.0</v>
      </c>
      <c r="F594" s="7">
        <v>453.557502985</v>
      </c>
      <c r="G594" s="7">
        <v>532.308676004409</v>
      </c>
      <c r="H594" s="7">
        <v>2.0</v>
      </c>
      <c r="I594" s="15">
        <v>0.818649360676475</v>
      </c>
      <c r="J594" s="15">
        <v>0.117223916927148</v>
      </c>
      <c r="K594" s="12">
        <f>AVERAGE(I592:I596)</f>
        <v>0.5564035499</v>
      </c>
      <c r="L594" s="18">
        <v>5611.0</v>
      </c>
      <c r="M594" s="14">
        <f>STDEV(L592:L596)</f>
        <v>34000.05977</v>
      </c>
      <c r="N594" s="15" t="b">
        <f t="shared" si="1"/>
        <v>0</v>
      </c>
    </row>
    <row r="595" hidden="1">
      <c r="A595" s="7" t="s">
        <v>125</v>
      </c>
      <c r="B595" s="7" t="s">
        <v>17</v>
      </c>
      <c r="C595" s="7">
        <v>0.5</v>
      </c>
      <c r="D595" s="7">
        <v>0.1</v>
      </c>
      <c r="E595" s="7">
        <v>9.0</v>
      </c>
      <c r="F595" s="7">
        <v>453.557502985</v>
      </c>
      <c r="G595" s="7">
        <v>532.308676004409</v>
      </c>
      <c r="H595" s="7">
        <v>3.0</v>
      </c>
      <c r="I595" s="15">
        <v>0.76417228788418</v>
      </c>
      <c r="J595" s="15">
        <v>0.135637719175047</v>
      </c>
      <c r="K595" s="12">
        <f>AVERAGE(I592:I596)</f>
        <v>0.5564035499</v>
      </c>
      <c r="L595" s="18">
        <v>7820.0</v>
      </c>
      <c r="M595" s="14">
        <f>STDEV(L592:L596)</f>
        <v>34000.05977</v>
      </c>
      <c r="N595" s="15" t="b">
        <f t="shared" si="1"/>
        <v>0</v>
      </c>
    </row>
    <row r="596" hidden="1">
      <c r="A596" s="7" t="s">
        <v>125</v>
      </c>
      <c r="B596" s="7" t="s">
        <v>17</v>
      </c>
      <c r="C596" s="7">
        <v>0.5</v>
      </c>
      <c r="D596" s="7">
        <v>0.1</v>
      </c>
      <c r="E596" s="7">
        <v>9.0</v>
      </c>
      <c r="F596" s="7">
        <v>453.557502985</v>
      </c>
      <c r="G596" s="7">
        <v>532.308676004409</v>
      </c>
      <c r="H596" s="7">
        <v>4.0</v>
      </c>
      <c r="I596" s="15">
        <v>0.00717532193964322</v>
      </c>
      <c r="J596" s="15">
        <v>0.160661879973358</v>
      </c>
      <c r="K596" s="12">
        <f>AVERAGE(I592:I596)</f>
        <v>0.5564035499</v>
      </c>
      <c r="L596" s="18">
        <v>86879.0</v>
      </c>
      <c r="M596" s="14">
        <f>STDEV(L592:L596)</f>
        <v>34000.05977</v>
      </c>
      <c r="N596" s="15" t="b">
        <f t="shared" si="1"/>
        <v>0</v>
      </c>
    </row>
    <row r="597" hidden="1">
      <c r="A597" s="7" t="s">
        <v>126</v>
      </c>
      <c r="B597" s="20" t="s">
        <v>17</v>
      </c>
      <c r="C597" s="20">
        <v>0.5</v>
      </c>
      <c r="D597" s="20">
        <v>0.1</v>
      </c>
      <c r="E597" s="20">
        <v>10.0</v>
      </c>
      <c r="F597" s="7">
        <v>207.464245796203</v>
      </c>
      <c r="G597" s="7">
        <v>326.255316257476</v>
      </c>
      <c r="H597" s="7">
        <v>0.0</v>
      </c>
      <c r="I597" s="15">
        <v>0.0509313784269502</v>
      </c>
      <c r="J597" s="15">
        <v>0.127682566444758</v>
      </c>
      <c r="K597" s="12">
        <f>AVERAGE(I597:I601)</f>
        <v>0.6841883457</v>
      </c>
      <c r="L597" s="18">
        <v>117371.0</v>
      </c>
      <c r="M597" s="14">
        <f>STDEV(L597:L601)</f>
        <v>49914.19675</v>
      </c>
      <c r="N597" s="15" t="b">
        <f t="shared" si="1"/>
        <v>1</v>
      </c>
    </row>
    <row r="598" hidden="1">
      <c r="A598" s="7" t="s">
        <v>126</v>
      </c>
      <c r="B598" s="20" t="s">
        <v>17</v>
      </c>
      <c r="C598" s="20">
        <v>0.5</v>
      </c>
      <c r="D598" s="20">
        <v>0.1</v>
      </c>
      <c r="E598" s="20">
        <v>10.0</v>
      </c>
      <c r="F598" s="7">
        <v>207.464245796203</v>
      </c>
      <c r="G598" s="7">
        <v>326.255316257476</v>
      </c>
      <c r="H598" s="7">
        <v>1.0</v>
      </c>
      <c r="I598" s="15">
        <v>0.795509833088852</v>
      </c>
      <c r="J598" s="15">
        <v>0.113296461251806</v>
      </c>
      <c r="K598" s="12">
        <f>AVERAGE(I597:I601)</f>
        <v>0.6841883457</v>
      </c>
      <c r="L598" s="18">
        <v>12176.0</v>
      </c>
      <c r="M598" s="14">
        <f>STDEV(L597:L601)</f>
        <v>49914.19675</v>
      </c>
      <c r="N598" s="15" t="b">
        <f t="shared" si="1"/>
        <v>1</v>
      </c>
    </row>
    <row r="599" hidden="1">
      <c r="A599" s="7" t="s">
        <v>126</v>
      </c>
      <c r="B599" s="20" t="s">
        <v>17</v>
      </c>
      <c r="C599" s="20">
        <v>0.5</v>
      </c>
      <c r="D599" s="20">
        <v>0.1</v>
      </c>
      <c r="E599" s="20">
        <v>10.0</v>
      </c>
      <c r="F599" s="7">
        <v>207.464245796203</v>
      </c>
      <c r="G599" s="7">
        <v>326.255316257476</v>
      </c>
      <c r="H599" s="7">
        <v>2.0</v>
      </c>
      <c r="I599" s="15">
        <v>0.894471656253257</v>
      </c>
      <c r="J599" s="15">
        <v>0.119112970688517</v>
      </c>
      <c r="K599" s="12">
        <f>AVERAGE(I597:I601)</f>
        <v>0.6841883457</v>
      </c>
      <c r="L599" s="18">
        <v>2018.0</v>
      </c>
      <c r="M599" s="14">
        <f>STDEV(L597:L601)</f>
        <v>49914.19675</v>
      </c>
      <c r="N599" s="15" t="b">
        <f t="shared" si="1"/>
        <v>1</v>
      </c>
    </row>
    <row r="600" hidden="1">
      <c r="A600" s="7" t="s">
        <v>126</v>
      </c>
      <c r="B600" s="20" t="s">
        <v>17</v>
      </c>
      <c r="C600" s="20">
        <v>0.5</v>
      </c>
      <c r="D600" s="20">
        <v>0.1</v>
      </c>
      <c r="E600" s="20">
        <v>10.0</v>
      </c>
      <c r="F600" s="7">
        <v>207.464245796203</v>
      </c>
      <c r="G600" s="7">
        <v>326.255316257476</v>
      </c>
      <c r="H600" s="7">
        <v>3.0</v>
      </c>
      <c r="I600" s="15">
        <v>0.808867162494028</v>
      </c>
      <c r="J600" s="15">
        <v>0.123266247122368</v>
      </c>
      <c r="K600" s="12">
        <f>AVERAGE(I597:I601)</f>
        <v>0.6841883457</v>
      </c>
      <c r="L600" s="18">
        <v>5660.0</v>
      </c>
      <c r="M600" s="14">
        <f>STDEV(L597:L601)</f>
        <v>49914.19675</v>
      </c>
      <c r="N600" s="15" t="b">
        <f t="shared" si="1"/>
        <v>1</v>
      </c>
    </row>
    <row r="601" hidden="1">
      <c r="A601" s="7" t="s">
        <v>126</v>
      </c>
      <c r="B601" s="20" t="s">
        <v>17</v>
      </c>
      <c r="C601" s="20">
        <v>0.5</v>
      </c>
      <c r="D601" s="20">
        <v>0.1</v>
      </c>
      <c r="E601" s="20">
        <v>10.0</v>
      </c>
      <c r="F601" s="7">
        <v>207.464245796203</v>
      </c>
      <c r="G601" s="7">
        <v>326.255316257476</v>
      </c>
      <c r="H601" s="7">
        <v>4.0</v>
      </c>
      <c r="I601" s="15">
        <v>0.871161698240087</v>
      </c>
      <c r="J601" s="15">
        <v>0.0984399713613619</v>
      </c>
      <c r="K601" s="12">
        <f>AVERAGE(I597:I601)</f>
        <v>0.6841883457</v>
      </c>
      <c r="L601" s="18">
        <v>4451.0</v>
      </c>
      <c r="M601" s="14">
        <f>STDEV(L597:L601)</f>
        <v>49914.19675</v>
      </c>
      <c r="N601" s="15" t="b">
        <f t="shared" si="1"/>
        <v>1</v>
      </c>
    </row>
    <row r="602" hidden="1">
      <c r="A602" s="7" t="s">
        <v>127</v>
      </c>
      <c r="B602" s="21" t="s">
        <v>17</v>
      </c>
      <c r="C602" s="21">
        <v>0.5</v>
      </c>
      <c r="D602" s="21">
        <v>0.25</v>
      </c>
      <c r="E602" s="21">
        <v>1.0</v>
      </c>
      <c r="F602" s="7">
        <v>221.831788301467</v>
      </c>
      <c r="G602" s="7">
        <v>342.641423225402</v>
      </c>
      <c r="H602" s="7">
        <v>0.0</v>
      </c>
      <c r="I602" s="15">
        <v>0.780649677444267</v>
      </c>
      <c r="J602" s="15">
        <v>0.129146667839033</v>
      </c>
      <c r="K602" s="12">
        <f>AVERAGE(I602:I606)</f>
        <v>0.6690255253</v>
      </c>
      <c r="L602" s="18">
        <v>13255.0</v>
      </c>
      <c r="M602" s="14">
        <f>STDEV(L602:L606)</f>
        <v>48213.2944</v>
      </c>
      <c r="N602" s="15" t="b">
        <f t="shared" si="1"/>
        <v>1</v>
      </c>
    </row>
    <row r="603" hidden="1">
      <c r="A603" s="7" t="s">
        <v>127</v>
      </c>
      <c r="B603" s="21" t="s">
        <v>17</v>
      </c>
      <c r="C603" s="21">
        <v>0.5</v>
      </c>
      <c r="D603" s="21">
        <v>0.25</v>
      </c>
      <c r="E603" s="21">
        <v>1.0</v>
      </c>
      <c r="F603" s="7">
        <v>221.831788301467</v>
      </c>
      <c r="G603" s="7">
        <v>342.641423225402</v>
      </c>
      <c r="H603" s="7">
        <v>1.0</v>
      </c>
      <c r="I603" s="15">
        <v>0.764001696949214</v>
      </c>
      <c r="J603" s="15">
        <v>0.134046021700192</v>
      </c>
      <c r="K603" s="12">
        <f>AVERAGE(I602:I606)</f>
        <v>0.6690255253</v>
      </c>
      <c r="L603" s="18">
        <v>7830.0</v>
      </c>
      <c r="M603" s="14">
        <f>STDEV(L602:L606)</f>
        <v>48213.2944</v>
      </c>
      <c r="N603" s="15" t="b">
        <f t="shared" si="1"/>
        <v>1</v>
      </c>
    </row>
    <row r="604" hidden="1">
      <c r="A604" s="7" t="s">
        <v>127</v>
      </c>
      <c r="B604" s="21" t="s">
        <v>17</v>
      </c>
      <c r="C604" s="21">
        <v>0.5</v>
      </c>
      <c r="D604" s="21">
        <v>0.25</v>
      </c>
      <c r="E604" s="21">
        <v>1.0</v>
      </c>
      <c r="F604" s="7">
        <v>221.831788301467</v>
      </c>
      <c r="G604" s="7">
        <v>342.641423225402</v>
      </c>
      <c r="H604" s="7">
        <v>2.0</v>
      </c>
      <c r="I604" s="15">
        <v>0.921193761738074</v>
      </c>
      <c r="J604" s="15">
        <v>0.0316658368191778</v>
      </c>
      <c r="K604" s="12">
        <f>AVERAGE(I602:I606)</f>
        <v>0.6690255253</v>
      </c>
      <c r="L604" s="18">
        <v>1703.0</v>
      </c>
      <c r="M604" s="14">
        <f>STDEV(L602:L606)</f>
        <v>48213.2944</v>
      </c>
      <c r="N604" s="15" t="b">
        <f t="shared" si="1"/>
        <v>1</v>
      </c>
    </row>
    <row r="605" hidden="1">
      <c r="A605" s="7" t="s">
        <v>127</v>
      </c>
      <c r="B605" s="21" t="s">
        <v>17</v>
      </c>
      <c r="C605" s="21">
        <v>0.5</v>
      </c>
      <c r="D605" s="21">
        <v>0.25</v>
      </c>
      <c r="E605" s="21">
        <v>1.0</v>
      </c>
      <c r="F605" s="7">
        <v>221.831788301467</v>
      </c>
      <c r="G605" s="7">
        <v>342.641423225402</v>
      </c>
      <c r="H605" s="7">
        <v>3.0</v>
      </c>
      <c r="I605" s="15">
        <v>0.838855529758143</v>
      </c>
      <c r="J605" s="15">
        <v>0.100491273473134</v>
      </c>
      <c r="K605" s="12">
        <f>AVERAGE(I602:I606)</f>
        <v>0.6690255253</v>
      </c>
      <c r="L605" s="18">
        <v>4647.0</v>
      </c>
      <c r="M605" s="14">
        <f>STDEV(L602:L606)</f>
        <v>48213.2944</v>
      </c>
      <c r="N605" s="15" t="b">
        <f t="shared" si="1"/>
        <v>1</v>
      </c>
    </row>
    <row r="606" hidden="1">
      <c r="A606" s="7" t="s">
        <v>127</v>
      </c>
      <c r="B606" s="21" t="s">
        <v>17</v>
      </c>
      <c r="C606" s="21">
        <v>0.5</v>
      </c>
      <c r="D606" s="21">
        <v>0.25</v>
      </c>
      <c r="E606" s="21">
        <v>1.0</v>
      </c>
      <c r="F606" s="7">
        <v>221.831788301467</v>
      </c>
      <c r="G606" s="7">
        <v>342.641423225402</v>
      </c>
      <c r="H606" s="7">
        <v>4.0</v>
      </c>
      <c r="I606" s="15">
        <v>0.0404269606315311</v>
      </c>
      <c r="J606" s="15">
        <v>0.132521161754339</v>
      </c>
      <c r="K606" s="12">
        <f>AVERAGE(I602:I606)</f>
        <v>0.6690255253</v>
      </c>
      <c r="L606" s="18">
        <v>114241.0</v>
      </c>
      <c r="M606" s="14">
        <f>STDEV(L602:L606)</f>
        <v>48213.2944</v>
      </c>
      <c r="N606" s="15" t="b">
        <f t="shared" si="1"/>
        <v>1</v>
      </c>
    </row>
    <row r="607" hidden="1">
      <c r="A607" s="7" t="s">
        <v>128</v>
      </c>
      <c r="B607" s="7" t="s">
        <v>17</v>
      </c>
      <c r="C607" s="7">
        <v>0.5</v>
      </c>
      <c r="D607" s="7">
        <v>0.25</v>
      </c>
      <c r="E607" s="7">
        <v>2.0</v>
      </c>
      <c r="F607" s="7">
        <v>475.297789573669</v>
      </c>
      <c r="G607" s="7">
        <v>561.566846847534</v>
      </c>
      <c r="H607" s="7">
        <v>0.0</v>
      </c>
      <c r="I607" s="15">
        <v>0.415260312401066</v>
      </c>
      <c r="J607" s="15">
        <v>0.124821585349551</v>
      </c>
      <c r="K607" s="12">
        <f>AVERAGE(I607:I611)</f>
        <v>0.4520327302</v>
      </c>
      <c r="L607" s="18">
        <v>22359.0</v>
      </c>
      <c r="M607" s="14">
        <f>STDEV(L607:L611)</f>
        <v>24458.4018</v>
      </c>
      <c r="N607" s="15" t="b">
        <f t="shared" si="1"/>
        <v>0</v>
      </c>
    </row>
    <row r="608" hidden="1">
      <c r="A608" s="7" t="s">
        <v>128</v>
      </c>
      <c r="B608" s="7" t="s">
        <v>17</v>
      </c>
      <c r="C608" s="7">
        <v>0.5</v>
      </c>
      <c r="D608" s="7">
        <v>0.25</v>
      </c>
      <c r="E608" s="7">
        <v>2.0</v>
      </c>
      <c r="F608" s="7">
        <v>475.297789573669</v>
      </c>
      <c r="G608" s="7">
        <v>561.566846847534</v>
      </c>
      <c r="H608" s="7">
        <v>1.0</v>
      </c>
      <c r="I608" s="15">
        <v>0.818407740507902</v>
      </c>
      <c r="J608" s="15">
        <v>0.113889564359358</v>
      </c>
      <c r="K608" s="12">
        <f>AVERAGE(I607:I611)</f>
        <v>0.4520327302</v>
      </c>
      <c r="L608" s="18">
        <v>5570.0</v>
      </c>
      <c r="M608" s="14">
        <f>STDEV(L607:L611)</f>
        <v>24458.4018</v>
      </c>
      <c r="N608" s="15" t="b">
        <f t="shared" si="1"/>
        <v>0</v>
      </c>
    </row>
    <row r="609" hidden="1">
      <c r="A609" s="7" t="s">
        <v>128</v>
      </c>
      <c r="B609" s="7" t="s">
        <v>17</v>
      </c>
      <c r="C609" s="7">
        <v>0.5</v>
      </c>
      <c r="D609" s="7">
        <v>0.25</v>
      </c>
      <c r="E609" s="7">
        <v>2.0</v>
      </c>
      <c r="F609" s="7">
        <v>475.297789573669</v>
      </c>
      <c r="G609" s="7">
        <v>561.566846847534</v>
      </c>
      <c r="H609" s="7">
        <v>2.0</v>
      </c>
      <c r="I609" s="15">
        <v>0.0415292521967406</v>
      </c>
      <c r="J609" s="15">
        <v>0.0360009920473477</v>
      </c>
      <c r="K609" s="12">
        <f>AVERAGE(I607:I611)</f>
        <v>0.4520327302</v>
      </c>
      <c r="L609" s="18">
        <v>52950.0</v>
      </c>
      <c r="M609" s="14">
        <f>STDEV(L607:L611)</f>
        <v>24458.4018</v>
      </c>
      <c r="N609" s="15" t="b">
        <f t="shared" si="1"/>
        <v>0</v>
      </c>
    </row>
    <row r="610" hidden="1">
      <c r="A610" s="7" t="s">
        <v>128</v>
      </c>
      <c r="B610" s="7" t="s">
        <v>17</v>
      </c>
      <c r="C610" s="7">
        <v>0.5</v>
      </c>
      <c r="D610" s="7">
        <v>0.25</v>
      </c>
      <c r="E610" s="7">
        <v>2.0</v>
      </c>
      <c r="F610" s="7">
        <v>475.297789573669</v>
      </c>
      <c r="G610" s="7">
        <v>561.566846847534</v>
      </c>
      <c r="H610" s="7">
        <v>3.0</v>
      </c>
      <c r="I610" s="15">
        <v>0.173857962956815</v>
      </c>
      <c r="J610" s="15">
        <v>0.234445898835126</v>
      </c>
      <c r="K610" s="12">
        <f>AVERAGE(I607:I611)</f>
        <v>0.4520327302</v>
      </c>
      <c r="L610" s="18">
        <v>55142.0</v>
      </c>
      <c r="M610" s="14">
        <f>STDEV(L607:L611)</f>
        <v>24458.4018</v>
      </c>
      <c r="N610" s="15" t="b">
        <f t="shared" si="1"/>
        <v>0</v>
      </c>
    </row>
    <row r="611" hidden="1">
      <c r="A611" s="7" t="s">
        <v>128</v>
      </c>
      <c r="B611" s="7" t="s">
        <v>17</v>
      </c>
      <c r="C611" s="7">
        <v>0.5</v>
      </c>
      <c r="D611" s="7">
        <v>0.25</v>
      </c>
      <c r="E611" s="7">
        <v>2.0</v>
      </c>
      <c r="F611" s="7">
        <v>475.297789573669</v>
      </c>
      <c r="G611" s="7">
        <v>561.566846847534</v>
      </c>
      <c r="H611" s="7">
        <v>4.0</v>
      </c>
      <c r="I611" s="15">
        <v>0.811108382908671</v>
      </c>
      <c r="J611" s="15">
        <v>0.113707142106431</v>
      </c>
      <c r="K611" s="12">
        <f>AVERAGE(I607:I611)</f>
        <v>0.4520327302</v>
      </c>
      <c r="L611" s="18">
        <v>5655.0</v>
      </c>
      <c r="M611" s="14">
        <f>STDEV(L607:L611)</f>
        <v>24458.4018</v>
      </c>
      <c r="N611" s="15" t="b">
        <f t="shared" si="1"/>
        <v>0</v>
      </c>
    </row>
    <row r="612" hidden="1">
      <c r="A612" s="7" t="s">
        <v>129</v>
      </c>
      <c r="B612" s="24" t="s">
        <v>17</v>
      </c>
      <c r="C612" s="24">
        <v>0.5</v>
      </c>
      <c r="D612" s="24">
        <v>0.25</v>
      </c>
      <c r="E612" s="24">
        <v>3.0</v>
      </c>
      <c r="F612" s="7">
        <v>238.311903715133</v>
      </c>
      <c r="G612" s="7">
        <v>366.058546066284</v>
      </c>
      <c r="H612" s="7">
        <v>0.0</v>
      </c>
      <c r="I612" s="15">
        <v>0.920870424339268</v>
      </c>
      <c r="J612" s="15">
        <v>0.0350015671558116</v>
      </c>
      <c r="K612" s="12">
        <f>AVERAGE(I612:I616)</f>
        <v>0.598407114</v>
      </c>
      <c r="L612" s="18">
        <v>1703.0</v>
      </c>
      <c r="M612" s="14">
        <f>STDEV(L612:L616)</f>
        <v>37178.99562</v>
      </c>
      <c r="N612" s="15" t="b">
        <f t="shared" si="1"/>
        <v>0</v>
      </c>
    </row>
    <row r="613" hidden="1">
      <c r="A613" s="7" t="s">
        <v>129</v>
      </c>
      <c r="B613" s="24" t="s">
        <v>17</v>
      </c>
      <c r="C613" s="24">
        <v>0.5</v>
      </c>
      <c r="D613" s="24">
        <v>0.25</v>
      </c>
      <c r="E613" s="24">
        <v>3.0</v>
      </c>
      <c r="F613" s="7">
        <v>238.311903715133</v>
      </c>
      <c r="G613" s="7">
        <v>366.058546066284</v>
      </c>
      <c r="H613" s="7">
        <v>1.0</v>
      </c>
      <c r="I613" s="15">
        <v>0.472022872840102</v>
      </c>
      <c r="J613" s="15">
        <v>0.162248937848639</v>
      </c>
      <c r="K613" s="12">
        <f>AVERAGE(I612:I616)</f>
        <v>0.598407114</v>
      </c>
      <c r="L613" s="18">
        <v>18277.0</v>
      </c>
      <c r="M613" s="14">
        <f>STDEV(L612:L616)</f>
        <v>37178.99562</v>
      </c>
      <c r="N613" s="15" t="b">
        <f t="shared" si="1"/>
        <v>0</v>
      </c>
    </row>
    <row r="614" hidden="1">
      <c r="A614" s="7" t="s">
        <v>129</v>
      </c>
      <c r="B614" s="24" t="s">
        <v>17</v>
      </c>
      <c r="C614" s="24">
        <v>0.5</v>
      </c>
      <c r="D614" s="24">
        <v>0.25</v>
      </c>
      <c r="E614" s="24">
        <v>3.0</v>
      </c>
      <c r="F614" s="7">
        <v>238.311903715133</v>
      </c>
      <c r="G614" s="7">
        <v>366.058546066284</v>
      </c>
      <c r="H614" s="7">
        <v>2.0</v>
      </c>
      <c r="I614" s="15">
        <v>0.807392914048712</v>
      </c>
      <c r="J614" s="15">
        <v>0.0934111106922327</v>
      </c>
      <c r="K614" s="12">
        <f>AVERAGE(I612:I616)</f>
        <v>0.598407114</v>
      </c>
      <c r="L614" s="18">
        <v>15811.0</v>
      </c>
      <c r="M614" s="14">
        <f>STDEV(L612:L616)</f>
        <v>37178.99562</v>
      </c>
      <c r="N614" s="15" t="b">
        <f t="shared" si="1"/>
        <v>0</v>
      </c>
    </row>
    <row r="615" hidden="1">
      <c r="A615" s="7" t="s">
        <v>129</v>
      </c>
      <c r="B615" s="24" t="s">
        <v>17</v>
      </c>
      <c r="C615" s="24">
        <v>0.5</v>
      </c>
      <c r="D615" s="24">
        <v>0.25</v>
      </c>
      <c r="E615" s="24">
        <v>3.0</v>
      </c>
      <c r="F615" s="7">
        <v>238.311903715133</v>
      </c>
      <c r="G615" s="7">
        <v>366.058546066284</v>
      </c>
      <c r="H615" s="7">
        <v>3.0</v>
      </c>
      <c r="I615" s="15">
        <v>-7.92337540415522E-4</v>
      </c>
      <c r="J615" s="15">
        <v>0.173531744217554</v>
      </c>
      <c r="K615" s="12">
        <f>AVERAGE(I612:I616)</f>
        <v>0.598407114</v>
      </c>
      <c r="L615" s="18">
        <v>93874.0</v>
      </c>
      <c r="M615" s="14">
        <f>STDEV(L612:L616)</f>
        <v>37178.99562</v>
      </c>
      <c r="N615" s="15" t="b">
        <f t="shared" si="1"/>
        <v>0</v>
      </c>
    </row>
    <row r="616" hidden="1">
      <c r="A616" s="7" t="s">
        <v>129</v>
      </c>
      <c r="B616" s="24" t="s">
        <v>17</v>
      </c>
      <c r="C616" s="24">
        <v>0.5</v>
      </c>
      <c r="D616" s="24">
        <v>0.25</v>
      </c>
      <c r="E616" s="24">
        <v>3.0</v>
      </c>
      <c r="F616" s="7">
        <v>238.311903715133</v>
      </c>
      <c r="G616" s="7">
        <v>366.058546066284</v>
      </c>
      <c r="H616" s="7">
        <v>4.0</v>
      </c>
      <c r="I616" s="15">
        <v>0.792541696184341</v>
      </c>
      <c r="J616" s="15">
        <v>0.115796845716889</v>
      </c>
      <c r="K616" s="12">
        <f>AVERAGE(I612:I616)</f>
        <v>0.598407114</v>
      </c>
      <c r="L616" s="18">
        <v>12011.0</v>
      </c>
      <c r="M616" s="14">
        <f>STDEV(L612:L616)</f>
        <v>37178.99562</v>
      </c>
      <c r="N616" s="15" t="b">
        <f t="shared" si="1"/>
        <v>0</v>
      </c>
    </row>
    <row r="617" hidden="1">
      <c r="A617" s="7" t="s">
        <v>130</v>
      </c>
      <c r="B617" s="7" t="s">
        <v>17</v>
      </c>
      <c r="C617" s="7">
        <v>0.5</v>
      </c>
      <c r="D617" s="7">
        <v>0.25</v>
      </c>
      <c r="E617" s="7">
        <v>4.0</v>
      </c>
      <c r="F617" s="7">
        <v>269.778720378875</v>
      </c>
      <c r="G617" s="7">
        <v>396.827187538147</v>
      </c>
      <c r="H617" s="7">
        <v>0.0</v>
      </c>
      <c r="I617" s="15">
        <v>0.765971415450827</v>
      </c>
      <c r="J617" s="15">
        <v>0.132768152447114</v>
      </c>
      <c r="K617" s="12">
        <f>AVERAGE(I617:I621)</f>
        <v>0.5293713387</v>
      </c>
      <c r="L617" s="18">
        <v>7821.0</v>
      </c>
      <c r="M617" s="14">
        <f>STDEV(L617:L621)</f>
        <v>31774.13029</v>
      </c>
      <c r="N617" s="15" t="b">
        <f t="shared" si="1"/>
        <v>0</v>
      </c>
    </row>
    <row r="618" hidden="1">
      <c r="A618" s="7" t="s">
        <v>130</v>
      </c>
      <c r="B618" s="7" t="s">
        <v>17</v>
      </c>
      <c r="C618" s="7">
        <v>0.5</v>
      </c>
      <c r="D618" s="7">
        <v>0.25</v>
      </c>
      <c r="E618" s="7">
        <v>4.0</v>
      </c>
      <c r="F618" s="7">
        <v>269.778720378875</v>
      </c>
      <c r="G618" s="7">
        <v>396.827187538147</v>
      </c>
      <c r="H618" s="7">
        <v>1.0</v>
      </c>
      <c r="I618" s="15">
        <v>0.23831409130151</v>
      </c>
      <c r="J618" s="15">
        <v>0.0991283780909654</v>
      </c>
      <c r="K618" s="12">
        <f>AVERAGE(I617:I621)</f>
        <v>0.5293713387</v>
      </c>
      <c r="L618" s="18">
        <v>35136.0</v>
      </c>
      <c r="M618" s="14">
        <f>STDEV(L617:L621)</f>
        <v>31774.13029</v>
      </c>
      <c r="N618" s="15" t="b">
        <f t="shared" si="1"/>
        <v>0</v>
      </c>
    </row>
    <row r="619" hidden="1">
      <c r="A619" s="7" t="s">
        <v>130</v>
      </c>
      <c r="B619" s="7" t="s">
        <v>17</v>
      </c>
      <c r="C619" s="7">
        <v>0.5</v>
      </c>
      <c r="D619" s="7">
        <v>0.25</v>
      </c>
      <c r="E619" s="7">
        <v>4.0</v>
      </c>
      <c r="F619" s="7">
        <v>269.778720378875</v>
      </c>
      <c r="G619" s="7">
        <v>396.827187538147</v>
      </c>
      <c r="H619" s="7">
        <v>2.0</v>
      </c>
      <c r="I619" s="15">
        <v>0.0400021328739234</v>
      </c>
      <c r="J619" s="15">
        <v>0.164500421931011</v>
      </c>
      <c r="K619" s="12">
        <f>AVERAGE(I617:I621)</f>
        <v>0.5293713387</v>
      </c>
      <c r="L619" s="18">
        <v>81134.0</v>
      </c>
      <c r="M619" s="14">
        <f>STDEV(L617:L621)</f>
        <v>31774.13029</v>
      </c>
      <c r="N619" s="15" t="b">
        <f t="shared" si="1"/>
        <v>0</v>
      </c>
    </row>
    <row r="620" hidden="1">
      <c r="A620" s="7" t="s">
        <v>130</v>
      </c>
      <c r="B620" s="7" t="s">
        <v>17</v>
      </c>
      <c r="C620" s="7">
        <v>0.5</v>
      </c>
      <c r="D620" s="7">
        <v>0.25</v>
      </c>
      <c r="E620" s="7">
        <v>4.0</v>
      </c>
      <c r="F620" s="7">
        <v>269.778720378875</v>
      </c>
      <c r="G620" s="7">
        <v>396.827187538147</v>
      </c>
      <c r="H620" s="7">
        <v>3.0</v>
      </c>
      <c r="I620" s="15">
        <v>0.80875778378633</v>
      </c>
      <c r="J620" s="15">
        <v>0.125304453601016</v>
      </c>
      <c r="K620" s="12">
        <f>AVERAGE(I617:I621)</f>
        <v>0.5293713387</v>
      </c>
      <c r="L620" s="18">
        <v>5650.0</v>
      </c>
      <c r="M620" s="14">
        <f>STDEV(L617:L621)</f>
        <v>31774.13029</v>
      </c>
      <c r="N620" s="15" t="b">
        <f t="shared" si="1"/>
        <v>0</v>
      </c>
    </row>
    <row r="621" hidden="1">
      <c r="A621" s="7" t="s">
        <v>130</v>
      </c>
      <c r="B621" s="7" t="s">
        <v>17</v>
      </c>
      <c r="C621" s="7">
        <v>0.5</v>
      </c>
      <c r="D621" s="7">
        <v>0.25</v>
      </c>
      <c r="E621" s="7">
        <v>4.0</v>
      </c>
      <c r="F621" s="7">
        <v>269.778720378875</v>
      </c>
      <c r="G621" s="7">
        <v>396.827187538147</v>
      </c>
      <c r="H621" s="7">
        <v>4.0</v>
      </c>
      <c r="I621" s="15">
        <v>0.793811270019732</v>
      </c>
      <c r="J621" s="15">
        <v>0.116784431889468</v>
      </c>
      <c r="K621" s="12">
        <f>AVERAGE(I617:I621)</f>
        <v>0.5293713387</v>
      </c>
      <c r="L621" s="18">
        <v>11935.0</v>
      </c>
      <c r="M621" s="14">
        <f>STDEV(L617:L621)</f>
        <v>31774.13029</v>
      </c>
      <c r="N621" s="15" t="b">
        <f t="shared" si="1"/>
        <v>0</v>
      </c>
    </row>
    <row r="622" hidden="1">
      <c r="A622" s="7" t="s">
        <v>131</v>
      </c>
      <c r="B622" s="7" t="s">
        <v>17</v>
      </c>
      <c r="C622" s="7">
        <v>0.5</v>
      </c>
      <c r="D622" s="7">
        <v>0.25</v>
      </c>
      <c r="E622" s="7">
        <v>5.0</v>
      </c>
      <c r="F622" s="7">
        <v>195.594786643981</v>
      </c>
      <c r="G622" s="7">
        <v>313.270291566848</v>
      </c>
      <c r="H622" s="7">
        <v>0.0</v>
      </c>
      <c r="I622" s="15">
        <v>0.763988254476167</v>
      </c>
      <c r="J622" s="15">
        <v>0.134588380245213</v>
      </c>
      <c r="K622" s="12">
        <f>AVERAGE(I622:I626)</f>
        <v>0.5332807922</v>
      </c>
      <c r="L622" s="18">
        <v>7835.0</v>
      </c>
      <c r="M622" s="14">
        <f>STDEV(L622:L626)</f>
        <v>31040.03343</v>
      </c>
      <c r="N622" s="15" t="b">
        <f t="shared" si="1"/>
        <v>0</v>
      </c>
    </row>
    <row r="623" hidden="1">
      <c r="A623" s="7" t="s">
        <v>131</v>
      </c>
      <c r="B623" s="7" t="s">
        <v>17</v>
      </c>
      <c r="C623" s="7">
        <v>0.5</v>
      </c>
      <c r="D623" s="7">
        <v>0.25</v>
      </c>
      <c r="E623" s="7">
        <v>5.0</v>
      </c>
      <c r="F623" s="7">
        <v>195.594786643981</v>
      </c>
      <c r="G623" s="7">
        <v>313.270291566848</v>
      </c>
      <c r="H623" s="7">
        <v>1.0</v>
      </c>
      <c r="I623" s="15">
        <v>0.837337274319807</v>
      </c>
      <c r="J623" s="15">
        <v>0.100577427618663</v>
      </c>
      <c r="K623" s="12">
        <f>AVERAGE(I622:I626)</f>
        <v>0.5332807922</v>
      </c>
      <c r="L623" s="18">
        <v>4647.0</v>
      </c>
      <c r="M623" s="14">
        <f>STDEV(L622:L626)</f>
        <v>31040.03343</v>
      </c>
      <c r="N623" s="15" t="b">
        <f t="shared" si="1"/>
        <v>0</v>
      </c>
    </row>
    <row r="624" hidden="1">
      <c r="A624" s="7" t="s">
        <v>131</v>
      </c>
      <c r="B624" s="7" t="s">
        <v>17</v>
      </c>
      <c r="C624" s="7">
        <v>0.5</v>
      </c>
      <c r="D624" s="7">
        <v>0.25</v>
      </c>
      <c r="E624" s="7">
        <v>5.0</v>
      </c>
      <c r="F624" s="7">
        <v>195.594786643981</v>
      </c>
      <c r="G624" s="7">
        <v>313.270291566848</v>
      </c>
      <c r="H624" s="7">
        <v>2.0</v>
      </c>
      <c r="I624" s="15">
        <v>0.826365220512379</v>
      </c>
      <c r="J624" s="15">
        <v>0.0923716125267197</v>
      </c>
      <c r="K624" s="12">
        <f>AVERAGE(I622:I626)</f>
        <v>0.5332807922</v>
      </c>
      <c r="L624" s="18">
        <v>4613.0</v>
      </c>
      <c r="M624" s="14">
        <f>STDEV(L622:L626)</f>
        <v>31040.03343</v>
      </c>
      <c r="N624" s="15" t="b">
        <f t="shared" si="1"/>
        <v>0</v>
      </c>
    </row>
    <row r="625" hidden="1">
      <c r="A625" s="7" t="s">
        <v>131</v>
      </c>
      <c r="B625" s="7" t="s">
        <v>17</v>
      </c>
      <c r="C625" s="7">
        <v>0.5</v>
      </c>
      <c r="D625" s="7">
        <v>0.25</v>
      </c>
      <c r="E625" s="7">
        <v>5.0</v>
      </c>
      <c r="F625" s="7">
        <v>195.594786643981</v>
      </c>
      <c r="G625" s="7">
        <v>313.270291566848</v>
      </c>
      <c r="H625" s="7">
        <v>3.0</v>
      </c>
      <c r="I625" s="15">
        <v>0.077855305197103</v>
      </c>
      <c r="J625" s="15">
        <v>0.0656082296387282</v>
      </c>
      <c r="K625" s="12">
        <f>AVERAGE(I622:I626)</f>
        <v>0.5332807922</v>
      </c>
      <c r="L625" s="18">
        <v>63683.0</v>
      </c>
      <c r="M625" s="14">
        <f>STDEV(L622:L626)</f>
        <v>31040.03343</v>
      </c>
      <c r="N625" s="15" t="b">
        <f t="shared" si="1"/>
        <v>0</v>
      </c>
    </row>
    <row r="626" hidden="1">
      <c r="A626" s="7" t="s">
        <v>131</v>
      </c>
      <c r="B626" s="7" t="s">
        <v>17</v>
      </c>
      <c r="C626" s="7">
        <v>0.5</v>
      </c>
      <c r="D626" s="7">
        <v>0.25</v>
      </c>
      <c r="E626" s="7">
        <v>5.0</v>
      </c>
      <c r="F626" s="7">
        <v>195.594786643981</v>
      </c>
      <c r="G626" s="7">
        <v>313.270291566848</v>
      </c>
      <c r="H626" s="7">
        <v>4.0</v>
      </c>
      <c r="I626" s="15">
        <v>0.160857906270598</v>
      </c>
      <c r="J626" s="15">
        <v>0.190674111476454</v>
      </c>
      <c r="K626" s="12">
        <f>AVERAGE(I622:I626)</f>
        <v>0.5332807922</v>
      </c>
      <c r="L626" s="18">
        <v>60898.0</v>
      </c>
      <c r="M626" s="14">
        <f>STDEV(L622:L626)</f>
        <v>31040.03343</v>
      </c>
      <c r="N626" s="15" t="b">
        <f t="shared" si="1"/>
        <v>0</v>
      </c>
    </row>
    <row r="627" hidden="1">
      <c r="A627" s="7" t="s">
        <v>132</v>
      </c>
      <c r="B627" s="7" t="s">
        <v>17</v>
      </c>
      <c r="C627" s="7">
        <v>0.5</v>
      </c>
      <c r="D627" s="7">
        <v>0.25</v>
      </c>
      <c r="E627" s="7">
        <v>6.0</v>
      </c>
      <c r="F627" s="7">
        <v>216.689615488052</v>
      </c>
      <c r="G627" s="7">
        <v>345.269530534744</v>
      </c>
      <c r="H627" s="7">
        <v>0.0</v>
      </c>
      <c r="I627" s="15">
        <v>0.826356852538821</v>
      </c>
      <c r="J627" s="15">
        <v>0.0928732248316065</v>
      </c>
      <c r="K627" s="12">
        <f>AVERAGE(I627:I631)</f>
        <v>0.6506080422</v>
      </c>
      <c r="L627" s="18">
        <v>4613.0</v>
      </c>
      <c r="M627" s="14">
        <f>STDEV(L627:L631)</f>
        <v>48903.61047</v>
      </c>
      <c r="N627" s="15" t="b">
        <f t="shared" si="1"/>
        <v>0</v>
      </c>
    </row>
    <row r="628" hidden="1">
      <c r="A628" s="7" t="s">
        <v>132</v>
      </c>
      <c r="B628" s="7" t="s">
        <v>17</v>
      </c>
      <c r="C628" s="7">
        <v>0.5</v>
      </c>
      <c r="D628" s="7">
        <v>0.25</v>
      </c>
      <c r="E628" s="7">
        <v>6.0</v>
      </c>
      <c r="F628" s="7">
        <v>216.689615488052</v>
      </c>
      <c r="G628" s="7">
        <v>345.269530534744</v>
      </c>
      <c r="H628" s="7">
        <v>1.0</v>
      </c>
      <c r="I628" s="15">
        <v>0.752280147326256</v>
      </c>
      <c r="J628" s="15">
        <v>0.135499164819644</v>
      </c>
      <c r="K628" s="12">
        <f>AVERAGE(I627:I631)</f>
        <v>0.6506080422</v>
      </c>
      <c r="L628" s="18">
        <v>9997.0</v>
      </c>
      <c r="M628" s="14">
        <f>STDEV(L627:L631)</f>
        <v>48903.61047</v>
      </c>
      <c r="N628" s="15" t="b">
        <f t="shared" si="1"/>
        <v>0</v>
      </c>
    </row>
    <row r="629" hidden="1">
      <c r="A629" s="7" t="s">
        <v>132</v>
      </c>
      <c r="B629" s="7" t="s">
        <v>17</v>
      </c>
      <c r="C629" s="7">
        <v>0.5</v>
      </c>
      <c r="D629" s="7">
        <v>0.25</v>
      </c>
      <c r="E629" s="7">
        <v>6.0</v>
      </c>
      <c r="F629" s="7">
        <v>216.689615488052</v>
      </c>
      <c r="G629" s="7">
        <v>345.269530534744</v>
      </c>
      <c r="H629" s="7">
        <v>2.0</v>
      </c>
      <c r="I629" s="15">
        <v>0.817362238850221</v>
      </c>
      <c r="J629" s="15">
        <v>0.116266418217462</v>
      </c>
      <c r="K629" s="12">
        <f>AVERAGE(I627:I631)</f>
        <v>0.6506080422</v>
      </c>
      <c r="L629" s="18">
        <v>5619.0</v>
      </c>
      <c r="M629" s="14">
        <f>STDEV(L627:L631)</f>
        <v>48903.61047</v>
      </c>
      <c r="N629" s="15" t="b">
        <f t="shared" si="1"/>
        <v>0</v>
      </c>
    </row>
    <row r="630" hidden="1">
      <c r="A630" s="7" t="s">
        <v>132</v>
      </c>
      <c r="B630" s="7" t="s">
        <v>17</v>
      </c>
      <c r="C630" s="7">
        <v>0.5</v>
      </c>
      <c r="D630" s="7">
        <v>0.25</v>
      </c>
      <c r="E630" s="7">
        <v>6.0</v>
      </c>
      <c r="F630" s="7">
        <v>216.689615488052</v>
      </c>
      <c r="G630" s="7">
        <v>345.269530534744</v>
      </c>
      <c r="H630" s="7">
        <v>3.0</v>
      </c>
      <c r="I630" s="15">
        <v>0.806821522460512</v>
      </c>
      <c r="J630" s="15">
        <v>0.117395129097107</v>
      </c>
      <c r="K630" s="12">
        <f>AVERAGE(I627:I631)</f>
        <v>0.6506080422</v>
      </c>
      <c r="L630" s="18">
        <v>5709.0</v>
      </c>
      <c r="M630" s="14">
        <f>STDEV(L627:L631)</f>
        <v>48903.61047</v>
      </c>
      <c r="N630" s="15" t="b">
        <f t="shared" si="1"/>
        <v>0</v>
      </c>
    </row>
    <row r="631" hidden="1">
      <c r="A631" s="7" t="s">
        <v>132</v>
      </c>
      <c r="B631" s="7" t="s">
        <v>17</v>
      </c>
      <c r="C631" s="7">
        <v>0.5</v>
      </c>
      <c r="D631" s="7">
        <v>0.25</v>
      </c>
      <c r="E631" s="7">
        <v>6.0</v>
      </c>
      <c r="F631" s="7">
        <v>216.689615488052</v>
      </c>
      <c r="G631" s="7">
        <v>345.269530534744</v>
      </c>
      <c r="H631" s="7">
        <v>4.0</v>
      </c>
      <c r="I631" s="15">
        <v>0.0502194496273783</v>
      </c>
      <c r="J631" s="15">
        <v>0.138340760187072</v>
      </c>
      <c r="K631" s="12">
        <f>AVERAGE(I627:I631)</f>
        <v>0.6506080422</v>
      </c>
      <c r="L631" s="18">
        <v>115738.0</v>
      </c>
      <c r="M631" s="14">
        <f>STDEV(L627:L631)</f>
        <v>48903.61047</v>
      </c>
      <c r="N631" s="15" t="b">
        <f t="shared" si="1"/>
        <v>0</v>
      </c>
    </row>
    <row r="632" hidden="1">
      <c r="A632" s="7" t="s">
        <v>133</v>
      </c>
      <c r="B632" s="7" t="s">
        <v>17</v>
      </c>
      <c r="C632" s="7">
        <v>0.5</v>
      </c>
      <c r="D632" s="7">
        <v>0.25</v>
      </c>
      <c r="E632" s="7">
        <v>7.0</v>
      </c>
      <c r="F632" s="7">
        <v>400.151671409606</v>
      </c>
      <c r="G632" s="7">
        <v>477.728144407272</v>
      </c>
      <c r="H632" s="7">
        <v>0.0</v>
      </c>
      <c r="I632" s="15">
        <v>0.792679574098013</v>
      </c>
      <c r="J632" s="15">
        <v>0.11567120502919</v>
      </c>
      <c r="K632" s="12">
        <f>AVERAGE(I632:I636)</f>
        <v>0.5301742678</v>
      </c>
      <c r="L632" s="18">
        <v>12006.0</v>
      </c>
      <c r="M632" s="14">
        <f>STDEV(L632:L636)</f>
        <v>29017.42616</v>
      </c>
      <c r="N632" s="15" t="b">
        <f t="shared" si="1"/>
        <v>0</v>
      </c>
    </row>
    <row r="633" hidden="1">
      <c r="A633" s="7" t="s">
        <v>133</v>
      </c>
      <c r="B633" s="7" t="s">
        <v>17</v>
      </c>
      <c r="C633" s="7">
        <v>0.5</v>
      </c>
      <c r="D633" s="7">
        <v>0.25</v>
      </c>
      <c r="E633" s="7">
        <v>7.0</v>
      </c>
      <c r="F633" s="7">
        <v>400.151671409606</v>
      </c>
      <c r="G633" s="7">
        <v>477.728144407272</v>
      </c>
      <c r="H633" s="7">
        <v>1.0</v>
      </c>
      <c r="I633" s="15">
        <v>0.304975123644267</v>
      </c>
      <c r="J633" s="15">
        <v>0.110216075282679</v>
      </c>
      <c r="K633" s="12">
        <f>AVERAGE(I632:I636)</f>
        <v>0.5301742678</v>
      </c>
      <c r="L633" s="18">
        <v>27475.0</v>
      </c>
      <c r="M633" s="14">
        <f>STDEV(L632:L636)</f>
        <v>29017.42616</v>
      </c>
      <c r="N633" s="15" t="b">
        <f t="shared" si="1"/>
        <v>0</v>
      </c>
    </row>
    <row r="634" hidden="1">
      <c r="A634" s="7" t="s">
        <v>133</v>
      </c>
      <c r="B634" s="7" t="s">
        <v>17</v>
      </c>
      <c r="C634" s="7">
        <v>0.5</v>
      </c>
      <c r="D634" s="7">
        <v>0.25</v>
      </c>
      <c r="E634" s="7">
        <v>7.0</v>
      </c>
      <c r="F634" s="7">
        <v>400.151671409606</v>
      </c>
      <c r="G634" s="7">
        <v>477.728144407272</v>
      </c>
      <c r="H634" s="7">
        <v>2.0</v>
      </c>
      <c r="I634" s="15">
        <v>-0.0190751129794887</v>
      </c>
      <c r="J634" s="15">
        <v>0.175073875897413</v>
      </c>
      <c r="K634" s="12">
        <f>AVERAGE(I632:I636)</f>
        <v>0.5301742678</v>
      </c>
      <c r="L634" s="18">
        <v>78564.0</v>
      </c>
      <c r="M634" s="14">
        <f>STDEV(L632:L636)</f>
        <v>29017.42616</v>
      </c>
      <c r="N634" s="15" t="b">
        <f t="shared" si="1"/>
        <v>0</v>
      </c>
    </row>
    <row r="635" hidden="1">
      <c r="A635" s="7" t="s">
        <v>133</v>
      </c>
      <c r="B635" s="7" t="s">
        <v>17</v>
      </c>
      <c r="C635" s="7">
        <v>0.5</v>
      </c>
      <c r="D635" s="7">
        <v>0.25</v>
      </c>
      <c r="E635" s="7">
        <v>7.0</v>
      </c>
      <c r="F635" s="7">
        <v>400.151671409606</v>
      </c>
      <c r="G635" s="7">
        <v>477.728144407272</v>
      </c>
      <c r="H635" s="7">
        <v>3.0</v>
      </c>
      <c r="I635" s="15">
        <v>0.807386061551773</v>
      </c>
      <c r="J635" s="15">
        <v>0.0937688352173801</v>
      </c>
      <c r="K635" s="12">
        <f>AVERAGE(I632:I636)</f>
        <v>0.5301742678</v>
      </c>
      <c r="L635" s="18">
        <v>15811.0</v>
      </c>
      <c r="M635" s="14">
        <f>STDEV(L632:L636)</f>
        <v>29017.42616</v>
      </c>
      <c r="N635" s="15" t="b">
        <f t="shared" si="1"/>
        <v>0</v>
      </c>
    </row>
    <row r="636" hidden="1">
      <c r="A636" s="7" t="s">
        <v>133</v>
      </c>
      <c r="B636" s="7" t="s">
        <v>17</v>
      </c>
      <c r="C636" s="7">
        <v>0.5</v>
      </c>
      <c r="D636" s="7">
        <v>0.25</v>
      </c>
      <c r="E636" s="7">
        <v>7.0</v>
      </c>
      <c r="F636" s="7">
        <v>400.151671409606</v>
      </c>
      <c r="G636" s="7">
        <v>477.728144407272</v>
      </c>
      <c r="H636" s="7">
        <v>4.0</v>
      </c>
      <c r="I636" s="15">
        <v>0.76490569284807</v>
      </c>
      <c r="J636" s="15">
        <v>0.132901028768297</v>
      </c>
      <c r="K636" s="12">
        <f>AVERAGE(I632:I636)</f>
        <v>0.5301742678</v>
      </c>
      <c r="L636" s="18">
        <v>7820.0</v>
      </c>
      <c r="M636" s="14">
        <f>STDEV(L632:L636)</f>
        <v>29017.42616</v>
      </c>
      <c r="N636" s="15" t="b">
        <f t="shared" si="1"/>
        <v>0</v>
      </c>
    </row>
    <row r="637" hidden="1">
      <c r="A637" s="7" t="s">
        <v>134</v>
      </c>
      <c r="B637" s="7" t="s">
        <v>17</v>
      </c>
      <c r="C637" s="7">
        <v>0.5</v>
      </c>
      <c r="D637" s="7">
        <v>0.25</v>
      </c>
      <c r="E637" s="7">
        <v>8.0</v>
      </c>
      <c r="F637" s="7">
        <v>252.169633388519</v>
      </c>
      <c r="G637" s="7">
        <v>380.335689783096</v>
      </c>
      <c r="H637" s="7">
        <v>0.0</v>
      </c>
      <c r="I637" s="15">
        <v>0.753346841501805</v>
      </c>
      <c r="J637" s="15">
        <v>0.135111883593398</v>
      </c>
      <c r="K637" s="12">
        <f>AVERAGE(I637:I641)</f>
        <v>0.5700892267</v>
      </c>
      <c r="L637" s="18">
        <v>9978.0</v>
      </c>
      <c r="M637" s="14">
        <f>STDEV(L637:L641)</f>
        <v>41326.24925</v>
      </c>
      <c r="N637" s="15" t="b">
        <f t="shared" si="1"/>
        <v>0</v>
      </c>
    </row>
    <row r="638" hidden="1">
      <c r="A638" s="7" t="s">
        <v>134</v>
      </c>
      <c r="B638" s="7" t="s">
        <v>17</v>
      </c>
      <c r="C638" s="7">
        <v>0.5</v>
      </c>
      <c r="D638" s="7">
        <v>0.25</v>
      </c>
      <c r="E638" s="7">
        <v>8.0</v>
      </c>
      <c r="F638" s="7">
        <v>252.169633388519</v>
      </c>
      <c r="G638" s="7">
        <v>380.335689783096</v>
      </c>
      <c r="H638" s="7">
        <v>1.0</v>
      </c>
      <c r="I638" s="15">
        <v>0.75320521428066</v>
      </c>
      <c r="J638" s="15">
        <v>0.171235324450275</v>
      </c>
      <c r="K638" s="12">
        <f>AVERAGE(I637:I641)</f>
        <v>0.5700892267</v>
      </c>
      <c r="L638" s="18">
        <v>2393.0</v>
      </c>
      <c r="M638" s="14">
        <f>STDEV(L637:L641)</f>
        <v>41326.24925</v>
      </c>
      <c r="N638" s="15" t="b">
        <f t="shared" si="1"/>
        <v>0</v>
      </c>
    </row>
    <row r="639" hidden="1">
      <c r="A639" s="7" t="s">
        <v>134</v>
      </c>
      <c r="B639" s="7" t="s">
        <v>17</v>
      </c>
      <c r="C639" s="7">
        <v>0.5</v>
      </c>
      <c r="D639" s="7">
        <v>0.25</v>
      </c>
      <c r="E639" s="7">
        <v>8.0</v>
      </c>
      <c r="F639" s="7">
        <v>252.169633388519</v>
      </c>
      <c r="G639" s="7">
        <v>380.335689783096</v>
      </c>
      <c r="H639" s="7">
        <v>2.0</v>
      </c>
      <c r="I639" s="15">
        <v>0.0371991541904771</v>
      </c>
      <c r="J639" s="15">
        <v>0.154554742327077</v>
      </c>
      <c r="K639" s="12">
        <f>AVERAGE(I637:I641)</f>
        <v>0.5700892267</v>
      </c>
      <c r="L639" s="18">
        <v>100977.0</v>
      </c>
      <c r="M639" s="14">
        <f>STDEV(L637:L641)</f>
        <v>41326.24925</v>
      </c>
      <c r="N639" s="15" t="b">
        <f t="shared" si="1"/>
        <v>0</v>
      </c>
    </row>
    <row r="640" hidden="1">
      <c r="A640" s="7" t="s">
        <v>134</v>
      </c>
      <c r="B640" s="7" t="s">
        <v>17</v>
      </c>
      <c r="C640" s="7">
        <v>0.5</v>
      </c>
      <c r="D640" s="7">
        <v>0.25</v>
      </c>
      <c r="E640" s="7">
        <v>8.0</v>
      </c>
      <c r="F640" s="7">
        <v>252.169633388519</v>
      </c>
      <c r="G640" s="7">
        <v>380.335689783096</v>
      </c>
      <c r="H640" s="7">
        <v>3.0</v>
      </c>
      <c r="I640" s="15">
        <v>0.806163505610961</v>
      </c>
      <c r="J640" s="15">
        <v>0.118629325101429</v>
      </c>
      <c r="K640" s="12">
        <f>AVERAGE(I637:I641)</f>
        <v>0.5700892267</v>
      </c>
      <c r="L640" s="18">
        <v>5709.0</v>
      </c>
      <c r="M640" s="14">
        <f>STDEV(L637:L641)</f>
        <v>41326.24925</v>
      </c>
      <c r="N640" s="15" t="b">
        <f t="shared" si="1"/>
        <v>0</v>
      </c>
    </row>
    <row r="641" hidden="1">
      <c r="A641" s="7" t="s">
        <v>134</v>
      </c>
      <c r="B641" s="7" t="s">
        <v>17</v>
      </c>
      <c r="C641" s="7">
        <v>0.5</v>
      </c>
      <c r="D641" s="7">
        <v>0.25</v>
      </c>
      <c r="E641" s="7">
        <v>8.0</v>
      </c>
      <c r="F641" s="7">
        <v>252.169633388519</v>
      </c>
      <c r="G641" s="7">
        <v>380.335689783096</v>
      </c>
      <c r="H641" s="7">
        <v>4.0</v>
      </c>
      <c r="I641" s="15">
        <v>0.5005314180949</v>
      </c>
      <c r="J641" s="15">
        <v>0.172134287568768</v>
      </c>
      <c r="K641" s="12">
        <f>AVERAGE(I637:I641)</f>
        <v>0.5700892267</v>
      </c>
      <c r="L641" s="18">
        <v>22619.0</v>
      </c>
      <c r="M641" s="14">
        <f>STDEV(L637:L641)</f>
        <v>41326.24925</v>
      </c>
      <c r="N641" s="15" t="b">
        <f t="shared" si="1"/>
        <v>0</v>
      </c>
    </row>
    <row r="642" hidden="1">
      <c r="A642" s="7" t="s">
        <v>135</v>
      </c>
      <c r="B642" s="7" t="s">
        <v>17</v>
      </c>
      <c r="C642" s="7">
        <v>0.5</v>
      </c>
      <c r="D642" s="7">
        <v>0.25</v>
      </c>
      <c r="E642" s="7">
        <v>9.0</v>
      </c>
      <c r="F642" s="7">
        <v>630.457696676254</v>
      </c>
      <c r="G642" s="7">
        <v>695.853655338287</v>
      </c>
      <c r="H642" s="7">
        <v>0.0</v>
      </c>
      <c r="I642" s="15">
        <v>0.418944003772356</v>
      </c>
      <c r="J642" s="15">
        <v>0.080010913140683</v>
      </c>
      <c r="K642" s="12">
        <f>AVERAGE(I642:I646)</f>
        <v>0.4583258934</v>
      </c>
      <c r="L642" s="18">
        <v>27109.0</v>
      </c>
      <c r="M642" s="14">
        <f>STDEV(L642:L646)</f>
        <v>27005.91948</v>
      </c>
      <c r="N642" s="15" t="b">
        <f t="shared" si="1"/>
        <v>0</v>
      </c>
    </row>
    <row r="643" hidden="1">
      <c r="A643" s="7" t="s">
        <v>135</v>
      </c>
      <c r="B643" s="7" t="s">
        <v>17</v>
      </c>
      <c r="C643" s="7">
        <v>0.5</v>
      </c>
      <c r="D643" s="7">
        <v>0.25</v>
      </c>
      <c r="E643" s="7">
        <v>9.0</v>
      </c>
      <c r="F643" s="7">
        <v>630.457696676254</v>
      </c>
      <c r="G643" s="7">
        <v>695.853655338287</v>
      </c>
      <c r="H643" s="7">
        <v>1.0</v>
      </c>
      <c r="I643" s="15">
        <v>0.806788756170309</v>
      </c>
      <c r="J643" s="15">
        <v>0.120754038978764</v>
      </c>
      <c r="K643" s="12">
        <f>AVERAGE(I642:I646)</f>
        <v>0.4583258934</v>
      </c>
      <c r="L643" s="18">
        <v>5692.0</v>
      </c>
      <c r="M643" s="14">
        <f>STDEV(L642:L646)</f>
        <v>27005.91948</v>
      </c>
      <c r="N643" s="15" t="b">
        <f t="shared" si="1"/>
        <v>0</v>
      </c>
    </row>
    <row r="644" hidden="1">
      <c r="A644" s="7" t="s">
        <v>135</v>
      </c>
      <c r="B644" s="7" t="s">
        <v>17</v>
      </c>
      <c r="C644" s="7">
        <v>0.5</v>
      </c>
      <c r="D644" s="7">
        <v>0.25</v>
      </c>
      <c r="E644" s="7">
        <v>9.0</v>
      </c>
      <c r="F644" s="7">
        <v>630.457696676254</v>
      </c>
      <c r="G644" s="7">
        <v>695.853655338287</v>
      </c>
      <c r="H644" s="7">
        <v>2.0</v>
      </c>
      <c r="I644" s="15">
        <v>-0.022630744234066</v>
      </c>
      <c r="J644" s="15">
        <v>0.171659847091922</v>
      </c>
      <c r="K644" s="12">
        <f>AVERAGE(I642:I646)</f>
        <v>0.4583258934</v>
      </c>
      <c r="L644" s="18">
        <v>73665.0</v>
      </c>
      <c r="M644" s="14">
        <f>STDEV(L642:L646)</f>
        <v>27005.91948</v>
      </c>
      <c r="N644" s="15" t="b">
        <f t="shared" si="1"/>
        <v>0</v>
      </c>
    </row>
    <row r="645" hidden="1">
      <c r="A645" s="7" t="s">
        <v>135</v>
      </c>
      <c r="B645" s="7" t="s">
        <v>17</v>
      </c>
      <c r="C645" s="7">
        <v>0.5</v>
      </c>
      <c r="D645" s="7">
        <v>0.25</v>
      </c>
      <c r="E645" s="7">
        <v>9.0</v>
      </c>
      <c r="F645" s="7">
        <v>630.457696676254</v>
      </c>
      <c r="G645" s="7">
        <v>695.853655338287</v>
      </c>
      <c r="H645" s="7">
        <v>3.0</v>
      </c>
      <c r="I645" s="15">
        <v>0.334683091514533</v>
      </c>
      <c r="J645" s="15">
        <v>0.144432224195443</v>
      </c>
      <c r="K645" s="12">
        <f>AVERAGE(I642:I646)</f>
        <v>0.4583258934</v>
      </c>
      <c r="L645" s="18">
        <v>25286.0</v>
      </c>
      <c r="M645" s="14">
        <f>STDEV(L642:L646)</f>
        <v>27005.91948</v>
      </c>
      <c r="N645" s="15" t="b">
        <f t="shared" si="1"/>
        <v>0</v>
      </c>
    </row>
    <row r="646" hidden="1">
      <c r="A646" s="7" t="s">
        <v>135</v>
      </c>
      <c r="B646" s="7" t="s">
        <v>17</v>
      </c>
      <c r="C646" s="7">
        <v>0.5</v>
      </c>
      <c r="D646" s="7">
        <v>0.25</v>
      </c>
      <c r="E646" s="7">
        <v>9.0</v>
      </c>
      <c r="F646" s="7">
        <v>630.457696676254</v>
      </c>
      <c r="G646" s="7">
        <v>695.853655338287</v>
      </c>
      <c r="H646" s="7">
        <v>4.0</v>
      </c>
      <c r="I646" s="15">
        <v>0.753844359871941</v>
      </c>
      <c r="J646" s="15">
        <v>0.137305953487268</v>
      </c>
      <c r="K646" s="12">
        <f>AVERAGE(I642:I646)</f>
        <v>0.4583258934</v>
      </c>
      <c r="L646" s="18">
        <v>9924.0</v>
      </c>
      <c r="M646" s="14">
        <f>STDEV(L642:L646)</f>
        <v>27005.91948</v>
      </c>
      <c r="N646" s="15" t="b">
        <f t="shared" si="1"/>
        <v>0</v>
      </c>
    </row>
    <row r="647" hidden="1">
      <c r="A647" s="7" t="s">
        <v>136</v>
      </c>
      <c r="B647" s="7" t="s">
        <v>17</v>
      </c>
      <c r="C647" s="7">
        <v>0.5</v>
      </c>
      <c r="D647" s="7">
        <v>0.25</v>
      </c>
      <c r="E647" s="7">
        <v>10.0</v>
      </c>
      <c r="F647" s="7">
        <v>189.603192329406</v>
      </c>
      <c r="G647" s="7">
        <v>321.715619087219</v>
      </c>
      <c r="H647" s="7">
        <v>0.0</v>
      </c>
      <c r="I647" s="15">
        <v>0.753099838993181</v>
      </c>
      <c r="J647" s="15">
        <v>0.136839578364911</v>
      </c>
      <c r="K647" s="12">
        <f>AVERAGE(I647:I651)</f>
        <v>0.6349174851</v>
      </c>
      <c r="L647" s="18">
        <v>9975.0</v>
      </c>
      <c r="M647" s="14">
        <f>STDEV(L647:L651)</f>
        <v>39282.74826</v>
      </c>
      <c r="N647" s="15" t="b">
        <f t="shared" si="1"/>
        <v>0</v>
      </c>
    </row>
    <row r="648" hidden="1">
      <c r="A648" s="7" t="s">
        <v>136</v>
      </c>
      <c r="B648" s="7" t="s">
        <v>17</v>
      </c>
      <c r="C648" s="7">
        <v>0.5</v>
      </c>
      <c r="D648" s="7">
        <v>0.25</v>
      </c>
      <c r="E648" s="7">
        <v>10.0</v>
      </c>
      <c r="F648" s="7">
        <v>189.603192329406</v>
      </c>
      <c r="G648" s="7">
        <v>321.715619087219</v>
      </c>
      <c r="H648" s="7">
        <v>1.0</v>
      </c>
      <c r="I648" s="15">
        <v>0.807541788479038</v>
      </c>
      <c r="J648" s="15">
        <v>0.093550401077892</v>
      </c>
      <c r="K648" s="12">
        <f>AVERAGE(I647:I651)</f>
        <v>0.6349174851</v>
      </c>
      <c r="L648" s="18">
        <v>15811.0</v>
      </c>
      <c r="M648" s="14">
        <f>STDEV(L647:L651)</f>
        <v>39282.74826</v>
      </c>
      <c r="N648" s="15" t="b">
        <f t="shared" si="1"/>
        <v>0</v>
      </c>
    </row>
    <row r="649" hidden="1">
      <c r="A649" s="7" t="s">
        <v>136</v>
      </c>
      <c r="B649" s="7" t="s">
        <v>17</v>
      </c>
      <c r="C649" s="7">
        <v>0.5</v>
      </c>
      <c r="D649" s="7">
        <v>0.25</v>
      </c>
      <c r="E649" s="7">
        <v>10.0</v>
      </c>
      <c r="F649" s="7">
        <v>189.603192329406</v>
      </c>
      <c r="G649" s="7">
        <v>321.715619087219</v>
      </c>
      <c r="H649" s="7">
        <v>2.0</v>
      </c>
      <c r="I649" s="15">
        <v>0.793352722590938</v>
      </c>
      <c r="J649" s="15">
        <v>0.115265783970104</v>
      </c>
      <c r="K649" s="12">
        <f>AVERAGE(I647:I651)</f>
        <v>0.6349174851</v>
      </c>
      <c r="L649" s="18">
        <v>11991.0</v>
      </c>
      <c r="M649" s="14">
        <f>STDEV(L647:L651)</f>
        <v>39282.74826</v>
      </c>
      <c r="N649" s="15" t="b">
        <f t="shared" si="1"/>
        <v>0</v>
      </c>
    </row>
    <row r="650" hidden="1">
      <c r="A650" s="7" t="s">
        <v>136</v>
      </c>
      <c r="B650" s="7" t="s">
        <v>17</v>
      </c>
      <c r="C650" s="7">
        <v>0.5</v>
      </c>
      <c r="D650" s="7">
        <v>0.25</v>
      </c>
      <c r="E650" s="7">
        <v>10.0</v>
      </c>
      <c r="F650" s="7">
        <v>189.603192329406</v>
      </c>
      <c r="G650" s="7">
        <v>321.715619087219</v>
      </c>
      <c r="H650" s="7">
        <v>3.0</v>
      </c>
      <c r="I650" s="15">
        <v>0.00288719526978591</v>
      </c>
      <c r="J650" s="15">
        <v>0.204389199640258</v>
      </c>
      <c r="K650" s="12">
        <f>AVERAGE(I647:I651)</f>
        <v>0.6349174851</v>
      </c>
      <c r="L650" s="18">
        <v>98297.0</v>
      </c>
      <c r="M650" s="14">
        <f>STDEV(L647:L651)</f>
        <v>39282.74826</v>
      </c>
      <c r="N650" s="15" t="b">
        <f t="shared" si="1"/>
        <v>0</v>
      </c>
    </row>
    <row r="651" hidden="1">
      <c r="A651" s="7" t="s">
        <v>136</v>
      </c>
      <c r="B651" s="7" t="s">
        <v>17</v>
      </c>
      <c r="C651" s="7">
        <v>0.5</v>
      </c>
      <c r="D651" s="7">
        <v>0.25</v>
      </c>
      <c r="E651" s="7">
        <v>10.0</v>
      </c>
      <c r="F651" s="7">
        <v>189.603192329406</v>
      </c>
      <c r="G651" s="7">
        <v>321.715619087219</v>
      </c>
      <c r="H651" s="7">
        <v>4.0</v>
      </c>
      <c r="I651" s="15">
        <v>0.817705879923467</v>
      </c>
      <c r="J651" s="15">
        <v>0.116826020589598</v>
      </c>
      <c r="K651" s="12">
        <f>AVERAGE(I647:I651)</f>
        <v>0.6349174851</v>
      </c>
      <c r="L651" s="18">
        <v>5602.0</v>
      </c>
      <c r="M651" s="14">
        <f>STDEV(L647:L651)</f>
        <v>39282.74826</v>
      </c>
      <c r="N651" s="15" t="b">
        <f t="shared" si="1"/>
        <v>0</v>
      </c>
    </row>
    <row r="652" hidden="1">
      <c r="A652" s="7" t="s">
        <v>137</v>
      </c>
      <c r="B652" s="7" t="s">
        <v>17</v>
      </c>
      <c r="C652" s="7">
        <v>0.5</v>
      </c>
      <c r="D652" s="7">
        <v>0.5</v>
      </c>
      <c r="E652" s="7">
        <v>1.0</v>
      </c>
      <c r="F652" s="7">
        <v>214.88754749298</v>
      </c>
      <c r="G652" s="7">
        <v>331.599895715713</v>
      </c>
      <c r="H652" s="7">
        <v>0.0</v>
      </c>
      <c r="I652" s="15">
        <v>0.871280611604717</v>
      </c>
      <c r="J652" s="15">
        <v>0.0997831344989168</v>
      </c>
      <c r="K652" s="12">
        <f>AVERAGE(I652:I656)</f>
        <v>0.4873626593</v>
      </c>
      <c r="L652" s="18">
        <v>4433.0</v>
      </c>
      <c r="M652" s="14">
        <f>STDEV(L652:L656)</f>
        <v>32796.97556</v>
      </c>
      <c r="N652" s="15" t="b">
        <f t="shared" si="1"/>
        <v>0</v>
      </c>
    </row>
    <row r="653" hidden="1">
      <c r="A653" s="7" t="s">
        <v>137</v>
      </c>
      <c r="B653" s="7" t="s">
        <v>17</v>
      </c>
      <c r="C653" s="7">
        <v>0.5</v>
      </c>
      <c r="D653" s="7">
        <v>0.5</v>
      </c>
      <c r="E653" s="7">
        <v>1.0</v>
      </c>
      <c r="F653" s="7">
        <v>214.88754749298</v>
      </c>
      <c r="G653" s="7">
        <v>331.599895715713</v>
      </c>
      <c r="H653" s="7">
        <v>1.0</v>
      </c>
      <c r="I653" s="15">
        <v>0.219879201352558</v>
      </c>
      <c r="J653" s="15">
        <v>0.0879152066072975</v>
      </c>
      <c r="K653" s="12">
        <f>AVERAGE(I652:I656)</f>
        <v>0.4873626593</v>
      </c>
      <c r="L653" s="18">
        <v>31064.0</v>
      </c>
      <c r="M653" s="14">
        <f>STDEV(L652:L656)</f>
        <v>32796.97556</v>
      </c>
      <c r="N653" s="15" t="b">
        <f t="shared" si="1"/>
        <v>0</v>
      </c>
    </row>
    <row r="654" hidden="1">
      <c r="A654" s="7" t="s">
        <v>137</v>
      </c>
      <c r="B654" s="7" t="s">
        <v>17</v>
      </c>
      <c r="C654" s="7">
        <v>0.5</v>
      </c>
      <c r="D654" s="7">
        <v>0.5</v>
      </c>
      <c r="E654" s="7">
        <v>1.0</v>
      </c>
      <c r="F654" s="7">
        <v>214.88754749298</v>
      </c>
      <c r="G654" s="7">
        <v>331.599895715713</v>
      </c>
      <c r="H654" s="7">
        <v>2.0</v>
      </c>
      <c r="I654" s="15">
        <v>0.826192244803629</v>
      </c>
      <c r="J654" s="15">
        <v>0.0922200801016712</v>
      </c>
      <c r="K654" s="12">
        <f>AVERAGE(I652:I656)</f>
        <v>0.4873626593</v>
      </c>
      <c r="L654" s="18">
        <v>4613.0</v>
      </c>
      <c r="M654" s="14">
        <f>STDEV(L652:L656)</f>
        <v>32796.97556</v>
      </c>
      <c r="N654" s="15" t="b">
        <f t="shared" si="1"/>
        <v>0</v>
      </c>
    </row>
    <row r="655" hidden="1">
      <c r="A655" s="7" t="s">
        <v>137</v>
      </c>
      <c r="B655" s="7" t="s">
        <v>17</v>
      </c>
      <c r="C655" s="7">
        <v>0.5</v>
      </c>
      <c r="D655" s="7">
        <v>0.5</v>
      </c>
      <c r="E655" s="7">
        <v>1.0</v>
      </c>
      <c r="F655" s="7">
        <v>214.88754749298</v>
      </c>
      <c r="G655" s="7">
        <v>331.599895715713</v>
      </c>
      <c r="H655" s="7">
        <v>3.0</v>
      </c>
      <c r="I655" s="15">
        <v>0.469984151746737</v>
      </c>
      <c r="J655" s="15">
        <v>0.16156026252539</v>
      </c>
      <c r="K655" s="12">
        <f>AVERAGE(I652:I656)</f>
        <v>0.4873626593</v>
      </c>
      <c r="L655" s="18">
        <v>17971.0</v>
      </c>
      <c r="M655" s="14">
        <f>STDEV(L652:L656)</f>
        <v>32796.97556</v>
      </c>
      <c r="N655" s="15" t="b">
        <f t="shared" si="1"/>
        <v>0</v>
      </c>
    </row>
    <row r="656" hidden="1">
      <c r="A656" s="7" t="s">
        <v>137</v>
      </c>
      <c r="B656" s="7" t="s">
        <v>17</v>
      </c>
      <c r="C656" s="7">
        <v>0.5</v>
      </c>
      <c r="D656" s="7">
        <v>0.5</v>
      </c>
      <c r="E656" s="7">
        <v>1.0</v>
      </c>
      <c r="F656" s="7">
        <v>214.88754749298</v>
      </c>
      <c r="G656" s="7">
        <v>331.599895715713</v>
      </c>
      <c r="H656" s="7">
        <v>4.0</v>
      </c>
      <c r="I656" s="15">
        <v>0.0494770870698964</v>
      </c>
      <c r="J656" s="15">
        <v>0.147602292914576</v>
      </c>
      <c r="K656" s="12">
        <f>AVERAGE(I652:I656)</f>
        <v>0.4873626593</v>
      </c>
      <c r="L656" s="18">
        <v>83595.0</v>
      </c>
      <c r="M656" s="14">
        <f>STDEV(L652:L656)</f>
        <v>32796.97556</v>
      </c>
      <c r="N656" s="15" t="b">
        <f t="shared" si="1"/>
        <v>0</v>
      </c>
    </row>
    <row r="657" hidden="1">
      <c r="A657" s="7" t="s">
        <v>138</v>
      </c>
      <c r="B657" s="7" t="s">
        <v>17</v>
      </c>
      <c r="C657" s="7">
        <v>0.5</v>
      </c>
      <c r="D657" s="7">
        <v>0.5</v>
      </c>
      <c r="E657" s="7">
        <v>2.0</v>
      </c>
      <c r="F657" s="7">
        <v>282.753085374832</v>
      </c>
      <c r="G657" s="7">
        <v>387.686758995056</v>
      </c>
      <c r="H657" s="7">
        <v>0.0</v>
      </c>
      <c r="I657" s="15">
        <v>0.749681171485026</v>
      </c>
      <c r="J657" s="15">
        <v>0.139687254331855</v>
      </c>
      <c r="K657" s="12">
        <f>AVERAGE(I657:I661)</f>
        <v>0.5550356622</v>
      </c>
      <c r="L657" s="18">
        <v>9235.0</v>
      </c>
      <c r="M657" s="14">
        <f>STDEV(L657:L661)</f>
        <v>35665.81078</v>
      </c>
      <c r="N657" s="15" t="b">
        <f t="shared" si="1"/>
        <v>0</v>
      </c>
    </row>
    <row r="658" hidden="1">
      <c r="A658" s="7" t="s">
        <v>138</v>
      </c>
      <c r="B658" s="7" t="s">
        <v>17</v>
      </c>
      <c r="C658" s="7">
        <v>0.5</v>
      </c>
      <c r="D658" s="7">
        <v>0.5</v>
      </c>
      <c r="E658" s="7">
        <v>2.0</v>
      </c>
      <c r="F658" s="7">
        <v>282.753085374832</v>
      </c>
      <c r="G658" s="7">
        <v>387.686758995056</v>
      </c>
      <c r="H658" s="7">
        <v>1.0</v>
      </c>
      <c r="I658" s="15">
        <v>0.827187809048477</v>
      </c>
      <c r="J658" s="15">
        <v>0.100208922654523</v>
      </c>
      <c r="K658" s="12">
        <f>AVERAGE(I657:I661)</f>
        <v>0.5550356622</v>
      </c>
      <c r="L658" s="18">
        <v>7464.0</v>
      </c>
      <c r="M658" s="14">
        <f>STDEV(L657:L661)</f>
        <v>35665.81078</v>
      </c>
      <c r="N658" s="15" t="b">
        <f t="shared" si="1"/>
        <v>0</v>
      </c>
    </row>
    <row r="659" hidden="1">
      <c r="A659" s="7" t="s">
        <v>138</v>
      </c>
      <c r="B659" s="7" t="s">
        <v>17</v>
      </c>
      <c r="C659" s="7">
        <v>0.5</v>
      </c>
      <c r="D659" s="7">
        <v>0.5</v>
      </c>
      <c r="E659" s="7">
        <v>2.0</v>
      </c>
      <c r="F659" s="7">
        <v>282.753085374832</v>
      </c>
      <c r="G659" s="7">
        <v>387.686758995056</v>
      </c>
      <c r="H659" s="7">
        <v>2.0</v>
      </c>
      <c r="I659" s="15">
        <v>0.764065340539877</v>
      </c>
      <c r="J659" s="15">
        <v>0.13396716727233</v>
      </c>
      <c r="K659" s="12">
        <f>AVERAGE(I657:I661)</f>
        <v>0.5550356622</v>
      </c>
      <c r="L659" s="18">
        <v>7830.0</v>
      </c>
      <c r="M659" s="14">
        <f>STDEV(L657:L661)</f>
        <v>35665.81078</v>
      </c>
      <c r="N659" s="15" t="b">
        <f t="shared" si="1"/>
        <v>0</v>
      </c>
    </row>
    <row r="660" hidden="1">
      <c r="A660" s="7" t="s">
        <v>138</v>
      </c>
      <c r="B660" s="7" t="s">
        <v>17</v>
      </c>
      <c r="C660" s="7">
        <v>0.5</v>
      </c>
      <c r="D660" s="7">
        <v>0.5</v>
      </c>
      <c r="E660" s="7">
        <v>2.0</v>
      </c>
      <c r="F660" s="7">
        <v>282.753085374832</v>
      </c>
      <c r="G660" s="7">
        <v>387.686758995056</v>
      </c>
      <c r="H660" s="7">
        <v>3.0</v>
      </c>
      <c r="I660" s="15">
        <v>0.414387113023136</v>
      </c>
      <c r="J660" s="15">
        <v>0.0864478352652999</v>
      </c>
      <c r="K660" s="12">
        <f>AVERAGE(I657:I661)</f>
        <v>0.5550356622</v>
      </c>
      <c r="L660" s="18">
        <v>26647.0</v>
      </c>
      <c r="M660" s="14">
        <f>STDEV(L657:L661)</f>
        <v>35665.81078</v>
      </c>
      <c r="N660" s="15" t="b">
        <f t="shared" si="1"/>
        <v>0</v>
      </c>
    </row>
    <row r="661" hidden="1">
      <c r="A661" s="7" t="s">
        <v>138</v>
      </c>
      <c r="B661" s="7" t="s">
        <v>17</v>
      </c>
      <c r="C661" s="7">
        <v>0.5</v>
      </c>
      <c r="D661" s="7">
        <v>0.5</v>
      </c>
      <c r="E661" s="7">
        <v>2.0</v>
      </c>
      <c r="F661" s="7">
        <v>282.753085374832</v>
      </c>
      <c r="G661" s="7">
        <v>387.686758995056</v>
      </c>
      <c r="H661" s="7">
        <v>4.0</v>
      </c>
      <c r="I661" s="15">
        <v>0.019856876684541</v>
      </c>
      <c r="J661" s="15">
        <v>0.169561230239003</v>
      </c>
      <c r="K661" s="12">
        <f>AVERAGE(I657:I661)</f>
        <v>0.5550356622</v>
      </c>
      <c r="L661" s="18">
        <v>90500.0</v>
      </c>
      <c r="M661" s="14">
        <f>STDEV(L657:L661)</f>
        <v>35665.81078</v>
      </c>
      <c r="N661" s="15" t="b">
        <f t="shared" si="1"/>
        <v>0</v>
      </c>
    </row>
    <row r="662" hidden="1">
      <c r="A662" s="7" t="s">
        <v>139</v>
      </c>
      <c r="B662" s="22" t="s">
        <v>17</v>
      </c>
      <c r="C662" s="22">
        <v>0.5</v>
      </c>
      <c r="D662" s="22">
        <v>0.5</v>
      </c>
      <c r="E662" s="22">
        <v>3.0</v>
      </c>
      <c r="F662" s="7">
        <v>179.283230304718</v>
      </c>
      <c r="G662" s="7">
        <v>304.418854475021</v>
      </c>
      <c r="H662" s="7">
        <v>0.0</v>
      </c>
      <c r="I662" s="15">
        <v>0.823092851805517</v>
      </c>
      <c r="J662" s="15">
        <v>0.114306242122816</v>
      </c>
      <c r="K662" s="12">
        <f>AVERAGE(I662:I666)</f>
        <v>0.5530385437</v>
      </c>
      <c r="L662" s="18">
        <v>5423.0</v>
      </c>
      <c r="M662" s="14">
        <f>STDEV(L662:L666)</f>
        <v>46471.32582</v>
      </c>
      <c r="N662" s="15" t="b">
        <f t="shared" si="1"/>
        <v>0</v>
      </c>
    </row>
    <row r="663" hidden="1">
      <c r="A663" s="7" t="s">
        <v>139</v>
      </c>
      <c r="B663" s="22" t="s">
        <v>17</v>
      </c>
      <c r="C663" s="22">
        <v>0.5</v>
      </c>
      <c r="D663" s="22">
        <v>0.5</v>
      </c>
      <c r="E663" s="22">
        <v>3.0</v>
      </c>
      <c r="F663" s="7">
        <v>179.283230304718</v>
      </c>
      <c r="G663" s="7">
        <v>304.418854475021</v>
      </c>
      <c r="H663" s="7">
        <v>1.0</v>
      </c>
      <c r="I663" s="15">
        <v>0.284038522509114</v>
      </c>
      <c r="J663" s="15">
        <v>0.120088060031921</v>
      </c>
      <c r="K663" s="12">
        <f>AVERAGE(I662:I666)</f>
        <v>0.5530385437</v>
      </c>
      <c r="L663" s="18">
        <v>2403.0</v>
      </c>
      <c r="M663" s="14">
        <f>STDEV(L662:L666)</f>
        <v>46471.32582</v>
      </c>
      <c r="N663" s="15" t="b">
        <f t="shared" si="1"/>
        <v>0</v>
      </c>
    </row>
    <row r="664" hidden="1">
      <c r="A664" s="7" t="s">
        <v>139</v>
      </c>
      <c r="B664" s="22" t="s">
        <v>17</v>
      </c>
      <c r="C664" s="22">
        <v>0.5</v>
      </c>
      <c r="D664" s="22">
        <v>0.5</v>
      </c>
      <c r="E664" s="22">
        <v>3.0</v>
      </c>
      <c r="F664" s="7">
        <v>179.283230304718</v>
      </c>
      <c r="G664" s="7">
        <v>304.418854475021</v>
      </c>
      <c r="H664" s="7">
        <v>2.0</v>
      </c>
      <c r="I664" s="15">
        <v>0.802253902397085</v>
      </c>
      <c r="J664" s="15">
        <v>0.115248350844152</v>
      </c>
      <c r="K664" s="12">
        <f>AVERAGE(I662:I666)</f>
        <v>0.5530385437</v>
      </c>
      <c r="L664" s="18">
        <v>7385.0</v>
      </c>
      <c r="M664" s="14">
        <f>STDEV(L662:L666)</f>
        <v>46471.32582</v>
      </c>
      <c r="N664" s="15" t="b">
        <f t="shared" si="1"/>
        <v>0</v>
      </c>
    </row>
    <row r="665" hidden="1">
      <c r="A665" s="7" t="s">
        <v>139</v>
      </c>
      <c r="B665" s="22" t="s">
        <v>17</v>
      </c>
      <c r="C665" s="22">
        <v>0.5</v>
      </c>
      <c r="D665" s="22">
        <v>0.5</v>
      </c>
      <c r="E665" s="22">
        <v>3.0</v>
      </c>
      <c r="F665" s="7">
        <v>179.283230304718</v>
      </c>
      <c r="G665" s="7">
        <v>304.418854475021</v>
      </c>
      <c r="H665" s="7">
        <v>3.0</v>
      </c>
      <c r="I665" s="15">
        <v>0.81344291758834</v>
      </c>
      <c r="J665" s="15">
        <v>0.0890495828915156</v>
      </c>
      <c r="K665" s="12">
        <f>AVERAGE(I662:I666)</f>
        <v>0.5530385437</v>
      </c>
      <c r="L665" s="18">
        <v>15450.0</v>
      </c>
      <c r="M665" s="14">
        <f>STDEV(L662:L666)</f>
        <v>46471.32582</v>
      </c>
      <c r="N665" s="15" t="b">
        <f t="shared" si="1"/>
        <v>0</v>
      </c>
    </row>
    <row r="666" hidden="1">
      <c r="A666" s="7" t="s">
        <v>139</v>
      </c>
      <c r="B666" s="22" t="s">
        <v>17</v>
      </c>
      <c r="C666" s="22">
        <v>0.5</v>
      </c>
      <c r="D666" s="22">
        <v>0.5</v>
      </c>
      <c r="E666" s="22">
        <v>3.0</v>
      </c>
      <c r="F666" s="7">
        <v>179.283230304718</v>
      </c>
      <c r="G666" s="7">
        <v>304.418854475021</v>
      </c>
      <c r="H666" s="7">
        <v>4.0</v>
      </c>
      <c r="I666" s="15">
        <v>0.0423645242272113</v>
      </c>
      <c r="J666" s="15">
        <v>0.128090278494381</v>
      </c>
      <c r="K666" s="12">
        <f>AVERAGE(I662:I666)</f>
        <v>0.5530385437</v>
      </c>
      <c r="L666" s="18">
        <v>111015.0</v>
      </c>
      <c r="M666" s="14">
        <f>STDEV(L662:L666)</f>
        <v>46471.32582</v>
      </c>
      <c r="N666" s="15" t="b">
        <f t="shared" si="1"/>
        <v>0</v>
      </c>
    </row>
    <row r="667" hidden="1">
      <c r="A667" s="7" t="s">
        <v>140</v>
      </c>
      <c r="B667" s="7" t="s">
        <v>17</v>
      </c>
      <c r="C667" s="7">
        <v>0.5</v>
      </c>
      <c r="D667" s="7">
        <v>0.5</v>
      </c>
      <c r="E667" s="7">
        <v>4.0</v>
      </c>
      <c r="F667" s="7">
        <v>475.219259500503</v>
      </c>
      <c r="G667" s="7">
        <v>577.042129516601</v>
      </c>
      <c r="H667" s="7">
        <v>0.0</v>
      </c>
      <c r="I667" s="15">
        <v>0.123504197818636</v>
      </c>
      <c r="J667" s="15">
        <v>0.146725874846834</v>
      </c>
      <c r="K667" s="12">
        <f>AVERAGE(I667:I671)</f>
        <v>0.5239531217</v>
      </c>
      <c r="L667" s="18">
        <v>80890.0</v>
      </c>
      <c r="M667" s="14">
        <f>STDEV(L667:L671)</f>
        <v>33772.85211</v>
      </c>
      <c r="N667" s="15" t="b">
        <f t="shared" si="1"/>
        <v>0</v>
      </c>
    </row>
    <row r="668" hidden="1">
      <c r="A668" s="7" t="s">
        <v>140</v>
      </c>
      <c r="B668" s="7" t="s">
        <v>17</v>
      </c>
      <c r="C668" s="7">
        <v>0.5</v>
      </c>
      <c r="D668" s="7">
        <v>0.5</v>
      </c>
      <c r="E668" s="7">
        <v>4.0</v>
      </c>
      <c r="F668" s="7">
        <v>475.219259500503</v>
      </c>
      <c r="G668" s="7">
        <v>577.042129516601</v>
      </c>
      <c r="H668" s="7">
        <v>1.0</v>
      </c>
      <c r="I668" s="15">
        <v>0.826330395060151</v>
      </c>
      <c r="J668" s="15">
        <v>0.0923697858841343</v>
      </c>
      <c r="K668" s="12">
        <f>AVERAGE(I667:I671)</f>
        <v>0.5239531217</v>
      </c>
      <c r="L668" s="18">
        <v>4613.0</v>
      </c>
      <c r="M668" s="14">
        <f>STDEV(L667:L671)</f>
        <v>33772.85211</v>
      </c>
      <c r="N668" s="15" t="b">
        <f t="shared" si="1"/>
        <v>0</v>
      </c>
    </row>
    <row r="669" hidden="1">
      <c r="A669" s="7" t="s">
        <v>140</v>
      </c>
      <c r="B669" s="7" t="s">
        <v>17</v>
      </c>
      <c r="C669" s="7">
        <v>0.5</v>
      </c>
      <c r="D669" s="7">
        <v>0.5</v>
      </c>
      <c r="E669" s="7">
        <v>4.0</v>
      </c>
      <c r="F669" s="7">
        <v>475.219259500503</v>
      </c>
      <c r="G669" s="7">
        <v>577.042129516601</v>
      </c>
      <c r="H669" s="7">
        <v>2.0</v>
      </c>
      <c r="I669" s="15">
        <v>0.764824148722246</v>
      </c>
      <c r="J669" s="15">
        <v>0.133810605218408</v>
      </c>
      <c r="K669" s="12">
        <f>AVERAGE(I667:I671)</f>
        <v>0.5239531217</v>
      </c>
      <c r="L669" s="18">
        <v>7830.0</v>
      </c>
      <c r="M669" s="14">
        <f>STDEV(L667:L671)</f>
        <v>33772.85211</v>
      </c>
      <c r="N669" s="15" t="b">
        <f t="shared" si="1"/>
        <v>0</v>
      </c>
    </row>
    <row r="670" hidden="1">
      <c r="A670" s="7" t="s">
        <v>140</v>
      </c>
      <c r="B670" s="7" t="s">
        <v>17</v>
      </c>
      <c r="C670" s="7">
        <v>0.5</v>
      </c>
      <c r="D670" s="7">
        <v>0.5</v>
      </c>
      <c r="E670" s="7">
        <v>4.0</v>
      </c>
      <c r="F670" s="7">
        <v>475.219259500503</v>
      </c>
      <c r="G670" s="7">
        <v>577.042129516601</v>
      </c>
      <c r="H670" s="7">
        <v>3.0</v>
      </c>
      <c r="I670" s="15">
        <v>0.0666665931325182</v>
      </c>
      <c r="J670" s="15">
        <v>0.0505750106010127</v>
      </c>
      <c r="K670" s="12">
        <f>AVERAGE(I667:I671)</f>
        <v>0.5239531217</v>
      </c>
      <c r="L670" s="18">
        <v>43952.0</v>
      </c>
      <c r="M670" s="14">
        <f>STDEV(L667:L671)</f>
        <v>33772.85211</v>
      </c>
      <c r="N670" s="15" t="b">
        <f t="shared" si="1"/>
        <v>0</v>
      </c>
    </row>
    <row r="671" hidden="1">
      <c r="A671" s="7" t="s">
        <v>140</v>
      </c>
      <c r="B671" s="7" t="s">
        <v>17</v>
      </c>
      <c r="C671" s="7">
        <v>0.5</v>
      </c>
      <c r="D671" s="7">
        <v>0.5</v>
      </c>
      <c r="E671" s="7">
        <v>4.0</v>
      </c>
      <c r="F671" s="7">
        <v>475.219259500503</v>
      </c>
      <c r="G671" s="7">
        <v>577.042129516601</v>
      </c>
      <c r="H671" s="7">
        <v>4.0</v>
      </c>
      <c r="I671" s="15">
        <v>0.838440273970851</v>
      </c>
      <c r="J671" s="15">
        <v>0.102828137085445</v>
      </c>
      <c r="K671" s="12">
        <f>AVERAGE(I667:I671)</f>
        <v>0.5239531217</v>
      </c>
      <c r="L671" s="18">
        <v>4391.0</v>
      </c>
      <c r="M671" s="14">
        <f>STDEV(L667:L671)</f>
        <v>33772.85211</v>
      </c>
      <c r="N671" s="15" t="b">
        <f t="shared" si="1"/>
        <v>0</v>
      </c>
    </row>
    <row r="672" hidden="1">
      <c r="A672" s="7" t="s">
        <v>141</v>
      </c>
      <c r="B672" s="7" t="s">
        <v>17</v>
      </c>
      <c r="C672" s="7">
        <v>0.5</v>
      </c>
      <c r="D672" s="7">
        <v>0.5</v>
      </c>
      <c r="E672" s="7">
        <v>5.0</v>
      </c>
      <c r="F672" s="7">
        <v>433.854775905609</v>
      </c>
      <c r="G672" s="7">
        <v>524.872464179992</v>
      </c>
      <c r="H672" s="7">
        <v>0.0</v>
      </c>
      <c r="I672" s="15">
        <v>0.0507507893243976</v>
      </c>
      <c r="J672" s="15">
        <v>0.040763255542709</v>
      </c>
      <c r="K672" s="12">
        <f>AVERAGE(I672:I676)</f>
        <v>0.3537853585</v>
      </c>
      <c r="L672" s="18">
        <v>48318.0</v>
      </c>
      <c r="M672" s="14">
        <f>STDEV(L672:L676)</f>
        <v>16913.01114</v>
      </c>
      <c r="N672" s="15" t="b">
        <f t="shared" si="1"/>
        <v>0</v>
      </c>
    </row>
    <row r="673" hidden="1">
      <c r="A673" s="7" t="s">
        <v>141</v>
      </c>
      <c r="B673" s="7" t="s">
        <v>17</v>
      </c>
      <c r="C673" s="7">
        <v>0.5</v>
      </c>
      <c r="D673" s="7">
        <v>0.5</v>
      </c>
      <c r="E673" s="7">
        <v>5.0</v>
      </c>
      <c r="F673" s="7">
        <v>433.854775905609</v>
      </c>
      <c r="G673" s="7">
        <v>524.872464179992</v>
      </c>
      <c r="H673" s="7">
        <v>1.0</v>
      </c>
      <c r="I673" s="15">
        <v>-0.072676542392085</v>
      </c>
      <c r="J673" s="15">
        <v>0.312118830451792</v>
      </c>
      <c r="K673" s="12">
        <f>AVERAGE(I672:I676)</f>
        <v>0.3537853585</v>
      </c>
      <c r="L673" s="18">
        <v>39587.0</v>
      </c>
      <c r="M673" s="14">
        <f>STDEV(L672:L676)</f>
        <v>16913.01114</v>
      </c>
      <c r="N673" s="15" t="b">
        <f t="shared" si="1"/>
        <v>0</v>
      </c>
    </row>
    <row r="674" hidden="1">
      <c r="A674" s="7" t="s">
        <v>141</v>
      </c>
      <c r="B674" s="7" t="s">
        <v>17</v>
      </c>
      <c r="C674" s="7">
        <v>0.5</v>
      </c>
      <c r="D674" s="7">
        <v>0.5</v>
      </c>
      <c r="E674" s="7">
        <v>5.0</v>
      </c>
      <c r="F674" s="7">
        <v>433.854775905609</v>
      </c>
      <c r="G674" s="7">
        <v>524.872464179992</v>
      </c>
      <c r="H674" s="7">
        <v>2.0</v>
      </c>
      <c r="I674" s="15">
        <v>0.276984770606324</v>
      </c>
      <c r="J674" s="15">
        <v>0.0931228167100899</v>
      </c>
      <c r="K674" s="12">
        <f>AVERAGE(I672:I676)</f>
        <v>0.3537853585</v>
      </c>
      <c r="L674" s="18">
        <v>31742.0</v>
      </c>
      <c r="M674" s="14">
        <f>STDEV(L672:L676)</f>
        <v>16913.01114</v>
      </c>
      <c r="N674" s="15" t="b">
        <f t="shared" si="1"/>
        <v>0</v>
      </c>
    </row>
    <row r="675" hidden="1">
      <c r="A675" s="7" t="s">
        <v>141</v>
      </c>
      <c r="B675" s="7" t="s">
        <v>17</v>
      </c>
      <c r="C675" s="7">
        <v>0.5</v>
      </c>
      <c r="D675" s="7">
        <v>0.5</v>
      </c>
      <c r="E675" s="7">
        <v>5.0</v>
      </c>
      <c r="F675" s="7">
        <v>433.854775905609</v>
      </c>
      <c r="G675" s="7">
        <v>524.872464179992</v>
      </c>
      <c r="H675" s="7">
        <v>3.0</v>
      </c>
      <c r="I675" s="15">
        <v>0.777789655456506</v>
      </c>
      <c r="J675" s="15">
        <v>0.132200457418829</v>
      </c>
      <c r="K675" s="12">
        <f>AVERAGE(I672:I676)</f>
        <v>0.3537853585</v>
      </c>
      <c r="L675" s="18">
        <v>12840.0</v>
      </c>
      <c r="M675" s="14">
        <f>STDEV(L672:L676)</f>
        <v>16913.01114</v>
      </c>
      <c r="N675" s="15" t="b">
        <f t="shared" si="1"/>
        <v>0</v>
      </c>
    </row>
    <row r="676" hidden="1">
      <c r="A676" s="7" t="s">
        <v>141</v>
      </c>
      <c r="B676" s="7" t="s">
        <v>17</v>
      </c>
      <c r="C676" s="7">
        <v>0.5</v>
      </c>
      <c r="D676" s="7">
        <v>0.5</v>
      </c>
      <c r="E676" s="7">
        <v>5.0</v>
      </c>
      <c r="F676" s="7">
        <v>433.854775905609</v>
      </c>
      <c r="G676" s="7">
        <v>524.872464179992</v>
      </c>
      <c r="H676" s="7">
        <v>4.0</v>
      </c>
      <c r="I676" s="15">
        <v>0.73607811955701</v>
      </c>
      <c r="J676" s="15">
        <v>0.149151342819069</v>
      </c>
      <c r="K676" s="12">
        <f>AVERAGE(I672:I676)</f>
        <v>0.3537853585</v>
      </c>
      <c r="L676" s="18">
        <v>9189.0</v>
      </c>
      <c r="M676" s="14">
        <f>STDEV(L672:L676)</f>
        <v>16913.01114</v>
      </c>
      <c r="N676" s="15" t="b">
        <f t="shared" si="1"/>
        <v>0</v>
      </c>
    </row>
    <row r="677" hidden="1">
      <c r="A677" s="7" t="s">
        <v>142</v>
      </c>
      <c r="B677" s="7" t="s">
        <v>17</v>
      </c>
      <c r="C677" s="7">
        <v>0.5</v>
      </c>
      <c r="D677" s="7">
        <v>0.5</v>
      </c>
      <c r="E677" s="7">
        <v>6.0</v>
      </c>
      <c r="F677" s="7">
        <v>240.381759881973</v>
      </c>
      <c r="G677" s="7">
        <v>345.973960638046</v>
      </c>
      <c r="H677" s="7">
        <v>0.0</v>
      </c>
      <c r="I677" s="15">
        <v>0.294577667518331</v>
      </c>
      <c r="J677" s="15">
        <v>0.0962720075407783</v>
      </c>
      <c r="K677" s="12">
        <f>AVERAGE(I677:I681)</f>
        <v>0.3775569727</v>
      </c>
      <c r="L677" s="18">
        <v>29174.0</v>
      </c>
      <c r="M677" s="14">
        <f>STDEV(L677:L681)</f>
        <v>26779.64025</v>
      </c>
      <c r="N677" s="15" t="b">
        <f t="shared" si="1"/>
        <v>0</v>
      </c>
    </row>
    <row r="678" hidden="1">
      <c r="A678" s="7" t="s">
        <v>142</v>
      </c>
      <c r="B678" s="7" t="s">
        <v>17</v>
      </c>
      <c r="C678" s="7">
        <v>0.5</v>
      </c>
      <c r="D678" s="7">
        <v>0.5</v>
      </c>
      <c r="E678" s="7">
        <v>6.0</v>
      </c>
      <c r="F678" s="7">
        <v>240.381759881973</v>
      </c>
      <c r="G678" s="7">
        <v>345.973960638046</v>
      </c>
      <c r="H678" s="7">
        <v>1.0</v>
      </c>
      <c r="I678" s="15">
        <v>0.404400901874762</v>
      </c>
      <c r="J678" s="15">
        <v>0.0868397241491721</v>
      </c>
      <c r="K678" s="12">
        <f>AVERAGE(I677:I681)</f>
        <v>0.3775569727</v>
      </c>
      <c r="L678" s="18">
        <v>12329.0</v>
      </c>
      <c r="M678" s="14">
        <f>STDEV(L677:L681)</f>
        <v>26779.64025</v>
      </c>
      <c r="N678" s="15" t="b">
        <f t="shared" si="1"/>
        <v>0</v>
      </c>
    </row>
    <row r="679" hidden="1">
      <c r="A679" s="7" t="s">
        <v>142</v>
      </c>
      <c r="B679" s="7" t="s">
        <v>17</v>
      </c>
      <c r="C679" s="7">
        <v>0.5</v>
      </c>
      <c r="D679" s="7">
        <v>0.5</v>
      </c>
      <c r="E679" s="7">
        <v>6.0</v>
      </c>
      <c r="F679" s="7">
        <v>240.381759881973</v>
      </c>
      <c r="G679" s="7">
        <v>345.973960638046</v>
      </c>
      <c r="H679" s="7">
        <v>2.0</v>
      </c>
      <c r="I679" s="15">
        <v>0.353334733386203</v>
      </c>
      <c r="J679" s="15">
        <v>0.153553210469358</v>
      </c>
      <c r="K679" s="12">
        <f>AVERAGE(I677:I681)</f>
        <v>0.3775569727</v>
      </c>
      <c r="L679" s="18">
        <v>27620.0</v>
      </c>
      <c r="M679" s="14">
        <f>STDEV(L677:L681)</f>
        <v>26779.64025</v>
      </c>
      <c r="N679" s="15" t="b">
        <f t="shared" si="1"/>
        <v>0</v>
      </c>
    </row>
    <row r="680" hidden="1">
      <c r="A680" s="7" t="s">
        <v>142</v>
      </c>
      <c r="B680" s="7" t="s">
        <v>17</v>
      </c>
      <c r="C680" s="7">
        <v>0.5</v>
      </c>
      <c r="D680" s="7">
        <v>0.5</v>
      </c>
      <c r="E680" s="7">
        <v>6.0</v>
      </c>
      <c r="F680" s="7">
        <v>240.381759881973</v>
      </c>
      <c r="G680" s="7">
        <v>345.973960638046</v>
      </c>
      <c r="H680" s="7">
        <v>3.0</v>
      </c>
      <c r="I680" s="15">
        <v>0.0237607055323009</v>
      </c>
      <c r="J680" s="15">
        <v>0.123999492420698</v>
      </c>
      <c r="K680" s="12">
        <f>AVERAGE(I677:I681)</f>
        <v>0.3775569727</v>
      </c>
      <c r="L680" s="18">
        <v>71526.0</v>
      </c>
      <c r="M680" s="14">
        <f>STDEV(L677:L681)</f>
        <v>26779.64025</v>
      </c>
      <c r="N680" s="15" t="b">
        <f t="shared" si="1"/>
        <v>0</v>
      </c>
    </row>
    <row r="681" hidden="1">
      <c r="A681" s="7" t="s">
        <v>142</v>
      </c>
      <c r="B681" s="7" t="s">
        <v>17</v>
      </c>
      <c r="C681" s="7">
        <v>0.5</v>
      </c>
      <c r="D681" s="7">
        <v>0.5</v>
      </c>
      <c r="E681" s="7">
        <v>6.0</v>
      </c>
      <c r="F681" s="7">
        <v>240.381759881973</v>
      </c>
      <c r="G681" s="7">
        <v>345.973960638046</v>
      </c>
      <c r="H681" s="7">
        <v>4.0</v>
      </c>
      <c r="I681" s="15">
        <v>0.811710855077107</v>
      </c>
      <c r="J681" s="15">
        <v>0.12763610395748</v>
      </c>
      <c r="K681" s="12">
        <f>AVERAGE(I677:I681)</f>
        <v>0.3775569727</v>
      </c>
      <c r="L681" s="18">
        <v>1027.0</v>
      </c>
      <c r="M681" s="14">
        <f>STDEV(L677:L681)</f>
        <v>26779.64025</v>
      </c>
      <c r="N681" s="15" t="b">
        <f t="shared" si="1"/>
        <v>0</v>
      </c>
    </row>
    <row r="682" hidden="1">
      <c r="A682" s="7" t="s">
        <v>143</v>
      </c>
      <c r="B682" s="22" t="s">
        <v>17</v>
      </c>
      <c r="C682" s="22">
        <v>0.5</v>
      </c>
      <c r="D682" s="22">
        <v>0.5</v>
      </c>
      <c r="E682" s="22">
        <v>7.0</v>
      </c>
      <c r="F682" s="7">
        <v>179.628495454788</v>
      </c>
      <c r="G682" s="7">
        <v>297.609712839126</v>
      </c>
      <c r="H682" s="7">
        <v>0.0</v>
      </c>
      <c r="I682" s="15">
        <v>0.74874485802791</v>
      </c>
      <c r="J682" s="15">
        <v>0.141370877530618</v>
      </c>
      <c r="K682" s="12">
        <f>AVERAGE(I682:I686)</f>
        <v>0.6385289287</v>
      </c>
      <c r="L682" s="18">
        <v>9252.0</v>
      </c>
      <c r="M682" s="14">
        <f>STDEV(L682:L686)</f>
        <v>45713.93444</v>
      </c>
      <c r="N682" s="15" t="b">
        <f t="shared" si="1"/>
        <v>0</v>
      </c>
    </row>
    <row r="683" hidden="1">
      <c r="A683" s="7" t="s">
        <v>143</v>
      </c>
      <c r="B683" s="22" t="s">
        <v>17</v>
      </c>
      <c r="C683" s="22">
        <v>0.5</v>
      </c>
      <c r="D683" s="22">
        <v>0.5</v>
      </c>
      <c r="E683" s="22">
        <v>7.0</v>
      </c>
      <c r="F683" s="7">
        <v>179.628495454788</v>
      </c>
      <c r="G683" s="7">
        <v>297.609712839126</v>
      </c>
      <c r="H683" s="7">
        <v>1.0</v>
      </c>
      <c r="I683" s="15">
        <v>0.797572280432112</v>
      </c>
      <c r="J683" s="15">
        <v>0.117249762578573</v>
      </c>
      <c r="K683" s="12">
        <f>AVERAGE(I682:I686)</f>
        <v>0.6385289287</v>
      </c>
      <c r="L683" s="18">
        <v>11297.0</v>
      </c>
      <c r="M683" s="14">
        <f>STDEV(L682:L686)</f>
        <v>45713.93444</v>
      </c>
      <c r="N683" s="15" t="b">
        <f t="shared" si="1"/>
        <v>0</v>
      </c>
    </row>
    <row r="684" hidden="1">
      <c r="A684" s="7" t="s">
        <v>143</v>
      </c>
      <c r="B684" s="22" t="s">
        <v>17</v>
      </c>
      <c r="C684" s="22">
        <v>0.5</v>
      </c>
      <c r="D684" s="22">
        <v>0.5</v>
      </c>
      <c r="E684" s="22">
        <v>7.0</v>
      </c>
      <c r="F684" s="7">
        <v>179.628495454788</v>
      </c>
      <c r="G684" s="7">
        <v>297.609712839126</v>
      </c>
      <c r="H684" s="7">
        <v>2.0</v>
      </c>
      <c r="I684" s="15">
        <v>0.0192833726034552</v>
      </c>
      <c r="J684" s="15">
        <v>0.199379154116013</v>
      </c>
      <c r="K684" s="12">
        <f>AVERAGE(I682:I686)</f>
        <v>0.6385289287</v>
      </c>
      <c r="L684" s="18">
        <v>109992.0</v>
      </c>
      <c r="M684" s="14">
        <f>STDEV(L682:L686)</f>
        <v>45713.93444</v>
      </c>
      <c r="N684" s="15" t="b">
        <f t="shared" si="1"/>
        <v>0</v>
      </c>
    </row>
    <row r="685" hidden="1">
      <c r="A685" s="7" t="s">
        <v>143</v>
      </c>
      <c r="B685" s="22" t="s">
        <v>17</v>
      </c>
      <c r="C685" s="22">
        <v>0.5</v>
      </c>
      <c r="D685" s="22">
        <v>0.5</v>
      </c>
      <c r="E685" s="22">
        <v>7.0</v>
      </c>
      <c r="F685" s="7">
        <v>179.628495454788</v>
      </c>
      <c r="G685" s="7">
        <v>297.609712839126</v>
      </c>
      <c r="H685" s="7">
        <v>3.0</v>
      </c>
      <c r="I685" s="15">
        <v>0.8084933298219</v>
      </c>
      <c r="J685" s="15">
        <v>0.124134025465691</v>
      </c>
      <c r="K685" s="12">
        <f>AVERAGE(I682:I686)</f>
        <v>0.6385289287</v>
      </c>
      <c r="L685" s="18">
        <v>5660.0</v>
      </c>
      <c r="M685" s="14">
        <f>STDEV(L682:L686)</f>
        <v>45713.93444</v>
      </c>
      <c r="N685" s="15" t="b">
        <f t="shared" si="1"/>
        <v>0</v>
      </c>
    </row>
    <row r="686" hidden="1">
      <c r="A686" s="7" t="s">
        <v>143</v>
      </c>
      <c r="B686" s="22" t="s">
        <v>17</v>
      </c>
      <c r="C686" s="22">
        <v>0.5</v>
      </c>
      <c r="D686" s="22">
        <v>0.5</v>
      </c>
      <c r="E686" s="22">
        <v>7.0</v>
      </c>
      <c r="F686" s="7">
        <v>179.628495454788</v>
      </c>
      <c r="G686" s="7">
        <v>297.609712839126</v>
      </c>
      <c r="H686" s="7">
        <v>4.0</v>
      </c>
      <c r="I686" s="15">
        <v>0.818550802711515</v>
      </c>
      <c r="J686" s="15">
        <v>0.118542711244413</v>
      </c>
      <c r="K686" s="12">
        <f>AVERAGE(I682:I686)</f>
        <v>0.6385289287</v>
      </c>
      <c r="L686" s="18">
        <v>5475.0</v>
      </c>
      <c r="M686" s="14">
        <f>STDEV(L682:L686)</f>
        <v>45713.93444</v>
      </c>
      <c r="N686" s="15" t="b">
        <f t="shared" si="1"/>
        <v>0</v>
      </c>
    </row>
    <row r="687" hidden="1">
      <c r="A687" s="7" t="s">
        <v>144</v>
      </c>
      <c r="B687" s="7" t="s">
        <v>17</v>
      </c>
      <c r="C687" s="7">
        <v>0.5</v>
      </c>
      <c r="D687" s="7">
        <v>0.5</v>
      </c>
      <c r="E687" s="7">
        <v>8.0</v>
      </c>
      <c r="F687" s="7">
        <v>222.629586935043</v>
      </c>
      <c r="G687" s="7">
        <v>345.296833515167</v>
      </c>
      <c r="H687" s="7">
        <v>0.0</v>
      </c>
      <c r="I687" s="15">
        <v>-0.00190047750740012</v>
      </c>
      <c r="J687" s="15">
        <v>0.203092135532458</v>
      </c>
      <c r="K687" s="12">
        <f>AVERAGE(I687:I691)</f>
        <v>0.6400318043</v>
      </c>
      <c r="L687" s="18">
        <v>104945.0</v>
      </c>
      <c r="M687" s="14">
        <f>STDEV(L687:L691)</f>
        <v>43170.99088</v>
      </c>
      <c r="N687" s="15" t="b">
        <f t="shared" si="1"/>
        <v>0</v>
      </c>
    </row>
    <row r="688" hidden="1">
      <c r="A688" s="7" t="s">
        <v>144</v>
      </c>
      <c r="B688" s="7" t="s">
        <v>17</v>
      </c>
      <c r="C688" s="7">
        <v>0.5</v>
      </c>
      <c r="D688" s="7">
        <v>0.5</v>
      </c>
      <c r="E688" s="7">
        <v>8.0</v>
      </c>
      <c r="F688" s="7">
        <v>222.629586935043</v>
      </c>
      <c r="G688" s="7">
        <v>345.296833515167</v>
      </c>
      <c r="H688" s="7">
        <v>1.0</v>
      </c>
      <c r="I688" s="15">
        <v>0.79466352013739</v>
      </c>
      <c r="J688" s="15">
        <v>0.116823412898015</v>
      </c>
      <c r="K688" s="12">
        <f>AVERAGE(I687:I691)</f>
        <v>0.6400318043</v>
      </c>
      <c r="L688" s="18">
        <v>11399.0</v>
      </c>
      <c r="M688" s="14">
        <f>STDEV(L687:L691)</f>
        <v>43170.99088</v>
      </c>
      <c r="N688" s="15" t="b">
        <f t="shared" si="1"/>
        <v>0</v>
      </c>
    </row>
    <row r="689" hidden="1">
      <c r="A689" s="7" t="s">
        <v>144</v>
      </c>
      <c r="B689" s="7" t="s">
        <v>17</v>
      </c>
      <c r="C689" s="7">
        <v>0.5</v>
      </c>
      <c r="D689" s="7">
        <v>0.5</v>
      </c>
      <c r="E689" s="7">
        <v>8.0</v>
      </c>
      <c r="F689" s="7">
        <v>222.629586935043</v>
      </c>
      <c r="G689" s="7">
        <v>345.296833515167</v>
      </c>
      <c r="H689" s="7">
        <v>2.0</v>
      </c>
      <c r="I689" s="15">
        <v>0.847179776683389</v>
      </c>
      <c r="J689" s="15">
        <v>0.124822011521521</v>
      </c>
      <c r="K689" s="12">
        <f>AVERAGE(I687:I691)</f>
        <v>0.6400318043</v>
      </c>
      <c r="L689" s="18">
        <v>600.0</v>
      </c>
      <c r="M689" s="14">
        <f>STDEV(L687:L691)</f>
        <v>43170.99088</v>
      </c>
      <c r="N689" s="15" t="b">
        <f t="shared" si="1"/>
        <v>0</v>
      </c>
    </row>
    <row r="690" hidden="1">
      <c r="A690" s="7" t="s">
        <v>144</v>
      </c>
      <c r="B690" s="7" t="s">
        <v>17</v>
      </c>
      <c r="C690" s="7">
        <v>0.5</v>
      </c>
      <c r="D690" s="7">
        <v>0.5</v>
      </c>
      <c r="E690" s="7">
        <v>8.0</v>
      </c>
      <c r="F690" s="7">
        <v>222.629586935043</v>
      </c>
      <c r="G690" s="7">
        <v>345.296833515167</v>
      </c>
      <c r="H690" s="7">
        <v>3.0</v>
      </c>
      <c r="I690" s="15">
        <v>0.750553724407036</v>
      </c>
      <c r="J690" s="15">
        <v>0.141320917305985</v>
      </c>
      <c r="K690" s="12">
        <f>AVERAGE(I687:I691)</f>
        <v>0.6400318043</v>
      </c>
      <c r="L690" s="18">
        <v>9222.0</v>
      </c>
      <c r="M690" s="14">
        <f>STDEV(L687:L691)</f>
        <v>43170.99088</v>
      </c>
      <c r="N690" s="15" t="b">
        <f t="shared" si="1"/>
        <v>0</v>
      </c>
    </row>
    <row r="691" hidden="1">
      <c r="A691" s="7" t="s">
        <v>144</v>
      </c>
      <c r="B691" s="7" t="s">
        <v>17</v>
      </c>
      <c r="C691" s="7">
        <v>0.5</v>
      </c>
      <c r="D691" s="7">
        <v>0.5</v>
      </c>
      <c r="E691" s="7">
        <v>8.0</v>
      </c>
      <c r="F691" s="7">
        <v>222.629586935043</v>
      </c>
      <c r="G691" s="7">
        <v>345.296833515167</v>
      </c>
      <c r="H691" s="7">
        <v>4.0</v>
      </c>
      <c r="I691" s="15">
        <v>0.809662477620387</v>
      </c>
      <c r="J691" s="15">
        <v>0.0936934804710803</v>
      </c>
      <c r="K691" s="12">
        <f>AVERAGE(I687:I691)</f>
        <v>0.6400318043</v>
      </c>
      <c r="L691" s="18">
        <v>15510.0</v>
      </c>
      <c r="M691" s="14">
        <f>STDEV(L687:L691)</f>
        <v>43170.99088</v>
      </c>
      <c r="N691" s="15" t="b">
        <f t="shared" si="1"/>
        <v>0</v>
      </c>
    </row>
    <row r="692" hidden="1">
      <c r="A692" s="7" t="s">
        <v>145</v>
      </c>
      <c r="B692" s="21" t="s">
        <v>17</v>
      </c>
      <c r="C692" s="21">
        <v>0.5</v>
      </c>
      <c r="D692" s="21">
        <v>0.5</v>
      </c>
      <c r="E692" s="21">
        <v>9.0</v>
      </c>
      <c r="F692" s="7">
        <v>164.063548803329</v>
      </c>
      <c r="G692" s="7">
        <v>292.053805589675</v>
      </c>
      <c r="H692" s="7">
        <v>0.0</v>
      </c>
      <c r="I692" s="15">
        <v>0.81015452716743</v>
      </c>
      <c r="J692" s="15">
        <v>0.093729457665928</v>
      </c>
      <c r="K692" s="12">
        <f>AVERAGE(I692:I696)</f>
        <v>0.673231102</v>
      </c>
      <c r="L692" s="18">
        <v>15497.0</v>
      </c>
      <c r="M692" s="14">
        <f>STDEV(L692:L696)</f>
        <v>47578.87943</v>
      </c>
      <c r="N692" s="15" t="b">
        <f t="shared" si="1"/>
        <v>1</v>
      </c>
    </row>
    <row r="693" hidden="1">
      <c r="A693" s="7" t="s">
        <v>145</v>
      </c>
      <c r="B693" s="21" t="s">
        <v>17</v>
      </c>
      <c r="C693" s="21">
        <v>0.5</v>
      </c>
      <c r="D693" s="21">
        <v>0.5</v>
      </c>
      <c r="E693" s="21">
        <v>9.0</v>
      </c>
      <c r="F693" s="7">
        <v>164.063548803329</v>
      </c>
      <c r="G693" s="7">
        <v>292.053805589675</v>
      </c>
      <c r="H693" s="7">
        <v>1.0</v>
      </c>
      <c r="I693" s="15">
        <v>0.870154518890847</v>
      </c>
      <c r="J693" s="15">
        <v>0.103950846663784</v>
      </c>
      <c r="K693" s="12">
        <f>AVERAGE(I692:I696)</f>
        <v>0.673231102</v>
      </c>
      <c r="L693" s="18">
        <v>4433.0</v>
      </c>
      <c r="M693" s="14">
        <f>STDEV(L692:L696)</f>
        <v>47578.87943</v>
      </c>
      <c r="N693" s="15" t="b">
        <f t="shared" si="1"/>
        <v>1</v>
      </c>
    </row>
    <row r="694" hidden="1">
      <c r="A694" s="7" t="s">
        <v>145</v>
      </c>
      <c r="B694" s="21" t="s">
        <v>17</v>
      </c>
      <c r="C694" s="21">
        <v>0.5</v>
      </c>
      <c r="D694" s="21">
        <v>0.5</v>
      </c>
      <c r="E694" s="21">
        <v>9.0</v>
      </c>
      <c r="F694" s="7">
        <v>164.063548803329</v>
      </c>
      <c r="G694" s="7">
        <v>292.053805589675</v>
      </c>
      <c r="H694" s="7">
        <v>2.0</v>
      </c>
      <c r="I694" s="15">
        <v>0.812542515287278</v>
      </c>
      <c r="J694" s="15">
        <v>0.129233057473619</v>
      </c>
      <c r="K694" s="12">
        <f>AVERAGE(I692:I696)</f>
        <v>0.673231102</v>
      </c>
      <c r="L694" s="18">
        <v>1357.0</v>
      </c>
      <c r="M694" s="14">
        <f>STDEV(L692:L696)</f>
        <v>47578.87943</v>
      </c>
      <c r="N694" s="15" t="b">
        <f t="shared" si="1"/>
        <v>1</v>
      </c>
    </row>
    <row r="695" hidden="1">
      <c r="A695" s="7" t="s">
        <v>145</v>
      </c>
      <c r="B695" s="21" t="s">
        <v>17</v>
      </c>
      <c r="C695" s="21">
        <v>0.5</v>
      </c>
      <c r="D695" s="21">
        <v>0.5</v>
      </c>
      <c r="E695" s="21">
        <v>9.0</v>
      </c>
      <c r="F695" s="7">
        <v>164.063548803329</v>
      </c>
      <c r="G695" s="7">
        <v>292.053805589675</v>
      </c>
      <c r="H695" s="7">
        <v>3.0</v>
      </c>
      <c r="I695" s="15">
        <v>0.045814970578096</v>
      </c>
      <c r="J695" s="15">
        <v>0.119401430533142</v>
      </c>
      <c r="K695" s="12">
        <f>AVERAGE(I692:I696)</f>
        <v>0.673231102</v>
      </c>
      <c r="L695" s="18">
        <v>112925.0</v>
      </c>
      <c r="M695" s="14">
        <f>STDEV(L692:L696)</f>
        <v>47578.87943</v>
      </c>
      <c r="N695" s="15" t="b">
        <f t="shared" si="1"/>
        <v>1</v>
      </c>
    </row>
    <row r="696" hidden="1">
      <c r="A696" s="7" t="s">
        <v>145</v>
      </c>
      <c r="B696" s="21" t="s">
        <v>17</v>
      </c>
      <c r="C696" s="21">
        <v>0.5</v>
      </c>
      <c r="D696" s="21">
        <v>0.5</v>
      </c>
      <c r="E696" s="21">
        <v>9.0</v>
      </c>
      <c r="F696" s="7">
        <v>164.063548803329</v>
      </c>
      <c r="G696" s="7">
        <v>292.053805589675</v>
      </c>
      <c r="H696" s="7">
        <v>4.0</v>
      </c>
      <c r="I696" s="15">
        <v>0.827488977888702</v>
      </c>
      <c r="J696" s="15">
        <v>0.0982508967263029</v>
      </c>
      <c r="K696" s="12">
        <f>AVERAGE(I692:I696)</f>
        <v>0.673231102</v>
      </c>
      <c r="L696" s="18">
        <v>7464.0</v>
      </c>
      <c r="M696" s="14">
        <f>STDEV(L692:L696)</f>
        <v>47578.87943</v>
      </c>
      <c r="N696" s="15" t="b">
        <f t="shared" si="1"/>
        <v>1</v>
      </c>
    </row>
    <row r="697" hidden="1">
      <c r="A697" s="7" t="s">
        <v>146</v>
      </c>
      <c r="B697" s="7" t="s">
        <v>17</v>
      </c>
      <c r="C697" s="7">
        <v>0.5</v>
      </c>
      <c r="D697" s="7">
        <v>0.5</v>
      </c>
      <c r="E697" s="7">
        <v>10.0</v>
      </c>
      <c r="F697" s="7">
        <v>197.543965101242</v>
      </c>
      <c r="G697" s="7">
        <v>332.164730548858</v>
      </c>
      <c r="H697" s="7">
        <v>0.0</v>
      </c>
      <c r="I697" s="15">
        <v>0.0596604493248279</v>
      </c>
      <c r="J697" s="15">
        <v>0.0391250373652371</v>
      </c>
      <c r="K697" s="12">
        <f>AVERAGE(I697:I701)</f>
        <v>0.4078024104</v>
      </c>
      <c r="L697" s="18">
        <v>27421.0</v>
      </c>
      <c r="M697" s="14">
        <f>STDEV(L697:L701)</f>
        <v>28689.53973</v>
      </c>
      <c r="N697" s="15" t="b">
        <f t="shared" si="1"/>
        <v>0</v>
      </c>
    </row>
    <row r="698" hidden="1">
      <c r="A698" s="7" t="s">
        <v>146</v>
      </c>
      <c r="B698" s="7" t="s">
        <v>17</v>
      </c>
      <c r="C698" s="7">
        <v>0.5</v>
      </c>
      <c r="D698" s="7">
        <v>0.5</v>
      </c>
      <c r="E698" s="7">
        <v>10.0</v>
      </c>
      <c r="F698" s="7">
        <v>197.543965101242</v>
      </c>
      <c r="G698" s="7">
        <v>332.164730548858</v>
      </c>
      <c r="H698" s="7">
        <v>1.0</v>
      </c>
      <c r="I698" s="15">
        <v>0.827924333977121</v>
      </c>
      <c r="J698" s="15">
        <v>0.0898412938872841</v>
      </c>
      <c r="K698" s="12">
        <f>AVERAGE(I697:I701)</f>
        <v>0.4078024104</v>
      </c>
      <c r="L698" s="18">
        <v>4600.0</v>
      </c>
      <c r="M698" s="14">
        <f>STDEV(L697:L701)</f>
        <v>28689.53973</v>
      </c>
      <c r="N698" s="15" t="b">
        <f t="shared" si="1"/>
        <v>0</v>
      </c>
    </row>
    <row r="699" hidden="1">
      <c r="A699" s="7" t="s">
        <v>146</v>
      </c>
      <c r="B699" s="7" t="s">
        <v>17</v>
      </c>
      <c r="C699" s="7">
        <v>0.5</v>
      </c>
      <c r="D699" s="7">
        <v>0.5</v>
      </c>
      <c r="E699" s="7">
        <v>10.0</v>
      </c>
      <c r="F699" s="7">
        <v>197.543965101242</v>
      </c>
      <c r="G699" s="7">
        <v>332.164730548858</v>
      </c>
      <c r="H699" s="7">
        <v>2.0</v>
      </c>
      <c r="I699" s="15">
        <v>0.131791611243856</v>
      </c>
      <c r="J699" s="15">
        <v>0.160949772204494</v>
      </c>
      <c r="K699" s="12">
        <f>AVERAGE(I697:I701)</f>
        <v>0.4078024104</v>
      </c>
      <c r="L699" s="18">
        <v>75292.0</v>
      </c>
      <c r="M699" s="14">
        <f>STDEV(L697:L701)</f>
        <v>28689.53973</v>
      </c>
      <c r="N699" s="15" t="b">
        <f t="shared" si="1"/>
        <v>0</v>
      </c>
    </row>
    <row r="700" hidden="1">
      <c r="A700" s="7" t="s">
        <v>146</v>
      </c>
      <c r="B700" s="7" t="s">
        <v>17</v>
      </c>
      <c r="C700" s="7">
        <v>0.5</v>
      </c>
      <c r="D700" s="7">
        <v>0.5</v>
      </c>
      <c r="E700" s="7">
        <v>10.0</v>
      </c>
      <c r="F700" s="7">
        <v>197.543965101242</v>
      </c>
      <c r="G700" s="7">
        <v>332.164730548858</v>
      </c>
      <c r="H700" s="7">
        <v>3.0</v>
      </c>
      <c r="I700" s="15">
        <v>0.202109353853641</v>
      </c>
      <c r="J700" s="15">
        <v>0.0633264910018092</v>
      </c>
      <c r="K700" s="12">
        <f>AVERAGE(I697:I701)</f>
        <v>0.4078024104</v>
      </c>
      <c r="L700" s="18">
        <v>28895.0</v>
      </c>
      <c r="M700" s="14">
        <f>STDEV(L697:L701)</f>
        <v>28689.53973</v>
      </c>
      <c r="N700" s="15" t="b">
        <f t="shared" si="1"/>
        <v>0</v>
      </c>
    </row>
    <row r="701" hidden="1">
      <c r="A701" s="7" t="s">
        <v>146</v>
      </c>
      <c r="B701" s="7" t="s">
        <v>17</v>
      </c>
      <c r="C701" s="7">
        <v>0.5</v>
      </c>
      <c r="D701" s="7">
        <v>0.5</v>
      </c>
      <c r="E701" s="7">
        <v>10.0</v>
      </c>
      <c r="F701" s="7">
        <v>197.543965101242</v>
      </c>
      <c r="G701" s="7">
        <v>332.164730548858</v>
      </c>
      <c r="H701" s="7">
        <v>4.0</v>
      </c>
      <c r="I701" s="15">
        <v>0.817526303387165</v>
      </c>
      <c r="J701" s="15">
        <v>0.117512860283686</v>
      </c>
      <c r="K701" s="12">
        <f>AVERAGE(I697:I701)</f>
        <v>0.4078024104</v>
      </c>
      <c r="L701" s="18">
        <v>5468.0</v>
      </c>
      <c r="M701" s="14">
        <f>STDEV(L697:L701)</f>
        <v>28689.53973</v>
      </c>
      <c r="N701" s="15" t="b">
        <f t="shared" si="1"/>
        <v>0</v>
      </c>
    </row>
    <row r="702" hidden="1">
      <c r="A702" s="7" t="s">
        <v>147</v>
      </c>
      <c r="B702" s="7" t="s">
        <v>17</v>
      </c>
      <c r="C702" s="7">
        <v>0.5</v>
      </c>
      <c r="D702" s="7">
        <v>0.75</v>
      </c>
      <c r="E702" s="7">
        <v>1.0</v>
      </c>
      <c r="F702" s="7">
        <v>187.885990858078</v>
      </c>
      <c r="G702" s="7">
        <v>315.143580675125</v>
      </c>
      <c r="H702" s="7">
        <v>0.0</v>
      </c>
      <c r="I702" s="15">
        <v>0.747971674983956</v>
      </c>
      <c r="J702" s="15">
        <v>0.145804243482891</v>
      </c>
      <c r="K702" s="12">
        <f>AVERAGE(I702:I706)</f>
        <v>0.5622345668</v>
      </c>
      <c r="L702" s="18">
        <v>8228.0</v>
      </c>
      <c r="M702" s="14">
        <f>STDEV(L702:L706)</f>
        <v>38302.03141</v>
      </c>
      <c r="N702" s="15" t="b">
        <f t="shared" si="1"/>
        <v>0</v>
      </c>
    </row>
    <row r="703" hidden="1">
      <c r="A703" s="7" t="s">
        <v>147</v>
      </c>
      <c r="B703" s="7" t="s">
        <v>17</v>
      </c>
      <c r="C703" s="7">
        <v>0.5</v>
      </c>
      <c r="D703" s="7">
        <v>0.75</v>
      </c>
      <c r="E703" s="7">
        <v>1.0</v>
      </c>
      <c r="F703" s="7">
        <v>187.885990858078</v>
      </c>
      <c r="G703" s="7">
        <v>315.143580675125</v>
      </c>
      <c r="H703" s="7">
        <v>1.0</v>
      </c>
      <c r="I703" s="15">
        <v>0.82567331595025</v>
      </c>
      <c r="J703" s="15">
        <v>0.0923912676271949</v>
      </c>
      <c r="K703" s="12">
        <f>AVERAGE(I702:I706)</f>
        <v>0.5622345668</v>
      </c>
      <c r="L703" s="18">
        <v>4613.0</v>
      </c>
      <c r="M703" s="14">
        <f>STDEV(L702:L706)</f>
        <v>38302.03141</v>
      </c>
      <c r="N703" s="15" t="b">
        <f t="shared" si="1"/>
        <v>0</v>
      </c>
    </row>
    <row r="704" hidden="1">
      <c r="A704" s="7" t="s">
        <v>147</v>
      </c>
      <c r="B704" s="7" t="s">
        <v>17</v>
      </c>
      <c r="C704" s="7">
        <v>0.5</v>
      </c>
      <c r="D704" s="7">
        <v>0.75</v>
      </c>
      <c r="E704" s="7">
        <v>1.0</v>
      </c>
      <c r="F704" s="7">
        <v>187.885990858078</v>
      </c>
      <c r="G704" s="7">
        <v>315.143580675125</v>
      </c>
      <c r="H704" s="7">
        <v>2.0</v>
      </c>
      <c r="I704" s="15">
        <v>0.813888889164487</v>
      </c>
      <c r="J704" s="15">
        <v>0.0935722728764058</v>
      </c>
      <c r="K704" s="12">
        <f>AVERAGE(I702:I706)</f>
        <v>0.5622345668</v>
      </c>
      <c r="L704" s="18">
        <v>14905.0</v>
      </c>
      <c r="M704" s="14">
        <f>STDEV(L702:L706)</f>
        <v>38302.03141</v>
      </c>
      <c r="N704" s="15" t="b">
        <f t="shared" si="1"/>
        <v>0</v>
      </c>
    </row>
    <row r="705" hidden="1">
      <c r="A705" s="7" t="s">
        <v>147</v>
      </c>
      <c r="B705" s="7" t="s">
        <v>17</v>
      </c>
      <c r="C705" s="7">
        <v>0.5</v>
      </c>
      <c r="D705" s="7">
        <v>0.75</v>
      </c>
      <c r="E705" s="7">
        <v>1.0</v>
      </c>
      <c r="F705" s="7">
        <v>187.885990858078</v>
      </c>
      <c r="G705" s="7">
        <v>315.143580675125</v>
      </c>
      <c r="H705" s="7">
        <v>3.0</v>
      </c>
      <c r="I705" s="15">
        <v>0.428535178253041</v>
      </c>
      <c r="J705" s="15">
        <v>0.120785237740425</v>
      </c>
      <c r="K705" s="12">
        <f>AVERAGE(I702:I706)</f>
        <v>0.5622345668</v>
      </c>
      <c r="L705" s="18">
        <v>17713.0</v>
      </c>
      <c r="M705" s="14">
        <f>STDEV(L702:L706)</f>
        <v>38302.03141</v>
      </c>
      <c r="N705" s="15" t="b">
        <f t="shared" si="1"/>
        <v>0</v>
      </c>
    </row>
    <row r="706" hidden="1">
      <c r="A706" s="7" t="s">
        <v>147</v>
      </c>
      <c r="B706" s="7" t="s">
        <v>17</v>
      </c>
      <c r="C706" s="7">
        <v>0.5</v>
      </c>
      <c r="D706" s="7">
        <v>0.75</v>
      </c>
      <c r="E706" s="7">
        <v>1.0</v>
      </c>
      <c r="F706" s="7">
        <v>187.885990858078</v>
      </c>
      <c r="G706" s="7">
        <v>315.143580675125</v>
      </c>
      <c r="H706" s="7">
        <v>4.0</v>
      </c>
      <c r="I706" s="15">
        <v>-0.00489622444231633</v>
      </c>
      <c r="J706" s="15">
        <v>0.209982533324373</v>
      </c>
      <c r="K706" s="12">
        <f>AVERAGE(I702:I706)</f>
        <v>0.5622345668</v>
      </c>
      <c r="L706" s="18">
        <v>96217.0</v>
      </c>
      <c r="M706" s="14">
        <f>STDEV(L702:L706)</f>
        <v>38302.03141</v>
      </c>
      <c r="N706" s="15" t="b">
        <f t="shared" si="1"/>
        <v>0</v>
      </c>
    </row>
    <row r="707" hidden="1">
      <c r="A707" s="7" t="s">
        <v>148</v>
      </c>
      <c r="B707" s="7" t="s">
        <v>17</v>
      </c>
      <c r="C707" s="7">
        <v>0.5</v>
      </c>
      <c r="D707" s="7">
        <v>0.75</v>
      </c>
      <c r="E707" s="7">
        <v>2.0</v>
      </c>
      <c r="F707" s="7">
        <v>989.968335628509</v>
      </c>
      <c r="G707" s="7">
        <v>1054.16125106811</v>
      </c>
      <c r="H707" s="7">
        <v>0.0</v>
      </c>
      <c r="I707" s="15">
        <v>0.0676246150252433</v>
      </c>
      <c r="J707" s="15">
        <v>0.252493580005707</v>
      </c>
      <c r="K707" s="12">
        <f>AVERAGE(I707:I711)</f>
        <v>0.5000806938</v>
      </c>
      <c r="L707" s="18">
        <v>68883.0</v>
      </c>
      <c r="M707" s="14">
        <f>STDEV(L707:L711)</f>
        <v>27712.59957</v>
      </c>
      <c r="N707" s="15" t="b">
        <f t="shared" si="1"/>
        <v>0</v>
      </c>
    </row>
    <row r="708" hidden="1">
      <c r="A708" s="7" t="s">
        <v>148</v>
      </c>
      <c r="B708" s="7" t="s">
        <v>17</v>
      </c>
      <c r="C708" s="7">
        <v>0.5</v>
      </c>
      <c r="D708" s="7">
        <v>0.75</v>
      </c>
      <c r="E708" s="7">
        <v>2.0</v>
      </c>
      <c r="F708" s="7">
        <v>989.968335628509</v>
      </c>
      <c r="G708" s="7">
        <v>1054.16125106811</v>
      </c>
      <c r="H708" s="7">
        <v>1.0</v>
      </c>
      <c r="I708" s="15">
        <v>0.0501668374021675</v>
      </c>
      <c r="J708" s="15">
        <v>0.0379700115120496</v>
      </c>
      <c r="K708" s="12">
        <f>AVERAGE(I707:I711)</f>
        <v>0.5000806938</v>
      </c>
      <c r="L708" s="18">
        <v>45060.0</v>
      </c>
      <c r="M708" s="14">
        <f>STDEV(L707:L711)</f>
        <v>27712.59957</v>
      </c>
      <c r="N708" s="15" t="b">
        <f t="shared" si="1"/>
        <v>0</v>
      </c>
    </row>
    <row r="709" hidden="1">
      <c r="A709" s="7" t="s">
        <v>148</v>
      </c>
      <c r="B709" s="7" t="s">
        <v>17</v>
      </c>
      <c r="C709" s="7">
        <v>0.5</v>
      </c>
      <c r="D709" s="7">
        <v>0.75</v>
      </c>
      <c r="E709" s="7">
        <v>2.0</v>
      </c>
      <c r="F709" s="7">
        <v>989.968335628509</v>
      </c>
      <c r="G709" s="7">
        <v>1054.16125106811</v>
      </c>
      <c r="H709" s="7">
        <v>2.0</v>
      </c>
      <c r="I709" s="15">
        <v>0.827505535467298</v>
      </c>
      <c r="J709" s="15">
        <v>0.089654002522664</v>
      </c>
      <c r="K709" s="12">
        <f>AVERAGE(I707:I711)</f>
        <v>0.5000806938</v>
      </c>
      <c r="L709" s="18">
        <v>4600.0</v>
      </c>
      <c r="M709" s="14">
        <f>STDEV(L707:L711)</f>
        <v>27712.59957</v>
      </c>
      <c r="N709" s="15" t="b">
        <f t="shared" si="1"/>
        <v>0</v>
      </c>
    </row>
    <row r="710" hidden="1">
      <c r="A710" s="7" t="s">
        <v>148</v>
      </c>
      <c r="B710" s="7" t="s">
        <v>17</v>
      </c>
      <c r="C710" s="7">
        <v>0.5</v>
      </c>
      <c r="D710" s="7">
        <v>0.75</v>
      </c>
      <c r="E710" s="7">
        <v>2.0</v>
      </c>
      <c r="F710" s="7">
        <v>989.968335628509</v>
      </c>
      <c r="G710" s="7">
        <v>1054.16125106811</v>
      </c>
      <c r="H710" s="7">
        <v>3.0</v>
      </c>
      <c r="I710" s="15">
        <v>0.811363234521024</v>
      </c>
      <c r="J710" s="15">
        <v>0.0940021304396563</v>
      </c>
      <c r="K710" s="12">
        <f>AVERAGE(I707:I711)</f>
        <v>0.5000806938</v>
      </c>
      <c r="L710" s="18">
        <v>14911.0</v>
      </c>
      <c r="M710" s="14">
        <f>STDEV(L707:L711)</f>
        <v>27712.59957</v>
      </c>
      <c r="N710" s="15" t="b">
        <f t="shared" si="1"/>
        <v>0</v>
      </c>
    </row>
    <row r="711" hidden="1">
      <c r="A711" s="7" t="s">
        <v>148</v>
      </c>
      <c r="B711" s="7" t="s">
        <v>17</v>
      </c>
      <c r="C711" s="7">
        <v>0.5</v>
      </c>
      <c r="D711" s="7">
        <v>0.75</v>
      </c>
      <c r="E711" s="7">
        <v>2.0</v>
      </c>
      <c r="F711" s="7">
        <v>989.968335628509</v>
      </c>
      <c r="G711" s="7">
        <v>1054.16125106811</v>
      </c>
      <c r="H711" s="7">
        <v>4.0</v>
      </c>
      <c r="I711" s="15">
        <v>0.743743246523129</v>
      </c>
      <c r="J711" s="15">
        <v>0.14611893111338</v>
      </c>
      <c r="K711" s="12">
        <f>AVERAGE(I707:I711)</f>
        <v>0.5000806938</v>
      </c>
      <c r="L711" s="18">
        <v>8222.0</v>
      </c>
      <c r="M711" s="14">
        <f>STDEV(L707:L711)</f>
        <v>27712.59957</v>
      </c>
      <c r="N711" s="15" t="b">
        <f t="shared" si="1"/>
        <v>0</v>
      </c>
    </row>
    <row r="712" hidden="1">
      <c r="A712" s="7" t="s">
        <v>149</v>
      </c>
      <c r="B712" s="7" t="s">
        <v>17</v>
      </c>
      <c r="C712" s="7">
        <v>0.5</v>
      </c>
      <c r="D712" s="7">
        <v>0.75</v>
      </c>
      <c r="E712" s="7">
        <v>3.0</v>
      </c>
      <c r="F712" s="7">
        <v>218.543820381164</v>
      </c>
      <c r="G712" s="7">
        <v>315.940466403961</v>
      </c>
      <c r="H712" s="7">
        <v>0.0</v>
      </c>
      <c r="I712" s="15">
        <v>0.400545997999759</v>
      </c>
      <c r="J712" s="15">
        <v>0.0583190158677641</v>
      </c>
      <c r="K712" s="12">
        <f>AVERAGE(I712:I716)</f>
        <v>0.5682744448</v>
      </c>
      <c r="L712" s="18">
        <v>27035.0</v>
      </c>
      <c r="M712" s="14">
        <f>STDEV(L712:L716)</f>
        <v>37856.03938</v>
      </c>
      <c r="N712" s="15" t="b">
        <f t="shared" si="1"/>
        <v>0</v>
      </c>
    </row>
    <row r="713" hidden="1">
      <c r="A713" s="7" t="s">
        <v>149</v>
      </c>
      <c r="B713" s="7" t="s">
        <v>17</v>
      </c>
      <c r="C713" s="7">
        <v>0.5</v>
      </c>
      <c r="D713" s="7">
        <v>0.75</v>
      </c>
      <c r="E713" s="7">
        <v>3.0</v>
      </c>
      <c r="F713" s="7">
        <v>218.543820381164</v>
      </c>
      <c r="G713" s="7">
        <v>315.940466403961</v>
      </c>
      <c r="H713" s="7">
        <v>1.0</v>
      </c>
      <c r="I713" s="15">
        <v>0.827891044473939</v>
      </c>
      <c r="J713" s="15">
        <v>0.0994844597351449</v>
      </c>
      <c r="K713" s="12">
        <f>AVERAGE(I712:I716)</f>
        <v>0.5682744448</v>
      </c>
      <c r="L713" s="18">
        <v>7451.0</v>
      </c>
      <c r="M713" s="14">
        <f>STDEV(L712:L716)</f>
        <v>37856.03938</v>
      </c>
      <c r="N713" s="15" t="b">
        <f t="shared" si="1"/>
        <v>0</v>
      </c>
    </row>
    <row r="714" hidden="1">
      <c r="A714" s="7" t="s">
        <v>149</v>
      </c>
      <c r="B714" s="7" t="s">
        <v>17</v>
      </c>
      <c r="C714" s="7">
        <v>0.5</v>
      </c>
      <c r="D714" s="7">
        <v>0.75</v>
      </c>
      <c r="E714" s="7">
        <v>3.0</v>
      </c>
      <c r="F714" s="7">
        <v>218.543820381164</v>
      </c>
      <c r="G714" s="7">
        <v>315.940466403961</v>
      </c>
      <c r="H714" s="7">
        <v>2.0</v>
      </c>
      <c r="I714" s="15">
        <v>0.763194091594323</v>
      </c>
      <c r="J714" s="15">
        <v>0.136587590114103</v>
      </c>
      <c r="K714" s="12">
        <f>AVERAGE(I712:I716)</f>
        <v>0.5682744448</v>
      </c>
      <c r="L714" s="18">
        <v>7830.0</v>
      </c>
      <c r="M714" s="14">
        <f>STDEV(L712:L716)</f>
        <v>37856.03938</v>
      </c>
      <c r="N714" s="15" t="b">
        <f t="shared" si="1"/>
        <v>0</v>
      </c>
    </row>
    <row r="715" hidden="1">
      <c r="A715" s="7" t="s">
        <v>149</v>
      </c>
      <c r="B715" s="7" t="s">
        <v>17</v>
      </c>
      <c r="C715" s="7">
        <v>0.5</v>
      </c>
      <c r="D715" s="7">
        <v>0.75</v>
      </c>
      <c r="E715" s="7">
        <v>3.0</v>
      </c>
      <c r="F715" s="7">
        <v>218.543820381164</v>
      </c>
      <c r="G715" s="7">
        <v>315.940466403961</v>
      </c>
      <c r="H715" s="7">
        <v>3.0</v>
      </c>
      <c r="I715" s="15">
        <v>0.822723669230281</v>
      </c>
      <c r="J715" s="15">
        <v>0.11961371550264</v>
      </c>
      <c r="K715" s="12">
        <f>AVERAGE(I712:I716)</f>
        <v>0.5682744448</v>
      </c>
      <c r="L715" s="18">
        <v>5167.0</v>
      </c>
      <c r="M715" s="14">
        <f>STDEV(L712:L716)</f>
        <v>37856.03938</v>
      </c>
      <c r="N715" s="15" t="b">
        <f t="shared" si="1"/>
        <v>0</v>
      </c>
    </row>
    <row r="716" hidden="1">
      <c r="A716" s="7" t="s">
        <v>149</v>
      </c>
      <c r="B716" s="7" t="s">
        <v>17</v>
      </c>
      <c r="C716" s="7">
        <v>0.5</v>
      </c>
      <c r="D716" s="7">
        <v>0.75</v>
      </c>
      <c r="E716" s="7">
        <v>3.0</v>
      </c>
      <c r="F716" s="7">
        <v>218.543820381164</v>
      </c>
      <c r="G716" s="7">
        <v>315.940466403961</v>
      </c>
      <c r="H716" s="7">
        <v>4.0</v>
      </c>
      <c r="I716" s="15">
        <v>0.0270174205192432</v>
      </c>
      <c r="J716" s="15">
        <v>0.134681600386945</v>
      </c>
      <c r="K716" s="12">
        <f>AVERAGE(I712:I716)</f>
        <v>0.5682744448</v>
      </c>
      <c r="L716" s="18">
        <v>94193.0</v>
      </c>
      <c r="M716" s="14">
        <f>STDEV(L712:L716)</f>
        <v>37856.03938</v>
      </c>
      <c r="N716" s="15" t="b">
        <f t="shared" si="1"/>
        <v>0</v>
      </c>
    </row>
    <row r="717" hidden="1">
      <c r="A717" s="7" t="s">
        <v>150</v>
      </c>
      <c r="B717" s="7" t="s">
        <v>17</v>
      </c>
      <c r="C717" s="7">
        <v>0.5</v>
      </c>
      <c r="D717" s="7">
        <v>0.75</v>
      </c>
      <c r="E717" s="7">
        <v>4.0</v>
      </c>
      <c r="F717" s="7">
        <v>174.100098848342</v>
      </c>
      <c r="G717" s="7">
        <v>283.602710962295</v>
      </c>
      <c r="H717" s="7">
        <v>0.0</v>
      </c>
      <c r="I717" s="15">
        <v>0.78716038032101</v>
      </c>
      <c r="J717" s="15">
        <v>0.138443882831764</v>
      </c>
      <c r="K717" s="12">
        <f>AVERAGE(I717:I721)</f>
        <v>0.5984995999</v>
      </c>
      <c r="L717" s="18">
        <v>1956.0</v>
      </c>
      <c r="M717" s="14">
        <f>STDEV(L717:L721)</f>
        <v>46198.65332</v>
      </c>
      <c r="N717" s="15" t="b">
        <f t="shared" si="1"/>
        <v>0</v>
      </c>
    </row>
    <row r="718" hidden="1">
      <c r="A718" s="7" t="s">
        <v>150</v>
      </c>
      <c r="B718" s="7" t="s">
        <v>17</v>
      </c>
      <c r="C718" s="7">
        <v>0.5</v>
      </c>
      <c r="D718" s="7">
        <v>0.75</v>
      </c>
      <c r="E718" s="7">
        <v>4.0</v>
      </c>
      <c r="F718" s="7">
        <v>174.100098848342</v>
      </c>
      <c r="G718" s="7">
        <v>283.602710962295</v>
      </c>
      <c r="H718" s="7">
        <v>1.0</v>
      </c>
      <c r="I718" s="15">
        <v>0.806728726268646</v>
      </c>
      <c r="J718" s="15">
        <v>0.116855011590353</v>
      </c>
      <c r="K718" s="12">
        <f>AVERAGE(I717:I721)</f>
        <v>0.5984995999</v>
      </c>
      <c r="L718" s="18">
        <v>5709.0</v>
      </c>
      <c r="M718" s="14">
        <f>STDEV(L717:L721)</f>
        <v>46198.65332</v>
      </c>
      <c r="N718" s="15" t="b">
        <f t="shared" si="1"/>
        <v>0</v>
      </c>
    </row>
    <row r="719" hidden="1">
      <c r="A719" s="7" t="s">
        <v>150</v>
      </c>
      <c r="B719" s="7" t="s">
        <v>17</v>
      </c>
      <c r="C719" s="7">
        <v>0.5</v>
      </c>
      <c r="D719" s="7">
        <v>0.75</v>
      </c>
      <c r="E719" s="7">
        <v>4.0</v>
      </c>
      <c r="F719" s="7">
        <v>174.100098848342</v>
      </c>
      <c r="G719" s="7">
        <v>283.602710962295</v>
      </c>
      <c r="H719" s="7">
        <v>2.0</v>
      </c>
      <c r="I719" s="15">
        <v>0.483270868325837</v>
      </c>
      <c r="J719" s="15">
        <v>0.15588017241405</v>
      </c>
      <c r="K719" s="12">
        <f>AVERAGE(I717:I721)</f>
        <v>0.5984995999</v>
      </c>
      <c r="L719" s="18">
        <v>19573.0</v>
      </c>
      <c r="M719" s="14">
        <f>STDEV(L717:L721)</f>
        <v>46198.65332</v>
      </c>
      <c r="N719" s="15" t="b">
        <f t="shared" si="1"/>
        <v>0</v>
      </c>
    </row>
    <row r="720" hidden="1">
      <c r="A720" s="7" t="s">
        <v>150</v>
      </c>
      <c r="B720" s="7" t="s">
        <v>17</v>
      </c>
      <c r="C720" s="7">
        <v>0.5</v>
      </c>
      <c r="D720" s="7">
        <v>0.75</v>
      </c>
      <c r="E720" s="7">
        <v>4.0</v>
      </c>
      <c r="F720" s="7">
        <v>174.100098848342</v>
      </c>
      <c r="G720" s="7">
        <v>283.602710962295</v>
      </c>
      <c r="H720" s="7">
        <v>3.0</v>
      </c>
      <c r="I720" s="15">
        <v>0.0429395648147162</v>
      </c>
      <c r="J720" s="15">
        <v>0.138306586430598</v>
      </c>
      <c r="K720" s="12">
        <f>AVERAGE(I717:I721)</f>
        <v>0.5984995999</v>
      </c>
      <c r="L720" s="18">
        <v>110059.0</v>
      </c>
      <c r="M720" s="14">
        <f>STDEV(L717:L721)</f>
        <v>46198.65332</v>
      </c>
      <c r="N720" s="15" t="b">
        <f t="shared" si="1"/>
        <v>0</v>
      </c>
    </row>
    <row r="721" hidden="1">
      <c r="A721" s="7" t="s">
        <v>150</v>
      </c>
      <c r="B721" s="7" t="s">
        <v>17</v>
      </c>
      <c r="C721" s="7">
        <v>0.5</v>
      </c>
      <c r="D721" s="7">
        <v>0.75</v>
      </c>
      <c r="E721" s="7">
        <v>4.0</v>
      </c>
      <c r="F721" s="7">
        <v>174.100098848342</v>
      </c>
      <c r="G721" s="7">
        <v>283.602710962295</v>
      </c>
      <c r="H721" s="7">
        <v>4.0</v>
      </c>
      <c r="I721" s="15">
        <v>0.87239845974257</v>
      </c>
      <c r="J721" s="15">
        <v>0.101427708756824</v>
      </c>
      <c r="K721" s="12">
        <f>AVERAGE(I717:I721)</f>
        <v>0.5984995999</v>
      </c>
      <c r="L721" s="18">
        <v>4379.0</v>
      </c>
      <c r="M721" s="14">
        <f>STDEV(L717:L721)</f>
        <v>46198.65332</v>
      </c>
      <c r="N721" s="15" t="b">
        <f t="shared" si="1"/>
        <v>0</v>
      </c>
    </row>
    <row r="722" hidden="1">
      <c r="A722" s="7" t="s">
        <v>151</v>
      </c>
      <c r="B722" s="7" t="s">
        <v>17</v>
      </c>
      <c r="C722" s="7">
        <v>0.5</v>
      </c>
      <c r="D722" s="7">
        <v>0.75</v>
      </c>
      <c r="E722" s="7">
        <v>5.0</v>
      </c>
      <c r="F722" s="7">
        <v>318.377716779708</v>
      </c>
      <c r="G722" s="7">
        <v>398.559418678283</v>
      </c>
      <c r="H722" s="7">
        <v>0.0</v>
      </c>
      <c r="I722" s="15">
        <v>0.747220052160162</v>
      </c>
      <c r="J722" s="15">
        <v>0.147851548595527</v>
      </c>
      <c r="K722" s="12">
        <f>AVERAGE(I722:I726)</f>
        <v>0.4605628955</v>
      </c>
      <c r="L722" s="18">
        <v>8212.0</v>
      </c>
      <c r="M722" s="14">
        <f>STDEV(L722:L726)</f>
        <v>36604.38779</v>
      </c>
      <c r="N722" s="15" t="b">
        <f t="shared" si="1"/>
        <v>0</v>
      </c>
    </row>
    <row r="723" hidden="1">
      <c r="A723" s="7" t="s">
        <v>151</v>
      </c>
      <c r="B723" s="7" t="s">
        <v>17</v>
      </c>
      <c r="C723" s="7">
        <v>0.5</v>
      </c>
      <c r="D723" s="7">
        <v>0.75</v>
      </c>
      <c r="E723" s="7">
        <v>5.0</v>
      </c>
      <c r="F723" s="7">
        <v>318.377716779708</v>
      </c>
      <c r="G723" s="7">
        <v>398.559418678283</v>
      </c>
      <c r="H723" s="7">
        <v>1.0</v>
      </c>
      <c r="I723" s="15">
        <v>-0.0183024216747721</v>
      </c>
      <c r="J723" s="15">
        <v>0.204391168131233</v>
      </c>
      <c r="K723" s="12">
        <f>AVERAGE(I722:I726)</f>
        <v>0.4605628955</v>
      </c>
      <c r="L723" s="18">
        <v>91737.0</v>
      </c>
      <c r="M723" s="14">
        <f>STDEV(L722:L726)</f>
        <v>36604.38779</v>
      </c>
      <c r="N723" s="15" t="b">
        <f t="shared" si="1"/>
        <v>0</v>
      </c>
    </row>
    <row r="724" hidden="1">
      <c r="A724" s="7" t="s">
        <v>151</v>
      </c>
      <c r="B724" s="7" t="s">
        <v>17</v>
      </c>
      <c r="C724" s="7">
        <v>0.5</v>
      </c>
      <c r="D724" s="7">
        <v>0.75</v>
      </c>
      <c r="E724" s="7">
        <v>5.0</v>
      </c>
      <c r="F724" s="7">
        <v>318.377716779708</v>
      </c>
      <c r="G724" s="7">
        <v>398.559418678283</v>
      </c>
      <c r="H724" s="7">
        <v>2.0</v>
      </c>
      <c r="I724" s="15">
        <v>0.39940253692503</v>
      </c>
      <c r="J724" s="15">
        <v>0.0643970316734133</v>
      </c>
      <c r="K724" s="12">
        <f>AVERAGE(I722:I726)</f>
        <v>0.4605628955</v>
      </c>
      <c r="L724" s="18">
        <v>26990.0</v>
      </c>
      <c r="M724" s="14">
        <f>STDEV(L722:L726)</f>
        <v>36604.38779</v>
      </c>
      <c r="N724" s="15" t="b">
        <f t="shared" si="1"/>
        <v>0</v>
      </c>
    </row>
    <row r="725" hidden="1">
      <c r="A725" s="7" t="s">
        <v>151</v>
      </c>
      <c r="B725" s="7" t="s">
        <v>17</v>
      </c>
      <c r="C725" s="7">
        <v>0.5</v>
      </c>
      <c r="D725" s="7">
        <v>0.75</v>
      </c>
      <c r="E725" s="7">
        <v>5.0</v>
      </c>
      <c r="F725" s="7">
        <v>318.377716779708</v>
      </c>
      <c r="G725" s="7">
        <v>398.559418678283</v>
      </c>
      <c r="H725" s="7">
        <v>3.0</v>
      </c>
      <c r="I725" s="15">
        <v>0.7665466010072</v>
      </c>
      <c r="J725" s="15">
        <v>0.160959370200564</v>
      </c>
      <c r="K725" s="12">
        <f>AVERAGE(I722:I726)</f>
        <v>0.4605628955</v>
      </c>
      <c r="L725" s="18">
        <v>2183.0</v>
      </c>
      <c r="M725" s="14">
        <f>STDEV(L722:L726)</f>
        <v>36604.38779</v>
      </c>
      <c r="N725" s="15" t="b">
        <f t="shared" si="1"/>
        <v>0</v>
      </c>
    </row>
    <row r="726" hidden="1">
      <c r="A726" s="7" t="s">
        <v>151</v>
      </c>
      <c r="B726" s="7" t="s">
        <v>17</v>
      </c>
      <c r="C726" s="7">
        <v>0.5</v>
      </c>
      <c r="D726" s="7">
        <v>0.75</v>
      </c>
      <c r="E726" s="7">
        <v>5.0</v>
      </c>
      <c r="F726" s="7">
        <v>318.377716779708</v>
      </c>
      <c r="G726" s="7">
        <v>398.559418678283</v>
      </c>
      <c r="H726" s="7">
        <v>4.0</v>
      </c>
      <c r="I726" s="15">
        <v>0.407947709085415</v>
      </c>
      <c r="J726" s="15">
        <v>0.0622684187596226</v>
      </c>
      <c r="K726" s="12">
        <f>AVERAGE(I722:I726)</f>
        <v>0.4605628955</v>
      </c>
      <c r="L726" s="18">
        <v>12554.0</v>
      </c>
      <c r="M726" s="14">
        <f>STDEV(L722:L726)</f>
        <v>36604.38779</v>
      </c>
      <c r="N726" s="15" t="b">
        <f t="shared" si="1"/>
        <v>0</v>
      </c>
    </row>
    <row r="727" hidden="1">
      <c r="A727" s="7" t="s">
        <v>152</v>
      </c>
      <c r="B727" s="22" t="s">
        <v>17</v>
      </c>
      <c r="C727" s="22">
        <v>0.5</v>
      </c>
      <c r="D727" s="22">
        <v>0.75</v>
      </c>
      <c r="E727" s="22">
        <v>6.0</v>
      </c>
      <c r="F727" s="7">
        <v>172.649271726608</v>
      </c>
      <c r="G727" s="7">
        <v>283.987502336502</v>
      </c>
      <c r="H727" s="7">
        <v>0.0</v>
      </c>
      <c r="I727" s="15">
        <v>0.085627585440523</v>
      </c>
      <c r="J727" s="15">
        <v>0.0777243777268074</v>
      </c>
      <c r="K727" s="12">
        <f>AVERAGE(I727:I731)</f>
        <v>0.5396020691</v>
      </c>
      <c r="L727" s="18">
        <v>55990.0</v>
      </c>
      <c r="M727" s="14">
        <f>STDEV(L727:L731)</f>
        <v>30034.71539</v>
      </c>
      <c r="N727" s="15" t="b">
        <f t="shared" si="1"/>
        <v>0</v>
      </c>
    </row>
    <row r="728" hidden="1">
      <c r="A728" s="7" t="s">
        <v>152</v>
      </c>
      <c r="B728" s="22" t="s">
        <v>17</v>
      </c>
      <c r="C728" s="22">
        <v>0.5</v>
      </c>
      <c r="D728" s="22">
        <v>0.75</v>
      </c>
      <c r="E728" s="22">
        <v>6.0</v>
      </c>
      <c r="F728" s="7">
        <v>172.649271726608</v>
      </c>
      <c r="G728" s="7">
        <v>283.987502336502</v>
      </c>
      <c r="H728" s="7">
        <v>1.0</v>
      </c>
      <c r="I728" s="15">
        <v>0.842909566505842</v>
      </c>
      <c r="J728" s="15">
        <v>0.103928907190271</v>
      </c>
      <c r="K728" s="12">
        <f>AVERAGE(I727:I731)</f>
        <v>0.5396020691</v>
      </c>
      <c r="L728" s="18">
        <v>3940.0</v>
      </c>
      <c r="M728" s="14">
        <f>STDEV(L727:L731)</f>
        <v>30034.71539</v>
      </c>
      <c r="N728" s="15" t="b">
        <f t="shared" si="1"/>
        <v>0</v>
      </c>
    </row>
    <row r="729" hidden="1">
      <c r="A729" s="7" t="s">
        <v>152</v>
      </c>
      <c r="B729" s="22" t="s">
        <v>17</v>
      </c>
      <c r="C729" s="22">
        <v>0.5</v>
      </c>
      <c r="D729" s="22">
        <v>0.75</v>
      </c>
      <c r="E729" s="22">
        <v>6.0</v>
      </c>
      <c r="F729" s="7">
        <v>172.649271726608</v>
      </c>
      <c r="G729" s="7">
        <v>283.987502336502</v>
      </c>
      <c r="H729" s="7">
        <v>2.0</v>
      </c>
      <c r="I729" s="15">
        <v>0.811043388554502</v>
      </c>
      <c r="J729" s="15">
        <v>0.0945939106235242</v>
      </c>
      <c r="K729" s="12">
        <f>AVERAGE(I727:I731)</f>
        <v>0.5396020691</v>
      </c>
      <c r="L729" s="18">
        <v>14920.0</v>
      </c>
      <c r="M729" s="14">
        <f>STDEV(L727:L731)</f>
        <v>30034.71539</v>
      </c>
      <c r="N729" s="15" t="b">
        <f t="shared" si="1"/>
        <v>0</v>
      </c>
    </row>
    <row r="730" hidden="1">
      <c r="A730" s="7" t="s">
        <v>152</v>
      </c>
      <c r="B730" s="22" t="s">
        <v>17</v>
      </c>
      <c r="C730" s="22">
        <v>0.5</v>
      </c>
      <c r="D730" s="22">
        <v>0.75</v>
      </c>
      <c r="E730" s="22">
        <v>6.0</v>
      </c>
      <c r="F730" s="7">
        <v>172.649271726608</v>
      </c>
      <c r="G730" s="7">
        <v>283.987502336502</v>
      </c>
      <c r="H730" s="7">
        <v>3.0</v>
      </c>
      <c r="I730" s="15">
        <v>0.0357757377851157</v>
      </c>
      <c r="J730" s="15">
        <v>0.235253303002404</v>
      </c>
      <c r="K730" s="12">
        <f>AVERAGE(I727:I731)</f>
        <v>0.5396020691</v>
      </c>
      <c r="L730" s="18">
        <v>65169.0</v>
      </c>
      <c r="M730" s="14">
        <f>STDEV(L727:L731)</f>
        <v>30034.71539</v>
      </c>
      <c r="N730" s="15" t="b">
        <f t="shared" si="1"/>
        <v>0</v>
      </c>
    </row>
    <row r="731" hidden="1">
      <c r="A731" s="7" t="s">
        <v>152</v>
      </c>
      <c r="B731" s="22" t="s">
        <v>17</v>
      </c>
      <c r="C731" s="22">
        <v>0.5</v>
      </c>
      <c r="D731" s="22">
        <v>0.75</v>
      </c>
      <c r="E731" s="22">
        <v>6.0</v>
      </c>
      <c r="F731" s="7">
        <v>172.649271726608</v>
      </c>
      <c r="G731" s="7">
        <v>283.987502336502</v>
      </c>
      <c r="H731" s="7">
        <v>4.0</v>
      </c>
      <c r="I731" s="15">
        <v>0.922654067401188</v>
      </c>
      <c r="J731" s="15">
        <v>0.0318791874250461</v>
      </c>
      <c r="K731" s="12">
        <f>AVERAGE(I727:I731)</f>
        <v>0.5396020691</v>
      </c>
      <c r="L731" s="18">
        <v>1657.0</v>
      </c>
      <c r="M731" s="14">
        <f>STDEV(L727:L731)</f>
        <v>30034.71539</v>
      </c>
      <c r="N731" s="15" t="b">
        <f t="shared" si="1"/>
        <v>0</v>
      </c>
    </row>
    <row r="732" hidden="1">
      <c r="A732" s="7" t="s">
        <v>153</v>
      </c>
      <c r="B732" s="20" t="s">
        <v>17</v>
      </c>
      <c r="C732" s="20">
        <v>0.5</v>
      </c>
      <c r="D732" s="20">
        <v>0.75</v>
      </c>
      <c r="E732" s="20">
        <v>7.0</v>
      </c>
      <c r="F732" s="7">
        <v>160.091261625289</v>
      </c>
      <c r="G732" s="7">
        <v>291.707999706268</v>
      </c>
      <c r="H732" s="7">
        <v>0.0</v>
      </c>
      <c r="I732" s="15">
        <v>0.0314411988124516</v>
      </c>
      <c r="J732" s="15">
        <v>0.163403253682203</v>
      </c>
      <c r="K732" s="12">
        <f>AVERAGE(I732:I736)</f>
        <v>0.6687131162</v>
      </c>
      <c r="L732" s="18">
        <v>110848.0</v>
      </c>
      <c r="M732" s="14">
        <f>STDEV(L732:L736)</f>
        <v>46331.071</v>
      </c>
      <c r="N732" s="15" t="b">
        <f t="shared" si="1"/>
        <v>1</v>
      </c>
    </row>
    <row r="733" hidden="1">
      <c r="A733" s="7" t="s">
        <v>153</v>
      </c>
      <c r="B733" s="20" t="s">
        <v>17</v>
      </c>
      <c r="C733" s="20">
        <v>0.5</v>
      </c>
      <c r="D733" s="20">
        <v>0.75</v>
      </c>
      <c r="E733" s="20">
        <v>7.0</v>
      </c>
      <c r="F733" s="7">
        <v>160.091261625289</v>
      </c>
      <c r="G733" s="7">
        <v>291.707999706268</v>
      </c>
      <c r="H733" s="7">
        <v>1.0</v>
      </c>
      <c r="I733" s="15">
        <v>0.871536806611383</v>
      </c>
      <c r="J733" s="15">
        <v>0.104298111892963</v>
      </c>
      <c r="K733" s="12">
        <f>AVERAGE(I732:I736)</f>
        <v>0.6687131162</v>
      </c>
      <c r="L733" s="18">
        <v>4379.0</v>
      </c>
      <c r="M733" s="14">
        <f>STDEV(L732:L736)</f>
        <v>46331.071</v>
      </c>
      <c r="N733" s="15" t="b">
        <f t="shared" si="1"/>
        <v>1</v>
      </c>
    </row>
    <row r="734" hidden="1">
      <c r="A734" s="7" t="s">
        <v>153</v>
      </c>
      <c r="B734" s="20" t="s">
        <v>17</v>
      </c>
      <c r="C734" s="20">
        <v>0.5</v>
      </c>
      <c r="D734" s="20">
        <v>0.75</v>
      </c>
      <c r="E734" s="20">
        <v>7.0</v>
      </c>
      <c r="F734" s="7">
        <v>160.091261625289</v>
      </c>
      <c r="G734" s="7">
        <v>291.707999706268</v>
      </c>
      <c r="H734" s="7">
        <v>2.0</v>
      </c>
      <c r="I734" s="15">
        <v>0.827475122516199</v>
      </c>
      <c r="J734" s="15">
        <v>0.0983307291289162</v>
      </c>
      <c r="K734" s="12">
        <f>AVERAGE(I732:I736)</f>
        <v>0.6687131162</v>
      </c>
      <c r="L734" s="18">
        <v>7464.0</v>
      </c>
      <c r="M734" s="14">
        <f>STDEV(L732:L736)</f>
        <v>46331.071</v>
      </c>
      <c r="N734" s="15" t="b">
        <f t="shared" si="1"/>
        <v>1</v>
      </c>
    </row>
    <row r="735" hidden="1">
      <c r="A735" s="7" t="s">
        <v>153</v>
      </c>
      <c r="B735" s="20" t="s">
        <v>17</v>
      </c>
      <c r="C735" s="20">
        <v>0.5</v>
      </c>
      <c r="D735" s="20">
        <v>0.75</v>
      </c>
      <c r="E735" s="20">
        <v>7.0</v>
      </c>
      <c r="F735" s="7">
        <v>160.091261625289</v>
      </c>
      <c r="G735" s="7">
        <v>291.707999706268</v>
      </c>
      <c r="H735" s="7">
        <v>3.0</v>
      </c>
      <c r="I735" s="15">
        <v>0.814103635875349</v>
      </c>
      <c r="J735" s="15">
        <v>0.0935517701553649</v>
      </c>
      <c r="K735" s="12">
        <f>AVERAGE(I732:I736)</f>
        <v>0.6687131162</v>
      </c>
      <c r="L735" s="18">
        <v>14892.0</v>
      </c>
      <c r="M735" s="14">
        <f>STDEV(L732:L736)</f>
        <v>46331.071</v>
      </c>
      <c r="N735" s="15" t="b">
        <f t="shared" si="1"/>
        <v>1</v>
      </c>
    </row>
    <row r="736" hidden="1">
      <c r="A736" s="7" t="s">
        <v>153</v>
      </c>
      <c r="B736" s="20" t="s">
        <v>17</v>
      </c>
      <c r="C736" s="20">
        <v>0.5</v>
      </c>
      <c r="D736" s="20">
        <v>0.75</v>
      </c>
      <c r="E736" s="20">
        <v>7.0</v>
      </c>
      <c r="F736" s="7">
        <v>160.091261625289</v>
      </c>
      <c r="G736" s="7">
        <v>291.707999706268</v>
      </c>
      <c r="H736" s="7">
        <v>4.0</v>
      </c>
      <c r="I736" s="15">
        <v>0.799008817077657</v>
      </c>
      <c r="J736" s="15">
        <v>0.126940429207426</v>
      </c>
      <c r="K736" s="12">
        <f>AVERAGE(I732:I736)</f>
        <v>0.6687131162</v>
      </c>
      <c r="L736" s="18">
        <v>4093.0</v>
      </c>
      <c r="M736" s="14">
        <f>STDEV(L732:L736)</f>
        <v>46331.071</v>
      </c>
      <c r="N736" s="15" t="b">
        <f t="shared" si="1"/>
        <v>1</v>
      </c>
    </row>
    <row r="737" hidden="1">
      <c r="A737" s="7" t="s">
        <v>154</v>
      </c>
      <c r="B737" s="22" t="s">
        <v>17</v>
      </c>
      <c r="C737" s="22">
        <v>0.5</v>
      </c>
      <c r="D737" s="22">
        <v>0.75</v>
      </c>
      <c r="E737" s="22">
        <v>8.0</v>
      </c>
      <c r="F737" s="7">
        <v>175.301295757293</v>
      </c>
      <c r="G737" s="7">
        <v>283.90137887001</v>
      </c>
      <c r="H737" s="7">
        <v>0.0</v>
      </c>
      <c r="I737" s="15">
        <v>0.320496664859675</v>
      </c>
      <c r="J737" s="15">
        <v>0.0812053454739694</v>
      </c>
      <c r="K737" s="12">
        <f>AVERAGE(I737:I741)</f>
        <v>0.4581349336</v>
      </c>
      <c r="L737" s="18">
        <v>2417.0</v>
      </c>
      <c r="M737" s="14">
        <f>STDEV(L737:L741)</f>
        <v>39715.41073</v>
      </c>
      <c r="N737" s="15" t="b">
        <f t="shared" si="1"/>
        <v>0</v>
      </c>
    </row>
    <row r="738" hidden="1">
      <c r="A738" s="7" t="s">
        <v>154</v>
      </c>
      <c r="B738" s="22" t="s">
        <v>17</v>
      </c>
      <c r="C738" s="22">
        <v>0.5</v>
      </c>
      <c r="D738" s="22">
        <v>0.75</v>
      </c>
      <c r="E738" s="22">
        <v>8.0</v>
      </c>
      <c r="F738" s="7">
        <v>175.301295757293</v>
      </c>
      <c r="G738" s="7">
        <v>283.90137887001</v>
      </c>
      <c r="H738" s="7">
        <v>1.0</v>
      </c>
      <c r="I738" s="15">
        <v>0.81761951460079</v>
      </c>
      <c r="J738" s="15">
        <v>0.0885212563668809</v>
      </c>
      <c r="K738" s="12">
        <f>AVERAGE(I737:I741)</f>
        <v>0.4581349336</v>
      </c>
      <c r="L738" s="18">
        <v>14839.0</v>
      </c>
      <c r="M738" s="14">
        <f>STDEV(L737:L741)</f>
        <v>39715.41073</v>
      </c>
      <c r="N738" s="15" t="b">
        <f t="shared" si="1"/>
        <v>0</v>
      </c>
    </row>
    <row r="739" hidden="1">
      <c r="A739" s="7" t="s">
        <v>154</v>
      </c>
      <c r="B739" s="22" t="s">
        <v>17</v>
      </c>
      <c r="C739" s="22">
        <v>0.5</v>
      </c>
      <c r="D739" s="22">
        <v>0.75</v>
      </c>
      <c r="E739" s="22">
        <v>8.0</v>
      </c>
      <c r="F739" s="7">
        <v>175.301295757293</v>
      </c>
      <c r="G739" s="7">
        <v>283.90137887001</v>
      </c>
      <c r="H739" s="7">
        <v>2.0</v>
      </c>
      <c r="I739" s="15">
        <v>0.020165519348268</v>
      </c>
      <c r="J739" s="15">
        <v>0.172830138488238</v>
      </c>
      <c r="K739" s="12">
        <f>AVERAGE(I737:I741)</f>
        <v>0.4581349336</v>
      </c>
      <c r="L739" s="18">
        <v>98099.0</v>
      </c>
      <c r="M739" s="14">
        <f>STDEV(L737:L741)</f>
        <v>39715.41073</v>
      </c>
      <c r="N739" s="15" t="b">
        <f t="shared" si="1"/>
        <v>0</v>
      </c>
    </row>
    <row r="740" hidden="1">
      <c r="A740" s="7" t="s">
        <v>154</v>
      </c>
      <c r="B740" s="22" t="s">
        <v>17</v>
      </c>
      <c r="C740" s="22">
        <v>0.5</v>
      </c>
      <c r="D740" s="22">
        <v>0.75</v>
      </c>
      <c r="E740" s="22">
        <v>8.0</v>
      </c>
      <c r="F740" s="7">
        <v>175.301295757293</v>
      </c>
      <c r="G740" s="7">
        <v>283.90137887001</v>
      </c>
      <c r="H740" s="7">
        <v>3.0</v>
      </c>
      <c r="I740" s="15">
        <v>0.306924286710773</v>
      </c>
      <c r="J740" s="15">
        <v>0.12610839881843</v>
      </c>
      <c r="K740" s="12">
        <f>AVERAGE(I737:I741)</f>
        <v>0.4581349336</v>
      </c>
      <c r="L740" s="18">
        <v>21155.0</v>
      </c>
      <c r="M740" s="14">
        <f>STDEV(L737:L741)</f>
        <v>39715.41073</v>
      </c>
      <c r="N740" s="15" t="b">
        <f t="shared" si="1"/>
        <v>0</v>
      </c>
    </row>
    <row r="741" hidden="1">
      <c r="A741" s="7" t="s">
        <v>154</v>
      </c>
      <c r="B741" s="22" t="s">
        <v>17</v>
      </c>
      <c r="C741" s="22">
        <v>0.5</v>
      </c>
      <c r="D741" s="22">
        <v>0.75</v>
      </c>
      <c r="E741" s="22">
        <v>8.0</v>
      </c>
      <c r="F741" s="7">
        <v>175.301295757293</v>
      </c>
      <c r="G741" s="7">
        <v>283.90137887001</v>
      </c>
      <c r="H741" s="7">
        <v>4.0</v>
      </c>
      <c r="I741" s="15">
        <v>0.825468682623472</v>
      </c>
      <c r="J741" s="15">
        <v>0.116624184830195</v>
      </c>
      <c r="K741" s="12">
        <f>AVERAGE(I737:I741)</f>
        <v>0.4581349336</v>
      </c>
      <c r="L741" s="18">
        <v>5166.0</v>
      </c>
      <c r="M741" s="14">
        <f>STDEV(L737:L741)</f>
        <v>39715.41073</v>
      </c>
      <c r="N741" s="15" t="b">
        <f t="shared" si="1"/>
        <v>0</v>
      </c>
    </row>
    <row r="742" hidden="1">
      <c r="A742" s="7" t="s">
        <v>155</v>
      </c>
      <c r="B742" s="7" t="s">
        <v>17</v>
      </c>
      <c r="C742" s="7">
        <v>0.5</v>
      </c>
      <c r="D742" s="7">
        <v>0.75</v>
      </c>
      <c r="E742" s="7">
        <v>9.0</v>
      </c>
      <c r="F742" s="7">
        <v>228.699456453323</v>
      </c>
      <c r="G742" s="7">
        <v>318.206380605697</v>
      </c>
      <c r="H742" s="7">
        <v>0.0</v>
      </c>
      <c r="I742" s="15">
        <v>0.426185487315384</v>
      </c>
      <c r="J742" s="15">
        <v>0.114605455216131</v>
      </c>
      <c r="K742" s="12">
        <f>AVERAGE(I742:I746)</f>
        <v>0.4260105523</v>
      </c>
      <c r="L742" s="18">
        <v>10306.0</v>
      </c>
      <c r="M742" s="14">
        <f>STDEV(L742:L746)</f>
        <v>28700.76208</v>
      </c>
      <c r="N742" s="15" t="b">
        <f t="shared" si="1"/>
        <v>0</v>
      </c>
    </row>
    <row r="743" hidden="1">
      <c r="A743" s="7" t="s">
        <v>155</v>
      </c>
      <c r="B743" s="7" t="s">
        <v>17</v>
      </c>
      <c r="C743" s="7">
        <v>0.5</v>
      </c>
      <c r="D743" s="7">
        <v>0.75</v>
      </c>
      <c r="E743" s="7">
        <v>9.0</v>
      </c>
      <c r="F743" s="7">
        <v>228.699456453323</v>
      </c>
      <c r="G743" s="7">
        <v>318.206380605697</v>
      </c>
      <c r="H743" s="7">
        <v>1.0</v>
      </c>
      <c r="I743" s="15">
        <v>0.739279603533354</v>
      </c>
      <c r="J743" s="15">
        <v>0.149916523715435</v>
      </c>
      <c r="K743" s="12">
        <f>AVERAGE(I742:I746)</f>
        <v>0.4260105523</v>
      </c>
      <c r="L743" s="18">
        <v>8250.0</v>
      </c>
      <c r="M743" s="14">
        <f>STDEV(L742:L746)</f>
        <v>28700.76208</v>
      </c>
      <c r="N743" s="15" t="b">
        <f t="shared" si="1"/>
        <v>0</v>
      </c>
    </row>
    <row r="744" hidden="1">
      <c r="A744" s="7" t="s">
        <v>155</v>
      </c>
      <c r="B744" s="7" t="s">
        <v>17</v>
      </c>
      <c r="C744" s="7">
        <v>0.5</v>
      </c>
      <c r="D744" s="7">
        <v>0.75</v>
      </c>
      <c r="E744" s="7">
        <v>9.0</v>
      </c>
      <c r="F744" s="7">
        <v>228.699456453323</v>
      </c>
      <c r="G744" s="7">
        <v>318.206380605697</v>
      </c>
      <c r="H744" s="7">
        <v>2.0</v>
      </c>
      <c r="I744" s="15">
        <v>0.797858593753025</v>
      </c>
      <c r="J744" s="15">
        <v>0.126922860186764</v>
      </c>
      <c r="K744" s="12">
        <f>AVERAGE(I742:I746)</f>
        <v>0.4260105523</v>
      </c>
      <c r="L744" s="18">
        <v>4073.0</v>
      </c>
      <c r="M744" s="14">
        <f>STDEV(L742:L746)</f>
        <v>28700.76208</v>
      </c>
      <c r="N744" s="15" t="b">
        <f t="shared" si="1"/>
        <v>0</v>
      </c>
    </row>
    <row r="745" hidden="1">
      <c r="A745" s="7" t="s">
        <v>155</v>
      </c>
      <c r="B745" s="7" t="s">
        <v>17</v>
      </c>
      <c r="C745" s="7">
        <v>0.5</v>
      </c>
      <c r="D745" s="7">
        <v>0.75</v>
      </c>
      <c r="E745" s="7">
        <v>9.0</v>
      </c>
      <c r="F745" s="7">
        <v>228.699456453323</v>
      </c>
      <c r="G745" s="7">
        <v>318.206380605697</v>
      </c>
      <c r="H745" s="7">
        <v>3.0</v>
      </c>
      <c r="I745" s="15">
        <v>0.0748002247269145</v>
      </c>
      <c r="J745" s="15">
        <v>0.285653610085801</v>
      </c>
      <c r="K745" s="12">
        <f>AVERAGE(I742:I746)</f>
        <v>0.4260105523</v>
      </c>
      <c r="L745" s="18">
        <v>63548.0</v>
      </c>
      <c r="M745" s="14">
        <f>STDEV(L742:L746)</f>
        <v>28700.76208</v>
      </c>
      <c r="N745" s="15" t="b">
        <f t="shared" si="1"/>
        <v>0</v>
      </c>
    </row>
    <row r="746" hidden="1">
      <c r="A746" s="7" t="s">
        <v>155</v>
      </c>
      <c r="B746" s="7" t="s">
        <v>17</v>
      </c>
      <c r="C746" s="7">
        <v>0.5</v>
      </c>
      <c r="D746" s="7">
        <v>0.75</v>
      </c>
      <c r="E746" s="7">
        <v>9.0</v>
      </c>
      <c r="F746" s="7">
        <v>228.699456453323</v>
      </c>
      <c r="G746" s="7">
        <v>318.206380605697</v>
      </c>
      <c r="H746" s="7">
        <v>4.0</v>
      </c>
      <c r="I746" s="15">
        <v>0.0919288520412923</v>
      </c>
      <c r="J746" s="15">
        <v>0.0829582744259082</v>
      </c>
      <c r="K746" s="12">
        <f>AVERAGE(I742:I746)</f>
        <v>0.4260105523</v>
      </c>
      <c r="L746" s="18">
        <v>55499.0</v>
      </c>
      <c r="M746" s="14">
        <f>STDEV(L742:L746)</f>
        <v>28700.76208</v>
      </c>
      <c r="N746" s="15" t="b">
        <f t="shared" si="1"/>
        <v>0</v>
      </c>
    </row>
    <row r="747" hidden="1">
      <c r="A747" s="7" t="s">
        <v>156</v>
      </c>
      <c r="B747" s="7" t="s">
        <v>17</v>
      </c>
      <c r="C747" s="7">
        <v>0.5</v>
      </c>
      <c r="D747" s="7">
        <v>0.75</v>
      </c>
      <c r="E747" s="7">
        <v>10.0</v>
      </c>
      <c r="F747" s="7">
        <v>171.436728477478</v>
      </c>
      <c r="G747" s="7">
        <v>285.117262601852</v>
      </c>
      <c r="H747" s="7">
        <v>0.0</v>
      </c>
      <c r="I747" s="15">
        <v>0.422869618327254</v>
      </c>
      <c r="J747" s="15">
        <v>0.0644273143462586</v>
      </c>
      <c r="K747" s="12">
        <f>AVERAGE(I747:I751)</f>
        <v>0.4939814788</v>
      </c>
      <c r="L747" s="18">
        <v>8977.0</v>
      </c>
      <c r="M747" s="14">
        <f>STDEV(L747:L751)</f>
        <v>45858.70757</v>
      </c>
      <c r="N747" s="15" t="b">
        <f t="shared" si="1"/>
        <v>0</v>
      </c>
    </row>
    <row r="748" hidden="1">
      <c r="A748" s="7" t="s">
        <v>156</v>
      </c>
      <c r="B748" s="7" t="s">
        <v>17</v>
      </c>
      <c r="C748" s="7">
        <v>0.5</v>
      </c>
      <c r="D748" s="7">
        <v>0.75</v>
      </c>
      <c r="E748" s="7">
        <v>10.0</v>
      </c>
      <c r="F748" s="7">
        <v>171.436728477478</v>
      </c>
      <c r="G748" s="7">
        <v>285.117262601852</v>
      </c>
      <c r="H748" s="7">
        <v>1.0</v>
      </c>
      <c r="I748" s="15">
        <v>0.0714041122728592</v>
      </c>
      <c r="J748" s="15">
        <v>0.104439678069121</v>
      </c>
      <c r="K748" s="12">
        <f>AVERAGE(I747:I751)</f>
        <v>0.4939814788</v>
      </c>
      <c r="L748" s="18">
        <v>110084.0</v>
      </c>
      <c r="M748" s="14">
        <f>STDEV(L747:L751)</f>
        <v>45858.70757</v>
      </c>
      <c r="N748" s="15" t="b">
        <f t="shared" si="1"/>
        <v>0</v>
      </c>
    </row>
    <row r="749" hidden="1">
      <c r="A749" s="7" t="s">
        <v>156</v>
      </c>
      <c r="B749" s="7" t="s">
        <v>17</v>
      </c>
      <c r="C749" s="7">
        <v>0.5</v>
      </c>
      <c r="D749" s="7">
        <v>0.75</v>
      </c>
      <c r="E749" s="7">
        <v>10.0</v>
      </c>
      <c r="F749" s="7">
        <v>171.436728477478</v>
      </c>
      <c r="G749" s="7">
        <v>285.117262601852</v>
      </c>
      <c r="H749" s="7">
        <v>2.0</v>
      </c>
      <c r="I749" s="15">
        <v>0.74474109828309</v>
      </c>
      <c r="J749" s="15">
        <v>0.165248211946693</v>
      </c>
      <c r="K749" s="12">
        <f>AVERAGE(I747:I751)</f>
        <v>0.4939814788</v>
      </c>
      <c r="L749" s="18">
        <v>2251.0</v>
      </c>
      <c r="M749" s="14">
        <f>STDEV(L747:L751)</f>
        <v>45858.70757</v>
      </c>
      <c r="N749" s="15" t="b">
        <f t="shared" si="1"/>
        <v>0</v>
      </c>
    </row>
    <row r="750" hidden="1">
      <c r="A750" s="7" t="s">
        <v>156</v>
      </c>
      <c r="B750" s="7" t="s">
        <v>17</v>
      </c>
      <c r="C750" s="7">
        <v>0.5</v>
      </c>
      <c r="D750" s="7">
        <v>0.75</v>
      </c>
      <c r="E750" s="7">
        <v>10.0</v>
      </c>
      <c r="F750" s="7">
        <v>171.436728477478</v>
      </c>
      <c r="G750" s="7">
        <v>285.117262601852</v>
      </c>
      <c r="H750" s="7">
        <v>3.0</v>
      </c>
      <c r="I750" s="15">
        <v>0.82961710580072</v>
      </c>
      <c r="J750" s="15">
        <v>0.0985175880747738</v>
      </c>
      <c r="K750" s="12">
        <f>AVERAGE(I747:I751)</f>
        <v>0.4939814788</v>
      </c>
      <c r="L750" s="18">
        <v>7442.0</v>
      </c>
      <c r="M750" s="14">
        <f>STDEV(L747:L751)</f>
        <v>45858.70757</v>
      </c>
      <c r="N750" s="15" t="b">
        <f t="shared" si="1"/>
        <v>0</v>
      </c>
    </row>
    <row r="751" hidden="1">
      <c r="A751" s="7" t="s">
        <v>156</v>
      </c>
      <c r="B751" s="7" t="s">
        <v>17</v>
      </c>
      <c r="C751" s="7">
        <v>0.5</v>
      </c>
      <c r="D751" s="7">
        <v>0.75</v>
      </c>
      <c r="E751" s="7">
        <v>10.0</v>
      </c>
      <c r="F751" s="7">
        <v>171.436728477478</v>
      </c>
      <c r="G751" s="7">
        <v>285.117262601852</v>
      </c>
      <c r="H751" s="7">
        <v>4.0</v>
      </c>
      <c r="I751" s="15">
        <v>0.40127545947756</v>
      </c>
      <c r="J751" s="15">
        <v>0.0828533455727774</v>
      </c>
      <c r="K751" s="12">
        <f>AVERAGE(I747:I751)</f>
        <v>0.4939814788</v>
      </c>
      <c r="L751" s="18">
        <v>12922.0</v>
      </c>
      <c r="M751" s="14">
        <f>STDEV(L747:L751)</f>
        <v>45858.70757</v>
      </c>
      <c r="N751" s="15" t="b">
        <f t="shared" si="1"/>
        <v>0</v>
      </c>
    </row>
    <row r="752" hidden="1">
      <c r="A752" s="7" t="s">
        <v>157</v>
      </c>
      <c r="B752" s="23" t="s">
        <v>17</v>
      </c>
      <c r="C752" s="23">
        <v>0.5</v>
      </c>
      <c r="D752" s="23">
        <v>1.0</v>
      </c>
      <c r="E752" s="23">
        <v>1.0</v>
      </c>
      <c r="F752" s="7">
        <v>155.750990867614</v>
      </c>
      <c r="G752" s="7">
        <v>267.853813409805</v>
      </c>
      <c r="H752" s="7">
        <v>0.0</v>
      </c>
      <c r="I752" s="15">
        <v>0.896608448619454</v>
      </c>
      <c r="J752" s="15">
        <v>0.12015697343532</v>
      </c>
      <c r="K752" s="12">
        <f>AVERAGE(I752:I756)</f>
        <v>0.6943690668</v>
      </c>
      <c r="L752" s="18">
        <v>1990.0</v>
      </c>
      <c r="M752" s="14">
        <f>STDEV(L752:L756)</f>
        <v>54138.35923</v>
      </c>
      <c r="N752" s="15" t="b">
        <f t="shared" si="1"/>
        <v>1</v>
      </c>
    </row>
    <row r="753" hidden="1">
      <c r="A753" s="7" t="s">
        <v>157</v>
      </c>
      <c r="B753" s="23" t="s">
        <v>17</v>
      </c>
      <c r="C753" s="23">
        <v>0.5</v>
      </c>
      <c r="D753" s="23">
        <v>1.0</v>
      </c>
      <c r="E753" s="23">
        <v>1.0</v>
      </c>
      <c r="F753" s="7">
        <v>155.750990867614</v>
      </c>
      <c r="G753" s="7">
        <v>267.853813409805</v>
      </c>
      <c r="H753" s="7">
        <v>1.0</v>
      </c>
      <c r="I753" s="15">
        <v>0.923163571129087</v>
      </c>
      <c r="J753" s="15">
        <v>0.031367390228619</v>
      </c>
      <c r="K753" s="12">
        <f>AVERAGE(I752:I756)</f>
        <v>0.6943690668</v>
      </c>
      <c r="L753" s="18">
        <v>1657.0</v>
      </c>
      <c r="M753" s="14">
        <f>STDEV(L752:L756)</f>
        <v>54138.35923</v>
      </c>
      <c r="N753" s="15" t="b">
        <f t="shared" si="1"/>
        <v>1</v>
      </c>
    </row>
    <row r="754" hidden="1">
      <c r="A754" s="7" t="s">
        <v>157</v>
      </c>
      <c r="B754" s="23" t="s">
        <v>17</v>
      </c>
      <c r="C754" s="23">
        <v>0.5</v>
      </c>
      <c r="D754" s="23">
        <v>1.0</v>
      </c>
      <c r="E754" s="23">
        <v>1.0</v>
      </c>
      <c r="F754" s="7">
        <v>155.750990867614</v>
      </c>
      <c r="G754" s="7">
        <v>267.853813409805</v>
      </c>
      <c r="H754" s="7">
        <v>2.0</v>
      </c>
      <c r="I754" s="15">
        <v>0.764463311530716</v>
      </c>
      <c r="J754" s="15">
        <v>0.13761206014796</v>
      </c>
      <c r="K754" s="12">
        <f>AVERAGE(I752:I756)</f>
        <v>0.6943690668</v>
      </c>
      <c r="L754" s="18">
        <v>7830.0</v>
      </c>
      <c r="M754" s="14">
        <f>STDEV(L752:L756)</f>
        <v>54138.35923</v>
      </c>
      <c r="N754" s="15" t="b">
        <f t="shared" si="1"/>
        <v>1</v>
      </c>
    </row>
    <row r="755" hidden="1">
      <c r="A755" s="7" t="s">
        <v>157</v>
      </c>
      <c r="B755" s="23" t="s">
        <v>17</v>
      </c>
      <c r="C755" s="23">
        <v>0.5</v>
      </c>
      <c r="D755" s="23">
        <v>1.0</v>
      </c>
      <c r="E755" s="23">
        <v>1.0</v>
      </c>
      <c r="F755" s="7">
        <v>155.750990867614</v>
      </c>
      <c r="G755" s="7">
        <v>267.853813409805</v>
      </c>
      <c r="H755" s="7">
        <v>3.0</v>
      </c>
      <c r="I755" s="15">
        <v>0.823570207024096</v>
      </c>
      <c r="J755" s="15">
        <v>0.118908659791018</v>
      </c>
      <c r="K755" s="12">
        <f>AVERAGE(I752:I756)</f>
        <v>0.6943690668</v>
      </c>
      <c r="L755" s="18">
        <v>5123.0</v>
      </c>
      <c r="M755" s="14">
        <f>STDEV(L752:L756)</f>
        <v>54138.35923</v>
      </c>
      <c r="N755" s="15" t="b">
        <f t="shared" si="1"/>
        <v>1</v>
      </c>
    </row>
    <row r="756" hidden="1">
      <c r="A756" s="7" t="s">
        <v>157</v>
      </c>
      <c r="B756" s="23" t="s">
        <v>17</v>
      </c>
      <c r="C756" s="23">
        <v>0.5</v>
      </c>
      <c r="D756" s="23">
        <v>1.0</v>
      </c>
      <c r="E756" s="23">
        <v>1.0</v>
      </c>
      <c r="F756" s="7">
        <v>155.750990867614</v>
      </c>
      <c r="G756" s="7">
        <v>267.853813409805</v>
      </c>
      <c r="H756" s="7">
        <v>4.0</v>
      </c>
      <c r="I756" s="15">
        <v>0.0640397955472607</v>
      </c>
      <c r="J756" s="15">
        <v>0.111841628009779</v>
      </c>
      <c r="K756" s="12">
        <f>AVERAGE(I752:I756)</f>
        <v>0.6943690668</v>
      </c>
      <c r="L756" s="18">
        <v>125076.0</v>
      </c>
      <c r="M756" s="14">
        <f>STDEV(L752:L756)</f>
        <v>54138.35923</v>
      </c>
      <c r="N756" s="15" t="b">
        <f t="shared" si="1"/>
        <v>1</v>
      </c>
    </row>
    <row r="757" hidden="1">
      <c r="A757" s="7" t="s">
        <v>158</v>
      </c>
      <c r="B757" s="7" t="s">
        <v>17</v>
      </c>
      <c r="C757" s="7">
        <v>0.5</v>
      </c>
      <c r="D757" s="7">
        <v>1.0</v>
      </c>
      <c r="E757" s="7">
        <v>2.0</v>
      </c>
      <c r="F757" s="7">
        <v>159.049422740936</v>
      </c>
      <c r="G757" s="7">
        <v>261.74913406372</v>
      </c>
      <c r="H757" s="7">
        <v>0.0</v>
      </c>
      <c r="I757" s="15">
        <v>0.0238710683308167</v>
      </c>
      <c r="J757" s="15">
        <v>0.173808530536067</v>
      </c>
      <c r="K757" s="12">
        <f>AVERAGE(I757:I761)</f>
        <v>0.4865994779</v>
      </c>
      <c r="L757" s="18">
        <v>112700.0</v>
      </c>
      <c r="M757" s="14">
        <f>STDEV(L757:L761)</f>
        <v>47489.01465</v>
      </c>
      <c r="N757" s="15" t="b">
        <f t="shared" si="1"/>
        <v>0</v>
      </c>
    </row>
    <row r="758" hidden="1">
      <c r="A758" s="7" t="s">
        <v>158</v>
      </c>
      <c r="B758" s="7" t="s">
        <v>17</v>
      </c>
      <c r="C758" s="7">
        <v>0.5</v>
      </c>
      <c r="D758" s="7">
        <v>1.0</v>
      </c>
      <c r="E758" s="7">
        <v>2.0</v>
      </c>
      <c r="F758" s="7">
        <v>159.049422740936</v>
      </c>
      <c r="G758" s="7">
        <v>261.74913406372</v>
      </c>
      <c r="H758" s="7">
        <v>1.0</v>
      </c>
      <c r="I758" s="15">
        <v>0.48929460555057</v>
      </c>
      <c r="J758" s="15">
        <v>0.159025254395721</v>
      </c>
      <c r="K758" s="12">
        <f>AVERAGE(I757:I761)</f>
        <v>0.4865994779</v>
      </c>
      <c r="L758" s="18">
        <v>16354.0</v>
      </c>
      <c r="M758" s="14">
        <f>STDEV(L757:L761)</f>
        <v>47489.01465</v>
      </c>
      <c r="N758" s="15" t="b">
        <f t="shared" si="1"/>
        <v>0</v>
      </c>
    </row>
    <row r="759" hidden="1">
      <c r="A759" s="7" t="s">
        <v>158</v>
      </c>
      <c r="B759" s="7" t="s">
        <v>17</v>
      </c>
      <c r="C759" s="7">
        <v>0.5</v>
      </c>
      <c r="D759" s="7">
        <v>1.0</v>
      </c>
      <c r="E759" s="7">
        <v>2.0</v>
      </c>
      <c r="F759" s="7">
        <v>159.049422740936</v>
      </c>
      <c r="G759" s="7">
        <v>261.74913406372</v>
      </c>
      <c r="H759" s="7">
        <v>2.0</v>
      </c>
      <c r="I759" s="15">
        <v>0.292156501401294</v>
      </c>
      <c r="J759" s="15">
        <v>0.161734939922343</v>
      </c>
      <c r="K759" s="12">
        <f>AVERAGE(I757:I761)</f>
        <v>0.4865994779</v>
      </c>
      <c r="L759" s="18">
        <v>6988.0</v>
      </c>
      <c r="M759" s="14">
        <f>STDEV(L757:L761)</f>
        <v>47489.01465</v>
      </c>
      <c r="N759" s="15" t="b">
        <f t="shared" si="1"/>
        <v>0</v>
      </c>
    </row>
    <row r="760" hidden="1">
      <c r="A760" s="7" t="s">
        <v>158</v>
      </c>
      <c r="B760" s="7" t="s">
        <v>17</v>
      </c>
      <c r="C760" s="7">
        <v>0.5</v>
      </c>
      <c r="D760" s="7">
        <v>1.0</v>
      </c>
      <c r="E760" s="7">
        <v>2.0</v>
      </c>
      <c r="F760" s="7">
        <v>159.049422740936</v>
      </c>
      <c r="G760" s="7">
        <v>261.74913406372</v>
      </c>
      <c r="H760" s="7">
        <v>3.0</v>
      </c>
      <c r="I760" s="15">
        <v>0.783736334702947</v>
      </c>
      <c r="J760" s="15">
        <v>0.153360240599834</v>
      </c>
      <c r="K760" s="12">
        <f>AVERAGE(I757:I761)</f>
        <v>0.4865994779</v>
      </c>
      <c r="L760" s="18">
        <v>1869.0</v>
      </c>
      <c r="M760" s="14">
        <f>STDEV(L757:L761)</f>
        <v>47489.01465</v>
      </c>
      <c r="N760" s="15" t="b">
        <f t="shared" si="1"/>
        <v>0</v>
      </c>
    </row>
    <row r="761" hidden="1">
      <c r="A761" s="7" t="s">
        <v>158</v>
      </c>
      <c r="B761" s="7" t="s">
        <v>17</v>
      </c>
      <c r="C761" s="7">
        <v>0.5</v>
      </c>
      <c r="D761" s="7">
        <v>1.0</v>
      </c>
      <c r="E761" s="7">
        <v>2.0</v>
      </c>
      <c r="F761" s="7">
        <v>159.049422740936</v>
      </c>
      <c r="G761" s="7">
        <v>261.74913406372</v>
      </c>
      <c r="H761" s="7">
        <v>4.0</v>
      </c>
      <c r="I761" s="15">
        <v>0.843938879530193</v>
      </c>
      <c r="J761" s="15">
        <v>0.113895196936504</v>
      </c>
      <c r="K761" s="12">
        <f>AVERAGE(I757:I761)</f>
        <v>0.4865994779</v>
      </c>
      <c r="L761" s="18">
        <v>3765.0</v>
      </c>
      <c r="M761" s="14">
        <f>STDEV(L757:L761)</f>
        <v>47489.01465</v>
      </c>
      <c r="N761" s="15" t="b">
        <f t="shared" si="1"/>
        <v>0</v>
      </c>
    </row>
    <row r="762" hidden="1">
      <c r="A762" s="7" t="s">
        <v>159</v>
      </c>
      <c r="B762" s="21" t="s">
        <v>17</v>
      </c>
      <c r="C762" s="21">
        <v>0.5</v>
      </c>
      <c r="D762" s="21">
        <v>1.0</v>
      </c>
      <c r="E762" s="21">
        <v>3.0</v>
      </c>
      <c r="F762" s="7">
        <v>171.299932241439</v>
      </c>
      <c r="G762" s="7">
        <v>266.165281295776</v>
      </c>
      <c r="H762" s="7">
        <v>0.0</v>
      </c>
      <c r="I762" s="15">
        <v>0.0115649295806851</v>
      </c>
      <c r="J762" s="15">
        <v>0.191680396847183</v>
      </c>
      <c r="K762" s="12">
        <f>AVERAGE(I762:I766)</f>
        <v>0.6591826592</v>
      </c>
      <c r="L762" s="18">
        <v>109839.0</v>
      </c>
      <c r="M762" s="14">
        <f>STDEV(L762:L766)</f>
        <v>45785.38429</v>
      </c>
      <c r="N762" s="15" t="b">
        <f t="shared" si="1"/>
        <v>1</v>
      </c>
    </row>
    <row r="763" hidden="1">
      <c r="A763" s="7" t="s">
        <v>159</v>
      </c>
      <c r="B763" s="21" t="s">
        <v>17</v>
      </c>
      <c r="C763" s="21">
        <v>0.5</v>
      </c>
      <c r="D763" s="21">
        <v>1.0</v>
      </c>
      <c r="E763" s="21">
        <v>3.0</v>
      </c>
      <c r="F763" s="7">
        <v>171.299932241439</v>
      </c>
      <c r="G763" s="7">
        <v>266.165281295776</v>
      </c>
      <c r="H763" s="7">
        <v>1.0</v>
      </c>
      <c r="I763" s="15">
        <v>0.747305854317891</v>
      </c>
      <c r="J763" s="15">
        <v>0.14979282424827</v>
      </c>
      <c r="K763" s="12">
        <f>AVERAGE(I762:I766)</f>
        <v>0.6591826592</v>
      </c>
      <c r="L763" s="18">
        <v>7647.0</v>
      </c>
      <c r="M763" s="14">
        <f>STDEV(L762:L766)</f>
        <v>45785.38429</v>
      </c>
      <c r="N763" s="15" t="b">
        <f t="shared" si="1"/>
        <v>1</v>
      </c>
    </row>
    <row r="764" hidden="1">
      <c r="A764" s="7" t="s">
        <v>159</v>
      </c>
      <c r="B764" s="21" t="s">
        <v>17</v>
      </c>
      <c r="C764" s="21">
        <v>0.5</v>
      </c>
      <c r="D764" s="21">
        <v>1.0</v>
      </c>
      <c r="E764" s="21">
        <v>3.0</v>
      </c>
      <c r="F764" s="7">
        <v>171.299932241439</v>
      </c>
      <c r="G764" s="7">
        <v>266.165281295776</v>
      </c>
      <c r="H764" s="7">
        <v>2.0</v>
      </c>
      <c r="I764" s="15">
        <v>0.827434293972118</v>
      </c>
      <c r="J764" s="15">
        <v>0.0985495307211978</v>
      </c>
      <c r="K764" s="12">
        <f>AVERAGE(I762:I766)</f>
        <v>0.6591826592</v>
      </c>
      <c r="L764" s="18">
        <v>7464.0</v>
      </c>
      <c r="M764" s="14">
        <f>STDEV(L762:L766)</f>
        <v>45785.38429</v>
      </c>
      <c r="N764" s="15" t="b">
        <f t="shared" si="1"/>
        <v>1</v>
      </c>
    </row>
    <row r="765" hidden="1">
      <c r="A765" s="7" t="s">
        <v>159</v>
      </c>
      <c r="B765" s="21" t="s">
        <v>17</v>
      </c>
      <c r="C765" s="21">
        <v>0.5</v>
      </c>
      <c r="D765" s="21">
        <v>1.0</v>
      </c>
      <c r="E765" s="21">
        <v>3.0</v>
      </c>
      <c r="F765" s="7">
        <v>171.299932241439</v>
      </c>
      <c r="G765" s="7">
        <v>266.165281295776</v>
      </c>
      <c r="H765" s="7">
        <v>3.0</v>
      </c>
      <c r="I765" s="15">
        <v>0.894463245739345</v>
      </c>
      <c r="J765" s="15">
        <v>0.12037644533103</v>
      </c>
      <c r="K765" s="12">
        <f>AVERAGE(I762:I766)</f>
        <v>0.6591826592</v>
      </c>
      <c r="L765" s="18">
        <v>2001.0</v>
      </c>
      <c r="M765" s="14">
        <f>STDEV(L762:L766)</f>
        <v>45785.38429</v>
      </c>
      <c r="N765" s="15" t="b">
        <f t="shared" si="1"/>
        <v>1</v>
      </c>
    </row>
    <row r="766" hidden="1">
      <c r="A766" s="7" t="s">
        <v>159</v>
      </c>
      <c r="B766" s="21" t="s">
        <v>17</v>
      </c>
      <c r="C766" s="21">
        <v>0.5</v>
      </c>
      <c r="D766" s="21">
        <v>1.0</v>
      </c>
      <c r="E766" s="21">
        <v>3.0</v>
      </c>
      <c r="F766" s="7">
        <v>171.299932241439</v>
      </c>
      <c r="G766" s="7">
        <v>266.165281295776</v>
      </c>
      <c r="H766" s="7">
        <v>4.0</v>
      </c>
      <c r="I766" s="15">
        <v>0.815144972453492</v>
      </c>
      <c r="J766" s="15">
        <v>0.0937632117396164</v>
      </c>
      <c r="K766" s="12">
        <f>AVERAGE(I762:I766)</f>
        <v>0.6591826592</v>
      </c>
      <c r="L766" s="18">
        <v>14725.0</v>
      </c>
      <c r="M766" s="14">
        <f>STDEV(L762:L766)</f>
        <v>45785.38429</v>
      </c>
      <c r="N766" s="15" t="b">
        <f t="shared" si="1"/>
        <v>1</v>
      </c>
    </row>
    <row r="767" hidden="1">
      <c r="A767" s="7" t="s">
        <v>160</v>
      </c>
      <c r="B767" s="7" t="s">
        <v>17</v>
      </c>
      <c r="C767" s="7">
        <v>0.5</v>
      </c>
      <c r="D767" s="7">
        <v>1.0</v>
      </c>
      <c r="E767" s="7">
        <v>4.0</v>
      </c>
      <c r="F767" s="7">
        <v>226.84852528572</v>
      </c>
      <c r="G767" s="7">
        <v>316.171322107315</v>
      </c>
      <c r="H767" s="7">
        <v>0.0</v>
      </c>
      <c r="I767" s="15">
        <v>0.409162555884898</v>
      </c>
      <c r="J767" s="15">
        <v>0.0663329702851703</v>
      </c>
      <c r="K767" s="12">
        <f>AVERAGE(I767:I771)</f>
        <v>0.3745210532</v>
      </c>
      <c r="L767" s="18">
        <v>11058.0</v>
      </c>
      <c r="M767" s="14">
        <f>STDEV(L767:L771)</f>
        <v>38426.90977</v>
      </c>
      <c r="N767" s="15" t="b">
        <f t="shared" si="1"/>
        <v>0</v>
      </c>
    </row>
    <row r="768" hidden="1">
      <c r="A768" s="7" t="s">
        <v>160</v>
      </c>
      <c r="B768" s="7" t="s">
        <v>17</v>
      </c>
      <c r="C768" s="7">
        <v>0.5</v>
      </c>
      <c r="D768" s="7">
        <v>1.0</v>
      </c>
      <c r="E768" s="7">
        <v>4.0</v>
      </c>
      <c r="F768" s="7">
        <v>226.84852528572</v>
      </c>
      <c r="G768" s="7">
        <v>316.171322107315</v>
      </c>
      <c r="H768" s="7">
        <v>1.0</v>
      </c>
      <c r="I768" s="15">
        <v>0.0173488787425912</v>
      </c>
      <c r="J768" s="15">
        <v>0.148869118729062</v>
      </c>
      <c r="K768" s="12">
        <f>AVERAGE(I767:I771)</f>
        <v>0.3745210532</v>
      </c>
      <c r="L768" s="18">
        <v>95173.0</v>
      </c>
      <c r="M768" s="14">
        <f>STDEV(L767:L771)</f>
        <v>38426.90977</v>
      </c>
      <c r="N768" s="15" t="b">
        <f t="shared" si="1"/>
        <v>0</v>
      </c>
    </row>
    <row r="769" hidden="1">
      <c r="A769" s="7" t="s">
        <v>160</v>
      </c>
      <c r="B769" s="7" t="s">
        <v>17</v>
      </c>
      <c r="C769" s="7">
        <v>0.5</v>
      </c>
      <c r="D769" s="7">
        <v>1.0</v>
      </c>
      <c r="E769" s="7">
        <v>4.0</v>
      </c>
      <c r="F769" s="7">
        <v>226.84852528572</v>
      </c>
      <c r="G769" s="7">
        <v>316.171322107315</v>
      </c>
      <c r="H769" s="7">
        <v>2.0</v>
      </c>
      <c r="I769" s="15">
        <v>0.825309795990385</v>
      </c>
      <c r="J769" s="15">
        <v>0.118612643734054</v>
      </c>
      <c r="K769" s="12">
        <f>AVERAGE(I767:I771)</f>
        <v>0.3745210532</v>
      </c>
      <c r="L769" s="18">
        <v>5104.0</v>
      </c>
      <c r="M769" s="14">
        <f>STDEV(L767:L771)</f>
        <v>38426.90977</v>
      </c>
      <c r="N769" s="15" t="b">
        <f t="shared" si="1"/>
        <v>0</v>
      </c>
    </row>
    <row r="770" hidden="1">
      <c r="A770" s="7" t="s">
        <v>160</v>
      </c>
      <c r="B770" s="7" t="s">
        <v>17</v>
      </c>
      <c r="C770" s="7">
        <v>0.5</v>
      </c>
      <c r="D770" s="7">
        <v>1.0</v>
      </c>
      <c r="E770" s="7">
        <v>4.0</v>
      </c>
      <c r="F770" s="7">
        <v>226.84852528572</v>
      </c>
      <c r="G770" s="7">
        <v>316.171322107315</v>
      </c>
      <c r="H770" s="7">
        <v>3.0</v>
      </c>
      <c r="I770" s="15">
        <v>0.40312773771904</v>
      </c>
      <c r="J770" s="15">
        <v>0.0552480935785822</v>
      </c>
      <c r="K770" s="12">
        <f>AVERAGE(I767:I771)</f>
        <v>0.3745210532</v>
      </c>
      <c r="L770" s="18">
        <v>26449.0</v>
      </c>
      <c r="M770" s="14">
        <f>STDEV(L767:L771)</f>
        <v>38426.90977</v>
      </c>
      <c r="N770" s="15" t="b">
        <f t="shared" si="1"/>
        <v>0</v>
      </c>
    </row>
    <row r="771" hidden="1">
      <c r="A771" s="7" t="s">
        <v>160</v>
      </c>
      <c r="B771" s="7" t="s">
        <v>17</v>
      </c>
      <c r="C771" s="7">
        <v>0.5</v>
      </c>
      <c r="D771" s="7">
        <v>1.0</v>
      </c>
      <c r="E771" s="7">
        <v>4.0</v>
      </c>
      <c r="F771" s="7">
        <v>226.84852528572</v>
      </c>
      <c r="G771" s="7">
        <v>316.171322107315</v>
      </c>
      <c r="H771" s="7">
        <v>4.0</v>
      </c>
      <c r="I771" s="15">
        <v>0.217656297513939</v>
      </c>
      <c r="J771" s="15">
        <v>0.109505039179516</v>
      </c>
      <c r="K771" s="12">
        <f>AVERAGE(I767:I771)</f>
        <v>0.3745210532</v>
      </c>
      <c r="L771" s="18">
        <v>3892.0</v>
      </c>
      <c r="M771" s="14">
        <f>STDEV(L767:L771)</f>
        <v>38426.90977</v>
      </c>
      <c r="N771" s="15" t="b">
        <f t="shared" si="1"/>
        <v>0</v>
      </c>
    </row>
    <row r="772" hidden="1">
      <c r="A772" s="7" t="s">
        <v>161</v>
      </c>
      <c r="B772" s="7" t="s">
        <v>17</v>
      </c>
      <c r="C772" s="7">
        <v>0.5</v>
      </c>
      <c r="D772" s="7">
        <v>1.0</v>
      </c>
      <c r="E772" s="7">
        <v>5.0</v>
      </c>
      <c r="F772" s="7">
        <v>370.610588550567</v>
      </c>
      <c r="G772" s="7">
        <v>477.613874197006</v>
      </c>
      <c r="H772" s="7">
        <v>0.0</v>
      </c>
      <c r="I772" s="15">
        <v>0.42002389009241</v>
      </c>
      <c r="J772" s="15">
        <v>0.106398257617133</v>
      </c>
      <c r="K772" s="12">
        <f>AVERAGE(I772:I776)</f>
        <v>0.5350039415</v>
      </c>
      <c r="L772" s="18">
        <v>21150.0</v>
      </c>
      <c r="M772" s="14">
        <f>STDEV(L772:L776)</f>
        <v>41915.91072</v>
      </c>
      <c r="N772" s="15" t="b">
        <f t="shared" si="1"/>
        <v>0</v>
      </c>
    </row>
    <row r="773" hidden="1">
      <c r="A773" s="7" t="s">
        <v>161</v>
      </c>
      <c r="B773" s="7" t="s">
        <v>17</v>
      </c>
      <c r="C773" s="7">
        <v>0.5</v>
      </c>
      <c r="D773" s="7">
        <v>1.0</v>
      </c>
      <c r="E773" s="7">
        <v>5.0</v>
      </c>
      <c r="F773" s="7">
        <v>370.610588550567</v>
      </c>
      <c r="G773" s="7">
        <v>477.613874197006</v>
      </c>
      <c r="H773" s="7">
        <v>1.0</v>
      </c>
      <c r="I773" s="15">
        <v>-0.00165437857877843</v>
      </c>
      <c r="J773" s="15">
        <v>0.16076894871658</v>
      </c>
      <c r="K773" s="12">
        <f>AVERAGE(I772:I776)</f>
        <v>0.5350039415</v>
      </c>
      <c r="L773" s="18">
        <v>102074.0</v>
      </c>
      <c r="M773" s="14">
        <f>STDEV(L772:L776)</f>
        <v>41915.91072</v>
      </c>
      <c r="N773" s="15" t="b">
        <f t="shared" si="1"/>
        <v>0</v>
      </c>
    </row>
    <row r="774" hidden="1">
      <c r="A774" s="7" t="s">
        <v>161</v>
      </c>
      <c r="B774" s="7" t="s">
        <v>17</v>
      </c>
      <c r="C774" s="7">
        <v>0.5</v>
      </c>
      <c r="D774" s="7">
        <v>1.0</v>
      </c>
      <c r="E774" s="7">
        <v>5.0</v>
      </c>
      <c r="F774" s="7">
        <v>370.610588550567</v>
      </c>
      <c r="G774" s="7">
        <v>477.613874197006</v>
      </c>
      <c r="H774" s="7">
        <v>2.0</v>
      </c>
      <c r="I774" s="15">
        <v>0.444815576749419</v>
      </c>
      <c r="J774" s="15">
        <v>0.163249988379389</v>
      </c>
      <c r="K774" s="12">
        <f>AVERAGE(I772:I776)</f>
        <v>0.5350039415</v>
      </c>
      <c r="L774" s="18">
        <v>10957.0</v>
      </c>
      <c r="M774" s="14">
        <f>STDEV(L772:L776)</f>
        <v>41915.91072</v>
      </c>
      <c r="N774" s="15" t="b">
        <f t="shared" si="1"/>
        <v>0</v>
      </c>
    </row>
    <row r="775" hidden="1">
      <c r="A775" s="7" t="s">
        <v>161</v>
      </c>
      <c r="B775" s="7" t="s">
        <v>17</v>
      </c>
      <c r="C775" s="7">
        <v>0.5</v>
      </c>
      <c r="D775" s="7">
        <v>1.0</v>
      </c>
      <c r="E775" s="7">
        <v>5.0</v>
      </c>
      <c r="F775" s="7">
        <v>370.610588550567</v>
      </c>
      <c r="G775" s="7">
        <v>477.613874197006</v>
      </c>
      <c r="H775" s="7">
        <v>3.0</v>
      </c>
      <c r="I775" s="15">
        <v>0.82744195882335</v>
      </c>
      <c r="J775" s="15">
        <v>0.0994588277525327</v>
      </c>
      <c r="K775" s="12">
        <f>AVERAGE(I772:I776)</f>
        <v>0.5350039415</v>
      </c>
      <c r="L775" s="18">
        <v>7464.0</v>
      </c>
      <c r="M775" s="14">
        <f>STDEV(L772:L776)</f>
        <v>41915.91072</v>
      </c>
      <c r="N775" s="15" t="b">
        <f t="shared" si="1"/>
        <v>0</v>
      </c>
    </row>
    <row r="776" hidden="1">
      <c r="A776" s="7" t="s">
        <v>161</v>
      </c>
      <c r="B776" s="7" t="s">
        <v>17</v>
      </c>
      <c r="C776" s="7">
        <v>0.5</v>
      </c>
      <c r="D776" s="7">
        <v>1.0</v>
      </c>
      <c r="E776" s="7">
        <v>5.0</v>
      </c>
      <c r="F776" s="7">
        <v>370.610588550567</v>
      </c>
      <c r="G776" s="7">
        <v>477.613874197006</v>
      </c>
      <c r="H776" s="7">
        <v>4.0</v>
      </c>
      <c r="I776" s="15">
        <v>0.984392660436023</v>
      </c>
      <c r="J776" s="15">
        <v>0.0152725926447406</v>
      </c>
      <c r="K776" s="12">
        <f>AVERAGE(I772:I776)</f>
        <v>0.5350039415</v>
      </c>
      <c r="L776" s="18">
        <v>31.0</v>
      </c>
      <c r="M776" s="14">
        <f>STDEV(L772:L776)</f>
        <v>41915.91072</v>
      </c>
      <c r="N776" s="15" t="b">
        <f t="shared" si="1"/>
        <v>0</v>
      </c>
    </row>
    <row r="777" hidden="1">
      <c r="A777" s="7" t="s">
        <v>162</v>
      </c>
      <c r="B777" s="7" t="s">
        <v>17</v>
      </c>
      <c r="C777" s="7">
        <v>0.5</v>
      </c>
      <c r="D777" s="7">
        <v>1.0</v>
      </c>
      <c r="E777" s="7">
        <v>6.0</v>
      </c>
      <c r="F777" s="7">
        <v>607.460580587387</v>
      </c>
      <c r="G777" s="7">
        <v>684.798417091369</v>
      </c>
      <c r="H777" s="7">
        <v>0.0</v>
      </c>
      <c r="I777" s="15">
        <v>0.371209068674509</v>
      </c>
      <c r="J777" s="15">
        <v>0.103379074520797</v>
      </c>
      <c r="K777" s="12">
        <f>AVERAGE(I777:I781)</f>
        <v>0.4225642689</v>
      </c>
      <c r="L777" s="18">
        <v>15377.0</v>
      </c>
      <c r="M777" s="14">
        <f>STDEV(L777:L781)</f>
        <v>26943.60312</v>
      </c>
      <c r="N777" s="15" t="b">
        <f t="shared" si="1"/>
        <v>0</v>
      </c>
    </row>
    <row r="778" hidden="1">
      <c r="A778" s="7" t="s">
        <v>162</v>
      </c>
      <c r="B778" s="7" t="s">
        <v>17</v>
      </c>
      <c r="C778" s="7">
        <v>0.5</v>
      </c>
      <c r="D778" s="7">
        <v>1.0</v>
      </c>
      <c r="E778" s="7">
        <v>6.0</v>
      </c>
      <c r="F778" s="7">
        <v>607.460580587387</v>
      </c>
      <c r="G778" s="7">
        <v>684.798417091369</v>
      </c>
      <c r="H778" s="7">
        <v>1.0</v>
      </c>
      <c r="I778" s="15">
        <v>-0.0807431893473845</v>
      </c>
      <c r="J778" s="15">
        <v>0.225664909087466</v>
      </c>
      <c r="K778" s="12">
        <f>AVERAGE(I777:I781)</f>
        <v>0.4225642689</v>
      </c>
      <c r="L778" s="18">
        <v>69621.0</v>
      </c>
      <c r="M778" s="14">
        <f>STDEV(L777:L781)</f>
        <v>26943.60312</v>
      </c>
      <c r="N778" s="15" t="b">
        <f t="shared" si="1"/>
        <v>0</v>
      </c>
    </row>
    <row r="779" hidden="1">
      <c r="A779" s="7" t="s">
        <v>162</v>
      </c>
      <c r="B779" s="7" t="s">
        <v>17</v>
      </c>
      <c r="C779" s="7">
        <v>0.5</v>
      </c>
      <c r="D779" s="7">
        <v>1.0</v>
      </c>
      <c r="E779" s="7">
        <v>6.0</v>
      </c>
      <c r="F779" s="7">
        <v>607.460580587387</v>
      </c>
      <c r="G779" s="7">
        <v>684.798417091369</v>
      </c>
      <c r="H779" s="7">
        <v>2.0</v>
      </c>
      <c r="I779" s="15">
        <v>0.844600065309114</v>
      </c>
      <c r="J779" s="15">
        <v>0.107615461869149</v>
      </c>
      <c r="K779" s="12">
        <f>AVERAGE(I777:I781)</f>
        <v>0.4225642689</v>
      </c>
      <c r="L779" s="18">
        <v>3765.0</v>
      </c>
      <c r="M779" s="14">
        <f>STDEV(L777:L781)</f>
        <v>26943.60312</v>
      </c>
      <c r="N779" s="15" t="b">
        <f t="shared" si="1"/>
        <v>0</v>
      </c>
    </row>
    <row r="780" hidden="1">
      <c r="A780" s="7" t="s">
        <v>162</v>
      </c>
      <c r="B780" s="7" t="s">
        <v>17</v>
      </c>
      <c r="C780" s="7">
        <v>0.5</v>
      </c>
      <c r="D780" s="7">
        <v>1.0</v>
      </c>
      <c r="E780" s="7">
        <v>6.0</v>
      </c>
      <c r="F780" s="7">
        <v>607.460580587387</v>
      </c>
      <c r="G780" s="7">
        <v>684.798417091369</v>
      </c>
      <c r="H780" s="7">
        <v>3.0</v>
      </c>
      <c r="I780" s="15">
        <v>0.188910570674138</v>
      </c>
      <c r="J780" s="15">
        <v>0.0798862800239505</v>
      </c>
      <c r="K780" s="12">
        <f>AVERAGE(I777:I781)</f>
        <v>0.4225642689</v>
      </c>
      <c r="L780" s="18">
        <v>40959.0</v>
      </c>
      <c r="M780" s="14">
        <f>STDEV(L777:L781)</f>
        <v>26943.60312</v>
      </c>
      <c r="N780" s="15" t="b">
        <f t="shared" si="1"/>
        <v>0</v>
      </c>
    </row>
    <row r="781" hidden="1">
      <c r="A781" s="7" t="s">
        <v>162</v>
      </c>
      <c r="B781" s="7" t="s">
        <v>17</v>
      </c>
      <c r="C781" s="7">
        <v>0.5</v>
      </c>
      <c r="D781" s="7">
        <v>1.0</v>
      </c>
      <c r="E781" s="7">
        <v>6.0</v>
      </c>
      <c r="F781" s="7">
        <v>607.460580587387</v>
      </c>
      <c r="G781" s="7">
        <v>684.798417091369</v>
      </c>
      <c r="H781" s="7">
        <v>4.0</v>
      </c>
      <c r="I781" s="15">
        <v>0.788844829425923</v>
      </c>
      <c r="J781" s="15">
        <v>0.130873910681806</v>
      </c>
      <c r="K781" s="12">
        <f>AVERAGE(I777:I781)</f>
        <v>0.4225642689</v>
      </c>
      <c r="L781" s="18">
        <v>11954.0</v>
      </c>
      <c r="M781" s="14">
        <f>STDEV(L777:L781)</f>
        <v>26943.60312</v>
      </c>
      <c r="N781" s="15" t="b">
        <f t="shared" si="1"/>
        <v>0</v>
      </c>
    </row>
    <row r="782" hidden="1">
      <c r="A782" s="7" t="s">
        <v>163</v>
      </c>
      <c r="B782" s="7" t="s">
        <v>17</v>
      </c>
      <c r="C782" s="7">
        <v>0.5</v>
      </c>
      <c r="D782" s="7">
        <v>1.0</v>
      </c>
      <c r="E782" s="7">
        <v>7.0</v>
      </c>
      <c r="F782" s="7">
        <v>175.387544393539</v>
      </c>
      <c r="G782" s="7">
        <v>273.178369045257</v>
      </c>
      <c r="H782" s="7">
        <v>0.0</v>
      </c>
      <c r="I782" s="15">
        <v>0.815537931800188</v>
      </c>
      <c r="J782" s="15">
        <v>0.0937926682479391</v>
      </c>
      <c r="K782" s="12">
        <f>AVERAGE(I782:I786)</f>
        <v>0.6418595425</v>
      </c>
      <c r="L782" s="18">
        <v>14706.0</v>
      </c>
      <c r="M782" s="14">
        <f>STDEV(L782:L786)</f>
        <v>44208.21555</v>
      </c>
      <c r="N782" s="15" t="b">
        <f t="shared" si="1"/>
        <v>0</v>
      </c>
    </row>
    <row r="783" hidden="1">
      <c r="A783" s="7" t="s">
        <v>163</v>
      </c>
      <c r="B783" s="7" t="s">
        <v>17</v>
      </c>
      <c r="C783" s="7">
        <v>0.5</v>
      </c>
      <c r="D783" s="7">
        <v>1.0</v>
      </c>
      <c r="E783" s="7">
        <v>7.0</v>
      </c>
      <c r="F783" s="7">
        <v>175.387544393539</v>
      </c>
      <c r="G783" s="7">
        <v>273.178369045257</v>
      </c>
      <c r="H783" s="7">
        <v>1.0</v>
      </c>
      <c r="I783" s="15">
        <v>0.872441349969831</v>
      </c>
      <c r="J783" s="15">
        <v>0.106105627441992</v>
      </c>
      <c r="K783" s="12">
        <f>AVERAGE(I782:I786)</f>
        <v>0.6418595425</v>
      </c>
      <c r="L783" s="18">
        <v>4369.0</v>
      </c>
      <c r="M783" s="14">
        <f>STDEV(L782:L786)</f>
        <v>44208.21555</v>
      </c>
      <c r="N783" s="15" t="b">
        <f t="shared" si="1"/>
        <v>0</v>
      </c>
    </row>
    <row r="784" hidden="1">
      <c r="A784" s="7" t="s">
        <v>163</v>
      </c>
      <c r="B784" s="7" t="s">
        <v>17</v>
      </c>
      <c r="C784" s="7">
        <v>0.5</v>
      </c>
      <c r="D784" s="7">
        <v>1.0</v>
      </c>
      <c r="E784" s="7">
        <v>7.0</v>
      </c>
      <c r="F784" s="7">
        <v>175.387544393539</v>
      </c>
      <c r="G784" s="7">
        <v>273.178369045257</v>
      </c>
      <c r="H784" s="7">
        <v>2.0</v>
      </c>
      <c r="I784" s="15">
        <v>0.747314484082424</v>
      </c>
      <c r="J784" s="15">
        <v>0.149604368024346</v>
      </c>
      <c r="K784" s="12">
        <f>AVERAGE(I782:I786)</f>
        <v>0.6418595425</v>
      </c>
      <c r="L784" s="18">
        <v>7647.0</v>
      </c>
      <c r="M784" s="14">
        <f>STDEV(L782:L786)</f>
        <v>44208.21555</v>
      </c>
      <c r="N784" s="15" t="b">
        <f t="shared" si="1"/>
        <v>0</v>
      </c>
    </row>
    <row r="785" hidden="1">
      <c r="A785" s="7" t="s">
        <v>163</v>
      </c>
      <c r="B785" s="7" t="s">
        <v>17</v>
      </c>
      <c r="C785" s="7">
        <v>0.5</v>
      </c>
      <c r="D785" s="7">
        <v>1.0</v>
      </c>
      <c r="E785" s="7">
        <v>7.0</v>
      </c>
      <c r="F785" s="7">
        <v>175.387544393539</v>
      </c>
      <c r="G785" s="7">
        <v>273.178369045257</v>
      </c>
      <c r="H785" s="7">
        <v>3.0</v>
      </c>
      <c r="I785" s="15">
        <v>0.764297496715575</v>
      </c>
      <c r="J785" s="15">
        <v>0.134231281029315</v>
      </c>
      <c r="K785" s="12">
        <f>AVERAGE(I782:I786)</f>
        <v>0.6418595425</v>
      </c>
      <c r="L785" s="18">
        <v>7824.0</v>
      </c>
      <c r="M785" s="14">
        <f>STDEV(L782:L786)</f>
        <v>44208.21555</v>
      </c>
      <c r="N785" s="15" t="b">
        <f t="shared" si="1"/>
        <v>0</v>
      </c>
    </row>
    <row r="786" hidden="1">
      <c r="A786" s="7" t="s">
        <v>163</v>
      </c>
      <c r="B786" s="7" t="s">
        <v>17</v>
      </c>
      <c r="C786" s="7">
        <v>0.5</v>
      </c>
      <c r="D786" s="7">
        <v>1.0</v>
      </c>
      <c r="E786" s="7">
        <v>7.0</v>
      </c>
      <c r="F786" s="7">
        <v>175.387544393539</v>
      </c>
      <c r="G786" s="7">
        <v>273.178369045257</v>
      </c>
      <c r="H786" s="7">
        <v>4.0</v>
      </c>
      <c r="I786" s="15">
        <v>0.00970644975854328</v>
      </c>
      <c r="J786" s="15">
        <v>0.197078444908939</v>
      </c>
      <c r="K786" s="12">
        <f>AVERAGE(I782:I786)</f>
        <v>0.6418595425</v>
      </c>
      <c r="L786" s="18">
        <v>107130.0</v>
      </c>
      <c r="M786" s="14">
        <f>STDEV(L782:L786)</f>
        <v>44208.21555</v>
      </c>
      <c r="N786" s="15" t="b">
        <f t="shared" si="1"/>
        <v>0</v>
      </c>
    </row>
    <row r="787" hidden="1">
      <c r="A787" s="7" t="s">
        <v>164</v>
      </c>
      <c r="B787" s="7" t="s">
        <v>17</v>
      </c>
      <c r="C787" s="7">
        <v>0.5</v>
      </c>
      <c r="D787" s="7">
        <v>1.0</v>
      </c>
      <c r="E787" s="7">
        <v>8.0</v>
      </c>
      <c r="F787" s="7">
        <v>628.916515350341</v>
      </c>
      <c r="G787" s="7">
        <v>721.467732429504</v>
      </c>
      <c r="H787" s="7">
        <v>0.0</v>
      </c>
      <c r="I787" s="15">
        <v>0.766337612025367</v>
      </c>
      <c r="J787" s="15">
        <v>0.132652323646608</v>
      </c>
      <c r="K787" s="12">
        <f>AVERAGE(I787:I791)</f>
        <v>0.3972398817</v>
      </c>
      <c r="L787" s="18">
        <v>7810.0</v>
      </c>
      <c r="M787" s="14">
        <f>STDEV(L787:L791)</f>
        <v>24319.01264</v>
      </c>
      <c r="N787" s="15" t="b">
        <f t="shared" si="1"/>
        <v>0</v>
      </c>
    </row>
    <row r="788" hidden="1">
      <c r="A788" s="7" t="s">
        <v>164</v>
      </c>
      <c r="B788" s="7" t="s">
        <v>17</v>
      </c>
      <c r="C788" s="7">
        <v>0.5</v>
      </c>
      <c r="D788" s="7">
        <v>1.0</v>
      </c>
      <c r="E788" s="7">
        <v>8.0</v>
      </c>
      <c r="F788" s="7">
        <v>628.916515350341</v>
      </c>
      <c r="G788" s="7">
        <v>721.467732429504</v>
      </c>
      <c r="H788" s="7">
        <v>1.0</v>
      </c>
      <c r="I788" s="15">
        <v>0.740121773700336</v>
      </c>
      <c r="J788" s="15">
        <v>0.153709425471883</v>
      </c>
      <c r="K788" s="12">
        <f>AVERAGE(I787:I791)</f>
        <v>0.3972398817</v>
      </c>
      <c r="L788" s="18">
        <v>7652.0</v>
      </c>
      <c r="M788" s="14">
        <f>STDEV(L787:L791)</f>
        <v>24319.01264</v>
      </c>
      <c r="N788" s="15" t="b">
        <f t="shared" si="1"/>
        <v>0</v>
      </c>
    </row>
    <row r="789" hidden="1">
      <c r="A789" s="7" t="s">
        <v>164</v>
      </c>
      <c r="B789" s="7" t="s">
        <v>17</v>
      </c>
      <c r="C789" s="7">
        <v>0.5</v>
      </c>
      <c r="D789" s="7">
        <v>1.0</v>
      </c>
      <c r="E789" s="7">
        <v>8.0</v>
      </c>
      <c r="F789" s="7">
        <v>628.916515350341</v>
      </c>
      <c r="G789" s="7">
        <v>721.467732429504</v>
      </c>
      <c r="H789" s="7">
        <v>2.0</v>
      </c>
      <c r="I789" s="15">
        <v>-0.00182466761245012</v>
      </c>
      <c r="J789" s="15">
        <v>0.237525106993282</v>
      </c>
      <c r="K789" s="12">
        <f>AVERAGE(I787:I791)</f>
        <v>0.3972398817</v>
      </c>
      <c r="L789" s="18">
        <v>67017.0</v>
      </c>
      <c r="M789" s="14">
        <f>STDEV(L787:L791)</f>
        <v>24319.01264</v>
      </c>
      <c r="N789" s="15" t="b">
        <f t="shared" si="1"/>
        <v>0</v>
      </c>
    </row>
    <row r="790" hidden="1">
      <c r="A790" s="7" t="s">
        <v>164</v>
      </c>
      <c r="B790" s="7" t="s">
        <v>17</v>
      </c>
      <c r="C790" s="7">
        <v>0.5</v>
      </c>
      <c r="D790" s="7">
        <v>1.0</v>
      </c>
      <c r="E790" s="7">
        <v>8.0</v>
      </c>
      <c r="F790" s="7">
        <v>628.916515350341</v>
      </c>
      <c r="G790" s="7">
        <v>721.467732429504</v>
      </c>
      <c r="H790" s="7">
        <v>3.0</v>
      </c>
      <c r="I790" s="15">
        <v>0.394307352218378</v>
      </c>
      <c r="J790" s="15">
        <v>0.0609916742204474</v>
      </c>
      <c r="K790" s="12">
        <f>AVERAGE(I787:I791)</f>
        <v>0.3972398817</v>
      </c>
      <c r="L790" s="18">
        <v>26674.0</v>
      </c>
      <c r="M790" s="14">
        <f>STDEV(L787:L791)</f>
        <v>24319.01264</v>
      </c>
      <c r="N790" s="15" t="b">
        <f t="shared" si="1"/>
        <v>0</v>
      </c>
    </row>
    <row r="791" hidden="1">
      <c r="A791" s="7" t="s">
        <v>164</v>
      </c>
      <c r="B791" s="7" t="s">
        <v>17</v>
      </c>
      <c r="C791" s="7">
        <v>0.5</v>
      </c>
      <c r="D791" s="7">
        <v>1.0</v>
      </c>
      <c r="E791" s="7">
        <v>8.0</v>
      </c>
      <c r="F791" s="7">
        <v>628.916515350341</v>
      </c>
      <c r="G791" s="7">
        <v>721.467732429504</v>
      </c>
      <c r="H791" s="7">
        <v>4.0</v>
      </c>
      <c r="I791" s="15">
        <v>0.0872573382773401</v>
      </c>
      <c r="J791" s="15">
        <v>0.062448778869677</v>
      </c>
      <c r="K791" s="12">
        <f>AVERAGE(I787:I791)</f>
        <v>0.3972398817</v>
      </c>
      <c r="L791" s="18">
        <v>32523.0</v>
      </c>
      <c r="M791" s="14">
        <f>STDEV(L787:L791)</f>
        <v>24319.01264</v>
      </c>
      <c r="N791" s="15" t="b">
        <f t="shared" si="1"/>
        <v>0</v>
      </c>
    </row>
    <row r="792" hidden="1">
      <c r="A792" s="7" t="s">
        <v>165</v>
      </c>
      <c r="B792" s="7" t="s">
        <v>17</v>
      </c>
      <c r="C792" s="7">
        <v>0.5</v>
      </c>
      <c r="D792" s="7">
        <v>1.0</v>
      </c>
      <c r="E792" s="7">
        <v>9.0</v>
      </c>
      <c r="F792" s="7">
        <v>845.667084932327</v>
      </c>
      <c r="G792" s="7">
        <v>931.345431327819</v>
      </c>
      <c r="H792" s="7">
        <v>0.0</v>
      </c>
      <c r="I792" s="15">
        <v>0.311646643450628</v>
      </c>
      <c r="J792" s="15">
        <v>0.125647361286234</v>
      </c>
      <c r="K792" s="12">
        <f>AVERAGE(I792:I796)</f>
        <v>0.3947052082</v>
      </c>
      <c r="L792" s="18">
        <v>7464.0</v>
      </c>
      <c r="M792" s="14">
        <f>STDEV(L792:L796)</f>
        <v>36513.29007</v>
      </c>
      <c r="N792" s="15" t="b">
        <f t="shared" si="1"/>
        <v>0</v>
      </c>
    </row>
    <row r="793" hidden="1">
      <c r="A793" s="7" t="s">
        <v>165</v>
      </c>
      <c r="B793" s="7" t="s">
        <v>17</v>
      </c>
      <c r="C793" s="7">
        <v>0.5</v>
      </c>
      <c r="D793" s="7">
        <v>1.0</v>
      </c>
      <c r="E793" s="7">
        <v>9.0</v>
      </c>
      <c r="F793" s="7">
        <v>845.667084932327</v>
      </c>
      <c r="G793" s="7">
        <v>931.345431327819</v>
      </c>
      <c r="H793" s="7">
        <v>1.0</v>
      </c>
      <c r="I793" s="15">
        <v>0.427293822950621</v>
      </c>
      <c r="J793" s="15">
        <v>0.0975388538591484</v>
      </c>
      <c r="K793" s="12">
        <f>AVERAGE(I792:I796)</f>
        <v>0.3947052082</v>
      </c>
      <c r="L793" s="18">
        <v>23831.0</v>
      </c>
      <c r="M793" s="14">
        <f>STDEV(L792:L796)</f>
        <v>36513.29007</v>
      </c>
      <c r="N793" s="15" t="b">
        <f t="shared" si="1"/>
        <v>0</v>
      </c>
    </row>
    <row r="794" hidden="1">
      <c r="A794" s="7" t="s">
        <v>165</v>
      </c>
      <c r="B794" s="7" t="s">
        <v>17</v>
      </c>
      <c r="C794" s="7">
        <v>0.5</v>
      </c>
      <c r="D794" s="7">
        <v>1.0</v>
      </c>
      <c r="E794" s="7">
        <v>9.0</v>
      </c>
      <c r="F794" s="7">
        <v>845.667084932327</v>
      </c>
      <c r="G794" s="7">
        <v>931.345431327819</v>
      </c>
      <c r="H794" s="7">
        <v>2.0</v>
      </c>
      <c r="I794" s="15">
        <v>0.789863220409602</v>
      </c>
      <c r="J794" s="15">
        <v>0.142470335085958</v>
      </c>
      <c r="K794" s="12">
        <f>AVERAGE(I792:I796)</f>
        <v>0.3947052082</v>
      </c>
      <c r="L794" s="18">
        <v>1860.0</v>
      </c>
      <c r="M794" s="14">
        <f>STDEV(L792:L796)</f>
        <v>36513.29007</v>
      </c>
      <c r="N794" s="15" t="b">
        <f t="shared" si="1"/>
        <v>0</v>
      </c>
    </row>
    <row r="795" hidden="1">
      <c r="A795" s="7" t="s">
        <v>165</v>
      </c>
      <c r="B795" s="7" t="s">
        <v>17</v>
      </c>
      <c r="C795" s="7">
        <v>0.5</v>
      </c>
      <c r="D795" s="7">
        <v>1.0</v>
      </c>
      <c r="E795" s="7">
        <v>9.0</v>
      </c>
      <c r="F795" s="7">
        <v>845.667084932327</v>
      </c>
      <c r="G795" s="7">
        <v>931.345431327819</v>
      </c>
      <c r="H795" s="7">
        <v>3.0</v>
      </c>
      <c r="I795" s="15">
        <v>-0.0304814158921569</v>
      </c>
      <c r="J795" s="15">
        <v>0.179628072632869</v>
      </c>
      <c r="K795" s="12">
        <f>AVERAGE(I792:I796)</f>
        <v>0.3947052082</v>
      </c>
      <c r="L795" s="18">
        <v>91889.0</v>
      </c>
      <c r="M795" s="14">
        <f>STDEV(L792:L796)</f>
        <v>36513.29007</v>
      </c>
      <c r="N795" s="15" t="b">
        <f t="shared" si="1"/>
        <v>0</v>
      </c>
    </row>
    <row r="796" hidden="1">
      <c r="A796" s="7" t="s">
        <v>165</v>
      </c>
      <c r="B796" s="7" t="s">
        <v>17</v>
      </c>
      <c r="C796" s="7">
        <v>0.5</v>
      </c>
      <c r="D796" s="7">
        <v>1.0</v>
      </c>
      <c r="E796" s="7">
        <v>9.0</v>
      </c>
      <c r="F796" s="7">
        <v>845.667084932327</v>
      </c>
      <c r="G796" s="7">
        <v>931.345431327819</v>
      </c>
      <c r="H796" s="7">
        <v>4.0</v>
      </c>
      <c r="I796" s="15">
        <v>0.475203770036043</v>
      </c>
      <c r="J796" s="15">
        <v>0.163376068623161</v>
      </c>
      <c r="K796" s="12">
        <f>AVERAGE(I792:I796)</f>
        <v>0.3947052082</v>
      </c>
      <c r="L796" s="18">
        <v>16632.0</v>
      </c>
      <c r="M796" s="14">
        <f>STDEV(L792:L796)</f>
        <v>36513.29007</v>
      </c>
      <c r="N796" s="15" t="b">
        <f t="shared" si="1"/>
        <v>0</v>
      </c>
    </row>
    <row r="797" hidden="1">
      <c r="A797" s="7" t="s">
        <v>166</v>
      </c>
      <c r="B797" s="7" t="s">
        <v>17</v>
      </c>
      <c r="C797" s="7">
        <v>0.5</v>
      </c>
      <c r="D797" s="7">
        <v>1.0</v>
      </c>
      <c r="E797" s="7">
        <v>10.0</v>
      </c>
      <c r="F797" s="7">
        <v>194.071803569793</v>
      </c>
      <c r="G797" s="7">
        <v>279.803638219833</v>
      </c>
      <c r="H797" s="7">
        <v>0.0</v>
      </c>
      <c r="I797" s="15">
        <v>0.46997303607154</v>
      </c>
      <c r="J797" s="15">
        <v>0.163140119148041</v>
      </c>
      <c r="K797" s="12">
        <f>AVERAGE(I797:I801)</f>
        <v>0.4609202635</v>
      </c>
      <c r="L797" s="18">
        <v>16675.0</v>
      </c>
      <c r="M797" s="14">
        <f>STDEV(L797:L801)</f>
        <v>27222.99047</v>
      </c>
      <c r="N797" s="15" t="b">
        <f t="shared" si="1"/>
        <v>0</v>
      </c>
    </row>
    <row r="798" hidden="1">
      <c r="A798" s="7" t="s">
        <v>166</v>
      </c>
      <c r="B798" s="7" t="s">
        <v>17</v>
      </c>
      <c r="C798" s="7">
        <v>0.5</v>
      </c>
      <c r="D798" s="7">
        <v>1.0</v>
      </c>
      <c r="E798" s="7">
        <v>10.0</v>
      </c>
      <c r="F798" s="7">
        <v>194.071803569793</v>
      </c>
      <c r="G798" s="7">
        <v>279.803638219833</v>
      </c>
      <c r="H798" s="7">
        <v>1.0</v>
      </c>
      <c r="I798" s="15">
        <v>0.828690087430595</v>
      </c>
      <c r="J798" s="15">
        <v>0.0980063496018441</v>
      </c>
      <c r="K798" s="12">
        <f>AVERAGE(I797:I801)</f>
        <v>0.4609202635</v>
      </c>
      <c r="L798" s="18">
        <v>7459.0</v>
      </c>
      <c r="M798" s="14">
        <f>STDEV(L797:L801)</f>
        <v>27222.99047</v>
      </c>
      <c r="N798" s="15" t="b">
        <f t="shared" si="1"/>
        <v>0</v>
      </c>
    </row>
    <row r="799" hidden="1">
      <c r="A799" s="7" t="s">
        <v>166</v>
      </c>
      <c r="B799" s="7" t="s">
        <v>17</v>
      </c>
      <c r="C799" s="7">
        <v>0.5</v>
      </c>
      <c r="D799" s="7">
        <v>1.0</v>
      </c>
      <c r="E799" s="7">
        <v>10.0</v>
      </c>
      <c r="F799" s="7">
        <v>194.071803569793</v>
      </c>
      <c r="G799" s="7">
        <v>279.803638219833</v>
      </c>
      <c r="H799" s="7">
        <v>2.0</v>
      </c>
      <c r="I799" s="15">
        <v>0.0221840673811769</v>
      </c>
      <c r="J799" s="15">
        <v>0.147682380643925</v>
      </c>
      <c r="K799" s="12">
        <f>AVERAGE(I797:I801)</f>
        <v>0.4609202635</v>
      </c>
      <c r="L799" s="18">
        <v>67585.0</v>
      </c>
      <c r="M799" s="14">
        <f>STDEV(L797:L801)</f>
        <v>27222.99047</v>
      </c>
      <c r="N799" s="15" t="b">
        <f t="shared" si="1"/>
        <v>0</v>
      </c>
    </row>
    <row r="800" hidden="1">
      <c r="A800" s="7" t="s">
        <v>166</v>
      </c>
      <c r="B800" s="7" t="s">
        <v>17</v>
      </c>
      <c r="C800" s="7">
        <v>0.5</v>
      </c>
      <c r="D800" s="7">
        <v>1.0</v>
      </c>
      <c r="E800" s="7">
        <v>10.0</v>
      </c>
      <c r="F800" s="7">
        <v>194.071803569793</v>
      </c>
      <c r="G800" s="7">
        <v>279.803638219833</v>
      </c>
      <c r="H800" s="7">
        <v>3.0</v>
      </c>
      <c r="I800" s="15">
        <v>0.157875654148889</v>
      </c>
      <c r="J800" s="15">
        <v>0.0861658945413644</v>
      </c>
      <c r="K800" s="12">
        <f>AVERAGE(I797:I801)</f>
        <v>0.4609202635</v>
      </c>
      <c r="L800" s="18">
        <v>45344.0</v>
      </c>
      <c r="M800" s="14">
        <f>STDEV(L797:L801)</f>
        <v>27222.99047</v>
      </c>
      <c r="N800" s="15" t="b">
        <f t="shared" si="1"/>
        <v>0</v>
      </c>
    </row>
    <row r="801" hidden="1">
      <c r="A801" s="7" t="s">
        <v>166</v>
      </c>
      <c r="B801" s="7" t="s">
        <v>17</v>
      </c>
      <c r="C801" s="7">
        <v>0.5</v>
      </c>
      <c r="D801" s="7">
        <v>1.0</v>
      </c>
      <c r="E801" s="7">
        <v>10.0</v>
      </c>
      <c r="F801" s="7">
        <v>194.071803569793</v>
      </c>
      <c r="G801" s="7">
        <v>279.803638219833</v>
      </c>
      <c r="H801" s="7">
        <v>4.0</v>
      </c>
      <c r="I801" s="15">
        <v>0.825878472450817</v>
      </c>
      <c r="J801" s="15">
        <v>0.0933809805217713</v>
      </c>
      <c r="K801" s="12">
        <f>AVERAGE(I797:I801)</f>
        <v>0.4609202635</v>
      </c>
      <c r="L801" s="18">
        <v>4613.0</v>
      </c>
      <c r="M801" s="14">
        <f>STDEV(L797:L801)</f>
        <v>27222.99047</v>
      </c>
      <c r="N801" s="15" t="b">
        <f t="shared" si="1"/>
        <v>0</v>
      </c>
    </row>
    <row r="802" hidden="1">
      <c r="A802" s="7" t="s">
        <v>167</v>
      </c>
      <c r="B802" s="7" t="s">
        <v>17</v>
      </c>
      <c r="C802" s="7">
        <v>0.75</v>
      </c>
      <c r="D802" s="7">
        <v>0.1</v>
      </c>
      <c r="E802" s="7">
        <v>1.0</v>
      </c>
      <c r="F802" s="7">
        <v>181.509538412094</v>
      </c>
      <c r="G802" s="7">
        <v>273.019433498382</v>
      </c>
      <c r="H802" s="7">
        <v>0.0</v>
      </c>
      <c r="I802" s="15">
        <v>0.807029442241579</v>
      </c>
      <c r="J802" s="15">
        <v>0.0957842398396282</v>
      </c>
      <c r="K802" s="12">
        <f>AVERAGE(I802:I806)</f>
        <v>0.5805170589</v>
      </c>
      <c r="L802" s="18">
        <v>14550.0</v>
      </c>
      <c r="M802" s="14">
        <f>STDEV(L802:L806)</f>
        <v>35936.25741</v>
      </c>
      <c r="N802" s="15" t="b">
        <f t="shared" si="1"/>
        <v>0</v>
      </c>
    </row>
    <row r="803" hidden="1">
      <c r="A803" s="7" t="s">
        <v>167</v>
      </c>
      <c r="B803" s="7" t="s">
        <v>17</v>
      </c>
      <c r="C803" s="7">
        <v>0.75</v>
      </c>
      <c r="D803" s="7">
        <v>0.1</v>
      </c>
      <c r="E803" s="7">
        <v>1.0</v>
      </c>
      <c r="F803" s="7">
        <v>181.509538412094</v>
      </c>
      <c r="G803" s="7">
        <v>273.019433498382</v>
      </c>
      <c r="H803" s="7">
        <v>1.0</v>
      </c>
      <c r="I803" s="15">
        <v>0.424501346640372</v>
      </c>
      <c r="J803" s="15">
        <v>0.114960374015929</v>
      </c>
      <c r="K803" s="12">
        <f>AVERAGE(I802:I806)</f>
        <v>0.5805170589</v>
      </c>
      <c r="L803" s="18">
        <v>22804.0</v>
      </c>
      <c r="M803" s="14">
        <f>STDEV(L802:L806)</f>
        <v>35936.25741</v>
      </c>
      <c r="N803" s="15" t="b">
        <f t="shared" si="1"/>
        <v>0</v>
      </c>
    </row>
    <row r="804" hidden="1">
      <c r="A804" s="7" t="s">
        <v>167</v>
      </c>
      <c r="B804" s="7" t="s">
        <v>17</v>
      </c>
      <c r="C804" s="7">
        <v>0.75</v>
      </c>
      <c r="D804" s="7">
        <v>0.1</v>
      </c>
      <c r="E804" s="7">
        <v>1.0</v>
      </c>
      <c r="F804" s="7">
        <v>181.509538412094</v>
      </c>
      <c r="G804" s="7">
        <v>273.019433498382</v>
      </c>
      <c r="H804" s="7">
        <v>2.0</v>
      </c>
      <c r="I804" s="15">
        <v>0.828325275857056</v>
      </c>
      <c r="J804" s="15">
        <v>0.0973299744493498</v>
      </c>
      <c r="K804" s="12">
        <f>AVERAGE(I802:I806)</f>
        <v>0.5805170589</v>
      </c>
      <c r="L804" s="18">
        <v>7451.0</v>
      </c>
      <c r="M804" s="14">
        <f>STDEV(L802:L806)</f>
        <v>35936.25741</v>
      </c>
      <c r="N804" s="15" t="b">
        <f t="shared" si="1"/>
        <v>0</v>
      </c>
    </row>
    <row r="805" hidden="1">
      <c r="A805" s="7" t="s">
        <v>167</v>
      </c>
      <c r="B805" s="7" t="s">
        <v>17</v>
      </c>
      <c r="C805" s="7">
        <v>0.75</v>
      </c>
      <c r="D805" s="7">
        <v>0.1</v>
      </c>
      <c r="E805" s="7">
        <v>1.0</v>
      </c>
      <c r="F805" s="7">
        <v>181.509538412094</v>
      </c>
      <c r="G805" s="7">
        <v>273.019433498382</v>
      </c>
      <c r="H805" s="7">
        <v>3.0</v>
      </c>
      <c r="I805" s="15">
        <v>0.0182800163620971</v>
      </c>
      <c r="J805" s="15">
        <v>0.147970147821453</v>
      </c>
      <c r="K805" s="12">
        <f>AVERAGE(I802:I806)</f>
        <v>0.5805170589</v>
      </c>
      <c r="L805" s="18">
        <v>91452.0</v>
      </c>
      <c r="M805" s="14">
        <f>STDEV(L802:L806)</f>
        <v>35936.25741</v>
      </c>
      <c r="N805" s="15" t="b">
        <f t="shared" si="1"/>
        <v>0</v>
      </c>
    </row>
    <row r="806" hidden="1">
      <c r="A806" s="7" t="s">
        <v>167</v>
      </c>
      <c r="B806" s="7" t="s">
        <v>17</v>
      </c>
      <c r="C806" s="7">
        <v>0.75</v>
      </c>
      <c r="D806" s="7">
        <v>0.1</v>
      </c>
      <c r="E806" s="7">
        <v>1.0</v>
      </c>
      <c r="F806" s="7">
        <v>181.509538412094</v>
      </c>
      <c r="G806" s="7">
        <v>273.019433498382</v>
      </c>
      <c r="H806" s="7">
        <v>4.0</v>
      </c>
      <c r="I806" s="15">
        <v>0.824449213628854</v>
      </c>
      <c r="J806" s="15">
        <v>0.103316809251506</v>
      </c>
      <c r="K806" s="12">
        <f>AVERAGE(I802:I806)</f>
        <v>0.5805170589</v>
      </c>
      <c r="L806" s="18">
        <v>5419.0</v>
      </c>
      <c r="M806" s="14">
        <f>STDEV(L802:L806)</f>
        <v>35936.25741</v>
      </c>
      <c r="N806" s="15" t="b">
        <f t="shared" si="1"/>
        <v>0</v>
      </c>
    </row>
    <row r="807" hidden="1">
      <c r="A807" s="7" t="s">
        <v>168</v>
      </c>
      <c r="B807" s="20" t="s">
        <v>17</v>
      </c>
      <c r="C807" s="20">
        <v>0.75</v>
      </c>
      <c r="D807" s="20">
        <v>0.1</v>
      </c>
      <c r="E807" s="20">
        <v>2.0</v>
      </c>
      <c r="F807" s="7">
        <v>161.4106695652</v>
      </c>
      <c r="G807" s="7">
        <v>247.536075830459</v>
      </c>
      <c r="H807" s="7">
        <v>0.0</v>
      </c>
      <c r="I807" s="15">
        <v>0.0415723202821238</v>
      </c>
      <c r="J807" s="15">
        <v>0.133645729054151</v>
      </c>
      <c r="K807" s="12">
        <f>AVERAGE(I807:I811)</f>
        <v>0.6669394164</v>
      </c>
      <c r="L807" s="18">
        <v>112823.0</v>
      </c>
      <c r="M807" s="14">
        <f>STDEV(L807:L811)</f>
        <v>47365.14599</v>
      </c>
      <c r="N807" s="15" t="b">
        <f t="shared" si="1"/>
        <v>1</v>
      </c>
    </row>
    <row r="808" hidden="1">
      <c r="A808" s="7" t="s">
        <v>168</v>
      </c>
      <c r="B808" s="20" t="s">
        <v>17</v>
      </c>
      <c r="C808" s="20">
        <v>0.75</v>
      </c>
      <c r="D808" s="20">
        <v>0.1</v>
      </c>
      <c r="E808" s="20">
        <v>2.0</v>
      </c>
      <c r="F808" s="7">
        <v>161.4106695652</v>
      </c>
      <c r="G808" s="7">
        <v>247.536075830459</v>
      </c>
      <c r="H808" s="7">
        <v>1.0</v>
      </c>
      <c r="I808" s="15">
        <v>0.779929173856364</v>
      </c>
      <c r="J808" s="15">
        <v>0.130186570157238</v>
      </c>
      <c r="K808" s="12">
        <f>AVERAGE(I807:I811)</f>
        <v>0.6669394164</v>
      </c>
      <c r="L808" s="18">
        <v>13356.0</v>
      </c>
      <c r="M808" s="14">
        <f>STDEV(L807:L811)</f>
        <v>47365.14599</v>
      </c>
      <c r="N808" s="15" t="b">
        <f t="shared" si="1"/>
        <v>1</v>
      </c>
    </row>
    <row r="809" hidden="1">
      <c r="A809" s="7" t="s">
        <v>168</v>
      </c>
      <c r="B809" s="20" t="s">
        <v>17</v>
      </c>
      <c r="C809" s="20">
        <v>0.75</v>
      </c>
      <c r="D809" s="20">
        <v>0.1</v>
      </c>
      <c r="E809" s="20">
        <v>2.0</v>
      </c>
      <c r="F809" s="7">
        <v>161.4106695652</v>
      </c>
      <c r="G809" s="7">
        <v>247.536075830459</v>
      </c>
      <c r="H809" s="7">
        <v>2.0</v>
      </c>
      <c r="I809" s="15">
        <v>0.822611995139958</v>
      </c>
      <c r="J809" s="15">
        <v>0.104901667789027</v>
      </c>
      <c r="K809" s="12">
        <f>AVERAGE(I807:I811)</f>
        <v>0.6669394164</v>
      </c>
      <c r="L809" s="18">
        <v>5435.0</v>
      </c>
      <c r="M809" s="14">
        <f>STDEV(L807:L811)</f>
        <v>47365.14599</v>
      </c>
      <c r="N809" s="15" t="b">
        <f t="shared" si="1"/>
        <v>1</v>
      </c>
    </row>
    <row r="810" hidden="1">
      <c r="A810" s="7" t="s">
        <v>168</v>
      </c>
      <c r="B810" s="20" t="s">
        <v>17</v>
      </c>
      <c r="C810" s="20">
        <v>0.75</v>
      </c>
      <c r="D810" s="20">
        <v>0.1</v>
      </c>
      <c r="E810" s="20">
        <v>2.0</v>
      </c>
      <c r="F810" s="7">
        <v>161.4106695652</v>
      </c>
      <c r="G810" s="7">
        <v>247.536075830459</v>
      </c>
      <c r="H810" s="7">
        <v>3.0</v>
      </c>
      <c r="I810" s="15">
        <v>0.870879368110323</v>
      </c>
      <c r="J810" s="15">
        <v>0.0985481944598298</v>
      </c>
      <c r="K810" s="12">
        <f>AVERAGE(I807:I811)</f>
        <v>0.6669394164</v>
      </c>
      <c r="L810" s="18">
        <v>4451.0</v>
      </c>
      <c r="M810" s="14">
        <f>STDEV(L807:L811)</f>
        <v>47365.14599</v>
      </c>
      <c r="N810" s="15" t="b">
        <f t="shared" si="1"/>
        <v>1</v>
      </c>
    </row>
    <row r="811" hidden="1">
      <c r="A811" s="7" t="s">
        <v>168</v>
      </c>
      <c r="B811" s="20" t="s">
        <v>17</v>
      </c>
      <c r="C811" s="20">
        <v>0.75</v>
      </c>
      <c r="D811" s="20">
        <v>0.1</v>
      </c>
      <c r="E811" s="20">
        <v>2.0</v>
      </c>
      <c r="F811" s="7">
        <v>161.4106695652</v>
      </c>
      <c r="G811" s="7">
        <v>247.536075830459</v>
      </c>
      <c r="H811" s="7">
        <v>4.0</v>
      </c>
      <c r="I811" s="15">
        <v>0.819704224692439</v>
      </c>
      <c r="J811" s="15">
        <v>0.113545611418159</v>
      </c>
      <c r="K811" s="12">
        <f>AVERAGE(I807:I811)</f>
        <v>0.6669394164</v>
      </c>
      <c r="L811" s="18">
        <v>5611.0</v>
      </c>
      <c r="M811" s="14">
        <f>STDEV(L807:L811)</f>
        <v>47365.14599</v>
      </c>
      <c r="N811" s="15" t="b">
        <f t="shared" si="1"/>
        <v>1</v>
      </c>
    </row>
    <row r="812" hidden="1">
      <c r="A812" s="7" t="s">
        <v>169</v>
      </c>
      <c r="B812" s="7" t="s">
        <v>17</v>
      </c>
      <c r="C812" s="7">
        <v>0.75</v>
      </c>
      <c r="D812" s="7">
        <v>0.1</v>
      </c>
      <c r="E812" s="7">
        <v>3.0</v>
      </c>
      <c r="F812" s="7">
        <v>272.806598901748</v>
      </c>
      <c r="G812" s="7">
        <v>384.760251283645</v>
      </c>
      <c r="H812" s="7">
        <v>0.0</v>
      </c>
      <c r="I812" s="15">
        <v>0.397717307901548</v>
      </c>
      <c r="J812" s="15">
        <v>0.0622935890151143</v>
      </c>
      <c r="K812" s="12">
        <f>AVERAGE(I812:I816)</f>
        <v>0.4402781635</v>
      </c>
      <c r="L812" s="18">
        <v>27808.0</v>
      </c>
      <c r="M812" s="14">
        <f>STDEV(L812:L816)</f>
        <v>26539.68702</v>
      </c>
      <c r="N812" s="15" t="b">
        <f t="shared" si="1"/>
        <v>0</v>
      </c>
    </row>
    <row r="813" hidden="1">
      <c r="A813" s="7" t="s">
        <v>169</v>
      </c>
      <c r="B813" s="7" t="s">
        <v>17</v>
      </c>
      <c r="C813" s="7">
        <v>0.75</v>
      </c>
      <c r="D813" s="7">
        <v>0.1</v>
      </c>
      <c r="E813" s="7">
        <v>3.0</v>
      </c>
      <c r="F813" s="7">
        <v>272.806598901748</v>
      </c>
      <c r="G813" s="7">
        <v>384.760251283645</v>
      </c>
      <c r="H813" s="7">
        <v>1.0</v>
      </c>
      <c r="I813" s="15">
        <v>-0.00622201436090517</v>
      </c>
      <c r="J813" s="15">
        <v>0.155172828336884</v>
      </c>
      <c r="K813" s="12">
        <f>AVERAGE(I812:I816)</f>
        <v>0.4402781635</v>
      </c>
      <c r="L813" s="18">
        <v>63836.0</v>
      </c>
      <c r="M813" s="14">
        <f>STDEV(L812:L816)</f>
        <v>26539.68702</v>
      </c>
      <c r="N813" s="15" t="b">
        <f t="shared" si="1"/>
        <v>0</v>
      </c>
    </row>
    <row r="814" hidden="1">
      <c r="A814" s="7" t="s">
        <v>169</v>
      </c>
      <c r="B814" s="7" t="s">
        <v>17</v>
      </c>
      <c r="C814" s="7">
        <v>0.75</v>
      </c>
      <c r="D814" s="7">
        <v>0.1</v>
      </c>
      <c r="E814" s="7">
        <v>3.0</v>
      </c>
      <c r="F814" s="7">
        <v>272.806598901748</v>
      </c>
      <c r="G814" s="7">
        <v>384.760251283645</v>
      </c>
      <c r="H814" s="7">
        <v>2.0</v>
      </c>
      <c r="I814" s="15">
        <v>0.820609190286035</v>
      </c>
      <c r="J814" s="15">
        <v>0.114124685968469</v>
      </c>
      <c r="K814" s="12">
        <f>AVERAGE(I812:I816)</f>
        <v>0.4402781635</v>
      </c>
      <c r="L814" s="18">
        <v>1020.0</v>
      </c>
      <c r="M814" s="14">
        <f>STDEV(L812:L816)</f>
        <v>26539.68702</v>
      </c>
      <c r="N814" s="15" t="b">
        <f t="shared" si="1"/>
        <v>0</v>
      </c>
    </row>
    <row r="815" hidden="1">
      <c r="A815" s="7" t="s">
        <v>169</v>
      </c>
      <c r="B815" s="7" t="s">
        <v>17</v>
      </c>
      <c r="C815" s="7">
        <v>0.75</v>
      </c>
      <c r="D815" s="7">
        <v>0.1</v>
      </c>
      <c r="E815" s="7">
        <v>3.0</v>
      </c>
      <c r="F815" s="7">
        <v>272.806598901748</v>
      </c>
      <c r="G815" s="7">
        <v>384.760251283645</v>
      </c>
      <c r="H815" s="7">
        <v>3.0</v>
      </c>
      <c r="I815" s="15">
        <v>0.150126660515684</v>
      </c>
      <c r="J815" s="15">
        <v>0.062198358411603</v>
      </c>
      <c r="K815" s="12">
        <f>AVERAGE(I812:I816)</f>
        <v>0.4402781635</v>
      </c>
      <c r="L815" s="18">
        <v>44272.0</v>
      </c>
      <c r="M815" s="14">
        <f>STDEV(L812:L816)</f>
        <v>26539.68702</v>
      </c>
      <c r="N815" s="15" t="b">
        <f t="shared" si="1"/>
        <v>0</v>
      </c>
    </row>
    <row r="816" hidden="1">
      <c r="A816" s="7" t="s">
        <v>169</v>
      </c>
      <c r="B816" s="7" t="s">
        <v>17</v>
      </c>
      <c r="C816" s="7">
        <v>0.75</v>
      </c>
      <c r="D816" s="7">
        <v>0.1</v>
      </c>
      <c r="E816" s="7">
        <v>3.0</v>
      </c>
      <c r="F816" s="7">
        <v>272.806598901748</v>
      </c>
      <c r="G816" s="7">
        <v>384.760251283645</v>
      </c>
      <c r="H816" s="7">
        <v>4.0</v>
      </c>
      <c r="I816" s="15">
        <v>0.839159673228918</v>
      </c>
      <c r="J816" s="15">
        <v>0.0993828247095709</v>
      </c>
      <c r="K816" s="12">
        <f>AVERAGE(I812:I816)</f>
        <v>0.4402781635</v>
      </c>
      <c r="L816" s="18">
        <v>4740.0</v>
      </c>
      <c r="M816" s="14">
        <f>STDEV(L812:L816)</f>
        <v>26539.68702</v>
      </c>
      <c r="N816" s="15" t="b">
        <f t="shared" si="1"/>
        <v>0</v>
      </c>
    </row>
    <row r="817" hidden="1">
      <c r="A817" s="7" t="s">
        <v>170</v>
      </c>
      <c r="B817" s="7" t="s">
        <v>17</v>
      </c>
      <c r="C817" s="7">
        <v>0.75</v>
      </c>
      <c r="D817" s="7">
        <v>0.1</v>
      </c>
      <c r="E817" s="7">
        <v>4.0</v>
      </c>
      <c r="F817" s="7">
        <v>343.670365571975</v>
      </c>
      <c r="G817" s="7">
        <v>438.825310707092</v>
      </c>
      <c r="H817" s="7">
        <v>0.0</v>
      </c>
      <c r="I817" s="15">
        <v>0.794338108034906</v>
      </c>
      <c r="J817" s="15">
        <v>0.114191727641318</v>
      </c>
      <c r="K817" s="12">
        <f>AVERAGE(I817:I821)</f>
        <v>0.5425280941</v>
      </c>
      <c r="L817" s="18">
        <v>12186.0</v>
      </c>
      <c r="M817" s="14">
        <f>STDEV(L817:L821)</f>
        <v>29607.46627</v>
      </c>
      <c r="N817" s="15" t="b">
        <f t="shared" si="1"/>
        <v>0</v>
      </c>
    </row>
    <row r="818" hidden="1">
      <c r="A818" s="7" t="s">
        <v>170</v>
      </c>
      <c r="B818" s="7" t="s">
        <v>17</v>
      </c>
      <c r="C818" s="7">
        <v>0.75</v>
      </c>
      <c r="D818" s="7">
        <v>0.1</v>
      </c>
      <c r="E818" s="7">
        <v>4.0</v>
      </c>
      <c r="F818" s="7">
        <v>343.670365571975</v>
      </c>
      <c r="G818" s="7">
        <v>438.825310707092</v>
      </c>
      <c r="H818" s="7">
        <v>1.0</v>
      </c>
      <c r="I818" s="15">
        <v>0.830697858935716</v>
      </c>
      <c r="J818" s="15">
        <v>0.0951455814570588</v>
      </c>
      <c r="K818" s="12">
        <f>AVERAGE(I817:I821)</f>
        <v>0.5425280941</v>
      </c>
      <c r="L818" s="18">
        <v>7429.0</v>
      </c>
      <c r="M818" s="14">
        <f>STDEV(L817:L821)</f>
        <v>29607.46627</v>
      </c>
      <c r="N818" s="15" t="b">
        <f t="shared" si="1"/>
        <v>0</v>
      </c>
    </row>
    <row r="819" hidden="1">
      <c r="A819" s="7" t="s">
        <v>170</v>
      </c>
      <c r="B819" s="7" t="s">
        <v>17</v>
      </c>
      <c r="C819" s="7">
        <v>0.75</v>
      </c>
      <c r="D819" s="7">
        <v>0.1</v>
      </c>
      <c r="E819" s="7">
        <v>4.0</v>
      </c>
      <c r="F819" s="7">
        <v>343.670365571975</v>
      </c>
      <c r="G819" s="7">
        <v>438.825310707092</v>
      </c>
      <c r="H819" s="7">
        <v>2.0</v>
      </c>
      <c r="I819" s="15">
        <v>0.806922566170015</v>
      </c>
      <c r="J819" s="15">
        <v>0.0963634121141977</v>
      </c>
      <c r="K819" s="12">
        <f>AVERAGE(I817:I821)</f>
        <v>0.5425280941</v>
      </c>
      <c r="L819" s="18">
        <v>14548.0</v>
      </c>
      <c r="M819" s="14">
        <f>STDEV(L817:L821)</f>
        <v>29607.46627</v>
      </c>
      <c r="N819" s="15" t="b">
        <f t="shared" si="1"/>
        <v>0</v>
      </c>
    </row>
    <row r="820" hidden="1">
      <c r="A820" s="7" t="s">
        <v>170</v>
      </c>
      <c r="B820" s="7" t="s">
        <v>17</v>
      </c>
      <c r="C820" s="7">
        <v>0.75</v>
      </c>
      <c r="D820" s="7">
        <v>0.1</v>
      </c>
      <c r="E820" s="7">
        <v>4.0</v>
      </c>
      <c r="F820" s="7">
        <v>343.670365571975</v>
      </c>
      <c r="G820" s="7">
        <v>438.825310707092</v>
      </c>
      <c r="H820" s="7">
        <v>3.0</v>
      </c>
      <c r="I820" s="15">
        <v>0.304260914413285</v>
      </c>
      <c r="J820" s="15">
        <v>0.106614181069707</v>
      </c>
      <c r="K820" s="12">
        <f>AVERAGE(I817:I821)</f>
        <v>0.5425280941</v>
      </c>
      <c r="L820" s="18">
        <v>28008.0</v>
      </c>
      <c r="M820" s="14">
        <f>STDEV(L817:L821)</f>
        <v>29607.46627</v>
      </c>
      <c r="N820" s="15" t="b">
        <f t="shared" si="1"/>
        <v>0</v>
      </c>
    </row>
    <row r="821" hidden="1">
      <c r="A821" s="7" t="s">
        <v>170</v>
      </c>
      <c r="B821" s="7" t="s">
        <v>17</v>
      </c>
      <c r="C821" s="7">
        <v>0.75</v>
      </c>
      <c r="D821" s="7">
        <v>0.1</v>
      </c>
      <c r="E821" s="7">
        <v>4.0</v>
      </c>
      <c r="F821" s="7">
        <v>343.670365571975</v>
      </c>
      <c r="G821" s="7">
        <v>438.825310707092</v>
      </c>
      <c r="H821" s="7">
        <v>4.0</v>
      </c>
      <c r="I821" s="15">
        <v>-0.0235789769567311</v>
      </c>
      <c r="J821" s="15">
        <v>0.186274536565106</v>
      </c>
      <c r="K821" s="12">
        <f>AVERAGE(I817:I821)</f>
        <v>0.5425280941</v>
      </c>
      <c r="L821" s="18">
        <v>79505.0</v>
      </c>
      <c r="M821" s="14">
        <f>STDEV(L817:L821)</f>
        <v>29607.46627</v>
      </c>
      <c r="N821" s="15" t="b">
        <f t="shared" si="1"/>
        <v>0</v>
      </c>
    </row>
    <row r="822" hidden="1">
      <c r="A822" s="7" t="s">
        <v>171</v>
      </c>
      <c r="B822" s="22" t="s">
        <v>17</v>
      </c>
      <c r="C822" s="22">
        <v>0.75</v>
      </c>
      <c r="D822" s="22">
        <v>0.1</v>
      </c>
      <c r="E822" s="22">
        <v>5.0</v>
      </c>
      <c r="F822" s="7">
        <v>150.960852384567</v>
      </c>
      <c r="G822" s="7">
        <v>233.311869382858</v>
      </c>
      <c r="H822" s="7">
        <v>0.0</v>
      </c>
      <c r="I822" s="15">
        <v>0.819125395560355</v>
      </c>
      <c r="J822" s="15">
        <v>0.117029696281921</v>
      </c>
      <c r="K822" s="12">
        <f>AVERAGE(I822:I826)</f>
        <v>0.6392507756</v>
      </c>
      <c r="L822" s="18">
        <v>5614.0</v>
      </c>
      <c r="M822" s="14">
        <f>STDEV(L822:L826)</f>
        <v>44270.08526</v>
      </c>
      <c r="N822" s="15" t="b">
        <f t="shared" si="1"/>
        <v>0</v>
      </c>
    </row>
    <row r="823" hidden="1">
      <c r="A823" s="7" t="s">
        <v>171</v>
      </c>
      <c r="B823" s="22" t="s">
        <v>17</v>
      </c>
      <c r="C823" s="22">
        <v>0.75</v>
      </c>
      <c r="D823" s="22">
        <v>0.1</v>
      </c>
      <c r="E823" s="22">
        <v>5.0</v>
      </c>
      <c r="F823" s="7">
        <v>150.960852384567</v>
      </c>
      <c r="G823" s="7">
        <v>233.311869382858</v>
      </c>
      <c r="H823" s="7">
        <v>1.0</v>
      </c>
      <c r="I823" s="15">
        <v>0.809252982239157</v>
      </c>
      <c r="J823" s="15">
        <v>0.0965857738741128</v>
      </c>
      <c r="K823" s="12">
        <f>AVERAGE(I822:I826)</f>
        <v>0.6392507756</v>
      </c>
      <c r="L823" s="18">
        <v>14480.0</v>
      </c>
      <c r="M823" s="14">
        <f>STDEV(L822:L826)</f>
        <v>44270.08526</v>
      </c>
      <c r="N823" s="15" t="b">
        <f t="shared" si="1"/>
        <v>0</v>
      </c>
    </row>
    <row r="824" hidden="1">
      <c r="A824" s="7" t="s">
        <v>171</v>
      </c>
      <c r="B824" s="22" t="s">
        <v>17</v>
      </c>
      <c r="C824" s="22">
        <v>0.75</v>
      </c>
      <c r="D824" s="22">
        <v>0.1</v>
      </c>
      <c r="E824" s="22">
        <v>5.0</v>
      </c>
      <c r="F824" s="7">
        <v>150.960852384567</v>
      </c>
      <c r="G824" s="7">
        <v>233.311869382858</v>
      </c>
      <c r="H824" s="7">
        <v>2.0</v>
      </c>
      <c r="I824" s="15">
        <v>0.0169777775603844</v>
      </c>
      <c r="J824" s="15">
        <v>0.183250840290057</v>
      </c>
      <c r="K824" s="12">
        <f>AVERAGE(I822:I826)</f>
        <v>0.6392507756</v>
      </c>
      <c r="L824" s="18">
        <v>107046.0</v>
      </c>
      <c r="M824" s="14">
        <f>STDEV(L822:L826)</f>
        <v>44270.08526</v>
      </c>
      <c r="N824" s="15" t="b">
        <f t="shared" si="1"/>
        <v>0</v>
      </c>
    </row>
    <row r="825" hidden="1">
      <c r="A825" s="7" t="s">
        <v>171</v>
      </c>
      <c r="B825" s="22" t="s">
        <v>17</v>
      </c>
      <c r="C825" s="22">
        <v>0.75</v>
      </c>
      <c r="D825" s="22">
        <v>0.1</v>
      </c>
      <c r="E825" s="22">
        <v>5.0</v>
      </c>
      <c r="F825" s="7">
        <v>150.960852384567</v>
      </c>
      <c r="G825" s="7">
        <v>233.311869382858</v>
      </c>
      <c r="H825" s="7">
        <v>3.0</v>
      </c>
      <c r="I825" s="15">
        <v>0.794909215057823</v>
      </c>
      <c r="J825" s="15">
        <v>0.113426538513001</v>
      </c>
      <c r="K825" s="12">
        <f>AVERAGE(I822:I826)</f>
        <v>0.6392507756</v>
      </c>
      <c r="L825" s="18">
        <v>12172.0</v>
      </c>
      <c r="M825" s="14">
        <f>STDEV(L822:L826)</f>
        <v>44270.08526</v>
      </c>
      <c r="N825" s="15" t="b">
        <f t="shared" si="1"/>
        <v>0</v>
      </c>
    </row>
    <row r="826" hidden="1">
      <c r="A826" s="7" t="s">
        <v>171</v>
      </c>
      <c r="B826" s="22" t="s">
        <v>17</v>
      </c>
      <c r="C826" s="22">
        <v>0.75</v>
      </c>
      <c r="D826" s="22">
        <v>0.1</v>
      </c>
      <c r="E826" s="22">
        <v>5.0</v>
      </c>
      <c r="F826" s="7">
        <v>150.960852384567</v>
      </c>
      <c r="G826" s="7">
        <v>233.311869382858</v>
      </c>
      <c r="H826" s="7">
        <v>4.0</v>
      </c>
      <c r="I826" s="15">
        <v>0.755988507621245</v>
      </c>
      <c r="J826" s="15">
        <v>0.186604779717529</v>
      </c>
      <c r="K826" s="12">
        <f>AVERAGE(I822:I826)</f>
        <v>0.6392507756</v>
      </c>
      <c r="L826" s="18">
        <v>2364.0</v>
      </c>
      <c r="M826" s="14">
        <f>STDEV(L822:L826)</f>
        <v>44270.08526</v>
      </c>
      <c r="N826" s="15" t="b">
        <f t="shared" si="1"/>
        <v>0</v>
      </c>
    </row>
    <row r="827" hidden="1">
      <c r="A827" s="7" t="s">
        <v>172</v>
      </c>
      <c r="B827" s="7" t="s">
        <v>17</v>
      </c>
      <c r="C827" s="7">
        <v>0.75</v>
      </c>
      <c r="D827" s="7">
        <v>0.1</v>
      </c>
      <c r="E827" s="7">
        <v>6.0</v>
      </c>
      <c r="F827" s="7">
        <v>186.536342144012</v>
      </c>
      <c r="G827" s="7">
        <v>268.990315437316</v>
      </c>
      <c r="H827" s="7">
        <v>0.0</v>
      </c>
      <c r="I827" s="15">
        <v>0.806659583386854</v>
      </c>
      <c r="J827" s="15">
        <v>0.095976218669675</v>
      </c>
      <c r="K827" s="12">
        <f>AVERAGE(I827:I831)</f>
        <v>0.5490187566</v>
      </c>
      <c r="L827" s="18">
        <v>14548.0</v>
      </c>
      <c r="M827" s="14">
        <f>STDEV(L827:L831)</f>
        <v>32171.81789</v>
      </c>
      <c r="N827" s="15" t="b">
        <f t="shared" si="1"/>
        <v>0</v>
      </c>
    </row>
    <row r="828" hidden="1">
      <c r="A828" s="7" t="s">
        <v>172</v>
      </c>
      <c r="B828" s="7" t="s">
        <v>17</v>
      </c>
      <c r="C828" s="7">
        <v>0.75</v>
      </c>
      <c r="D828" s="7">
        <v>0.1</v>
      </c>
      <c r="E828" s="7">
        <v>6.0</v>
      </c>
      <c r="F828" s="7">
        <v>186.536342144012</v>
      </c>
      <c r="G828" s="7">
        <v>268.990315437316</v>
      </c>
      <c r="H828" s="7">
        <v>1.0</v>
      </c>
      <c r="I828" s="15">
        <v>0.794297778264835</v>
      </c>
      <c r="J828" s="15">
        <v>0.113703890779123</v>
      </c>
      <c r="K828" s="12">
        <f>AVERAGE(I827:I831)</f>
        <v>0.5490187566</v>
      </c>
      <c r="L828" s="18">
        <v>12189.0</v>
      </c>
      <c r="M828" s="14">
        <f>STDEV(L827:L831)</f>
        <v>32171.81789</v>
      </c>
      <c r="N828" s="15" t="b">
        <f t="shared" si="1"/>
        <v>0</v>
      </c>
    </row>
    <row r="829" hidden="1">
      <c r="A829" s="7" t="s">
        <v>172</v>
      </c>
      <c r="B829" s="7" t="s">
        <v>17</v>
      </c>
      <c r="C829" s="7">
        <v>0.75</v>
      </c>
      <c r="D829" s="7">
        <v>0.1</v>
      </c>
      <c r="E829" s="7">
        <v>6.0</v>
      </c>
      <c r="F829" s="7">
        <v>186.536342144012</v>
      </c>
      <c r="G829" s="7">
        <v>268.990315437316</v>
      </c>
      <c r="H829" s="7">
        <v>2.0</v>
      </c>
      <c r="I829" s="15">
        <v>0.393059571835093</v>
      </c>
      <c r="J829" s="15">
        <v>0.10080009454698</v>
      </c>
      <c r="K829" s="12">
        <f>AVERAGE(I827:I831)</f>
        <v>0.5490187566</v>
      </c>
      <c r="L829" s="18">
        <v>15861.0</v>
      </c>
      <c r="M829" s="14">
        <f>STDEV(L827:L831)</f>
        <v>32171.81789</v>
      </c>
      <c r="N829" s="15" t="b">
        <f t="shared" si="1"/>
        <v>0</v>
      </c>
    </row>
    <row r="830" hidden="1">
      <c r="A830" s="7" t="s">
        <v>172</v>
      </c>
      <c r="B830" s="7" t="s">
        <v>17</v>
      </c>
      <c r="C830" s="7">
        <v>0.75</v>
      </c>
      <c r="D830" s="7">
        <v>0.1</v>
      </c>
      <c r="E830" s="7">
        <v>6.0</v>
      </c>
      <c r="F830" s="7">
        <v>186.536342144012</v>
      </c>
      <c r="G830" s="7">
        <v>268.990315437316</v>
      </c>
      <c r="H830" s="7">
        <v>3.0</v>
      </c>
      <c r="I830" s="15">
        <v>0.782423923407755</v>
      </c>
      <c r="J830" s="15">
        <v>0.127976150008736</v>
      </c>
      <c r="K830" s="12">
        <f>AVERAGE(I827:I831)</f>
        <v>0.5490187566</v>
      </c>
      <c r="L830" s="18">
        <v>13245.0</v>
      </c>
      <c r="M830" s="14">
        <f>STDEV(L827:L831)</f>
        <v>32171.81789</v>
      </c>
      <c r="N830" s="15" t="b">
        <f t="shared" si="1"/>
        <v>0</v>
      </c>
    </row>
    <row r="831" hidden="1">
      <c r="A831" s="7" t="s">
        <v>172</v>
      </c>
      <c r="B831" s="7" t="s">
        <v>17</v>
      </c>
      <c r="C831" s="7">
        <v>0.75</v>
      </c>
      <c r="D831" s="7">
        <v>0.1</v>
      </c>
      <c r="E831" s="7">
        <v>6.0</v>
      </c>
      <c r="F831" s="7">
        <v>186.536342144012</v>
      </c>
      <c r="G831" s="7">
        <v>268.990315437316</v>
      </c>
      <c r="H831" s="7">
        <v>4.0</v>
      </c>
      <c r="I831" s="15">
        <v>-0.0313470741439614</v>
      </c>
      <c r="J831" s="15">
        <v>0.203357649046142</v>
      </c>
      <c r="K831" s="12">
        <f>AVERAGE(I827:I831)</f>
        <v>0.5490187566</v>
      </c>
      <c r="L831" s="18">
        <v>85833.0</v>
      </c>
      <c r="M831" s="14">
        <f>STDEV(L827:L831)</f>
        <v>32171.81789</v>
      </c>
      <c r="N831" s="15" t="b">
        <f t="shared" si="1"/>
        <v>0</v>
      </c>
    </row>
    <row r="832" hidden="1">
      <c r="A832" s="7" t="s">
        <v>173</v>
      </c>
      <c r="B832" s="7" t="s">
        <v>17</v>
      </c>
      <c r="C832" s="7">
        <v>0.75</v>
      </c>
      <c r="D832" s="7">
        <v>0.1</v>
      </c>
      <c r="E832" s="7">
        <v>7.0</v>
      </c>
      <c r="F832" s="7">
        <v>283.545923948288</v>
      </c>
      <c r="G832" s="7">
        <v>386.528562784194</v>
      </c>
      <c r="H832" s="7">
        <v>0.0</v>
      </c>
      <c r="I832" s="15">
        <v>0.0104821754945694</v>
      </c>
      <c r="J832" s="15">
        <v>0.168003085579605</v>
      </c>
      <c r="K832" s="12">
        <f>AVERAGE(I832:I836)</f>
        <v>0.3978077307</v>
      </c>
      <c r="L832" s="18">
        <v>72688.0</v>
      </c>
      <c r="M832" s="14">
        <f>STDEV(L832:L836)</f>
        <v>28419.09072</v>
      </c>
      <c r="N832" s="15" t="b">
        <f t="shared" si="1"/>
        <v>0</v>
      </c>
    </row>
    <row r="833" hidden="1">
      <c r="A833" s="7" t="s">
        <v>173</v>
      </c>
      <c r="B833" s="7" t="s">
        <v>17</v>
      </c>
      <c r="C833" s="7">
        <v>0.75</v>
      </c>
      <c r="D833" s="7">
        <v>0.1</v>
      </c>
      <c r="E833" s="7">
        <v>7.0</v>
      </c>
      <c r="F833" s="7">
        <v>283.545923948288</v>
      </c>
      <c r="G833" s="7">
        <v>386.528562784194</v>
      </c>
      <c r="H833" s="7">
        <v>1.0</v>
      </c>
      <c r="I833" s="15">
        <v>0.23817177168681</v>
      </c>
      <c r="J833" s="15">
        <v>0.10277244322832</v>
      </c>
      <c r="K833" s="12">
        <f>AVERAGE(I832:I836)</f>
        <v>0.3978077307</v>
      </c>
      <c r="L833" s="18">
        <v>29222.0</v>
      </c>
      <c r="M833" s="14">
        <f>STDEV(L832:L836)</f>
        <v>28419.09072</v>
      </c>
      <c r="N833" s="15" t="b">
        <f t="shared" si="1"/>
        <v>0</v>
      </c>
    </row>
    <row r="834" hidden="1">
      <c r="A834" s="7" t="s">
        <v>173</v>
      </c>
      <c r="B834" s="7" t="s">
        <v>17</v>
      </c>
      <c r="C834" s="7">
        <v>0.75</v>
      </c>
      <c r="D834" s="7">
        <v>0.1</v>
      </c>
      <c r="E834" s="7">
        <v>7.0</v>
      </c>
      <c r="F834" s="7">
        <v>283.545923948288</v>
      </c>
      <c r="G834" s="7">
        <v>386.528562784194</v>
      </c>
      <c r="H834" s="7">
        <v>2.0</v>
      </c>
      <c r="I834" s="15">
        <v>0.296301103921002</v>
      </c>
      <c r="J834" s="15">
        <v>0.0848936276939316</v>
      </c>
      <c r="K834" s="12">
        <f>AVERAGE(I832:I836)</f>
        <v>0.3978077307</v>
      </c>
      <c r="L834" s="18">
        <v>32850.0</v>
      </c>
      <c r="M834" s="14">
        <f>STDEV(L832:L836)</f>
        <v>28419.09072</v>
      </c>
      <c r="N834" s="15" t="b">
        <f t="shared" si="1"/>
        <v>0</v>
      </c>
    </row>
    <row r="835" hidden="1">
      <c r="A835" s="7" t="s">
        <v>173</v>
      </c>
      <c r="B835" s="7" t="s">
        <v>17</v>
      </c>
      <c r="C835" s="7">
        <v>0.75</v>
      </c>
      <c r="D835" s="7">
        <v>0.1</v>
      </c>
      <c r="E835" s="7">
        <v>7.0</v>
      </c>
      <c r="F835" s="7">
        <v>283.545923948288</v>
      </c>
      <c r="G835" s="7">
        <v>386.528562784194</v>
      </c>
      <c r="H835" s="7">
        <v>3.0</v>
      </c>
      <c r="I835" s="15">
        <v>0.797507297488358</v>
      </c>
      <c r="J835" s="15">
        <v>0.121101463644119</v>
      </c>
      <c r="K835" s="12">
        <f>AVERAGE(I832:I836)</f>
        <v>0.3978077307</v>
      </c>
      <c r="L835" s="18">
        <v>4956.0</v>
      </c>
      <c r="M835" s="14">
        <f>STDEV(L832:L836)</f>
        <v>28419.09072</v>
      </c>
      <c r="N835" s="15" t="b">
        <f t="shared" si="1"/>
        <v>0</v>
      </c>
    </row>
    <row r="836" hidden="1">
      <c r="A836" s="7" t="s">
        <v>173</v>
      </c>
      <c r="B836" s="7" t="s">
        <v>17</v>
      </c>
      <c r="C836" s="7">
        <v>0.75</v>
      </c>
      <c r="D836" s="7">
        <v>0.1</v>
      </c>
      <c r="E836" s="7">
        <v>7.0</v>
      </c>
      <c r="F836" s="7">
        <v>283.545923948288</v>
      </c>
      <c r="G836" s="7">
        <v>386.528562784194</v>
      </c>
      <c r="H836" s="7">
        <v>4.0</v>
      </c>
      <c r="I836" s="15">
        <v>0.646576304892817</v>
      </c>
      <c r="J836" s="15">
        <v>0.123368495503034</v>
      </c>
      <c r="K836" s="12">
        <f>AVERAGE(I832:I836)</f>
        <v>0.3978077307</v>
      </c>
      <c r="L836" s="18">
        <v>1960.0</v>
      </c>
      <c r="M836" s="14">
        <f>STDEV(L832:L836)</f>
        <v>28419.09072</v>
      </c>
      <c r="N836" s="15" t="b">
        <f t="shared" si="1"/>
        <v>0</v>
      </c>
    </row>
    <row r="837" hidden="1">
      <c r="A837" s="7" t="s">
        <v>174</v>
      </c>
      <c r="B837" s="7" t="s">
        <v>17</v>
      </c>
      <c r="C837" s="7">
        <v>0.75</v>
      </c>
      <c r="D837" s="7">
        <v>0.1</v>
      </c>
      <c r="E837" s="7">
        <v>8.0</v>
      </c>
      <c r="F837" s="7">
        <v>192.069175720214</v>
      </c>
      <c r="G837" s="7">
        <v>278.073514461517</v>
      </c>
      <c r="H837" s="7">
        <v>0.0</v>
      </c>
      <c r="I837" s="15">
        <v>0.0215213023348221</v>
      </c>
      <c r="J837" s="15">
        <v>0.14935688663207</v>
      </c>
      <c r="K837" s="12">
        <f>AVERAGE(I837:I841)</f>
        <v>0.571216881</v>
      </c>
      <c r="L837" s="18">
        <v>99561.0</v>
      </c>
      <c r="M837" s="14">
        <f>STDEV(L837:L841)</f>
        <v>40531.74325</v>
      </c>
      <c r="N837" s="15" t="b">
        <f t="shared" si="1"/>
        <v>0</v>
      </c>
    </row>
    <row r="838" hidden="1">
      <c r="A838" s="7" t="s">
        <v>174</v>
      </c>
      <c r="B838" s="7" t="s">
        <v>17</v>
      </c>
      <c r="C838" s="7">
        <v>0.75</v>
      </c>
      <c r="D838" s="7">
        <v>0.1</v>
      </c>
      <c r="E838" s="7">
        <v>8.0</v>
      </c>
      <c r="F838" s="7">
        <v>192.069175720214</v>
      </c>
      <c r="G838" s="7">
        <v>278.073514461517</v>
      </c>
      <c r="H838" s="7">
        <v>1.0</v>
      </c>
      <c r="I838" s="15">
        <v>0.74325059406938</v>
      </c>
      <c r="J838" s="15">
        <v>0.148737955188648</v>
      </c>
      <c r="K838" s="12">
        <f>AVERAGE(I837:I841)</f>
        <v>0.571216881</v>
      </c>
      <c r="L838" s="18">
        <v>1690.0</v>
      </c>
      <c r="M838" s="14">
        <f>STDEV(L837:L841)</f>
        <v>40531.74325</v>
      </c>
      <c r="N838" s="15" t="b">
        <f t="shared" si="1"/>
        <v>0</v>
      </c>
    </row>
    <row r="839" hidden="1">
      <c r="A839" s="7" t="s">
        <v>174</v>
      </c>
      <c r="B839" s="7" t="s">
        <v>17</v>
      </c>
      <c r="C839" s="7">
        <v>0.75</v>
      </c>
      <c r="D839" s="7">
        <v>0.1</v>
      </c>
      <c r="E839" s="7">
        <v>8.0</v>
      </c>
      <c r="F839" s="7">
        <v>192.069175720214</v>
      </c>
      <c r="G839" s="7">
        <v>278.073514461517</v>
      </c>
      <c r="H839" s="7">
        <v>2.0</v>
      </c>
      <c r="I839" s="15">
        <v>0.81957764023184</v>
      </c>
      <c r="J839" s="15">
        <v>0.113943822925243</v>
      </c>
      <c r="K839" s="12">
        <f>AVERAGE(I837:I841)</f>
        <v>0.571216881</v>
      </c>
      <c r="L839" s="18">
        <v>5611.0</v>
      </c>
      <c r="M839" s="14">
        <f>STDEV(L837:L841)</f>
        <v>40531.74325</v>
      </c>
      <c r="N839" s="15" t="b">
        <f t="shared" si="1"/>
        <v>0</v>
      </c>
    </row>
    <row r="840" hidden="1">
      <c r="A840" s="7" t="s">
        <v>174</v>
      </c>
      <c r="B840" s="7" t="s">
        <v>17</v>
      </c>
      <c r="C840" s="7">
        <v>0.75</v>
      </c>
      <c r="D840" s="7">
        <v>0.1</v>
      </c>
      <c r="E840" s="7">
        <v>8.0</v>
      </c>
      <c r="F840" s="7">
        <v>192.069175720214</v>
      </c>
      <c r="G840" s="7">
        <v>278.073514461517</v>
      </c>
      <c r="H840" s="7">
        <v>3.0</v>
      </c>
      <c r="I840" s="15">
        <v>0.491799144935879</v>
      </c>
      <c r="J840" s="15">
        <v>0.167529143547979</v>
      </c>
      <c r="K840" s="12">
        <f>AVERAGE(I837:I841)</f>
        <v>0.571216881</v>
      </c>
      <c r="L840" s="18">
        <v>21467.0</v>
      </c>
      <c r="M840" s="14">
        <f>STDEV(L837:L841)</f>
        <v>40531.74325</v>
      </c>
      <c r="N840" s="15" t="b">
        <f t="shared" si="1"/>
        <v>0</v>
      </c>
    </row>
    <row r="841" hidden="1">
      <c r="A841" s="7" t="s">
        <v>174</v>
      </c>
      <c r="B841" s="7" t="s">
        <v>17</v>
      </c>
      <c r="C841" s="7">
        <v>0.75</v>
      </c>
      <c r="D841" s="7">
        <v>0.1</v>
      </c>
      <c r="E841" s="7">
        <v>8.0</v>
      </c>
      <c r="F841" s="7">
        <v>192.069175720214</v>
      </c>
      <c r="G841" s="7">
        <v>278.073514461517</v>
      </c>
      <c r="H841" s="7">
        <v>4.0</v>
      </c>
      <c r="I841" s="15">
        <v>0.779935723217168</v>
      </c>
      <c r="J841" s="15">
        <v>0.130399702215606</v>
      </c>
      <c r="K841" s="12">
        <f>AVERAGE(I837:I841)</f>
        <v>0.571216881</v>
      </c>
      <c r="L841" s="18">
        <v>13347.0</v>
      </c>
      <c r="M841" s="14">
        <f>STDEV(L837:L841)</f>
        <v>40531.74325</v>
      </c>
      <c r="N841" s="15" t="b">
        <f t="shared" si="1"/>
        <v>0</v>
      </c>
    </row>
    <row r="842" hidden="1">
      <c r="A842" s="7" t="s">
        <v>175</v>
      </c>
      <c r="B842" s="7" t="s">
        <v>17</v>
      </c>
      <c r="C842" s="7">
        <v>0.75</v>
      </c>
      <c r="D842" s="7">
        <v>0.1</v>
      </c>
      <c r="E842" s="7">
        <v>9.0</v>
      </c>
      <c r="F842" s="7">
        <v>382.379464626312</v>
      </c>
      <c r="G842" s="7">
        <v>452.99579668045</v>
      </c>
      <c r="H842" s="7">
        <v>0.0</v>
      </c>
      <c r="I842" s="15">
        <v>0.802540458570752</v>
      </c>
      <c r="J842" s="15">
        <v>0.0969529628948856</v>
      </c>
      <c r="K842" s="12">
        <f>AVERAGE(I842:I846)</f>
        <v>0.5079251335</v>
      </c>
      <c r="L842" s="18">
        <v>14554.0</v>
      </c>
      <c r="M842" s="14">
        <f>STDEV(L842:L846)</f>
        <v>25147.2938</v>
      </c>
      <c r="N842" s="15" t="b">
        <f t="shared" si="1"/>
        <v>0</v>
      </c>
    </row>
    <row r="843" hidden="1">
      <c r="A843" s="7" t="s">
        <v>175</v>
      </c>
      <c r="B843" s="7" t="s">
        <v>17</v>
      </c>
      <c r="C843" s="7">
        <v>0.75</v>
      </c>
      <c r="D843" s="7">
        <v>0.1</v>
      </c>
      <c r="E843" s="7">
        <v>9.0</v>
      </c>
      <c r="F843" s="7">
        <v>382.379464626312</v>
      </c>
      <c r="G843" s="7">
        <v>452.99579668045</v>
      </c>
      <c r="H843" s="7">
        <v>1.0</v>
      </c>
      <c r="I843" s="15">
        <v>0.127024893879981</v>
      </c>
      <c r="J843" s="15">
        <v>0.296566532527796</v>
      </c>
      <c r="K843" s="12">
        <f>AVERAGE(I842:I846)</f>
        <v>0.5079251335</v>
      </c>
      <c r="L843" s="18">
        <v>57920.0</v>
      </c>
      <c r="M843" s="14">
        <f>STDEV(L842:L846)</f>
        <v>25147.2938</v>
      </c>
      <c r="N843" s="15" t="b">
        <f t="shared" si="1"/>
        <v>0</v>
      </c>
    </row>
    <row r="844" hidden="1">
      <c r="A844" s="7" t="s">
        <v>175</v>
      </c>
      <c r="B844" s="7" t="s">
        <v>17</v>
      </c>
      <c r="C844" s="7">
        <v>0.75</v>
      </c>
      <c r="D844" s="7">
        <v>0.1</v>
      </c>
      <c r="E844" s="7">
        <v>9.0</v>
      </c>
      <c r="F844" s="7">
        <v>382.379464626312</v>
      </c>
      <c r="G844" s="7">
        <v>452.99579668045</v>
      </c>
      <c r="H844" s="7">
        <v>2.0</v>
      </c>
      <c r="I844" s="15">
        <v>0.0404957704107913</v>
      </c>
      <c r="J844" s="15">
        <v>0.0306379180803273</v>
      </c>
      <c r="K844" s="12">
        <f>AVERAGE(I842:I846)</f>
        <v>0.5079251335</v>
      </c>
      <c r="L844" s="18">
        <v>53290.0</v>
      </c>
      <c r="M844" s="14">
        <f>STDEV(L842:L846)</f>
        <v>25147.2938</v>
      </c>
      <c r="N844" s="15" t="b">
        <f t="shared" si="1"/>
        <v>0</v>
      </c>
    </row>
    <row r="845" hidden="1">
      <c r="A845" s="7" t="s">
        <v>175</v>
      </c>
      <c r="B845" s="7" t="s">
        <v>17</v>
      </c>
      <c r="C845" s="7">
        <v>0.75</v>
      </c>
      <c r="D845" s="7">
        <v>0.1</v>
      </c>
      <c r="E845" s="7">
        <v>9.0</v>
      </c>
      <c r="F845" s="7">
        <v>382.379464626312</v>
      </c>
      <c r="G845" s="7">
        <v>452.99579668045</v>
      </c>
      <c r="H845" s="7">
        <v>3.0</v>
      </c>
      <c r="I845" s="15">
        <v>0.818357197517068</v>
      </c>
      <c r="J845" s="15">
        <v>0.113956410449066</v>
      </c>
      <c r="K845" s="12">
        <f>AVERAGE(I842:I846)</f>
        <v>0.5079251335</v>
      </c>
      <c r="L845" s="18">
        <v>5611.0</v>
      </c>
      <c r="M845" s="14">
        <f>STDEV(L842:L846)</f>
        <v>25147.2938</v>
      </c>
      <c r="N845" s="15" t="b">
        <f t="shared" si="1"/>
        <v>0</v>
      </c>
    </row>
    <row r="846" hidden="1">
      <c r="A846" s="7" t="s">
        <v>175</v>
      </c>
      <c r="B846" s="7" t="s">
        <v>17</v>
      </c>
      <c r="C846" s="7">
        <v>0.75</v>
      </c>
      <c r="D846" s="7">
        <v>0.1</v>
      </c>
      <c r="E846" s="7">
        <v>9.0</v>
      </c>
      <c r="F846" s="7">
        <v>382.379464626312</v>
      </c>
      <c r="G846" s="7">
        <v>452.99579668045</v>
      </c>
      <c r="H846" s="7">
        <v>4.0</v>
      </c>
      <c r="I846" s="15">
        <v>0.751207347080859</v>
      </c>
      <c r="J846" s="15">
        <v>0.134589353777419</v>
      </c>
      <c r="K846" s="12">
        <f>AVERAGE(I842:I846)</f>
        <v>0.5079251335</v>
      </c>
      <c r="L846" s="18">
        <v>10301.0</v>
      </c>
      <c r="M846" s="14">
        <f>STDEV(L842:L846)</f>
        <v>25147.2938</v>
      </c>
      <c r="N846" s="15" t="b">
        <f t="shared" si="1"/>
        <v>0</v>
      </c>
    </row>
    <row r="847" hidden="1">
      <c r="A847" s="7" t="s">
        <v>176</v>
      </c>
      <c r="B847" s="21" t="s">
        <v>17</v>
      </c>
      <c r="C847" s="21">
        <v>0.75</v>
      </c>
      <c r="D847" s="21">
        <v>0.1</v>
      </c>
      <c r="E847" s="21">
        <v>10.0</v>
      </c>
      <c r="F847" s="7">
        <v>185.634170293807</v>
      </c>
      <c r="G847" s="7">
        <v>272.937933921814</v>
      </c>
      <c r="H847" s="7">
        <v>0.0</v>
      </c>
      <c r="I847" s="15">
        <v>0.777542790728446</v>
      </c>
      <c r="J847" s="15">
        <v>0.137275132164339</v>
      </c>
      <c r="K847" s="12">
        <f>AVERAGE(I847:I851)</f>
        <v>0.6583764023</v>
      </c>
      <c r="L847" s="18">
        <v>5742.0</v>
      </c>
      <c r="M847" s="14">
        <f>STDEV(L847:L851)</f>
        <v>47296.00991</v>
      </c>
      <c r="N847" s="15" t="b">
        <f t="shared" si="1"/>
        <v>1</v>
      </c>
    </row>
    <row r="848" hidden="1">
      <c r="A848" s="7" t="s">
        <v>176</v>
      </c>
      <c r="B848" s="21" t="s">
        <v>17</v>
      </c>
      <c r="C848" s="21">
        <v>0.75</v>
      </c>
      <c r="D848" s="21">
        <v>0.1</v>
      </c>
      <c r="E848" s="21">
        <v>10.0</v>
      </c>
      <c r="F848" s="7">
        <v>185.634170293807</v>
      </c>
      <c r="G848" s="7">
        <v>272.937933921814</v>
      </c>
      <c r="H848" s="7">
        <v>1.0</v>
      </c>
      <c r="I848" s="15">
        <v>0.0404320642373242</v>
      </c>
      <c r="J848" s="15">
        <v>0.133673953300829</v>
      </c>
      <c r="K848" s="12">
        <f>AVERAGE(I847:I851)</f>
        <v>0.6583764023</v>
      </c>
      <c r="L848" s="18">
        <v>112701.0</v>
      </c>
      <c r="M848" s="14">
        <f>STDEV(L847:L851)</f>
        <v>47296.00991</v>
      </c>
      <c r="N848" s="15" t="b">
        <f t="shared" si="1"/>
        <v>1</v>
      </c>
    </row>
    <row r="849" hidden="1">
      <c r="A849" s="7" t="s">
        <v>176</v>
      </c>
      <c r="B849" s="21" t="s">
        <v>17</v>
      </c>
      <c r="C849" s="21">
        <v>0.75</v>
      </c>
      <c r="D849" s="21">
        <v>0.1</v>
      </c>
      <c r="E849" s="21">
        <v>10.0</v>
      </c>
      <c r="F849" s="7">
        <v>185.634170293807</v>
      </c>
      <c r="G849" s="7">
        <v>272.937933921814</v>
      </c>
      <c r="H849" s="7">
        <v>2.0</v>
      </c>
      <c r="I849" s="15">
        <v>0.871684181793457</v>
      </c>
      <c r="J849" s="15">
        <v>0.100550910416663</v>
      </c>
      <c r="K849" s="12">
        <f>AVERAGE(I847:I851)</f>
        <v>0.6583764023</v>
      </c>
      <c r="L849" s="18">
        <v>4446.0</v>
      </c>
      <c r="M849" s="14">
        <f>STDEV(L847:L851)</f>
        <v>47296.00991</v>
      </c>
      <c r="N849" s="15" t="b">
        <f t="shared" si="1"/>
        <v>1</v>
      </c>
    </row>
    <row r="850" hidden="1">
      <c r="A850" s="7" t="s">
        <v>176</v>
      </c>
      <c r="B850" s="21" t="s">
        <v>17</v>
      </c>
      <c r="C850" s="21">
        <v>0.75</v>
      </c>
      <c r="D850" s="21">
        <v>0.1</v>
      </c>
      <c r="E850" s="21">
        <v>10.0</v>
      </c>
      <c r="F850" s="7">
        <v>185.634170293807</v>
      </c>
      <c r="G850" s="7">
        <v>272.937933921814</v>
      </c>
      <c r="H850" s="7">
        <v>3.0</v>
      </c>
      <c r="I850" s="15">
        <v>0.78032386038288</v>
      </c>
      <c r="J850" s="15">
        <v>0.128765080819946</v>
      </c>
      <c r="K850" s="12">
        <f>AVERAGE(I847:I851)</f>
        <v>0.6583764023</v>
      </c>
      <c r="L850" s="18">
        <v>13352.0</v>
      </c>
      <c r="M850" s="14">
        <f>STDEV(L847:L851)</f>
        <v>47296.00991</v>
      </c>
      <c r="N850" s="15" t="b">
        <f t="shared" si="1"/>
        <v>1</v>
      </c>
    </row>
    <row r="851" hidden="1">
      <c r="A851" s="7" t="s">
        <v>176</v>
      </c>
      <c r="B851" s="21" t="s">
        <v>17</v>
      </c>
      <c r="C851" s="21">
        <v>0.75</v>
      </c>
      <c r="D851" s="21">
        <v>0.1</v>
      </c>
      <c r="E851" s="21">
        <v>10.0</v>
      </c>
      <c r="F851" s="7">
        <v>185.634170293807</v>
      </c>
      <c r="G851" s="7">
        <v>272.937933921814</v>
      </c>
      <c r="H851" s="7">
        <v>4.0</v>
      </c>
      <c r="I851" s="15">
        <v>0.821899114458832</v>
      </c>
      <c r="J851" s="15">
        <v>0.10753471359679</v>
      </c>
      <c r="K851" s="12">
        <f>AVERAGE(I847:I851)</f>
        <v>0.6583764023</v>
      </c>
      <c r="L851" s="18">
        <v>5435.0</v>
      </c>
      <c r="M851" s="14">
        <f>STDEV(L847:L851)</f>
        <v>47296.00991</v>
      </c>
      <c r="N851" s="15" t="b">
        <f t="shared" si="1"/>
        <v>1</v>
      </c>
    </row>
    <row r="852" hidden="1">
      <c r="A852" s="7" t="s">
        <v>177</v>
      </c>
      <c r="B852" s="7" t="s">
        <v>17</v>
      </c>
      <c r="C852" s="7">
        <v>0.75</v>
      </c>
      <c r="D852" s="7">
        <v>0.25</v>
      </c>
      <c r="E852" s="7">
        <v>1.0</v>
      </c>
      <c r="F852" s="7">
        <v>204.695663928985</v>
      </c>
      <c r="G852" s="7">
        <v>290.896736621856</v>
      </c>
      <c r="H852" s="7">
        <v>0.0</v>
      </c>
      <c r="I852" s="15">
        <v>0.869863434495292</v>
      </c>
      <c r="J852" s="15">
        <v>0.103004096057594</v>
      </c>
      <c r="K852" s="12">
        <f>AVERAGE(I852:I856)</f>
        <v>0.4139304402</v>
      </c>
      <c r="L852" s="18">
        <v>4451.0</v>
      </c>
      <c r="M852" s="14">
        <f>STDEV(L852:L856)</f>
        <v>28965.26394</v>
      </c>
      <c r="N852" s="15" t="b">
        <f t="shared" si="1"/>
        <v>0</v>
      </c>
    </row>
    <row r="853" hidden="1">
      <c r="A853" s="7" t="s">
        <v>177</v>
      </c>
      <c r="B853" s="7" t="s">
        <v>17</v>
      </c>
      <c r="C853" s="7">
        <v>0.75</v>
      </c>
      <c r="D853" s="7">
        <v>0.25</v>
      </c>
      <c r="E853" s="7">
        <v>1.0</v>
      </c>
      <c r="F853" s="7">
        <v>204.695663928985</v>
      </c>
      <c r="G853" s="7">
        <v>290.896736621856</v>
      </c>
      <c r="H853" s="7">
        <v>1.0</v>
      </c>
      <c r="I853" s="15">
        <v>0.26650475643949</v>
      </c>
      <c r="J853" s="15">
        <v>0.130518393153409</v>
      </c>
      <c r="K853" s="12">
        <f>AVERAGE(I852:I856)</f>
        <v>0.4139304402</v>
      </c>
      <c r="L853" s="18">
        <v>31209.0</v>
      </c>
      <c r="M853" s="14">
        <f>STDEV(L852:L856)</f>
        <v>28965.26394</v>
      </c>
      <c r="N853" s="15" t="b">
        <f t="shared" si="1"/>
        <v>0</v>
      </c>
    </row>
    <row r="854" hidden="1">
      <c r="A854" s="7" t="s">
        <v>177</v>
      </c>
      <c r="B854" s="7" t="s">
        <v>17</v>
      </c>
      <c r="C854" s="7">
        <v>0.75</v>
      </c>
      <c r="D854" s="7">
        <v>0.25</v>
      </c>
      <c r="E854" s="7">
        <v>1.0</v>
      </c>
      <c r="F854" s="7">
        <v>204.695663928985</v>
      </c>
      <c r="G854" s="7">
        <v>290.896736621856</v>
      </c>
      <c r="H854" s="7">
        <v>2.0</v>
      </c>
      <c r="I854" s="15">
        <v>0.763086183757633</v>
      </c>
      <c r="J854" s="15">
        <v>0.155416496049175</v>
      </c>
      <c r="K854" s="12">
        <f>AVERAGE(I852:I856)</f>
        <v>0.4139304402</v>
      </c>
      <c r="L854" s="18">
        <v>2373.0</v>
      </c>
      <c r="M854" s="14">
        <f>STDEV(L852:L856)</f>
        <v>28965.26394</v>
      </c>
      <c r="N854" s="15" t="b">
        <f t="shared" si="1"/>
        <v>0</v>
      </c>
    </row>
    <row r="855" hidden="1">
      <c r="A855" s="7" t="s">
        <v>177</v>
      </c>
      <c r="B855" s="7" t="s">
        <v>17</v>
      </c>
      <c r="C855" s="7">
        <v>0.75</v>
      </c>
      <c r="D855" s="7">
        <v>0.25</v>
      </c>
      <c r="E855" s="7">
        <v>1.0</v>
      </c>
      <c r="F855" s="7">
        <v>204.695663928985</v>
      </c>
      <c r="G855" s="7">
        <v>290.896736621856</v>
      </c>
      <c r="H855" s="7">
        <v>3.0</v>
      </c>
      <c r="I855" s="15">
        <v>0.11519798327241</v>
      </c>
      <c r="J855" s="15">
        <v>0.167957520189517</v>
      </c>
      <c r="K855" s="12">
        <f>AVERAGE(I852:I856)</f>
        <v>0.4139304402</v>
      </c>
      <c r="L855" s="18">
        <v>74182.0</v>
      </c>
      <c r="M855" s="14">
        <f>STDEV(L852:L856)</f>
        <v>28965.26394</v>
      </c>
      <c r="N855" s="15" t="b">
        <f t="shared" si="1"/>
        <v>0</v>
      </c>
    </row>
    <row r="856" hidden="1">
      <c r="A856" s="7" t="s">
        <v>177</v>
      </c>
      <c r="B856" s="7" t="s">
        <v>17</v>
      </c>
      <c r="C856" s="7">
        <v>0.75</v>
      </c>
      <c r="D856" s="7">
        <v>0.25</v>
      </c>
      <c r="E856" s="7">
        <v>1.0</v>
      </c>
      <c r="F856" s="7">
        <v>204.695663928985</v>
      </c>
      <c r="G856" s="7">
        <v>290.896736621856</v>
      </c>
      <c r="H856" s="7">
        <v>4.0</v>
      </c>
      <c r="I856" s="15">
        <v>0.0549998428834333</v>
      </c>
      <c r="J856" s="15">
        <v>0.0425732602230707</v>
      </c>
      <c r="K856" s="12">
        <f>AVERAGE(I852:I856)</f>
        <v>0.4139304402</v>
      </c>
      <c r="L856" s="18">
        <v>29461.0</v>
      </c>
      <c r="M856" s="14">
        <f>STDEV(L852:L856)</f>
        <v>28965.26394</v>
      </c>
      <c r="N856" s="15" t="b">
        <f t="shared" si="1"/>
        <v>0</v>
      </c>
    </row>
    <row r="857" hidden="1">
      <c r="A857" s="7" t="s">
        <v>178</v>
      </c>
      <c r="B857" s="7" t="s">
        <v>17</v>
      </c>
      <c r="C857" s="7">
        <v>0.75</v>
      </c>
      <c r="D857" s="7">
        <v>0.25</v>
      </c>
      <c r="E857" s="7">
        <v>2.0</v>
      </c>
      <c r="F857" s="7">
        <v>169.481305599212</v>
      </c>
      <c r="G857" s="7">
        <v>251.804346084594</v>
      </c>
      <c r="H857" s="7">
        <v>0.0</v>
      </c>
      <c r="I857" s="15">
        <v>0.0666210345537421</v>
      </c>
      <c r="J857" s="15">
        <v>0.103030051603716</v>
      </c>
      <c r="K857" s="12">
        <f>AVERAGE(I857:I861)</f>
        <v>0.5804857329</v>
      </c>
      <c r="L857" s="18">
        <v>129034.0</v>
      </c>
      <c r="M857" s="14">
        <f>STDEV(L857:L861)</f>
        <v>56302.09466</v>
      </c>
      <c r="N857" s="15" t="b">
        <f t="shared" si="1"/>
        <v>0</v>
      </c>
    </row>
    <row r="858" hidden="1">
      <c r="A858" s="7" t="s">
        <v>178</v>
      </c>
      <c r="B858" s="7" t="s">
        <v>17</v>
      </c>
      <c r="C858" s="7">
        <v>0.75</v>
      </c>
      <c r="D858" s="7">
        <v>0.25</v>
      </c>
      <c r="E858" s="7">
        <v>2.0</v>
      </c>
      <c r="F858" s="7">
        <v>169.481305599212</v>
      </c>
      <c r="G858" s="7">
        <v>251.804346084594</v>
      </c>
      <c r="H858" s="7">
        <v>1.0</v>
      </c>
      <c r="I858" s="15">
        <v>0.770788497801297</v>
      </c>
      <c r="J858" s="15">
        <v>0.153304791682062</v>
      </c>
      <c r="K858" s="12">
        <f>AVERAGE(I857:I861)</f>
        <v>0.5804857329</v>
      </c>
      <c r="L858" s="18">
        <v>2299.0</v>
      </c>
      <c r="M858" s="14">
        <f>STDEV(L857:L861)</f>
        <v>56302.09466</v>
      </c>
      <c r="N858" s="15" t="b">
        <f t="shared" si="1"/>
        <v>0</v>
      </c>
    </row>
    <row r="859" hidden="1">
      <c r="A859" s="7" t="s">
        <v>178</v>
      </c>
      <c r="B859" s="7" t="s">
        <v>17</v>
      </c>
      <c r="C859" s="7">
        <v>0.75</v>
      </c>
      <c r="D859" s="7">
        <v>0.25</v>
      </c>
      <c r="E859" s="7">
        <v>2.0</v>
      </c>
      <c r="F859" s="7">
        <v>169.481305599212</v>
      </c>
      <c r="G859" s="7">
        <v>251.804346084594</v>
      </c>
      <c r="H859" s="7">
        <v>2.0</v>
      </c>
      <c r="I859" s="15">
        <v>0.870393292086994</v>
      </c>
      <c r="J859" s="15">
        <v>0.103417054288927</v>
      </c>
      <c r="K859" s="12">
        <f>AVERAGE(I857:I861)</f>
        <v>0.5804857329</v>
      </c>
      <c r="L859" s="18">
        <v>4451.0</v>
      </c>
      <c r="M859" s="14">
        <f>STDEV(L857:L861)</f>
        <v>56302.09466</v>
      </c>
      <c r="N859" s="15" t="b">
        <f t="shared" si="1"/>
        <v>0</v>
      </c>
    </row>
    <row r="860" hidden="1">
      <c r="A860" s="7" t="s">
        <v>178</v>
      </c>
      <c r="B860" s="7" t="s">
        <v>17</v>
      </c>
      <c r="C860" s="7">
        <v>0.75</v>
      </c>
      <c r="D860" s="7">
        <v>0.25</v>
      </c>
      <c r="E860" s="7">
        <v>2.0</v>
      </c>
      <c r="F860" s="7">
        <v>169.481305599212</v>
      </c>
      <c r="G860" s="7">
        <v>251.804346084594</v>
      </c>
      <c r="H860" s="7">
        <v>3.0</v>
      </c>
      <c r="I860" s="15">
        <v>0.89591697435102</v>
      </c>
      <c r="J860" s="15">
        <v>0.126824232072221</v>
      </c>
      <c r="K860" s="12">
        <f>AVERAGE(I857:I861)</f>
        <v>0.5804857329</v>
      </c>
      <c r="L860" s="18">
        <v>1973.0</v>
      </c>
      <c r="M860" s="14">
        <f>STDEV(L857:L861)</f>
        <v>56302.09466</v>
      </c>
      <c r="N860" s="15" t="b">
        <f t="shared" si="1"/>
        <v>0</v>
      </c>
    </row>
    <row r="861" hidden="1">
      <c r="A861" s="7" t="s">
        <v>178</v>
      </c>
      <c r="B861" s="7" t="s">
        <v>17</v>
      </c>
      <c r="C861" s="7">
        <v>0.75</v>
      </c>
      <c r="D861" s="7">
        <v>0.25</v>
      </c>
      <c r="E861" s="7">
        <v>2.0</v>
      </c>
      <c r="F861" s="7">
        <v>169.481305599212</v>
      </c>
      <c r="G861" s="7">
        <v>251.804346084594</v>
      </c>
      <c r="H861" s="7">
        <v>4.0</v>
      </c>
      <c r="I861" s="15">
        <v>0.298708865894574</v>
      </c>
      <c r="J861" s="15">
        <v>0.0974568645734814</v>
      </c>
      <c r="K861" s="12">
        <f>AVERAGE(I857:I861)</f>
        <v>0.5804857329</v>
      </c>
      <c r="L861" s="18">
        <v>3919.0</v>
      </c>
      <c r="M861" s="14">
        <f>STDEV(L857:L861)</f>
        <v>56302.09466</v>
      </c>
      <c r="N861" s="15" t="b">
        <f t="shared" si="1"/>
        <v>0</v>
      </c>
    </row>
    <row r="862" hidden="1">
      <c r="A862" s="7" t="s">
        <v>179</v>
      </c>
      <c r="B862" s="7" t="s">
        <v>17</v>
      </c>
      <c r="C862" s="7">
        <v>0.75</v>
      </c>
      <c r="D862" s="7">
        <v>0.25</v>
      </c>
      <c r="E862" s="7">
        <v>3.0</v>
      </c>
      <c r="F862" s="7">
        <v>224.519552230834</v>
      </c>
      <c r="G862" s="7">
        <v>336.537147283554</v>
      </c>
      <c r="H862" s="7">
        <v>0.0</v>
      </c>
      <c r="I862" s="15">
        <v>0.428708517070807</v>
      </c>
      <c r="J862" s="15">
        <v>0.122109037356305</v>
      </c>
      <c r="K862" s="12">
        <f>AVERAGE(I862:I866)</f>
        <v>0.5630803758</v>
      </c>
      <c r="L862" s="18">
        <v>22172.0</v>
      </c>
      <c r="M862" s="14">
        <f>STDEV(L862:L866)</f>
        <v>33768.36546</v>
      </c>
      <c r="N862" s="15" t="b">
        <f t="shared" si="1"/>
        <v>0</v>
      </c>
    </row>
    <row r="863" hidden="1">
      <c r="A863" s="7" t="s">
        <v>179</v>
      </c>
      <c r="B863" s="7" t="s">
        <v>17</v>
      </c>
      <c r="C863" s="7">
        <v>0.75</v>
      </c>
      <c r="D863" s="7">
        <v>0.25</v>
      </c>
      <c r="E863" s="7">
        <v>3.0</v>
      </c>
      <c r="F863" s="7">
        <v>224.519552230834</v>
      </c>
      <c r="G863" s="7">
        <v>336.537147283554</v>
      </c>
      <c r="H863" s="7">
        <v>1.0</v>
      </c>
      <c r="I863" s="15">
        <v>0.82116026210617</v>
      </c>
      <c r="J863" s="15">
        <v>0.113958973415832</v>
      </c>
      <c r="K863" s="12">
        <f>AVERAGE(I862:I866)</f>
        <v>0.5630803758</v>
      </c>
      <c r="L863" s="18">
        <v>5557.0</v>
      </c>
      <c r="M863" s="14">
        <f>STDEV(L862:L866)</f>
        <v>33768.36546</v>
      </c>
      <c r="N863" s="15" t="b">
        <f t="shared" si="1"/>
        <v>0</v>
      </c>
    </row>
    <row r="864" hidden="1">
      <c r="A864" s="7" t="s">
        <v>179</v>
      </c>
      <c r="B864" s="7" t="s">
        <v>17</v>
      </c>
      <c r="C864" s="7">
        <v>0.75</v>
      </c>
      <c r="D864" s="7">
        <v>0.25</v>
      </c>
      <c r="E864" s="7">
        <v>3.0</v>
      </c>
      <c r="F864" s="7">
        <v>224.519552230834</v>
      </c>
      <c r="G864" s="7">
        <v>336.537147283554</v>
      </c>
      <c r="H864" s="7">
        <v>2.0</v>
      </c>
      <c r="I864" s="15">
        <v>-0.0374630307826043</v>
      </c>
      <c r="J864" s="15">
        <v>0.208574249617194</v>
      </c>
      <c r="K864" s="12">
        <f>AVERAGE(I862:I866)</f>
        <v>0.5630803758</v>
      </c>
      <c r="L864" s="18">
        <v>87799.0</v>
      </c>
      <c r="M864" s="14">
        <f>STDEV(L862:L866)</f>
        <v>33768.36546</v>
      </c>
      <c r="N864" s="15" t="b">
        <f t="shared" si="1"/>
        <v>0</v>
      </c>
    </row>
    <row r="865" hidden="1">
      <c r="A865" s="7" t="s">
        <v>179</v>
      </c>
      <c r="B865" s="7" t="s">
        <v>17</v>
      </c>
      <c r="C865" s="7">
        <v>0.75</v>
      </c>
      <c r="D865" s="7">
        <v>0.25</v>
      </c>
      <c r="E865" s="7">
        <v>3.0</v>
      </c>
      <c r="F865" s="7">
        <v>224.519552230834</v>
      </c>
      <c r="G865" s="7">
        <v>336.537147283554</v>
      </c>
      <c r="H865" s="7">
        <v>3.0</v>
      </c>
      <c r="I865" s="15">
        <v>0.795200683793571</v>
      </c>
      <c r="J865" s="15">
        <v>0.114235330446459</v>
      </c>
      <c r="K865" s="12">
        <f>AVERAGE(I862:I866)</f>
        <v>0.5630803758</v>
      </c>
      <c r="L865" s="18">
        <v>11928.0</v>
      </c>
      <c r="M865" s="14">
        <f>STDEV(L862:L866)</f>
        <v>33768.36546</v>
      </c>
      <c r="N865" s="15" t="b">
        <f t="shared" si="1"/>
        <v>0</v>
      </c>
    </row>
    <row r="866" hidden="1">
      <c r="A866" s="7" t="s">
        <v>179</v>
      </c>
      <c r="B866" s="7" t="s">
        <v>17</v>
      </c>
      <c r="C866" s="7">
        <v>0.75</v>
      </c>
      <c r="D866" s="7">
        <v>0.25</v>
      </c>
      <c r="E866" s="7">
        <v>3.0</v>
      </c>
      <c r="F866" s="7">
        <v>224.519552230834</v>
      </c>
      <c r="G866" s="7">
        <v>336.537147283554</v>
      </c>
      <c r="H866" s="7">
        <v>4.0</v>
      </c>
      <c r="I866" s="15">
        <v>0.807795446842133</v>
      </c>
      <c r="J866" s="15">
        <v>0.0970275560589934</v>
      </c>
      <c r="K866" s="12">
        <f>AVERAGE(I862:I866)</f>
        <v>0.5630803758</v>
      </c>
      <c r="L866" s="18">
        <v>14220.0</v>
      </c>
      <c r="M866" s="14">
        <f>STDEV(L862:L866)</f>
        <v>33768.36546</v>
      </c>
      <c r="N866" s="15" t="b">
        <f t="shared" si="1"/>
        <v>0</v>
      </c>
    </row>
    <row r="867" hidden="1">
      <c r="A867" s="7" t="s">
        <v>180</v>
      </c>
      <c r="B867" s="7" t="s">
        <v>17</v>
      </c>
      <c r="C867" s="7">
        <v>0.75</v>
      </c>
      <c r="D867" s="7">
        <v>0.25</v>
      </c>
      <c r="E867" s="7">
        <v>4.0</v>
      </c>
      <c r="F867" s="7">
        <v>222.094211101531</v>
      </c>
      <c r="G867" s="7">
        <v>324.565544605255</v>
      </c>
      <c r="H867" s="7">
        <v>0.0</v>
      </c>
      <c r="I867" s="15">
        <v>0.790730921773028</v>
      </c>
      <c r="J867" s="15">
        <v>0.114636209413415</v>
      </c>
      <c r="K867" s="12">
        <f>AVERAGE(I867:I871)</f>
        <v>0.5280758819</v>
      </c>
      <c r="L867" s="18">
        <v>11927.0</v>
      </c>
      <c r="M867" s="14">
        <f>STDEV(L867:L871)</f>
        <v>27540.27578</v>
      </c>
      <c r="N867" s="15" t="b">
        <f t="shared" si="1"/>
        <v>0</v>
      </c>
    </row>
    <row r="868" hidden="1">
      <c r="A868" s="7" t="s">
        <v>180</v>
      </c>
      <c r="B868" s="7" t="s">
        <v>17</v>
      </c>
      <c r="C868" s="7">
        <v>0.75</v>
      </c>
      <c r="D868" s="7">
        <v>0.25</v>
      </c>
      <c r="E868" s="7">
        <v>4.0</v>
      </c>
      <c r="F868" s="7">
        <v>222.094211101531</v>
      </c>
      <c r="G868" s="7">
        <v>324.565544605255</v>
      </c>
      <c r="H868" s="7">
        <v>1.0</v>
      </c>
      <c r="I868" s="15">
        <v>0.828863774904595</v>
      </c>
      <c r="J868" s="15">
        <v>0.0993191301694629</v>
      </c>
      <c r="K868" s="12">
        <f>AVERAGE(I867:I871)</f>
        <v>0.5280758819</v>
      </c>
      <c r="L868" s="18">
        <v>7439.0</v>
      </c>
      <c r="M868" s="14">
        <f>STDEV(L867:L871)</f>
        <v>27540.27578</v>
      </c>
      <c r="N868" s="15" t="b">
        <f t="shared" si="1"/>
        <v>0</v>
      </c>
    </row>
    <row r="869" hidden="1">
      <c r="A869" s="7" t="s">
        <v>180</v>
      </c>
      <c r="B869" s="7" t="s">
        <v>17</v>
      </c>
      <c r="C869" s="7">
        <v>0.75</v>
      </c>
      <c r="D869" s="7">
        <v>0.25</v>
      </c>
      <c r="E869" s="7">
        <v>4.0</v>
      </c>
      <c r="F869" s="7">
        <v>222.094211101531</v>
      </c>
      <c r="G869" s="7">
        <v>324.565544605255</v>
      </c>
      <c r="H869" s="7">
        <v>2.0</v>
      </c>
      <c r="I869" s="15">
        <v>0.81972858797145</v>
      </c>
      <c r="J869" s="15">
        <v>0.114332576053717</v>
      </c>
      <c r="K869" s="12">
        <f>AVERAGE(I867:I871)</f>
        <v>0.5280758819</v>
      </c>
      <c r="L869" s="18">
        <v>5549.0</v>
      </c>
      <c r="M869" s="14">
        <f>STDEV(L867:L871)</f>
        <v>27540.27578</v>
      </c>
      <c r="N869" s="15" t="b">
        <f t="shared" si="1"/>
        <v>0</v>
      </c>
    </row>
    <row r="870" hidden="1">
      <c r="A870" s="7" t="s">
        <v>180</v>
      </c>
      <c r="B870" s="7" t="s">
        <v>17</v>
      </c>
      <c r="C870" s="7">
        <v>0.75</v>
      </c>
      <c r="D870" s="7">
        <v>0.25</v>
      </c>
      <c r="E870" s="7">
        <v>4.0</v>
      </c>
      <c r="F870" s="7">
        <v>222.094211101531</v>
      </c>
      <c r="G870" s="7">
        <v>324.565544605255</v>
      </c>
      <c r="H870" s="7">
        <v>3.0</v>
      </c>
      <c r="I870" s="15">
        <v>0.1352939821922</v>
      </c>
      <c r="J870" s="15">
        <v>0.265748729496758</v>
      </c>
      <c r="K870" s="12">
        <f>AVERAGE(I867:I871)</f>
        <v>0.5280758819</v>
      </c>
      <c r="L870" s="18">
        <v>57089.0</v>
      </c>
      <c r="M870" s="14">
        <f>STDEV(L867:L871)</f>
        <v>27540.27578</v>
      </c>
      <c r="N870" s="15" t="b">
        <f t="shared" si="1"/>
        <v>0</v>
      </c>
    </row>
    <row r="871" hidden="1">
      <c r="A871" s="7" t="s">
        <v>180</v>
      </c>
      <c r="B871" s="7" t="s">
        <v>17</v>
      </c>
      <c r="C871" s="7">
        <v>0.75</v>
      </c>
      <c r="D871" s="7">
        <v>0.25</v>
      </c>
      <c r="E871" s="7">
        <v>4.0</v>
      </c>
      <c r="F871" s="7">
        <v>222.094211101531</v>
      </c>
      <c r="G871" s="7">
        <v>324.565544605255</v>
      </c>
      <c r="H871" s="7">
        <v>4.0</v>
      </c>
      <c r="I871" s="15">
        <v>0.0657621426547046</v>
      </c>
      <c r="J871" s="15">
        <v>0.0658467603514088</v>
      </c>
      <c r="K871" s="12">
        <f>AVERAGE(I867:I871)</f>
        <v>0.5280758819</v>
      </c>
      <c r="L871" s="18">
        <v>59672.0</v>
      </c>
      <c r="M871" s="14">
        <f>STDEV(L867:L871)</f>
        <v>27540.27578</v>
      </c>
      <c r="N871" s="15" t="b">
        <f t="shared" si="1"/>
        <v>0</v>
      </c>
    </row>
    <row r="872" hidden="1">
      <c r="A872" s="7" t="s">
        <v>181</v>
      </c>
      <c r="B872" s="22" t="s">
        <v>17</v>
      </c>
      <c r="C872" s="22">
        <v>0.75</v>
      </c>
      <c r="D872" s="22">
        <v>0.25</v>
      </c>
      <c r="E872" s="22">
        <v>5.0</v>
      </c>
      <c r="F872" s="7">
        <v>238.483306646347</v>
      </c>
      <c r="G872" s="7">
        <v>347.563567399978</v>
      </c>
      <c r="H872" s="7">
        <v>0.0</v>
      </c>
      <c r="I872" s="15">
        <v>0.840465084442439</v>
      </c>
      <c r="J872" s="15">
        <v>0.0989808486457973</v>
      </c>
      <c r="K872" s="12">
        <f>AVERAGE(I872:I876)</f>
        <v>0.5775123417</v>
      </c>
      <c r="L872" s="18">
        <v>4627.0</v>
      </c>
      <c r="M872" s="14">
        <f>STDEV(L872:L876)</f>
        <v>37944.74692</v>
      </c>
      <c r="N872" s="15" t="b">
        <f t="shared" si="1"/>
        <v>0</v>
      </c>
    </row>
    <row r="873" hidden="1">
      <c r="A873" s="7" t="s">
        <v>181</v>
      </c>
      <c r="B873" s="22" t="s">
        <v>17</v>
      </c>
      <c r="C873" s="22">
        <v>0.75</v>
      </c>
      <c r="D873" s="22">
        <v>0.25</v>
      </c>
      <c r="E873" s="22">
        <v>5.0</v>
      </c>
      <c r="F873" s="7">
        <v>238.483306646347</v>
      </c>
      <c r="G873" s="7">
        <v>347.563567399978</v>
      </c>
      <c r="H873" s="7">
        <v>1.0</v>
      </c>
      <c r="I873" s="15">
        <v>0.81995459188462</v>
      </c>
      <c r="J873" s="15">
        <v>0.114673534538863</v>
      </c>
      <c r="K873" s="12">
        <f>AVERAGE(I872:I876)</f>
        <v>0.5775123417</v>
      </c>
      <c r="L873" s="18">
        <v>5572.0</v>
      </c>
      <c r="M873" s="14">
        <f>STDEV(L872:L876)</f>
        <v>37944.74692</v>
      </c>
      <c r="N873" s="15" t="b">
        <f t="shared" si="1"/>
        <v>0</v>
      </c>
    </row>
    <row r="874" hidden="1">
      <c r="A874" s="7" t="s">
        <v>181</v>
      </c>
      <c r="B874" s="22" t="s">
        <v>17</v>
      </c>
      <c r="C874" s="22">
        <v>0.75</v>
      </c>
      <c r="D874" s="22">
        <v>0.25</v>
      </c>
      <c r="E874" s="22">
        <v>5.0</v>
      </c>
      <c r="F874" s="7">
        <v>238.483306646347</v>
      </c>
      <c r="G874" s="7">
        <v>347.563567399978</v>
      </c>
      <c r="H874" s="7">
        <v>2.0</v>
      </c>
      <c r="I874" s="15">
        <v>0.427680326087222</v>
      </c>
      <c r="J874" s="15">
        <v>0.121303181602748</v>
      </c>
      <c r="K874" s="12">
        <f>AVERAGE(I872:I876)</f>
        <v>0.5775123417</v>
      </c>
      <c r="L874" s="18">
        <v>22260.0</v>
      </c>
      <c r="M874" s="14">
        <f>STDEV(L872:L876)</f>
        <v>37944.74692</v>
      </c>
      <c r="N874" s="15" t="b">
        <f t="shared" si="1"/>
        <v>0</v>
      </c>
    </row>
    <row r="875" hidden="1">
      <c r="A875" s="7" t="s">
        <v>181</v>
      </c>
      <c r="B875" s="22" t="s">
        <v>17</v>
      </c>
      <c r="C875" s="22">
        <v>0.75</v>
      </c>
      <c r="D875" s="22">
        <v>0.25</v>
      </c>
      <c r="E875" s="22">
        <v>5.0</v>
      </c>
      <c r="F875" s="7">
        <v>238.483306646347</v>
      </c>
      <c r="G875" s="7">
        <v>347.563567399978</v>
      </c>
      <c r="H875" s="7">
        <v>3.0</v>
      </c>
      <c r="I875" s="15">
        <v>0.807528745231145</v>
      </c>
      <c r="J875" s="15">
        <v>0.0971313583325384</v>
      </c>
      <c r="K875" s="12">
        <f>AVERAGE(I872:I876)</f>
        <v>0.5775123417</v>
      </c>
      <c r="L875" s="18">
        <v>14226.0</v>
      </c>
      <c r="M875" s="14">
        <f>STDEV(L872:L876)</f>
        <v>37944.74692</v>
      </c>
      <c r="N875" s="15" t="b">
        <f t="shared" si="1"/>
        <v>0</v>
      </c>
    </row>
    <row r="876" hidden="1">
      <c r="A876" s="7" t="s">
        <v>181</v>
      </c>
      <c r="B876" s="22" t="s">
        <v>17</v>
      </c>
      <c r="C876" s="22">
        <v>0.75</v>
      </c>
      <c r="D876" s="22">
        <v>0.25</v>
      </c>
      <c r="E876" s="22">
        <v>5.0</v>
      </c>
      <c r="F876" s="7">
        <v>238.483306646347</v>
      </c>
      <c r="G876" s="7">
        <v>347.563567399978</v>
      </c>
      <c r="H876" s="7">
        <v>4.0</v>
      </c>
      <c r="I876" s="15">
        <v>-0.0080670389157985</v>
      </c>
      <c r="J876" s="15">
        <v>0.195309395587521</v>
      </c>
      <c r="K876" s="12">
        <f>AVERAGE(I872:I876)</f>
        <v>0.5775123417</v>
      </c>
      <c r="L876" s="18">
        <v>94991.0</v>
      </c>
      <c r="M876" s="14">
        <f>STDEV(L872:L876)</f>
        <v>37944.74692</v>
      </c>
      <c r="N876" s="15" t="b">
        <f t="shared" si="1"/>
        <v>0</v>
      </c>
    </row>
    <row r="877" hidden="1">
      <c r="A877" s="7" t="s">
        <v>182</v>
      </c>
      <c r="B877" s="7" t="s">
        <v>17</v>
      </c>
      <c r="C877" s="7">
        <v>0.75</v>
      </c>
      <c r="D877" s="7">
        <v>0.25</v>
      </c>
      <c r="E877" s="7">
        <v>6.0</v>
      </c>
      <c r="F877" s="7">
        <v>142.820282459259</v>
      </c>
      <c r="G877" s="7">
        <v>230.620172739028</v>
      </c>
      <c r="H877" s="7">
        <v>0.0</v>
      </c>
      <c r="I877" s="15">
        <v>0.826943681744496</v>
      </c>
      <c r="J877" s="15">
        <v>0.102722774431043</v>
      </c>
      <c r="K877" s="12">
        <f>AVERAGE(I877:I881)</f>
        <v>0.5786135484</v>
      </c>
      <c r="L877" s="18">
        <v>7464.0</v>
      </c>
      <c r="M877" s="14">
        <f>STDEV(L877:L881)</f>
        <v>47165.4827</v>
      </c>
      <c r="N877" s="15" t="b">
        <f t="shared" si="1"/>
        <v>0</v>
      </c>
    </row>
    <row r="878" hidden="1">
      <c r="A878" s="7" t="s">
        <v>182</v>
      </c>
      <c r="B878" s="7" t="s">
        <v>17</v>
      </c>
      <c r="C878" s="7">
        <v>0.75</v>
      </c>
      <c r="D878" s="7">
        <v>0.25</v>
      </c>
      <c r="E878" s="7">
        <v>6.0</v>
      </c>
      <c r="F878" s="7">
        <v>142.820282459259</v>
      </c>
      <c r="G878" s="7">
        <v>230.620172739028</v>
      </c>
      <c r="H878" s="7">
        <v>1.0</v>
      </c>
      <c r="I878" s="15">
        <v>0.469588982829731</v>
      </c>
      <c r="J878" s="15">
        <v>0.163845497873069</v>
      </c>
      <c r="K878" s="12">
        <f>AVERAGE(I877:I881)</f>
        <v>0.5786135484</v>
      </c>
      <c r="L878" s="18">
        <v>18433.0</v>
      </c>
      <c r="M878" s="14">
        <f>STDEV(L877:L881)</f>
        <v>47165.4827</v>
      </c>
      <c r="N878" s="15" t="b">
        <f t="shared" si="1"/>
        <v>0</v>
      </c>
    </row>
    <row r="879" hidden="1">
      <c r="A879" s="7" t="s">
        <v>182</v>
      </c>
      <c r="B879" s="7" t="s">
        <v>17</v>
      </c>
      <c r="C879" s="7">
        <v>0.75</v>
      </c>
      <c r="D879" s="7">
        <v>0.25</v>
      </c>
      <c r="E879" s="7">
        <v>6.0</v>
      </c>
      <c r="F879" s="7">
        <v>142.820282459259</v>
      </c>
      <c r="G879" s="7">
        <v>230.620172739028</v>
      </c>
      <c r="H879" s="7">
        <v>2.0</v>
      </c>
      <c r="I879" s="15">
        <v>0.646700978144076</v>
      </c>
      <c r="J879" s="15">
        <v>0.123481367842372</v>
      </c>
      <c r="K879" s="12">
        <f>AVERAGE(I877:I881)</f>
        <v>0.5786135484</v>
      </c>
      <c r="L879" s="18">
        <v>1960.0</v>
      </c>
      <c r="M879" s="14">
        <f>STDEV(L877:L881)</f>
        <v>47165.4827</v>
      </c>
      <c r="N879" s="15" t="b">
        <f t="shared" si="1"/>
        <v>0</v>
      </c>
    </row>
    <row r="880" hidden="1">
      <c r="A880" s="7" t="s">
        <v>182</v>
      </c>
      <c r="B880" s="7" t="s">
        <v>17</v>
      </c>
      <c r="C880" s="7">
        <v>0.75</v>
      </c>
      <c r="D880" s="7">
        <v>0.25</v>
      </c>
      <c r="E880" s="7">
        <v>6.0</v>
      </c>
      <c r="F880" s="7">
        <v>142.820282459259</v>
      </c>
      <c r="G880" s="7">
        <v>230.620172739028</v>
      </c>
      <c r="H880" s="7">
        <v>3.0</v>
      </c>
      <c r="I880" s="15">
        <v>0.897396971489007</v>
      </c>
      <c r="J880" s="15">
        <v>0.119391320786257</v>
      </c>
      <c r="K880" s="12">
        <f>AVERAGE(I877:I881)</f>
        <v>0.5786135484</v>
      </c>
      <c r="L880" s="18">
        <v>1973.0</v>
      </c>
      <c r="M880" s="14">
        <f>STDEV(L877:L881)</f>
        <v>47165.4827</v>
      </c>
      <c r="N880" s="15" t="b">
        <f t="shared" si="1"/>
        <v>0</v>
      </c>
    </row>
    <row r="881" hidden="1">
      <c r="A881" s="7" t="s">
        <v>182</v>
      </c>
      <c r="B881" s="7" t="s">
        <v>17</v>
      </c>
      <c r="C881" s="7">
        <v>0.75</v>
      </c>
      <c r="D881" s="7">
        <v>0.25</v>
      </c>
      <c r="E881" s="7">
        <v>6.0</v>
      </c>
      <c r="F881" s="7">
        <v>142.820282459259</v>
      </c>
      <c r="G881" s="7">
        <v>230.620172739028</v>
      </c>
      <c r="H881" s="7">
        <v>4.0</v>
      </c>
      <c r="I881" s="15">
        <v>0.052437127918417</v>
      </c>
      <c r="J881" s="15">
        <v>0.101017415882618</v>
      </c>
      <c r="K881" s="12">
        <f>AVERAGE(I877:I881)</f>
        <v>0.5786135484</v>
      </c>
      <c r="L881" s="18">
        <v>111846.0</v>
      </c>
      <c r="M881" s="14">
        <f>STDEV(L877:L881)</f>
        <v>47165.4827</v>
      </c>
      <c r="N881" s="15" t="b">
        <f t="shared" si="1"/>
        <v>0</v>
      </c>
    </row>
    <row r="882" hidden="1">
      <c r="A882" s="7" t="s">
        <v>183</v>
      </c>
      <c r="B882" s="7" t="s">
        <v>17</v>
      </c>
      <c r="C882" s="7">
        <v>0.75</v>
      </c>
      <c r="D882" s="7">
        <v>0.25</v>
      </c>
      <c r="E882" s="7">
        <v>7.0</v>
      </c>
      <c r="F882" s="7">
        <v>240.878721952438</v>
      </c>
      <c r="G882" s="7">
        <v>350.579867601394</v>
      </c>
      <c r="H882" s="7">
        <v>0.0</v>
      </c>
      <c r="I882" s="15">
        <v>0.0580420621736994</v>
      </c>
      <c r="J882" s="15">
        <v>0.0904530756242409</v>
      </c>
      <c r="K882" s="12">
        <f>AVERAGE(I882:I886)</f>
        <v>0.4337273276</v>
      </c>
      <c r="L882" s="18">
        <v>105498.0</v>
      </c>
      <c r="M882" s="14">
        <f>STDEV(L882:L886)</f>
        <v>44189.77643</v>
      </c>
      <c r="N882" s="15" t="b">
        <f t="shared" si="1"/>
        <v>0</v>
      </c>
    </row>
    <row r="883" hidden="1">
      <c r="A883" s="7" t="s">
        <v>183</v>
      </c>
      <c r="B883" s="7" t="s">
        <v>17</v>
      </c>
      <c r="C883" s="7">
        <v>0.75</v>
      </c>
      <c r="D883" s="7">
        <v>0.25</v>
      </c>
      <c r="E883" s="7">
        <v>7.0</v>
      </c>
      <c r="F883" s="7">
        <v>240.878721952438</v>
      </c>
      <c r="G883" s="7">
        <v>350.579867601394</v>
      </c>
      <c r="H883" s="7">
        <v>1.0</v>
      </c>
      <c r="I883" s="15">
        <v>0.822632424293984</v>
      </c>
      <c r="J883" s="15">
        <v>0.111053056356891</v>
      </c>
      <c r="K883" s="12">
        <f>AVERAGE(I882:I886)</f>
        <v>0.4337273276</v>
      </c>
      <c r="L883" s="18">
        <v>5428.0</v>
      </c>
      <c r="M883" s="14">
        <f>STDEV(L882:L886)</f>
        <v>44189.77643</v>
      </c>
      <c r="N883" s="15" t="b">
        <f t="shared" si="1"/>
        <v>0</v>
      </c>
    </row>
    <row r="884" hidden="1">
      <c r="A884" s="7" t="s">
        <v>183</v>
      </c>
      <c r="B884" s="7" t="s">
        <v>17</v>
      </c>
      <c r="C884" s="7">
        <v>0.75</v>
      </c>
      <c r="D884" s="7">
        <v>0.25</v>
      </c>
      <c r="E884" s="7">
        <v>7.0</v>
      </c>
      <c r="F884" s="7">
        <v>240.878721952438</v>
      </c>
      <c r="G884" s="7">
        <v>350.579867601394</v>
      </c>
      <c r="H884" s="7">
        <v>2.0</v>
      </c>
      <c r="I884" s="15">
        <v>0.335544808943924</v>
      </c>
      <c r="J884" s="15">
        <v>0.14360563148998</v>
      </c>
      <c r="K884" s="12">
        <f>AVERAGE(I882:I886)</f>
        <v>0.4337273276</v>
      </c>
      <c r="L884" s="18">
        <v>25526.0</v>
      </c>
      <c r="M884" s="14">
        <f>STDEV(L882:L886)</f>
        <v>44189.77643</v>
      </c>
      <c r="N884" s="15" t="b">
        <f t="shared" si="1"/>
        <v>0</v>
      </c>
    </row>
    <row r="885" hidden="1">
      <c r="A885" s="7" t="s">
        <v>183</v>
      </c>
      <c r="B885" s="7" t="s">
        <v>17</v>
      </c>
      <c r="C885" s="7">
        <v>0.75</v>
      </c>
      <c r="D885" s="7">
        <v>0.25</v>
      </c>
      <c r="E885" s="7">
        <v>7.0</v>
      </c>
      <c r="F885" s="7">
        <v>240.878721952438</v>
      </c>
      <c r="G885" s="7">
        <v>350.579867601394</v>
      </c>
      <c r="H885" s="7">
        <v>3.0</v>
      </c>
      <c r="I885" s="15">
        <v>0.306473244968621</v>
      </c>
      <c r="J885" s="15">
        <v>0.147106944142407</v>
      </c>
      <c r="K885" s="12">
        <f>AVERAGE(I882:I886)</f>
        <v>0.4337273276</v>
      </c>
      <c r="L885" s="18">
        <v>3264.0</v>
      </c>
      <c r="M885" s="14">
        <f>STDEV(L882:L886)</f>
        <v>44189.77643</v>
      </c>
      <c r="N885" s="15" t="b">
        <f t="shared" si="1"/>
        <v>0</v>
      </c>
    </row>
    <row r="886" hidden="1">
      <c r="A886" s="7" t="s">
        <v>183</v>
      </c>
      <c r="B886" s="7" t="s">
        <v>17</v>
      </c>
      <c r="C886" s="7">
        <v>0.75</v>
      </c>
      <c r="D886" s="7">
        <v>0.25</v>
      </c>
      <c r="E886" s="7">
        <v>7.0</v>
      </c>
      <c r="F886" s="7">
        <v>240.878721952438</v>
      </c>
      <c r="G886" s="7">
        <v>350.579867601394</v>
      </c>
      <c r="H886" s="7">
        <v>4.0</v>
      </c>
      <c r="I886" s="15">
        <v>0.645944097625178</v>
      </c>
      <c r="J886" s="15">
        <v>0.126627200783531</v>
      </c>
      <c r="K886" s="12">
        <f>AVERAGE(I882:I886)</f>
        <v>0.4337273276</v>
      </c>
      <c r="L886" s="18">
        <v>1960.0</v>
      </c>
      <c r="M886" s="14">
        <f>STDEV(L882:L886)</f>
        <v>44189.77643</v>
      </c>
      <c r="N886" s="15" t="b">
        <f t="shared" si="1"/>
        <v>0</v>
      </c>
    </row>
    <row r="887" hidden="1">
      <c r="A887" s="7" t="s">
        <v>184</v>
      </c>
      <c r="B887" s="7" t="s">
        <v>17</v>
      </c>
      <c r="C887" s="7">
        <v>0.75</v>
      </c>
      <c r="D887" s="7">
        <v>0.25</v>
      </c>
      <c r="E887" s="7">
        <v>8.0</v>
      </c>
      <c r="F887" s="7">
        <v>218.168631315231</v>
      </c>
      <c r="G887" s="7">
        <v>327.026803493499</v>
      </c>
      <c r="H887" s="7">
        <v>0.0</v>
      </c>
      <c r="I887" s="15">
        <v>0.298558044769667</v>
      </c>
      <c r="J887" s="15">
        <v>0.0827787976688024</v>
      </c>
      <c r="K887" s="12">
        <f>AVERAGE(I887:I891)</f>
        <v>0.5802901967</v>
      </c>
      <c r="L887" s="18">
        <v>32538.0</v>
      </c>
      <c r="M887" s="14">
        <f>STDEV(L887:L891)</f>
        <v>41315.09859</v>
      </c>
      <c r="N887" s="15" t="b">
        <f t="shared" si="1"/>
        <v>0</v>
      </c>
    </row>
    <row r="888" hidden="1">
      <c r="A888" s="7" t="s">
        <v>184</v>
      </c>
      <c r="B888" s="7" t="s">
        <v>17</v>
      </c>
      <c r="C888" s="7">
        <v>0.75</v>
      </c>
      <c r="D888" s="7">
        <v>0.25</v>
      </c>
      <c r="E888" s="7">
        <v>8.0</v>
      </c>
      <c r="F888" s="7">
        <v>218.168631315231</v>
      </c>
      <c r="G888" s="7">
        <v>327.026803493499</v>
      </c>
      <c r="H888" s="7">
        <v>1.0</v>
      </c>
      <c r="I888" s="15">
        <v>0.828601112763155</v>
      </c>
      <c r="J888" s="15">
        <v>0.0973992817520837</v>
      </c>
      <c r="K888" s="12">
        <f>AVERAGE(I887:I891)</f>
        <v>0.5802901967</v>
      </c>
      <c r="L888" s="18">
        <v>7451.0</v>
      </c>
      <c r="M888" s="14">
        <f>STDEV(L887:L891)</f>
        <v>41315.09859</v>
      </c>
      <c r="N888" s="15" t="b">
        <f t="shared" si="1"/>
        <v>0</v>
      </c>
    </row>
    <row r="889" hidden="1">
      <c r="A889" s="7" t="s">
        <v>184</v>
      </c>
      <c r="B889" s="7" t="s">
        <v>17</v>
      </c>
      <c r="C889" s="7">
        <v>0.75</v>
      </c>
      <c r="D889" s="7">
        <v>0.25</v>
      </c>
      <c r="E889" s="7">
        <v>8.0</v>
      </c>
      <c r="F889" s="7">
        <v>218.168631315231</v>
      </c>
      <c r="G889" s="7">
        <v>327.026803493499</v>
      </c>
      <c r="H889" s="7">
        <v>2.0</v>
      </c>
      <c r="I889" s="15">
        <v>0.923071512181728</v>
      </c>
      <c r="J889" s="15">
        <v>0.0274945048679254</v>
      </c>
      <c r="K889" s="12">
        <f>AVERAGE(I887:I891)</f>
        <v>0.5802901967</v>
      </c>
      <c r="L889" s="18">
        <v>1680.0</v>
      </c>
      <c r="M889" s="14">
        <f>STDEV(L887:L891)</f>
        <v>41315.09859</v>
      </c>
      <c r="N889" s="15" t="b">
        <f t="shared" si="1"/>
        <v>0</v>
      </c>
    </row>
    <row r="890" hidden="1">
      <c r="A890" s="7" t="s">
        <v>184</v>
      </c>
      <c r="B890" s="7" t="s">
        <v>17</v>
      </c>
      <c r="C890" s="7">
        <v>0.75</v>
      </c>
      <c r="D890" s="7">
        <v>0.25</v>
      </c>
      <c r="E890" s="7">
        <v>8.0</v>
      </c>
      <c r="F890" s="7">
        <v>218.168631315231</v>
      </c>
      <c r="G890" s="7">
        <v>327.026803493499</v>
      </c>
      <c r="H890" s="7">
        <v>3.0</v>
      </c>
      <c r="I890" s="15">
        <v>0.812957557181602</v>
      </c>
      <c r="J890" s="15">
        <v>0.131773165680483</v>
      </c>
      <c r="K890" s="12">
        <f>AVERAGE(I887:I891)</f>
        <v>0.5802901967</v>
      </c>
      <c r="L890" s="18">
        <v>1401.0</v>
      </c>
      <c r="M890" s="14">
        <f>STDEV(L887:L891)</f>
        <v>41315.09859</v>
      </c>
      <c r="N890" s="15" t="b">
        <f t="shared" si="1"/>
        <v>0</v>
      </c>
    </row>
    <row r="891" hidden="1">
      <c r="A891" s="7" t="s">
        <v>184</v>
      </c>
      <c r="B891" s="7" t="s">
        <v>17</v>
      </c>
      <c r="C891" s="7">
        <v>0.75</v>
      </c>
      <c r="D891" s="7">
        <v>0.25</v>
      </c>
      <c r="E891" s="7">
        <v>8.0</v>
      </c>
      <c r="F891" s="7">
        <v>218.168631315231</v>
      </c>
      <c r="G891" s="7">
        <v>327.026803493499</v>
      </c>
      <c r="H891" s="7">
        <v>4.0</v>
      </c>
      <c r="I891" s="15">
        <v>0.0382627564499899</v>
      </c>
      <c r="J891" s="15">
        <v>0.104972248459318</v>
      </c>
      <c r="K891" s="12">
        <f>AVERAGE(I887:I891)</f>
        <v>0.5802901967</v>
      </c>
      <c r="L891" s="18">
        <v>98606.0</v>
      </c>
      <c r="M891" s="14">
        <f>STDEV(L887:L891)</f>
        <v>41315.09859</v>
      </c>
      <c r="N891" s="15" t="b">
        <f t="shared" si="1"/>
        <v>0</v>
      </c>
    </row>
    <row r="892" hidden="1">
      <c r="A892" s="7" t="s">
        <v>185</v>
      </c>
      <c r="B892" s="7" t="s">
        <v>17</v>
      </c>
      <c r="C892" s="7">
        <v>0.75</v>
      </c>
      <c r="D892" s="7">
        <v>0.25</v>
      </c>
      <c r="E892" s="7">
        <v>9.0</v>
      </c>
      <c r="F892" s="7">
        <v>384.520875692367</v>
      </c>
      <c r="G892" s="7">
        <v>441.791090250015</v>
      </c>
      <c r="H892" s="7">
        <v>0.0</v>
      </c>
      <c r="I892" s="15">
        <v>0.107033028570809</v>
      </c>
      <c r="J892" s="15">
        <v>0.101048235539218</v>
      </c>
      <c r="K892" s="12">
        <f>AVERAGE(I892:I896)</f>
        <v>0.424182702</v>
      </c>
      <c r="L892" s="18">
        <v>99681.0</v>
      </c>
      <c r="M892" s="14">
        <f>STDEV(L892:L896)</f>
        <v>41956.40827</v>
      </c>
      <c r="N892" s="15" t="b">
        <f t="shared" si="1"/>
        <v>0</v>
      </c>
    </row>
    <row r="893" hidden="1">
      <c r="A893" s="7" t="s">
        <v>185</v>
      </c>
      <c r="B893" s="7" t="s">
        <v>17</v>
      </c>
      <c r="C893" s="7">
        <v>0.75</v>
      </c>
      <c r="D893" s="7">
        <v>0.25</v>
      </c>
      <c r="E893" s="7">
        <v>9.0</v>
      </c>
      <c r="F893" s="7">
        <v>384.520875692367</v>
      </c>
      <c r="G893" s="7">
        <v>441.791090250015</v>
      </c>
      <c r="H893" s="7">
        <v>1.0</v>
      </c>
      <c r="I893" s="15">
        <v>0.0778428576092933</v>
      </c>
      <c r="J893" s="15">
        <v>0.0417917454949669</v>
      </c>
      <c r="K893" s="12">
        <f>AVERAGE(I892:I896)</f>
        <v>0.424182702</v>
      </c>
      <c r="L893" s="18">
        <v>32868.0</v>
      </c>
      <c r="M893" s="14">
        <f>STDEV(L892:L896)</f>
        <v>41956.40827</v>
      </c>
      <c r="N893" s="15" t="b">
        <f t="shared" si="1"/>
        <v>0</v>
      </c>
    </row>
    <row r="894" hidden="1">
      <c r="A894" s="7" t="s">
        <v>185</v>
      </c>
      <c r="B894" s="7" t="s">
        <v>17</v>
      </c>
      <c r="C894" s="7">
        <v>0.75</v>
      </c>
      <c r="D894" s="7">
        <v>0.25</v>
      </c>
      <c r="E894" s="7">
        <v>9.0</v>
      </c>
      <c r="F894" s="7">
        <v>384.520875692367</v>
      </c>
      <c r="G894" s="7">
        <v>441.791090250015</v>
      </c>
      <c r="H894" s="7">
        <v>2.0</v>
      </c>
      <c r="I894" s="15">
        <v>0.214579346254642</v>
      </c>
      <c r="J894" s="15">
        <v>0.076681601582007</v>
      </c>
      <c r="K894" s="12">
        <f>AVERAGE(I892:I896)</f>
        <v>0.424182702</v>
      </c>
      <c r="L894" s="18">
        <v>5778.0</v>
      </c>
      <c r="M894" s="14">
        <f>STDEV(L892:L896)</f>
        <v>41956.40827</v>
      </c>
      <c r="N894" s="15" t="b">
        <f t="shared" si="1"/>
        <v>0</v>
      </c>
    </row>
    <row r="895" hidden="1">
      <c r="A895" s="7" t="s">
        <v>185</v>
      </c>
      <c r="B895" s="7" t="s">
        <v>17</v>
      </c>
      <c r="C895" s="7">
        <v>0.75</v>
      </c>
      <c r="D895" s="7">
        <v>0.25</v>
      </c>
      <c r="E895" s="7">
        <v>9.0</v>
      </c>
      <c r="F895" s="7">
        <v>384.520875692367</v>
      </c>
      <c r="G895" s="7">
        <v>441.791090250015</v>
      </c>
      <c r="H895" s="7">
        <v>3.0</v>
      </c>
      <c r="I895" s="15">
        <v>0.825252082315664</v>
      </c>
      <c r="J895" s="15">
        <v>0.11959956639421</v>
      </c>
      <c r="K895" s="12">
        <f>AVERAGE(I892:I896)</f>
        <v>0.424182702</v>
      </c>
      <c r="L895" s="18">
        <v>1376.0</v>
      </c>
      <c r="M895" s="14">
        <f>STDEV(L892:L896)</f>
        <v>41956.40827</v>
      </c>
      <c r="N895" s="15" t="b">
        <f t="shared" si="1"/>
        <v>0</v>
      </c>
    </row>
    <row r="896" hidden="1">
      <c r="A896" s="7" t="s">
        <v>185</v>
      </c>
      <c r="B896" s="7" t="s">
        <v>17</v>
      </c>
      <c r="C896" s="7">
        <v>0.75</v>
      </c>
      <c r="D896" s="7">
        <v>0.25</v>
      </c>
      <c r="E896" s="7">
        <v>9.0</v>
      </c>
      <c r="F896" s="7">
        <v>384.520875692367</v>
      </c>
      <c r="G896" s="7">
        <v>441.791090250015</v>
      </c>
      <c r="H896" s="7">
        <v>4.0</v>
      </c>
      <c r="I896" s="15">
        <v>0.896206195142095</v>
      </c>
      <c r="J896" s="15">
        <v>0.124545316658943</v>
      </c>
      <c r="K896" s="12">
        <f>AVERAGE(I892:I896)</f>
        <v>0.424182702</v>
      </c>
      <c r="L896" s="18">
        <v>1973.0</v>
      </c>
      <c r="M896" s="14">
        <f>STDEV(L892:L896)</f>
        <v>41956.40827</v>
      </c>
      <c r="N896" s="15" t="b">
        <f t="shared" si="1"/>
        <v>0</v>
      </c>
    </row>
    <row r="897" hidden="1">
      <c r="A897" s="7" t="s">
        <v>186</v>
      </c>
      <c r="B897" s="22" t="s">
        <v>17</v>
      </c>
      <c r="C897" s="22">
        <v>0.75</v>
      </c>
      <c r="D897" s="22">
        <v>0.25</v>
      </c>
      <c r="E897" s="22">
        <v>10.0</v>
      </c>
      <c r="F897" s="7">
        <v>717.418072938919</v>
      </c>
      <c r="G897" s="7">
        <v>814.788512468338</v>
      </c>
      <c r="H897" s="7">
        <v>0.0</v>
      </c>
      <c r="I897" s="15">
        <v>0.447897262100589</v>
      </c>
      <c r="J897" s="15">
        <v>0.134922697561252</v>
      </c>
      <c r="K897" s="12">
        <f>AVERAGE(I897:I901)</f>
        <v>0.4538666719</v>
      </c>
      <c r="L897" s="18">
        <v>19005.0</v>
      </c>
      <c r="M897" s="14">
        <f>STDEV(L897:L901)</f>
        <v>31058.60256</v>
      </c>
      <c r="N897" s="15" t="b">
        <f t="shared" si="1"/>
        <v>0</v>
      </c>
    </row>
    <row r="898" hidden="1">
      <c r="A898" s="7" t="s">
        <v>186</v>
      </c>
      <c r="B898" s="22" t="s">
        <v>17</v>
      </c>
      <c r="C898" s="22">
        <v>0.75</v>
      </c>
      <c r="D898" s="22">
        <v>0.25</v>
      </c>
      <c r="E898" s="22">
        <v>10.0</v>
      </c>
      <c r="F898" s="7">
        <v>717.418072938919</v>
      </c>
      <c r="G898" s="7">
        <v>814.788512468338</v>
      </c>
      <c r="H898" s="7">
        <v>1.0</v>
      </c>
      <c r="I898" s="15">
        <v>0.224106273991167</v>
      </c>
      <c r="J898" s="15">
        <v>0.0712559712416561</v>
      </c>
      <c r="K898" s="12">
        <f>AVERAGE(I897:I901)</f>
        <v>0.4538666719</v>
      </c>
      <c r="L898" s="18">
        <v>41184.0</v>
      </c>
      <c r="M898" s="14">
        <f>STDEV(L897:L901)</f>
        <v>31058.60256</v>
      </c>
      <c r="N898" s="15" t="b">
        <f t="shared" si="1"/>
        <v>0</v>
      </c>
    </row>
    <row r="899" hidden="1">
      <c r="A899" s="7" t="s">
        <v>186</v>
      </c>
      <c r="B899" s="22" t="s">
        <v>17</v>
      </c>
      <c r="C899" s="22">
        <v>0.75</v>
      </c>
      <c r="D899" s="22">
        <v>0.25</v>
      </c>
      <c r="E899" s="22">
        <v>10.0</v>
      </c>
      <c r="F899" s="7">
        <v>717.418072938919</v>
      </c>
      <c r="G899" s="7">
        <v>814.788512468338</v>
      </c>
      <c r="H899" s="7">
        <v>2.0</v>
      </c>
      <c r="I899" s="15">
        <v>0.8261117565784</v>
      </c>
      <c r="J899" s="15">
        <v>0.105455465257682</v>
      </c>
      <c r="K899" s="12">
        <f>AVERAGE(I897:I901)</f>
        <v>0.4538666719</v>
      </c>
      <c r="L899" s="18">
        <v>5400.0</v>
      </c>
      <c r="M899" s="14">
        <f>STDEV(L897:L901)</f>
        <v>31058.60256</v>
      </c>
      <c r="N899" s="15" t="b">
        <f t="shared" si="1"/>
        <v>0</v>
      </c>
    </row>
    <row r="900" hidden="1">
      <c r="A900" s="7" t="s">
        <v>186</v>
      </c>
      <c r="B900" s="22" t="s">
        <v>17</v>
      </c>
      <c r="C900" s="22">
        <v>0.75</v>
      </c>
      <c r="D900" s="22">
        <v>0.25</v>
      </c>
      <c r="E900" s="22">
        <v>10.0</v>
      </c>
      <c r="F900" s="7">
        <v>717.418072938919</v>
      </c>
      <c r="G900" s="7">
        <v>814.788512468338</v>
      </c>
      <c r="H900" s="7">
        <v>3.0</v>
      </c>
      <c r="I900" s="15">
        <v>-0.00483603122275551</v>
      </c>
      <c r="J900" s="15">
        <v>0.118367847547809</v>
      </c>
      <c r="K900" s="12">
        <f>AVERAGE(I897:I901)</f>
        <v>0.4538666719</v>
      </c>
      <c r="L900" s="18">
        <v>76069.0</v>
      </c>
      <c r="M900" s="14">
        <f>STDEV(L897:L901)</f>
        <v>31058.60256</v>
      </c>
      <c r="N900" s="15" t="b">
        <f t="shared" si="1"/>
        <v>0</v>
      </c>
    </row>
    <row r="901" hidden="1">
      <c r="A901" s="7" t="s">
        <v>186</v>
      </c>
      <c r="B901" s="22" t="s">
        <v>17</v>
      </c>
      <c r="C901" s="22">
        <v>0.75</v>
      </c>
      <c r="D901" s="22">
        <v>0.25</v>
      </c>
      <c r="E901" s="22">
        <v>10.0</v>
      </c>
      <c r="F901" s="7">
        <v>717.418072938919</v>
      </c>
      <c r="G901" s="7">
        <v>814.788512468338</v>
      </c>
      <c r="H901" s="7">
        <v>4.0</v>
      </c>
      <c r="I901" s="15">
        <v>0.776054097999759</v>
      </c>
      <c r="J901" s="15">
        <v>0.0679946880860951</v>
      </c>
      <c r="K901" s="12">
        <f>AVERAGE(I897:I901)</f>
        <v>0.4538666719</v>
      </c>
      <c r="L901" s="18">
        <v>18.0</v>
      </c>
      <c r="M901" s="14">
        <f>STDEV(L897:L901)</f>
        <v>31058.60256</v>
      </c>
      <c r="N901" s="15" t="b">
        <f t="shared" si="1"/>
        <v>0</v>
      </c>
    </row>
    <row r="902" hidden="1">
      <c r="A902" s="7" t="s">
        <v>187</v>
      </c>
      <c r="B902" s="21" t="s">
        <v>17</v>
      </c>
      <c r="C902" s="21">
        <v>0.75</v>
      </c>
      <c r="D902" s="21">
        <v>0.5</v>
      </c>
      <c r="E902" s="21">
        <v>1.0</v>
      </c>
      <c r="F902" s="7">
        <v>123.831309080123</v>
      </c>
      <c r="G902" s="7">
        <v>213.967853069305</v>
      </c>
      <c r="H902" s="7">
        <v>0.0</v>
      </c>
      <c r="I902" s="15">
        <v>0.823900220687342</v>
      </c>
      <c r="J902" s="15">
        <v>0.111692724829023</v>
      </c>
      <c r="K902" s="12">
        <f>AVERAGE(I902:I906)</f>
        <v>0.662348852</v>
      </c>
      <c r="L902" s="18">
        <v>5407.0</v>
      </c>
      <c r="M902" s="14">
        <f>STDEV(L902:L906)</f>
        <v>48486.58441</v>
      </c>
      <c r="N902" s="15" t="b">
        <f t="shared" si="1"/>
        <v>1</v>
      </c>
    </row>
    <row r="903" hidden="1">
      <c r="A903" s="7" t="s">
        <v>187</v>
      </c>
      <c r="B903" s="21" t="s">
        <v>17</v>
      </c>
      <c r="C903" s="21">
        <v>0.75</v>
      </c>
      <c r="D903" s="21">
        <v>0.5</v>
      </c>
      <c r="E903" s="21">
        <v>1.0</v>
      </c>
      <c r="F903" s="7">
        <v>123.831309080123</v>
      </c>
      <c r="G903" s="7">
        <v>213.967853069305</v>
      </c>
      <c r="H903" s="7">
        <v>1.0</v>
      </c>
      <c r="I903" s="15">
        <v>0.0397155480172968</v>
      </c>
      <c r="J903" s="15">
        <v>0.160110590572143</v>
      </c>
      <c r="K903" s="12">
        <f>AVERAGE(I902:I906)</f>
        <v>0.662348852</v>
      </c>
      <c r="L903" s="18">
        <v>114937.0</v>
      </c>
      <c r="M903" s="14">
        <f>STDEV(L902:L906)</f>
        <v>48486.58441</v>
      </c>
      <c r="N903" s="15" t="b">
        <f t="shared" si="1"/>
        <v>1</v>
      </c>
    </row>
    <row r="904" hidden="1">
      <c r="A904" s="7" t="s">
        <v>187</v>
      </c>
      <c r="B904" s="21" t="s">
        <v>17</v>
      </c>
      <c r="C904" s="21">
        <v>0.75</v>
      </c>
      <c r="D904" s="21">
        <v>0.5</v>
      </c>
      <c r="E904" s="21">
        <v>1.0</v>
      </c>
      <c r="F904" s="7">
        <v>123.831309080123</v>
      </c>
      <c r="G904" s="7">
        <v>213.967853069305</v>
      </c>
      <c r="H904" s="7">
        <v>2.0</v>
      </c>
      <c r="I904" s="15">
        <v>0.872305646309951</v>
      </c>
      <c r="J904" s="15">
        <v>0.100639386838636</v>
      </c>
      <c r="K904" s="12">
        <f>AVERAGE(I902:I906)</f>
        <v>0.662348852</v>
      </c>
      <c r="L904" s="18">
        <v>4428.0</v>
      </c>
      <c r="M904" s="14">
        <f>STDEV(L902:L906)</f>
        <v>48486.58441</v>
      </c>
      <c r="N904" s="15" t="b">
        <f t="shared" si="1"/>
        <v>1</v>
      </c>
    </row>
    <row r="905" hidden="1">
      <c r="A905" s="7" t="s">
        <v>187</v>
      </c>
      <c r="B905" s="21" t="s">
        <v>17</v>
      </c>
      <c r="C905" s="21">
        <v>0.75</v>
      </c>
      <c r="D905" s="21">
        <v>0.5</v>
      </c>
      <c r="E905" s="21">
        <v>1.0</v>
      </c>
      <c r="F905" s="7">
        <v>123.831309080123</v>
      </c>
      <c r="G905" s="7">
        <v>213.967853069305</v>
      </c>
      <c r="H905" s="7">
        <v>3.0</v>
      </c>
      <c r="I905" s="15">
        <v>0.777323785311659</v>
      </c>
      <c r="J905" s="15">
        <v>0.137278409179535</v>
      </c>
      <c r="K905" s="12">
        <f>AVERAGE(I902:I906)</f>
        <v>0.662348852</v>
      </c>
      <c r="L905" s="18">
        <v>5625.0</v>
      </c>
      <c r="M905" s="14">
        <f>STDEV(L902:L906)</f>
        <v>48486.58441</v>
      </c>
      <c r="N905" s="15" t="b">
        <f t="shared" si="1"/>
        <v>1</v>
      </c>
    </row>
    <row r="906" hidden="1">
      <c r="A906" s="7" t="s">
        <v>187</v>
      </c>
      <c r="B906" s="21" t="s">
        <v>17</v>
      </c>
      <c r="C906" s="21">
        <v>0.75</v>
      </c>
      <c r="D906" s="21">
        <v>0.5</v>
      </c>
      <c r="E906" s="21">
        <v>1.0</v>
      </c>
      <c r="F906" s="7">
        <v>123.831309080123</v>
      </c>
      <c r="G906" s="7">
        <v>213.967853069305</v>
      </c>
      <c r="H906" s="7">
        <v>4.0</v>
      </c>
      <c r="I906" s="15">
        <v>0.798499059893346</v>
      </c>
      <c r="J906" s="15">
        <v>0.114697792913621</v>
      </c>
      <c r="K906" s="12">
        <f>AVERAGE(I902:I906)</f>
        <v>0.662348852</v>
      </c>
      <c r="L906" s="18">
        <v>11279.0</v>
      </c>
      <c r="M906" s="14">
        <f>STDEV(L902:L906)</f>
        <v>48486.58441</v>
      </c>
      <c r="N906" s="15" t="b">
        <f t="shared" si="1"/>
        <v>1</v>
      </c>
    </row>
    <row r="907" hidden="1">
      <c r="A907" s="7" t="s">
        <v>188</v>
      </c>
      <c r="B907" s="7" t="s">
        <v>17</v>
      </c>
      <c r="C907" s="7">
        <v>0.75</v>
      </c>
      <c r="D907" s="7">
        <v>0.5</v>
      </c>
      <c r="E907" s="7">
        <v>2.0</v>
      </c>
      <c r="F907" s="7">
        <v>178.142726421356</v>
      </c>
      <c r="G907" s="7">
        <v>283.315457105636</v>
      </c>
      <c r="H907" s="7">
        <v>0.0</v>
      </c>
      <c r="I907" s="15">
        <v>0.166810713685229</v>
      </c>
      <c r="J907" s="15">
        <v>0.0675667551087691</v>
      </c>
      <c r="K907" s="12">
        <f>AVERAGE(I907:I911)</f>
        <v>0.3376588564</v>
      </c>
      <c r="L907" s="18">
        <v>32001.0</v>
      </c>
      <c r="M907" s="14">
        <f>STDEV(L907:L911)</f>
        <v>24308.73313</v>
      </c>
      <c r="N907" s="15" t="b">
        <f t="shared" si="1"/>
        <v>0</v>
      </c>
    </row>
    <row r="908" hidden="1">
      <c r="A908" s="7" t="s">
        <v>188</v>
      </c>
      <c r="B908" s="7" t="s">
        <v>17</v>
      </c>
      <c r="C908" s="7">
        <v>0.75</v>
      </c>
      <c r="D908" s="7">
        <v>0.5</v>
      </c>
      <c r="E908" s="7">
        <v>2.0</v>
      </c>
      <c r="F908" s="7">
        <v>178.142726421356</v>
      </c>
      <c r="G908" s="7">
        <v>283.315457105636</v>
      </c>
      <c r="H908" s="7">
        <v>1.0</v>
      </c>
      <c r="I908" s="15">
        <v>0.155789689953363</v>
      </c>
      <c r="J908" s="15">
        <v>0.190038984886423</v>
      </c>
      <c r="K908" s="12">
        <f>AVERAGE(I907:I911)</f>
        <v>0.3376588564</v>
      </c>
      <c r="L908" s="18">
        <v>63904.0</v>
      </c>
      <c r="M908" s="14">
        <f>STDEV(L907:L911)</f>
        <v>24308.73313</v>
      </c>
      <c r="N908" s="15" t="b">
        <f t="shared" si="1"/>
        <v>0</v>
      </c>
    </row>
    <row r="909" hidden="1">
      <c r="A909" s="7" t="s">
        <v>188</v>
      </c>
      <c r="B909" s="7" t="s">
        <v>17</v>
      </c>
      <c r="C909" s="7">
        <v>0.75</v>
      </c>
      <c r="D909" s="7">
        <v>0.5</v>
      </c>
      <c r="E909" s="7">
        <v>2.0</v>
      </c>
      <c r="F909" s="7">
        <v>178.142726421356</v>
      </c>
      <c r="G909" s="7">
        <v>283.315457105636</v>
      </c>
      <c r="H909" s="7">
        <v>2.0</v>
      </c>
      <c r="I909" s="15">
        <v>0.459363368250244</v>
      </c>
      <c r="J909" s="15">
        <v>0.112098916273444</v>
      </c>
      <c r="K909" s="12">
        <f>AVERAGE(I907:I911)</f>
        <v>0.3376588564</v>
      </c>
      <c r="L909" s="18">
        <v>3659.0</v>
      </c>
      <c r="M909" s="14">
        <f>STDEV(L907:L911)</f>
        <v>24308.73313</v>
      </c>
      <c r="N909" s="15" t="b">
        <f t="shared" si="1"/>
        <v>0</v>
      </c>
    </row>
    <row r="910" hidden="1">
      <c r="A910" s="7" t="s">
        <v>188</v>
      </c>
      <c r="B910" s="7" t="s">
        <v>17</v>
      </c>
      <c r="C910" s="7">
        <v>0.75</v>
      </c>
      <c r="D910" s="7">
        <v>0.5</v>
      </c>
      <c r="E910" s="7">
        <v>2.0</v>
      </c>
      <c r="F910" s="7">
        <v>178.142726421356</v>
      </c>
      <c r="G910" s="7">
        <v>283.315457105636</v>
      </c>
      <c r="H910" s="7">
        <v>3.0</v>
      </c>
      <c r="I910" s="15">
        <v>0.82857636960682</v>
      </c>
      <c r="J910" s="15">
        <v>0.098433027787214</v>
      </c>
      <c r="K910" s="12">
        <f>AVERAGE(I907:I911)</f>
        <v>0.3376588564</v>
      </c>
      <c r="L910" s="18">
        <v>7451.0</v>
      </c>
      <c r="M910" s="14">
        <f>STDEV(L907:L911)</f>
        <v>24308.73313</v>
      </c>
      <c r="N910" s="15" t="b">
        <f t="shared" si="1"/>
        <v>0</v>
      </c>
    </row>
    <row r="911" hidden="1">
      <c r="A911" s="7" t="s">
        <v>188</v>
      </c>
      <c r="B911" s="7" t="s">
        <v>17</v>
      </c>
      <c r="C911" s="7">
        <v>0.75</v>
      </c>
      <c r="D911" s="7">
        <v>0.5</v>
      </c>
      <c r="E911" s="7">
        <v>2.0</v>
      </c>
      <c r="F911" s="7">
        <v>178.142726421356</v>
      </c>
      <c r="G911" s="7">
        <v>283.315457105636</v>
      </c>
      <c r="H911" s="7">
        <v>4.0</v>
      </c>
      <c r="I911" s="15">
        <v>0.0777541406559227</v>
      </c>
      <c r="J911" s="15">
        <v>0.0623107210239805</v>
      </c>
      <c r="K911" s="12">
        <f>AVERAGE(I907:I911)</f>
        <v>0.3376588564</v>
      </c>
      <c r="L911" s="18">
        <v>34661.0</v>
      </c>
      <c r="M911" s="14">
        <f>STDEV(L907:L911)</f>
        <v>24308.73313</v>
      </c>
      <c r="N911" s="15" t="b">
        <f t="shared" si="1"/>
        <v>0</v>
      </c>
    </row>
    <row r="912" hidden="1">
      <c r="A912" s="7" t="s">
        <v>189</v>
      </c>
      <c r="B912" s="20" t="s">
        <v>17</v>
      </c>
      <c r="C912" s="20">
        <v>0.75</v>
      </c>
      <c r="D912" s="20">
        <v>0.5</v>
      </c>
      <c r="E912" s="20">
        <v>3.0</v>
      </c>
      <c r="F912" s="7">
        <v>114.167161226272</v>
      </c>
      <c r="G912" s="7">
        <v>198.731450796127</v>
      </c>
      <c r="H912" s="7">
        <v>0.0</v>
      </c>
      <c r="I912" s="15">
        <v>0.810327281850075</v>
      </c>
      <c r="J912" s="15">
        <v>0.097965042355989</v>
      </c>
      <c r="K912" s="12">
        <f>AVERAGE(I912:I916)</f>
        <v>0.6633840681</v>
      </c>
      <c r="L912" s="18">
        <v>13498.0</v>
      </c>
      <c r="M912" s="14">
        <f>STDEV(L912:L916)</f>
        <v>45679.29808</v>
      </c>
      <c r="N912" s="15" t="b">
        <f t="shared" si="1"/>
        <v>1</v>
      </c>
    </row>
    <row r="913" hidden="1">
      <c r="A913" s="7" t="s">
        <v>189</v>
      </c>
      <c r="B913" s="20" t="s">
        <v>17</v>
      </c>
      <c r="C913" s="20">
        <v>0.75</v>
      </c>
      <c r="D913" s="20">
        <v>0.5</v>
      </c>
      <c r="E913" s="20">
        <v>3.0</v>
      </c>
      <c r="F913" s="7">
        <v>114.167161226272</v>
      </c>
      <c r="G913" s="7">
        <v>198.731450796127</v>
      </c>
      <c r="H913" s="7">
        <v>1.0</v>
      </c>
      <c r="I913" s="15">
        <v>0.820455804779475</v>
      </c>
      <c r="J913" s="15">
        <v>0.115119235843565</v>
      </c>
      <c r="K913" s="12">
        <f>AVERAGE(I912:I916)</f>
        <v>0.6633840681</v>
      </c>
      <c r="L913" s="18">
        <v>5444.0</v>
      </c>
      <c r="M913" s="14">
        <f>STDEV(L912:L916)</f>
        <v>45679.29808</v>
      </c>
      <c r="N913" s="15" t="b">
        <f t="shared" si="1"/>
        <v>1</v>
      </c>
    </row>
    <row r="914" hidden="1">
      <c r="A914" s="7" t="s">
        <v>189</v>
      </c>
      <c r="B914" s="20" t="s">
        <v>17</v>
      </c>
      <c r="C914" s="20">
        <v>0.75</v>
      </c>
      <c r="D914" s="20">
        <v>0.5</v>
      </c>
      <c r="E914" s="20">
        <v>3.0</v>
      </c>
      <c r="F914" s="7">
        <v>114.167161226272</v>
      </c>
      <c r="G914" s="7">
        <v>198.731450796127</v>
      </c>
      <c r="H914" s="7">
        <v>2.0</v>
      </c>
      <c r="I914" s="15">
        <v>0.0364684504800259</v>
      </c>
      <c r="J914" s="15">
        <v>0.158597614947732</v>
      </c>
      <c r="K914" s="12">
        <f>AVERAGE(I912:I916)</f>
        <v>0.6633840681</v>
      </c>
      <c r="L914" s="18">
        <v>109835.0</v>
      </c>
      <c r="M914" s="14">
        <f>STDEV(L912:L916)</f>
        <v>45679.29808</v>
      </c>
      <c r="N914" s="15" t="b">
        <f t="shared" si="1"/>
        <v>1</v>
      </c>
    </row>
    <row r="915" hidden="1">
      <c r="A915" s="7" t="s">
        <v>189</v>
      </c>
      <c r="B915" s="20" t="s">
        <v>17</v>
      </c>
      <c r="C915" s="20">
        <v>0.75</v>
      </c>
      <c r="D915" s="20">
        <v>0.5</v>
      </c>
      <c r="E915" s="20">
        <v>3.0</v>
      </c>
      <c r="F915" s="7">
        <v>114.167161226272</v>
      </c>
      <c r="G915" s="7">
        <v>198.731450796127</v>
      </c>
      <c r="H915" s="7">
        <v>3.0</v>
      </c>
      <c r="I915" s="15">
        <v>0.822448708799321</v>
      </c>
      <c r="J915" s="15">
        <v>0.105789081213164</v>
      </c>
      <c r="K915" s="12">
        <f>AVERAGE(I912:I916)</f>
        <v>0.6633840681</v>
      </c>
      <c r="L915" s="18">
        <v>5435.0</v>
      </c>
      <c r="M915" s="14">
        <f>STDEV(L912:L916)</f>
        <v>45679.29808</v>
      </c>
      <c r="N915" s="15" t="b">
        <f t="shared" si="1"/>
        <v>1</v>
      </c>
    </row>
    <row r="916" hidden="1">
      <c r="A916" s="7" t="s">
        <v>189</v>
      </c>
      <c r="B916" s="20" t="s">
        <v>17</v>
      </c>
      <c r="C916" s="20">
        <v>0.75</v>
      </c>
      <c r="D916" s="20">
        <v>0.5</v>
      </c>
      <c r="E916" s="20">
        <v>3.0</v>
      </c>
      <c r="F916" s="7">
        <v>114.167161226272</v>
      </c>
      <c r="G916" s="7">
        <v>198.731450796127</v>
      </c>
      <c r="H916" s="7">
        <v>4.0</v>
      </c>
      <c r="I916" s="15">
        <v>0.827220094742313</v>
      </c>
      <c r="J916" s="15">
        <v>0.100026953343065</v>
      </c>
      <c r="K916" s="12">
        <f>AVERAGE(I912:I916)</f>
        <v>0.6633840681</v>
      </c>
      <c r="L916" s="18">
        <v>7464.0</v>
      </c>
      <c r="M916" s="14">
        <f>STDEV(L912:L916)</f>
        <v>45679.29808</v>
      </c>
      <c r="N916" s="15" t="b">
        <f t="shared" si="1"/>
        <v>1</v>
      </c>
    </row>
    <row r="917" hidden="1">
      <c r="A917" s="7" t="s">
        <v>190</v>
      </c>
      <c r="B917" s="7" t="s">
        <v>17</v>
      </c>
      <c r="C917" s="7">
        <v>0.75</v>
      </c>
      <c r="D917" s="7">
        <v>0.5</v>
      </c>
      <c r="E917" s="7">
        <v>4.0</v>
      </c>
      <c r="F917" s="7">
        <v>284.629604816436</v>
      </c>
      <c r="G917" s="7">
        <v>347.321504116058</v>
      </c>
      <c r="H917" s="7">
        <v>0.0</v>
      </c>
      <c r="I917" s="15">
        <v>0.784220559067562</v>
      </c>
      <c r="J917" s="15">
        <v>0.131084991481399</v>
      </c>
      <c r="K917" s="12">
        <f>AVERAGE(I917:I921)</f>
        <v>0.4519423351</v>
      </c>
      <c r="L917" s="18">
        <v>12835.0</v>
      </c>
      <c r="M917" s="14">
        <f>STDEV(L917:L921)</f>
        <v>28950.06725</v>
      </c>
      <c r="N917" s="15" t="b">
        <f t="shared" si="1"/>
        <v>0</v>
      </c>
    </row>
    <row r="918" hidden="1">
      <c r="A918" s="7" t="s">
        <v>190</v>
      </c>
      <c r="B918" s="7" t="s">
        <v>17</v>
      </c>
      <c r="C918" s="7">
        <v>0.75</v>
      </c>
      <c r="D918" s="7">
        <v>0.5</v>
      </c>
      <c r="E918" s="7">
        <v>4.0</v>
      </c>
      <c r="F918" s="7">
        <v>284.629604816436</v>
      </c>
      <c r="G918" s="7">
        <v>347.321504116058</v>
      </c>
      <c r="H918" s="7">
        <v>1.0</v>
      </c>
      <c r="I918" s="15">
        <v>0.822551524975143</v>
      </c>
      <c r="J918" s="15">
        <v>0.114168226538523</v>
      </c>
      <c r="K918" s="12">
        <f>AVERAGE(I917:I921)</f>
        <v>0.4519423351</v>
      </c>
      <c r="L918" s="18">
        <v>5413.0</v>
      </c>
      <c r="M918" s="14">
        <f>STDEV(L917:L921)</f>
        <v>28950.06725</v>
      </c>
      <c r="N918" s="15" t="b">
        <f t="shared" si="1"/>
        <v>0</v>
      </c>
    </row>
    <row r="919" hidden="1">
      <c r="A919" s="7" t="s">
        <v>190</v>
      </c>
      <c r="B919" s="7" t="s">
        <v>17</v>
      </c>
      <c r="C919" s="7">
        <v>0.75</v>
      </c>
      <c r="D919" s="7">
        <v>0.5</v>
      </c>
      <c r="E919" s="7">
        <v>4.0</v>
      </c>
      <c r="F919" s="7">
        <v>284.629604816436</v>
      </c>
      <c r="G919" s="7">
        <v>347.321504116058</v>
      </c>
      <c r="H919" s="7">
        <v>2.0</v>
      </c>
      <c r="I919" s="15">
        <v>0.296104832848363</v>
      </c>
      <c r="J919" s="15">
        <v>0.0875174650827777</v>
      </c>
      <c r="K919" s="12">
        <f>AVERAGE(I917:I921)</f>
        <v>0.4519423351</v>
      </c>
      <c r="L919" s="18">
        <v>31664.0</v>
      </c>
      <c r="M919" s="14">
        <f>STDEV(L917:L921)</f>
        <v>28950.06725</v>
      </c>
      <c r="N919" s="15" t="b">
        <f t="shared" si="1"/>
        <v>0</v>
      </c>
    </row>
    <row r="920" hidden="1">
      <c r="A920" s="7" t="s">
        <v>190</v>
      </c>
      <c r="B920" s="7" t="s">
        <v>17</v>
      </c>
      <c r="C920" s="7">
        <v>0.75</v>
      </c>
      <c r="D920" s="7">
        <v>0.5</v>
      </c>
      <c r="E920" s="7">
        <v>4.0</v>
      </c>
      <c r="F920" s="7">
        <v>284.629604816436</v>
      </c>
      <c r="G920" s="7">
        <v>347.321504116058</v>
      </c>
      <c r="H920" s="7">
        <v>3.0</v>
      </c>
      <c r="I920" s="15">
        <v>0.400688305398827</v>
      </c>
      <c r="J920" s="15">
        <v>0.119784596124095</v>
      </c>
      <c r="K920" s="12">
        <f>AVERAGE(I917:I921)</f>
        <v>0.4519423351</v>
      </c>
      <c r="L920" s="18">
        <v>14578.0</v>
      </c>
      <c r="M920" s="14">
        <f>STDEV(L917:L921)</f>
        <v>28950.06725</v>
      </c>
      <c r="N920" s="15" t="b">
        <f t="shared" si="1"/>
        <v>0</v>
      </c>
    </row>
    <row r="921" hidden="1">
      <c r="A921" s="7" t="s">
        <v>190</v>
      </c>
      <c r="B921" s="7" t="s">
        <v>17</v>
      </c>
      <c r="C921" s="7">
        <v>0.75</v>
      </c>
      <c r="D921" s="7">
        <v>0.5</v>
      </c>
      <c r="E921" s="7">
        <v>4.0</v>
      </c>
      <c r="F921" s="7">
        <v>284.629604816436</v>
      </c>
      <c r="G921" s="7">
        <v>347.321504116058</v>
      </c>
      <c r="H921" s="7">
        <v>4.0</v>
      </c>
      <c r="I921" s="15">
        <v>-0.0438535468728571</v>
      </c>
      <c r="J921" s="15">
        <v>0.194623337895255</v>
      </c>
      <c r="K921" s="12">
        <f>AVERAGE(I917:I921)</f>
        <v>0.4519423351</v>
      </c>
      <c r="L921" s="18">
        <v>77186.0</v>
      </c>
      <c r="M921" s="14">
        <f>STDEV(L917:L921)</f>
        <v>28950.06725</v>
      </c>
      <c r="N921" s="15" t="b">
        <f t="shared" si="1"/>
        <v>0</v>
      </c>
    </row>
    <row r="922" hidden="1">
      <c r="A922" s="7" t="s">
        <v>191</v>
      </c>
      <c r="B922" s="21" t="s">
        <v>17</v>
      </c>
      <c r="C922" s="21">
        <v>0.75</v>
      </c>
      <c r="D922" s="21">
        <v>0.5</v>
      </c>
      <c r="E922" s="21">
        <v>5.0</v>
      </c>
      <c r="F922" s="7">
        <v>126.360758066177</v>
      </c>
      <c r="G922" s="7">
        <v>223.538521766662</v>
      </c>
      <c r="H922" s="7">
        <v>0.0</v>
      </c>
      <c r="I922" s="15">
        <v>0.871275752690675</v>
      </c>
      <c r="J922" s="15">
        <v>0.0986098693908658</v>
      </c>
      <c r="K922" s="12">
        <f>AVERAGE(I922:I926)</f>
        <v>0.6696636425</v>
      </c>
      <c r="L922" s="18">
        <v>4433.0</v>
      </c>
      <c r="M922" s="14">
        <f>STDEV(L922:L926)</f>
        <v>46553.66785</v>
      </c>
      <c r="N922" s="15" t="b">
        <f t="shared" si="1"/>
        <v>1</v>
      </c>
    </row>
    <row r="923" hidden="1">
      <c r="A923" s="7" t="s">
        <v>191</v>
      </c>
      <c r="B923" s="21" t="s">
        <v>17</v>
      </c>
      <c r="C923" s="21">
        <v>0.75</v>
      </c>
      <c r="D923" s="21">
        <v>0.5</v>
      </c>
      <c r="E923" s="21">
        <v>5.0</v>
      </c>
      <c r="F923" s="7">
        <v>126.360758066177</v>
      </c>
      <c r="G923" s="7">
        <v>223.538521766662</v>
      </c>
      <c r="H923" s="7">
        <v>1.0</v>
      </c>
      <c r="I923" s="15">
        <v>0.827534943202</v>
      </c>
      <c r="J923" s="15">
        <v>0.0984421941072321</v>
      </c>
      <c r="K923" s="12">
        <f>AVERAGE(I922:I926)</f>
        <v>0.6696636425</v>
      </c>
      <c r="L923" s="18">
        <v>7464.0</v>
      </c>
      <c r="M923" s="14">
        <f>STDEV(L922:L926)</f>
        <v>46553.66785</v>
      </c>
      <c r="N923" s="15" t="b">
        <f t="shared" si="1"/>
        <v>1</v>
      </c>
    </row>
    <row r="924" hidden="1">
      <c r="A924" s="7" t="s">
        <v>191</v>
      </c>
      <c r="B924" s="21" t="s">
        <v>17</v>
      </c>
      <c r="C924" s="21">
        <v>0.75</v>
      </c>
      <c r="D924" s="21">
        <v>0.5</v>
      </c>
      <c r="E924" s="21">
        <v>5.0</v>
      </c>
      <c r="F924" s="7">
        <v>126.360758066177</v>
      </c>
      <c r="G924" s="7">
        <v>223.538521766662</v>
      </c>
      <c r="H924" s="7">
        <v>2.0</v>
      </c>
      <c r="I924" s="15">
        <v>0.781343089162757</v>
      </c>
      <c r="J924" s="15">
        <v>0.130270354315153</v>
      </c>
      <c r="K924" s="12">
        <f>AVERAGE(I922:I926)</f>
        <v>0.6696636425</v>
      </c>
      <c r="L924" s="18">
        <v>12939.0</v>
      </c>
      <c r="M924" s="14">
        <f>STDEV(L922:L926)</f>
        <v>46553.66785</v>
      </c>
      <c r="N924" s="15" t="b">
        <f t="shared" si="1"/>
        <v>1</v>
      </c>
    </row>
    <row r="925" hidden="1">
      <c r="A925" s="7" t="s">
        <v>191</v>
      </c>
      <c r="B925" s="21" t="s">
        <v>17</v>
      </c>
      <c r="C925" s="21">
        <v>0.75</v>
      </c>
      <c r="D925" s="21">
        <v>0.5</v>
      </c>
      <c r="E925" s="21">
        <v>5.0</v>
      </c>
      <c r="F925" s="7">
        <v>126.360758066177</v>
      </c>
      <c r="G925" s="7">
        <v>223.538521766662</v>
      </c>
      <c r="H925" s="7">
        <v>3.0</v>
      </c>
      <c r="I925" s="15">
        <v>0.0453633769348078</v>
      </c>
      <c r="J925" s="15">
        <v>0.121223369348119</v>
      </c>
      <c r="K925" s="12">
        <f>AVERAGE(I922:I926)</f>
        <v>0.6696636425</v>
      </c>
      <c r="L925" s="18">
        <v>111405.0</v>
      </c>
      <c r="M925" s="14">
        <f>STDEV(L922:L926)</f>
        <v>46553.66785</v>
      </c>
      <c r="N925" s="15" t="b">
        <f t="shared" si="1"/>
        <v>1</v>
      </c>
    </row>
    <row r="926" hidden="1">
      <c r="A926" s="7" t="s">
        <v>191</v>
      </c>
      <c r="B926" s="21" t="s">
        <v>17</v>
      </c>
      <c r="C926" s="21">
        <v>0.75</v>
      </c>
      <c r="D926" s="21">
        <v>0.5</v>
      </c>
      <c r="E926" s="21">
        <v>5.0</v>
      </c>
      <c r="F926" s="7">
        <v>126.360758066177</v>
      </c>
      <c r="G926" s="7">
        <v>223.538521766662</v>
      </c>
      <c r="H926" s="7">
        <v>4.0</v>
      </c>
      <c r="I926" s="15">
        <v>0.822801050656724</v>
      </c>
      <c r="J926" s="15">
        <v>0.104465710651867</v>
      </c>
      <c r="K926" s="12">
        <f>AVERAGE(I922:I926)</f>
        <v>0.6696636425</v>
      </c>
      <c r="L926" s="18">
        <v>5435.0</v>
      </c>
      <c r="M926" s="14">
        <f>STDEV(L922:L926)</f>
        <v>46553.66785</v>
      </c>
      <c r="N926" s="15" t="b">
        <f t="shared" si="1"/>
        <v>1</v>
      </c>
    </row>
    <row r="927" hidden="1">
      <c r="A927" s="7" t="s">
        <v>192</v>
      </c>
      <c r="B927" s="7" t="s">
        <v>17</v>
      </c>
      <c r="C927" s="7">
        <v>0.75</v>
      </c>
      <c r="D927" s="7">
        <v>0.5</v>
      </c>
      <c r="E927" s="7">
        <v>6.0</v>
      </c>
      <c r="F927" s="7">
        <v>123.397931814193</v>
      </c>
      <c r="G927" s="7">
        <v>205.792734384536</v>
      </c>
      <c r="H927" s="7">
        <v>0.0</v>
      </c>
      <c r="I927" s="15">
        <v>0.0475269279769243</v>
      </c>
      <c r="J927" s="15">
        <v>0.0435997625902923</v>
      </c>
      <c r="K927" s="12">
        <f>AVERAGE(I927:I931)</f>
        <v>0.4952435494</v>
      </c>
      <c r="L927" s="18">
        <v>82200.0</v>
      </c>
      <c r="M927" s="14">
        <f>STDEV(L927:L931)</f>
        <v>36641.00374</v>
      </c>
      <c r="N927" s="15" t="b">
        <f t="shared" si="1"/>
        <v>0</v>
      </c>
    </row>
    <row r="928" hidden="1">
      <c r="A928" s="7" t="s">
        <v>192</v>
      </c>
      <c r="B928" s="7" t="s">
        <v>17</v>
      </c>
      <c r="C928" s="7">
        <v>0.75</v>
      </c>
      <c r="D928" s="7">
        <v>0.5</v>
      </c>
      <c r="E928" s="7">
        <v>6.0</v>
      </c>
      <c r="F928" s="7">
        <v>123.397931814193</v>
      </c>
      <c r="G928" s="7">
        <v>205.792734384536</v>
      </c>
      <c r="H928" s="7">
        <v>1.0</v>
      </c>
      <c r="I928" s="15">
        <v>0.646770596347071</v>
      </c>
      <c r="J928" s="15">
        <v>0.122787969784393</v>
      </c>
      <c r="K928" s="12">
        <f>AVERAGE(I927:I931)</f>
        <v>0.4952435494</v>
      </c>
      <c r="L928" s="18">
        <v>1960.0</v>
      </c>
      <c r="M928" s="14">
        <f>STDEV(L927:L931)</f>
        <v>36641.00374</v>
      </c>
      <c r="N928" s="15" t="b">
        <f t="shared" si="1"/>
        <v>0</v>
      </c>
    </row>
    <row r="929" hidden="1">
      <c r="A929" s="7" t="s">
        <v>192</v>
      </c>
      <c r="B929" s="7" t="s">
        <v>17</v>
      </c>
      <c r="C929" s="7">
        <v>0.75</v>
      </c>
      <c r="D929" s="7">
        <v>0.5</v>
      </c>
      <c r="E929" s="7">
        <v>6.0</v>
      </c>
      <c r="F929" s="7">
        <v>123.397931814193</v>
      </c>
      <c r="G929" s="7">
        <v>205.792734384536</v>
      </c>
      <c r="H929" s="7">
        <v>2.0</v>
      </c>
      <c r="I929" s="15">
        <v>0.791278156311633</v>
      </c>
      <c r="J929" s="15">
        <v>0.124836734832604</v>
      </c>
      <c r="K929" s="12">
        <f>AVERAGE(I927:I931)</f>
        <v>0.4952435494</v>
      </c>
      <c r="L929" s="18">
        <v>4548.0</v>
      </c>
      <c r="M929" s="14">
        <f>STDEV(L927:L931)</f>
        <v>36641.00374</v>
      </c>
      <c r="N929" s="15" t="b">
        <f t="shared" si="1"/>
        <v>0</v>
      </c>
    </row>
    <row r="930" hidden="1">
      <c r="A930" s="7" t="s">
        <v>192</v>
      </c>
      <c r="B930" s="7" t="s">
        <v>17</v>
      </c>
      <c r="C930" s="7">
        <v>0.75</v>
      </c>
      <c r="D930" s="7">
        <v>0.5</v>
      </c>
      <c r="E930" s="7">
        <v>6.0</v>
      </c>
      <c r="F930" s="7">
        <v>123.397931814193</v>
      </c>
      <c r="G930" s="7">
        <v>205.792734384536</v>
      </c>
      <c r="H930" s="7">
        <v>3.0</v>
      </c>
      <c r="I930" s="15">
        <v>0.862333399146868</v>
      </c>
      <c r="J930" s="15">
        <v>0.0782998164013419</v>
      </c>
      <c r="K930" s="12">
        <f>AVERAGE(I927:I931)</f>
        <v>0.4952435494</v>
      </c>
      <c r="L930" s="18">
        <v>1984.0</v>
      </c>
      <c r="M930" s="14">
        <f>STDEV(L927:L931)</f>
        <v>36641.00374</v>
      </c>
      <c r="N930" s="15" t="b">
        <f t="shared" si="1"/>
        <v>0</v>
      </c>
    </row>
    <row r="931" hidden="1">
      <c r="A931" s="7" t="s">
        <v>192</v>
      </c>
      <c r="B931" s="7" t="s">
        <v>17</v>
      </c>
      <c r="C931" s="7">
        <v>0.75</v>
      </c>
      <c r="D931" s="7">
        <v>0.5</v>
      </c>
      <c r="E931" s="7">
        <v>6.0</v>
      </c>
      <c r="F931" s="7">
        <v>123.397931814193</v>
      </c>
      <c r="G931" s="7">
        <v>205.792734384536</v>
      </c>
      <c r="H931" s="7">
        <v>4.0</v>
      </c>
      <c r="I931" s="15">
        <v>0.128308667081706</v>
      </c>
      <c r="J931" s="15">
        <v>0.332060623244355</v>
      </c>
      <c r="K931" s="12">
        <f>AVERAGE(I927:I931)</f>
        <v>0.4952435494</v>
      </c>
      <c r="L931" s="18">
        <v>50984.0</v>
      </c>
      <c r="M931" s="14">
        <f>STDEV(L927:L931)</f>
        <v>36641.00374</v>
      </c>
      <c r="N931" s="15" t="b">
        <f t="shared" si="1"/>
        <v>0</v>
      </c>
    </row>
    <row r="932" hidden="1">
      <c r="A932" s="7" t="s">
        <v>193</v>
      </c>
      <c r="B932" s="7" t="s">
        <v>17</v>
      </c>
      <c r="C932" s="7">
        <v>0.75</v>
      </c>
      <c r="D932" s="7">
        <v>0.5</v>
      </c>
      <c r="E932" s="7">
        <v>7.0</v>
      </c>
      <c r="F932" s="7">
        <v>191.901921033859</v>
      </c>
      <c r="G932" s="7">
        <v>296.449123620986</v>
      </c>
      <c r="H932" s="7">
        <v>0.0</v>
      </c>
      <c r="I932" s="15">
        <v>0.397255801673302</v>
      </c>
      <c r="J932" s="15">
        <v>0.0644158808252878</v>
      </c>
      <c r="K932" s="12">
        <f>AVERAGE(I932:I936)</f>
        <v>0.4724297572</v>
      </c>
      <c r="L932" s="18">
        <v>26364.0</v>
      </c>
      <c r="M932" s="14">
        <f>STDEV(L932:L936)</f>
        <v>37332.62443</v>
      </c>
      <c r="N932" s="15" t="b">
        <f t="shared" si="1"/>
        <v>0</v>
      </c>
    </row>
    <row r="933" hidden="1">
      <c r="A933" s="7" t="s">
        <v>193</v>
      </c>
      <c r="B933" s="7" t="s">
        <v>17</v>
      </c>
      <c r="C933" s="7">
        <v>0.75</v>
      </c>
      <c r="D933" s="7">
        <v>0.5</v>
      </c>
      <c r="E933" s="7">
        <v>7.0</v>
      </c>
      <c r="F933" s="7">
        <v>191.901921033859</v>
      </c>
      <c r="G933" s="7">
        <v>296.449123620986</v>
      </c>
      <c r="H933" s="7">
        <v>1.0</v>
      </c>
      <c r="I933" s="15">
        <v>0.0158401263644061</v>
      </c>
      <c r="J933" s="15">
        <v>0.149929470855293</v>
      </c>
      <c r="K933" s="12">
        <f>AVERAGE(I932:I936)</f>
        <v>0.4724297572</v>
      </c>
      <c r="L933" s="18">
        <v>93425.0</v>
      </c>
      <c r="M933" s="14">
        <f>STDEV(L932:L936)</f>
        <v>37332.62443</v>
      </c>
      <c r="N933" s="15" t="b">
        <f t="shared" si="1"/>
        <v>0</v>
      </c>
    </row>
    <row r="934" hidden="1">
      <c r="A934" s="7" t="s">
        <v>193</v>
      </c>
      <c r="B934" s="7" t="s">
        <v>17</v>
      </c>
      <c r="C934" s="7">
        <v>0.75</v>
      </c>
      <c r="D934" s="7">
        <v>0.5</v>
      </c>
      <c r="E934" s="7">
        <v>7.0</v>
      </c>
      <c r="F934" s="7">
        <v>191.901921033859</v>
      </c>
      <c r="G934" s="7">
        <v>296.449123620986</v>
      </c>
      <c r="H934" s="7">
        <v>2.0</v>
      </c>
      <c r="I934" s="15">
        <v>0.300060529075563</v>
      </c>
      <c r="J934" s="15">
        <v>0.109269782119128</v>
      </c>
      <c r="K934" s="12">
        <f>AVERAGE(I932:I936)</f>
        <v>0.4724297572</v>
      </c>
      <c r="L934" s="18">
        <v>8997.0</v>
      </c>
      <c r="M934" s="14">
        <f>STDEV(L932:L936)</f>
        <v>37332.62443</v>
      </c>
      <c r="N934" s="15" t="b">
        <f t="shared" si="1"/>
        <v>0</v>
      </c>
    </row>
    <row r="935" hidden="1">
      <c r="A935" s="7" t="s">
        <v>193</v>
      </c>
      <c r="B935" s="7" t="s">
        <v>17</v>
      </c>
      <c r="C935" s="7">
        <v>0.75</v>
      </c>
      <c r="D935" s="7">
        <v>0.5</v>
      </c>
      <c r="E935" s="7">
        <v>7.0</v>
      </c>
      <c r="F935" s="7">
        <v>191.901921033859</v>
      </c>
      <c r="G935" s="7">
        <v>296.449123620986</v>
      </c>
      <c r="H935" s="7">
        <v>3.0</v>
      </c>
      <c r="I935" s="15">
        <v>0.829013158345679</v>
      </c>
      <c r="J935" s="15">
        <v>0.0978016375238039</v>
      </c>
      <c r="K935" s="12">
        <f>AVERAGE(I932:I936)</f>
        <v>0.4724297572</v>
      </c>
      <c r="L935" s="18">
        <v>7446.0</v>
      </c>
      <c r="M935" s="14">
        <f>STDEV(L932:L936)</f>
        <v>37332.62443</v>
      </c>
      <c r="N935" s="15" t="b">
        <f t="shared" si="1"/>
        <v>0</v>
      </c>
    </row>
    <row r="936" hidden="1">
      <c r="A936" s="7" t="s">
        <v>193</v>
      </c>
      <c r="B936" s="7" t="s">
        <v>17</v>
      </c>
      <c r="C936" s="7">
        <v>0.75</v>
      </c>
      <c r="D936" s="7">
        <v>0.5</v>
      </c>
      <c r="E936" s="7">
        <v>7.0</v>
      </c>
      <c r="F936" s="7">
        <v>191.901921033859</v>
      </c>
      <c r="G936" s="7">
        <v>296.449123620986</v>
      </c>
      <c r="H936" s="7">
        <v>4.0</v>
      </c>
      <c r="I936" s="15">
        <v>0.819979170395649</v>
      </c>
      <c r="J936" s="15">
        <v>0.116798050654132</v>
      </c>
      <c r="K936" s="12">
        <f>AVERAGE(I932:I936)</f>
        <v>0.4724297572</v>
      </c>
      <c r="L936" s="18">
        <v>5444.0</v>
      </c>
      <c r="M936" s="14">
        <f>STDEV(L932:L936)</f>
        <v>37332.62443</v>
      </c>
      <c r="N936" s="15" t="b">
        <f t="shared" si="1"/>
        <v>0</v>
      </c>
    </row>
    <row r="937" hidden="1">
      <c r="A937" s="7" t="s">
        <v>194</v>
      </c>
      <c r="B937" s="7" t="s">
        <v>17</v>
      </c>
      <c r="C937" s="7">
        <v>0.75</v>
      </c>
      <c r="D937" s="7">
        <v>0.5</v>
      </c>
      <c r="E937" s="7">
        <v>8.0</v>
      </c>
      <c r="F937" s="7">
        <v>207.509836435318</v>
      </c>
      <c r="G937" s="7">
        <v>302.529114961624</v>
      </c>
      <c r="H937" s="7">
        <v>0.0</v>
      </c>
      <c r="I937" s="15">
        <v>0.77928961311223</v>
      </c>
      <c r="J937" s="15">
        <v>0.128928969539867</v>
      </c>
      <c r="K937" s="12">
        <f>AVERAGE(I937:I941)</f>
        <v>0.4896352227</v>
      </c>
      <c r="L937" s="18">
        <v>12820.0</v>
      </c>
      <c r="M937" s="14">
        <f>STDEV(L937:L941)</f>
        <v>25770.50707</v>
      </c>
      <c r="N937" s="15" t="b">
        <f t="shared" si="1"/>
        <v>0</v>
      </c>
    </row>
    <row r="938" hidden="1">
      <c r="A938" s="7" t="s">
        <v>194</v>
      </c>
      <c r="B938" s="7" t="s">
        <v>17</v>
      </c>
      <c r="C938" s="7">
        <v>0.75</v>
      </c>
      <c r="D938" s="7">
        <v>0.5</v>
      </c>
      <c r="E938" s="7">
        <v>8.0</v>
      </c>
      <c r="F938" s="7">
        <v>207.509836435318</v>
      </c>
      <c r="G938" s="7">
        <v>302.529114961624</v>
      </c>
      <c r="H938" s="7">
        <v>1.0</v>
      </c>
      <c r="I938" s="15">
        <v>0.801742270116797</v>
      </c>
      <c r="J938" s="15">
        <v>0.099811958267017</v>
      </c>
      <c r="K938" s="12">
        <f>AVERAGE(I937:I941)</f>
        <v>0.4896352227</v>
      </c>
      <c r="L938" s="18">
        <v>13502.0</v>
      </c>
      <c r="M938" s="14">
        <f>STDEV(L937:L941)</f>
        <v>25770.50707</v>
      </c>
      <c r="N938" s="15" t="b">
        <f t="shared" si="1"/>
        <v>0</v>
      </c>
    </row>
    <row r="939" hidden="1">
      <c r="A939" s="7" t="s">
        <v>194</v>
      </c>
      <c r="B939" s="7" t="s">
        <v>17</v>
      </c>
      <c r="C939" s="7">
        <v>0.75</v>
      </c>
      <c r="D939" s="7">
        <v>0.5</v>
      </c>
      <c r="E939" s="7">
        <v>8.0</v>
      </c>
      <c r="F939" s="7">
        <v>207.509836435318</v>
      </c>
      <c r="G939" s="7">
        <v>302.529114961624</v>
      </c>
      <c r="H939" s="7">
        <v>2.0</v>
      </c>
      <c r="I939" s="15">
        <v>0.0409853007420613</v>
      </c>
      <c r="J939" s="15">
        <v>0.034635762810156</v>
      </c>
      <c r="K939" s="12">
        <f>AVERAGE(I937:I941)</f>
        <v>0.4896352227</v>
      </c>
      <c r="L939" s="18">
        <v>64073.0</v>
      </c>
      <c r="M939" s="14">
        <f>STDEV(L937:L941)</f>
        <v>25770.50707</v>
      </c>
      <c r="N939" s="15" t="b">
        <f t="shared" si="1"/>
        <v>0</v>
      </c>
    </row>
    <row r="940" hidden="1">
      <c r="A940" s="7" t="s">
        <v>194</v>
      </c>
      <c r="B940" s="7" t="s">
        <v>17</v>
      </c>
      <c r="C940" s="7">
        <v>0.75</v>
      </c>
      <c r="D940" s="7">
        <v>0.5</v>
      </c>
      <c r="E940" s="7">
        <v>8.0</v>
      </c>
      <c r="F940" s="7">
        <v>207.509836435318</v>
      </c>
      <c r="G940" s="7">
        <v>302.529114961624</v>
      </c>
      <c r="H940" s="7">
        <v>3.0</v>
      </c>
      <c r="I940" s="15">
        <v>0.836689649284085</v>
      </c>
      <c r="J940" s="15">
        <v>0.103406208050372</v>
      </c>
      <c r="K940" s="12">
        <f>AVERAGE(I937:I941)</f>
        <v>0.4896352227</v>
      </c>
      <c r="L940" s="18">
        <v>4380.0</v>
      </c>
      <c r="M940" s="14">
        <f>STDEV(L937:L941)</f>
        <v>25770.50707</v>
      </c>
      <c r="N940" s="15" t="b">
        <f t="shared" si="1"/>
        <v>0</v>
      </c>
    </row>
    <row r="941" hidden="1">
      <c r="A941" s="7" t="s">
        <v>194</v>
      </c>
      <c r="B941" s="7" t="s">
        <v>17</v>
      </c>
      <c r="C941" s="7">
        <v>0.75</v>
      </c>
      <c r="D941" s="7">
        <v>0.5</v>
      </c>
      <c r="E941" s="7">
        <v>8.0</v>
      </c>
      <c r="F941" s="7">
        <v>207.509836435318</v>
      </c>
      <c r="G941" s="7">
        <v>302.529114961624</v>
      </c>
      <c r="H941" s="7">
        <v>4.0</v>
      </c>
      <c r="I941" s="15">
        <v>-0.0105307196005083</v>
      </c>
      <c r="J941" s="15">
        <v>0.362752846063644</v>
      </c>
      <c r="K941" s="12">
        <f>AVERAGE(I937:I941)</f>
        <v>0.4896352227</v>
      </c>
      <c r="L941" s="18">
        <v>46901.0</v>
      </c>
      <c r="M941" s="14">
        <f>STDEV(L937:L941)</f>
        <v>25770.50707</v>
      </c>
      <c r="N941" s="15" t="b">
        <f t="shared" si="1"/>
        <v>0</v>
      </c>
    </row>
    <row r="942" hidden="1">
      <c r="A942" s="7" t="s">
        <v>195</v>
      </c>
      <c r="B942" s="7" t="s">
        <v>17</v>
      </c>
      <c r="C942" s="7">
        <v>0.75</v>
      </c>
      <c r="D942" s="7">
        <v>0.5</v>
      </c>
      <c r="E942" s="7">
        <v>9.0</v>
      </c>
      <c r="F942" s="7">
        <v>157.821619272232</v>
      </c>
      <c r="G942" s="7">
        <v>266.32879114151</v>
      </c>
      <c r="H942" s="7">
        <v>0.0</v>
      </c>
      <c r="I942" s="15">
        <v>0.165552673786746</v>
      </c>
      <c r="J942" s="15">
        <v>0.0561505617092086</v>
      </c>
      <c r="K942" s="12">
        <f>AVERAGE(I942:I946)</f>
        <v>0.3769720671</v>
      </c>
      <c r="L942" s="18">
        <v>47222.0</v>
      </c>
      <c r="M942" s="14">
        <f>STDEV(L942:L946)</f>
        <v>21762.36618</v>
      </c>
      <c r="N942" s="15" t="b">
        <f t="shared" si="1"/>
        <v>0</v>
      </c>
    </row>
    <row r="943" hidden="1">
      <c r="A943" s="7" t="s">
        <v>195</v>
      </c>
      <c r="B943" s="7" t="s">
        <v>17</v>
      </c>
      <c r="C943" s="7">
        <v>0.75</v>
      </c>
      <c r="D943" s="7">
        <v>0.5</v>
      </c>
      <c r="E943" s="7">
        <v>9.0</v>
      </c>
      <c r="F943" s="7">
        <v>157.821619272232</v>
      </c>
      <c r="G943" s="7">
        <v>266.32879114151</v>
      </c>
      <c r="H943" s="7">
        <v>1.0</v>
      </c>
      <c r="I943" s="15">
        <v>0.048873807565801</v>
      </c>
      <c r="J943" s="15">
        <v>0.23627504939135</v>
      </c>
      <c r="K943" s="12">
        <f>AVERAGE(I942:I946)</f>
        <v>0.3769720671</v>
      </c>
      <c r="L943" s="18">
        <v>51301.0</v>
      </c>
      <c r="M943" s="14">
        <f>STDEV(L942:L946)</f>
        <v>21762.36618</v>
      </c>
      <c r="N943" s="15" t="b">
        <f t="shared" si="1"/>
        <v>0</v>
      </c>
    </row>
    <row r="944" hidden="1">
      <c r="A944" s="7" t="s">
        <v>195</v>
      </c>
      <c r="B944" s="7" t="s">
        <v>17</v>
      </c>
      <c r="C944" s="7">
        <v>0.75</v>
      </c>
      <c r="D944" s="7">
        <v>0.5</v>
      </c>
      <c r="E944" s="7">
        <v>9.0</v>
      </c>
      <c r="F944" s="7">
        <v>157.821619272232</v>
      </c>
      <c r="G944" s="7">
        <v>266.32879114151</v>
      </c>
      <c r="H944" s="7">
        <v>2.0</v>
      </c>
      <c r="I944" s="15">
        <v>0.829479972423812</v>
      </c>
      <c r="J944" s="15">
        <v>0.0967886635900397</v>
      </c>
      <c r="K944" s="12">
        <f>AVERAGE(I942:I946)</f>
        <v>0.3769720671</v>
      </c>
      <c r="L944" s="18">
        <v>7454.0</v>
      </c>
      <c r="M944" s="14">
        <f>STDEV(L942:L946)</f>
        <v>21762.36618</v>
      </c>
      <c r="N944" s="15" t="b">
        <f t="shared" si="1"/>
        <v>0</v>
      </c>
    </row>
    <row r="945" hidden="1">
      <c r="A945" s="7" t="s">
        <v>195</v>
      </c>
      <c r="B945" s="7" t="s">
        <v>17</v>
      </c>
      <c r="C945" s="7">
        <v>0.75</v>
      </c>
      <c r="D945" s="7">
        <v>0.5</v>
      </c>
      <c r="E945" s="7">
        <v>9.0</v>
      </c>
      <c r="F945" s="7">
        <v>157.821619272232</v>
      </c>
      <c r="G945" s="7">
        <v>266.32879114151</v>
      </c>
      <c r="H945" s="7">
        <v>3.0</v>
      </c>
      <c r="I945" s="15">
        <v>0.0482098427805405</v>
      </c>
      <c r="J945" s="15">
        <v>0.0372864711998038</v>
      </c>
      <c r="K945" s="12">
        <f>AVERAGE(I942:I946)</f>
        <v>0.3769720671</v>
      </c>
      <c r="L945" s="18">
        <v>31160.0</v>
      </c>
      <c r="M945" s="14">
        <f>STDEV(L942:L946)</f>
        <v>21762.36618</v>
      </c>
      <c r="N945" s="15" t="b">
        <f t="shared" si="1"/>
        <v>0</v>
      </c>
    </row>
    <row r="946" hidden="1">
      <c r="A946" s="7" t="s">
        <v>195</v>
      </c>
      <c r="B946" s="7" t="s">
        <v>17</v>
      </c>
      <c r="C946" s="7">
        <v>0.75</v>
      </c>
      <c r="D946" s="7">
        <v>0.5</v>
      </c>
      <c r="E946" s="7">
        <v>9.0</v>
      </c>
      <c r="F946" s="7">
        <v>157.821619272232</v>
      </c>
      <c r="G946" s="7">
        <v>266.32879114151</v>
      </c>
      <c r="H946" s="7">
        <v>4.0</v>
      </c>
      <c r="I946" s="15">
        <v>0.792744038993959</v>
      </c>
      <c r="J946" s="15">
        <v>0.1242414885806</v>
      </c>
      <c r="K946" s="12">
        <f>AVERAGE(I942:I946)</f>
        <v>0.3769720671</v>
      </c>
      <c r="L946" s="18">
        <v>4539.0</v>
      </c>
      <c r="M946" s="14">
        <f>STDEV(L942:L946)</f>
        <v>21762.36618</v>
      </c>
      <c r="N946" s="15" t="b">
        <f t="shared" si="1"/>
        <v>0</v>
      </c>
    </row>
    <row r="947" hidden="1">
      <c r="A947" s="7" t="s">
        <v>196</v>
      </c>
      <c r="B947" s="7" t="s">
        <v>17</v>
      </c>
      <c r="C947" s="7">
        <v>0.75</v>
      </c>
      <c r="D947" s="7">
        <v>0.5</v>
      </c>
      <c r="E947" s="7">
        <v>10.0</v>
      </c>
      <c r="F947" s="7">
        <v>160.682565689086</v>
      </c>
      <c r="G947" s="7">
        <v>265.17709159851</v>
      </c>
      <c r="H947" s="7">
        <v>0.0</v>
      </c>
      <c r="I947" s="15">
        <v>-0.00278217147110006</v>
      </c>
      <c r="J947" s="15">
        <v>0.152858791339763</v>
      </c>
      <c r="K947" s="12">
        <f>AVERAGE(I947:I951)</f>
        <v>0.4243440961</v>
      </c>
      <c r="L947" s="18">
        <v>88841.0</v>
      </c>
      <c r="M947" s="14">
        <f>STDEV(L947:L951)</f>
        <v>36344.44018</v>
      </c>
      <c r="N947" s="15" t="b">
        <f t="shared" si="1"/>
        <v>0</v>
      </c>
    </row>
    <row r="948" hidden="1">
      <c r="A948" s="7" t="s">
        <v>196</v>
      </c>
      <c r="B948" s="7" t="s">
        <v>17</v>
      </c>
      <c r="C948" s="7">
        <v>0.75</v>
      </c>
      <c r="D948" s="7">
        <v>0.5</v>
      </c>
      <c r="E948" s="7">
        <v>10.0</v>
      </c>
      <c r="F948" s="7">
        <v>160.682565689086</v>
      </c>
      <c r="G948" s="7">
        <v>265.17709159851</v>
      </c>
      <c r="H948" s="7">
        <v>1.0</v>
      </c>
      <c r="I948" s="15">
        <v>0.680688477249623</v>
      </c>
      <c r="J948" s="15">
        <v>0.14234355957489</v>
      </c>
      <c r="K948" s="12">
        <f>AVERAGE(I947:I951)</f>
        <v>0.4243440961</v>
      </c>
      <c r="L948" s="18">
        <v>577.0</v>
      </c>
      <c r="M948" s="14">
        <f>STDEV(L947:L951)</f>
        <v>36344.44018</v>
      </c>
      <c r="N948" s="15" t="b">
        <f t="shared" si="1"/>
        <v>0</v>
      </c>
    </row>
    <row r="949" hidden="1">
      <c r="A949" s="7" t="s">
        <v>196</v>
      </c>
      <c r="B949" s="7" t="s">
        <v>17</v>
      </c>
      <c r="C949" s="7">
        <v>0.75</v>
      </c>
      <c r="D949" s="7">
        <v>0.5</v>
      </c>
      <c r="E949" s="7">
        <v>10.0</v>
      </c>
      <c r="F949" s="7">
        <v>160.682565689086</v>
      </c>
      <c r="G949" s="7">
        <v>265.17709159851</v>
      </c>
      <c r="H949" s="7">
        <v>2.0</v>
      </c>
      <c r="I949" s="15">
        <v>0.432215060836965</v>
      </c>
      <c r="J949" s="15">
        <v>0.0812645107573981</v>
      </c>
      <c r="K949" s="12">
        <f>AVERAGE(I947:I951)</f>
        <v>0.4243440961</v>
      </c>
      <c r="L949" s="18">
        <v>4435.0</v>
      </c>
      <c r="M949" s="14">
        <f>STDEV(L947:L951)</f>
        <v>36344.44018</v>
      </c>
      <c r="N949" s="15" t="b">
        <f t="shared" si="1"/>
        <v>0</v>
      </c>
    </row>
    <row r="950" hidden="1">
      <c r="A950" s="7" t="s">
        <v>196</v>
      </c>
      <c r="B950" s="7" t="s">
        <v>17</v>
      </c>
      <c r="C950" s="7">
        <v>0.75</v>
      </c>
      <c r="D950" s="7">
        <v>0.5</v>
      </c>
      <c r="E950" s="7">
        <v>10.0</v>
      </c>
      <c r="F950" s="7">
        <v>160.682565689086</v>
      </c>
      <c r="G950" s="7">
        <v>265.17709159851</v>
      </c>
      <c r="H950" s="7">
        <v>3.0</v>
      </c>
      <c r="I950" s="15">
        <v>0.22966799178575</v>
      </c>
      <c r="J950" s="15">
        <v>0.078246491025911</v>
      </c>
      <c r="K950" s="12">
        <f>AVERAGE(I947:I951)</f>
        <v>0.4243440961</v>
      </c>
      <c r="L950" s="18">
        <v>34908.0</v>
      </c>
      <c r="M950" s="14">
        <f>STDEV(L947:L951)</f>
        <v>36344.44018</v>
      </c>
      <c r="N950" s="15" t="b">
        <f t="shared" si="1"/>
        <v>0</v>
      </c>
    </row>
    <row r="951" hidden="1">
      <c r="A951" s="7" t="s">
        <v>196</v>
      </c>
      <c r="B951" s="7" t="s">
        <v>17</v>
      </c>
      <c r="C951" s="7">
        <v>0.75</v>
      </c>
      <c r="D951" s="7">
        <v>0.5</v>
      </c>
      <c r="E951" s="7">
        <v>10.0</v>
      </c>
      <c r="F951" s="7">
        <v>160.682565689086</v>
      </c>
      <c r="G951" s="7">
        <v>265.17709159851</v>
      </c>
      <c r="H951" s="7">
        <v>4.0</v>
      </c>
      <c r="I951" s="15">
        <v>0.781931122047425</v>
      </c>
      <c r="J951" s="15">
        <v>0.130775338364876</v>
      </c>
      <c r="K951" s="12">
        <f>AVERAGE(I947:I951)</f>
        <v>0.4243440961</v>
      </c>
      <c r="L951" s="18">
        <v>12915.0</v>
      </c>
      <c r="M951" s="14">
        <f>STDEV(L947:L951)</f>
        <v>36344.44018</v>
      </c>
      <c r="N951" s="15" t="b">
        <f t="shared" si="1"/>
        <v>0</v>
      </c>
    </row>
    <row r="952" hidden="1">
      <c r="A952" s="7" t="s">
        <v>197</v>
      </c>
      <c r="B952" s="24" t="s">
        <v>17</v>
      </c>
      <c r="C952" s="24">
        <v>0.75</v>
      </c>
      <c r="D952" s="24">
        <v>0.75</v>
      </c>
      <c r="E952" s="24">
        <v>1.0</v>
      </c>
      <c r="F952" s="7">
        <v>215.429862022399</v>
      </c>
      <c r="G952" s="7">
        <v>293.088992357253</v>
      </c>
      <c r="H952" s="7">
        <v>0.0</v>
      </c>
      <c r="I952" s="15">
        <v>0.816136222415724</v>
      </c>
      <c r="J952" s="15">
        <v>0.0995731705426782</v>
      </c>
      <c r="K952" s="12">
        <f>AVERAGE(I952:I956)</f>
        <v>0.6354164586</v>
      </c>
      <c r="L952" s="18">
        <v>12263.0</v>
      </c>
      <c r="M952" s="14">
        <f>STDEV(L952:L956)</f>
        <v>41176.09421</v>
      </c>
      <c r="N952" s="15" t="b">
        <f t="shared" si="1"/>
        <v>0</v>
      </c>
    </row>
    <row r="953" hidden="1">
      <c r="A953" s="7" t="s">
        <v>197</v>
      </c>
      <c r="B953" s="24" t="s">
        <v>17</v>
      </c>
      <c r="C953" s="24">
        <v>0.75</v>
      </c>
      <c r="D953" s="24">
        <v>0.75</v>
      </c>
      <c r="E953" s="24">
        <v>1.0</v>
      </c>
      <c r="F953" s="7">
        <v>215.429862022399</v>
      </c>
      <c r="G953" s="7">
        <v>293.088992357253</v>
      </c>
      <c r="H953" s="7">
        <v>1.0</v>
      </c>
      <c r="I953" s="15">
        <v>0.785488573957233</v>
      </c>
      <c r="J953" s="15">
        <v>0.132826875063756</v>
      </c>
      <c r="K953" s="12">
        <f>AVERAGE(I952:I956)</f>
        <v>0.6354164586</v>
      </c>
      <c r="L953" s="18">
        <v>12242.0</v>
      </c>
      <c r="M953" s="14">
        <f>STDEV(L952:L956)</f>
        <v>41176.09421</v>
      </c>
      <c r="N953" s="15" t="b">
        <f t="shared" si="1"/>
        <v>0</v>
      </c>
    </row>
    <row r="954" hidden="1">
      <c r="A954" s="7" t="s">
        <v>197</v>
      </c>
      <c r="B954" s="24" t="s">
        <v>17</v>
      </c>
      <c r="C954" s="24">
        <v>0.75</v>
      </c>
      <c r="D954" s="24">
        <v>0.75</v>
      </c>
      <c r="E954" s="24">
        <v>1.0</v>
      </c>
      <c r="F954" s="7">
        <v>215.429862022399</v>
      </c>
      <c r="G954" s="7">
        <v>293.088992357253</v>
      </c>
      <c r="H954" s="7">
        <v>2.0</v>
      </c>
      <c r="I954" s="15">
        <v>0.800508394182231</v>
      </c>
      <c r="J954" s="15">
        <v>0.119544143123923</v>
      </c>
      <c r="K954" s="12">
        <f>AVERAGE(I952:I956)</f>
        <v>0.6354164586</v>
      </c>
      <c r="L954" s="18">
        <v>10210.0</v>
      </c>
      <c r="M954" s="14">
        <f>STDEV(L952:L956)</f>
        <v>41176.09421</v>
      </c>
      <c r="N954" s="15" t="b">
        <f t="shared" si="1"/>
        <v>0</v>
      </c>
    </row>
    <row r="955" hidden="1">
      <c r="A955" s="7" t="s">
        <v>197</v>
      </c>
      <c r="B955" s="24" t="s">
        <v>17</v>
      </c>
      <c r="C955" s="24">
        <v>0.75</v>
      </c>
      <c r="D955" s="24">
        <v>0.75</v>
      </c>
      <c r="E955" s="24">
        <v>1.0</v>
      </c>
      <c r="F955" s="7">
        <v>215.429862022399</v>
      </c>
      <c r="G955" s="7">
        <v>293.088992357253</v>
      </c>
      <c r="H955" s="7">
        <v>3.0</v>
      </c>
      <c r="I955" s="15">
        <v>-0.0503301138350972</v>
      </c>
      <c r="J955" s="15">
        <v>0.248119372158056</v>
      </c>
      <c r="K955" s="12">
        <f>AVERAGE(I952:I956)</f>
        <v>0.6354164586</v>
      </c>
      <c r="L955" s="18">
        <v>101810.0</v>
      </c>
      <c r="M955" s="14">
        <f>STDEV(L952:L956)</f>
        <v>41176.09421</v>
      </c>
      <c r="N955" s="15" t="b">
        <f t="shared" si="1"/>
        <v>0</v>
      </c>
    </row>
    <row r="956" hidden="1">
      <c r="A956" s="7" t="s">
        <v>197</v>
      </c>
      <c r="B956" s="24" t="s">
        <v>17</v>
      </c>
      <c r="C956" s="24">
        <v>0.75</v>
      </c>
      <c r="D956" s="24">
        <v>0.75</v>
      </c>
      <c r="E956" s="24">
        <v>1.0</v>
      </c>
      <c r="F956" s="7">
        <v>215.429862022399</v>
      </c>
      <c r="G956" s="7">
        <v>293.088992357253</v>
      </c>
      <c r="H956" s="7">
        <v>4.0</v>
      </c>
      <c r="I956" s="15">
        <v>0.825279216485742</v>
      </c>
      <c r="J956" s="15">
        <v>0.11677768611976</v>
      </c>
      <c r="K956" s="12">
        <f>AVERAGE(I952:I956)</f>
        <v>0.6354164586</v>
      </c>
      <c r="L956" s="18">
        <v>5151.0</v>
      </c>
      <c r="M956" s="14">
        <f>STDEV(L952:L956)</f>
        <v>41176.09421</v>
      </c>
      <c r="N956" s="15" t="b">
        <f t="shared" si="1"/>
        <v>0</v>
      </c>
    </row>
    <row r="957" hidden="1">
      <c r="A957" s="7" t="s">
        <v>198</v>
      </c>
      <c r="B957" s="7" t="s">
        <v>17</v>
      </c>
      <c r="C957" s="7">
        <v>0.75</v>
      </c>
      <c r="D957" s="7">
        <v>0.75</v>
      </c>
      <c r="E957" s="7">
        <v>2.0</v>
      </c>
      <c r="F957" s="7">
        <v>211.481822490692</v>
      </c>
      <c r="G957" s="7">
        <v>285.678893089294</v>
      </c>
      <c r="H957" s="7">
        <v>0.0</v>
      </c>
      <c r="I957" s="15">
        <v>-0.0638020303784374</v>
      </c>
      <c r="J957" s="15">
        <v>0.216837706270469</v>
      </c>
      <c r="K957" s="12">
        <f>AVERAGE(I957:I961)</f>
        <v>0.4566103412</v>
      </c>
      <c r="L957" s="18">
        <v>82724.0</v>
      </c>
      <c r="M957" s="14">
        <f>STDEV(L957:L961)</f>
        <v>31839.76169</v>
      </c>
      <c r="N957" s="15" t="b">
        <f t="shared" si="1"/>
        <v>0</v>
      </c>
    </row>
    <row r="958" hidden="1">
      <c r="A958" s="7" t="s">
        <v>198</v>
      </c>
      <c r="B958" s="7" t="s">
        <v>17</v>
      </c>
      <c r="C958" s="7">
        <v>0.75</v>
      </c>
      <c r="D958" s="7">
        <v>0.75</v>
      </c>
      <c r="E958" s="7">
        <v>2.0</v>
      </c>
      <c r="F958" s="7">
        <v>211.481822490692</v>
      </c>
      <c r="G958" s="7">
        <v>285.678893089294</v>
      </c>
      <c r="H958" s="7">
        <v>1.0</v>
      </c>
      <c r="I958" s="15">
        <v>0.431259272199611</v>
      </c>
      <c r="J958" s="15">
        <v>0.118394378153532</v>
      </c>
      <c r="K958" s="12">
        <f>AVERAGE(I957:I961)</f>
        <v>0.4566103412</v>
      </c>
      <c r="L958" s="18">
        <v>17507.0</v>
      </c>
      <c r="M958" s="14">
        <f>STDEV(L957:L961)</f>
        <v>31839.76169</v>
      </c>
      <c r="N958" s="15" t="b">
        <f t="shared" si="1"/>
        <v>0</v>
      </c>
    </row>
    <row r="959" hidden="1">
      <c r="A959" s="7" t="s">
        <v>198</v>
      </c>
      <c r="B959" s="7" t="s">
        <v>17</v>
      </c>
      <c r="C959" s="7">
        <v>0.75</v>
      </c>
      <c r="D959" s="7">
        <v>0.75</v>
      </c>
      <c r="E959" s="7">
        <v>2.0</v>
      </c>
      <c r="F959" s="7">
        <v>211.481822490692</v>
      </c>
      <c r="G959" s="7">
        <v>285.678893089294</v>
      </c>
      <c r="H959" s="7">
        <v>2.0</v>
      </c>
      <c r="I959" s="15">
        <v>0.872602627974272</v>
      </c>
      <c r="J959" s="15">
        <v>0.099895010939373</v>
      </c>
      <c r="K959" s="12">
        <f>AVERAGE(I957:I961)</f>
        <v>0.4566103412</v>
      </c>
      <c r="L959" s="18">
        <v>4379.0</v>
      </c>
      <c r="M959" s="14">
        <f>STDEV(L957:L961)</f>
        <v>31839.76169</v>
      </c>
      <c r="N959" s="15" t="b">
        <f t="shared" si="1"/>
        <v>0</v>
      </c>
    </row>
    <row r="960" hidden="1">
      <c r="A960" s="7" t="s">
        <v>198</v>
      </c>
      <c r="B960" s="7" t="s">
        <v>17</v>
      </c>
      <c r="C960" s="7">
        <v>0.75</v>
      </c>
      <c r="D960" s="7">
        <v>0.75</v>
      </c>
      <c r="E960" s="7">
        <v>2.0</v>
      </c>
      <c r="F960" s="7">
        <v>211.481822490692</v>
      </c>
      <c r="G960" s="7">
        <v>285.678893089294</v>
      </c>
      <c r="H960" s="7">
        <v>3.0</v>
      </c>
      <c r="I960" s="15">
        <v>0.296190106716047</v>
      </c>
      <c r="J960" s="15">
        <v>0.0848075218429423</v>
      </c>
      <c r="K960" s="12">
        <f>AVERAGE(I957:I961)</f>
        <v>0.4566103412</v>
      </c>
      <c r="L960" s="18">
        <v>28868.0</v>
      </c>
      <c r="M960" s="14">
        <f>STDEV(L957:L961)</f>
        <v>31839.76169</v>
      </c>
      <c r="N960" s="15" t="b">
        <f t="shared" si="1"/>
        <v>0</v>
      </c>
    </row>
    <row r="961" hidden="1">
      <c r="A961" s="7" t="s">
        <v>198</v>
      </c>
      <c r="B961" s="7" t="s">
        <v>17</v>
      </c>
      <c r="C961" s="7">
        <v>0.75</v>
      </c>
      <c r="D961" s="7">
        <v>0.75</v>
      </c>
      <c r="E961" s="7">
        <v>2.0</v>
      </c>
      <c r="F961" s="7">
        <v>211.481822490692</v>
      </c>
      <c r="G961" s="7">
        <v>285.678893089294</v>
      </c>
      <c r="H961" s="7">
        <v>4.0</v>
      </c>
      <c r="I961" s="15">
        <v>0.746801729582031</v>
      </c>
      <c r="J961" s="15">
        <v>0.147639576839576</v>
      </c>
      <c r="K961" s="12">
        <f>AVERAGE(I957:I961)</f>
        <v>0.4566103412</v>
      </c>
      <c r="L961" s="18">
        <v>8198.0</v>
      </c>
      <c r="M961" s="14">
        <f>STDEV(L957:L961)</f>
        <v>31839.76169</v>
      </c>
      <c r="N961" s="15" t="b">
        <f t="shared" si="1"/>
        <v>0</v>
      </c>
    </row>
    <row r="962" hidden="1">
      <c r="A962" s="7" t="s">
        <v>199</v>
      </c>
      <c r="B962" s="7" t="s">
        <v>17</v>
      </c>
      <c r="C962" s="7">
        <v>0.75</v>
      </c>
      <c r="D962" s="7">
        <v>0.75</v>
      </c>
      <c r="E962" s="7">
        <v>3.0</v>
      </c>
      <c r="F962" s="7">
        <v>279.691598653793</v>
      </c>
      <c r="G962" s="7">
        <v>338.286688804626</v>
      </c>
      <c r="H962" s="7">
        <v>0.0</v>
      </c>
      <c r="I962" s="15">
        <v>0.391389181533374</v>
      </c>
      <c r="J962" s="15">
        <v>0.069102920658517</v>
      </c>
      <c r="K962" s="12">
        <f>AVERAGE(I962:I966)</f>
        <v>0.4239383814</v>
      </c>
      <c r="L962" s="18">
        <v>24424.0</v>
      </c>
      <c r="M962" s="14">
        <f>STDEV(L962:L966)</f>
        <v>30543.86707</v>
      </c>
      <c r="N962" s="15" t="b">
        <f t="shared" si="1"/>
        <v>0</v>
      </c>
    </row>
    <row r="963" hidden="1">
      <c r="A963" s="7" t="s">
        <v>199</v>
      </c>
      <c r="B963" s="7" t="s">
        <v>17</v>
      </c>
      <c r="C963" s="7">
        <v>0.75</v>
      </c>
      <c r="D963" s="7">
        <v>0.75</v>
      </c>
      <c r="E963" s="7">
        <v>3.0</v>
      </c>
      <c r="F963" s="7">
        <v>279.691598653793</v>
      </c>
      <c r="G963" s="7">
        <v>338.286688804626</v>
      </c>
      <c r="H963" s="7">
        <v>1.0</v>
      </c>
      <c r="I963" s="15">
        <v>0.0769949503073346</v>
      </c>
      <c r="J963" s="15">
        <v>0.0623690732261731</v>
      </c>
      <c r="K963" s="12">
        <f>AVERAGE(I962:I966)</f>
        <v>0.4239383814</v>
      </c>
      <c r="L963" s="18">
        <v>28086.0</v>
      </c>
      <c r="M963" s="14">
        <f>STDEV(L962:L966)</f>
        <v>30543.86707</v>
      </c>
      <c r="N963" s="15" t="b">
        <f t="shared" si="1"/>
        <v>0</v>
      </c>
    </row>
    <row r="964" hidden="1">
      <c r="A964" s="7" t="s">
        <v>199</v>
      </c>
      <c r="B964" s="7" t="s">
        <v>17</v>
      </c>
      <c r="C964" s="7">
        <v>0.75</v>
      </c>
      <c r="D964" s="7">
        <v>0.75</v>
      </c>
      <c r="E964" s="7">
        <v>3.0</v>
      </c>
      <c r="F964" s="7">
        <v>279.691598653793</v>
      </c>
      <c r="G964" s="7">
        <v>338.286688804626</v>
      </c>
      <c r="H964" s="7">
        <v>2.0</v>
      </c>
      <c r="I964" s="15">
        <v>0.924466134935862</v>
      </c>
      <c r="J964" s="15">
        <v>0.0273344539044567</v>
      </c>
      <c r="K964" s="12">
        <f>AVERAGE(I962:I966)</f>
        <v>0.4239383814</v>
      </c>
      <c r="L964" s="18">
        <v>1634.0</v>
      </c>
      <c r="M964" s="14">
        <f>STDEV(L962:L966)</f>
        <v>30543.86707</v>
      </c>
      <c r="N964" s="15" t="b">
        <f t="shared" si="1"/>
        <v>0</v>
      </c>
    </row>
    <row r="965" hidden="1">
      <c r="A965" s="7" t="s">
        <v>199</v>
      </c>
      <c r="B965" s="7" t="s">
        <v>17</v>
      </c>
      <c r="C965" s="7">
        <v>0.75</v>
      </c>
      <c r="D965" s="7">
        <v>0.75</v>
      </c>
      <c r="E965" s="7">
        <v>3.0</v>
      </c>
      <c r="F965" s="7">
        <v>279.691598653793</v>
      </c>
      <c r="G965" s="7">
        <v>338.286688804626</v>
      </c>
      <c r="H965" s="7">
        <v>3.0</v>
      </c>
      <c r="I965" s="15">
        <v>0.743495515620125</v>
      </c>
      <c r="J965" s="15">
        <v>0.148475464212904</v>
      </c>
      <c r="K965" s="12">
        <f>AVERAGE(I962:I966)</f>
        <v>0.4239383814</v>
      </c>
      <c r="L965" s="18">
        <v>8219.0</v>
      </c>
      <c r="M965" s="14">
        <f>STDEV(L962:L966)</f>
        <v>30543.86707</v>
      </c>
      <c r="N965" s="15" t="b">
        <f t="shared" si="1"/>
        <v>0</v>
      </c>
    </row>
    <row r="966" hidden="1">
      <c r="A966" s="7" t="s">
        <v>199</v>
      </c>
      <c r="B966" s="7" t="s">
        <v>17</v>
      </c>
      <c r="C966" s="7">
        <v>0.75</v>
      </c>
      <c r="D966" s="7">
        <v>0.75</v>
      </c>
      <c r="E966" s="7">
        <v>3.0</v>
      </c>
      <c r="F966" s="7">
        <v>279.691598653793</v>
      </c>
      <c r="G966" s="7">
        <v>338.286688804626</v>
      </c>
      <c r="H966" s="7">
        <v>4.0</v>
      </c>
      <c r="I966" s="15">
        <v>-0.0166538752563145</v>
      </c>
      <c r="J966" s="15">
        <v>0.230357501518476</v>
      </c>
      <c r="K966" s="12">
        <f>AVERAGE(I962:I966)</f>
        <v>0.4239383814</v>
      </c>
      <c r="L966" s="18">
        <v>79313.0</v>
      </c>
      <c r="M966" s="14">
        <f>STDEV(L962:L966)</f>
        <v>30543.86707</v>
      </c>
      <c r="N966" s="15" t="b">
        <f t="shared" si="1"/>
        <v>0</v>
      </c>
    </row>
    <row r="967" hidden="1">
      <c r="A967" s="7" t="s">
        <v>200</v>
      </c>
      <c r="B967" s="7" t="s">
        <v>17</v>
      </c>
      <c r="C967" s="7">
        <v>0.75</v>
      </c>
      <c r="D967" s="7">
        <v>0.75</v>
      </c>
      <c r="E967" s="7">
        <v>4.0</v>
      </c>
      <c r="F967" s="7">
        <v>115.572852611541</v>
      </c>
      <c r="G967" s="7">
        <v>223.869159221649</v>
      </c>
      <c r="H967" s="7">
        <v>0.0</v>
      </c>
      <c r="I967" s="15">
        <v>0.801327790193409</v>
      </c>
      <c r="J967" s="15">
        <v>0.117811813601255</v>
      </c>
      <c r="K967" s="12">
        <f>AVERAGE(I967:I971)</f>
        <v>0.6361581367</v>
      </c>
      <c r="L967" s="18">
        <v>10200.0</v>
      </c>
      <c r="M967" s="14">
        <f>STDEV(L967:L971)</f>
        <v>43911.53727</v>
      </c>
      <c r="N967" s="15" t="b">
        <f t="shared" si="1"/>
        <v>0</v>
      </c>
    </row>
    <row r="968" hidden="1">
      <c r="A968" s="7" t="s">
        <v>200</v>
      </c>
      <c r="B968" s="7" t="s">
        <v>17</v>
      </c>
      <c r="C968" s="7">
        <v>0.75</v>
      </c>
      <c r="D968" s="7">
        <v>0.75</v>
      </c>
      <c r="E968" s="7">
        <v>4.0</v>
      </c>
      <c r="F968" s="7">
        <v>115.572852611541</v>
      </c>
      <c r="G968" s="7">
        <v>223.869159221649</v>
      </c>
      <c r="H968" s="7">
        <v>1.0</v>
      </c>
      <c r="I968" s="15">
        <v>0.786840283620436</v>
      </c>
      <c r="J968" s="15">
        <v>0.13348834581851</v>
      </c>
      <c r="K968" s="12">
        <f>AVERAGE(I967:I971)</f>
        <v>0.6361581367</v>
      </c>
      <c r="L968" s="18">
        <v>12178.0</v>
      </c>
      <c r="M968" s="14">
        <f>STDEV(L967:L971)</f>
        <v>43911.53727</v>
      </c>
      <c r="N968" s="15" t="b">
        <f t="shared" si="1"/>
        <v>0</v>
      </c>
    </row>
    <row r="969" hidden="1">
      <c r="A969" s="7" t="s">
        <v>200</v>
      </c>
      <c r="B969" s="7" t="s">
        <v>17</v>
      </c>
      <c r="C969" s="7">
        <v>0.75</v>
      </c>
      <c r="D969" s="7">
        <v>0.75</v>
      </c>
      <c r="E969" s="7">
        <v>4.0</v>
      </c>
      <c r="F969" s="7">
        <v>115.572852611541</v>
      </c>
      <c r="G969" s="7">
        <v>223.869159221649</v>
      </c>
      <c r="H969" s="7">
        <v>2.0</v>
      </c>
      <c r="I969" s="15">
        <v>-0.0249672180341738</v>
      </c>
      <c r="J969" s="15">
        <v>0.237665532038176</v>
      </c>
      <c r="K969" s="12">
        <f>AVERAGE(I967:I971)</f>
        <v>0.6361581367</v>
      </c>
      <c r="L969" s="18">
        <v>106717.0</v>
      </c>
      <c r="M969" s="14">
        <f>STDEV(L967:L971)</f>
        <v>43911.53727</v>
      </c>
      <c r="N969" s="15" t="b">
        <f t="shared" si="1"/>
        <v>0</v>
      </c>
    </row>
    <row r="970" hidden="1">
      <c r="A970" s="7" t="s">
        <v>200</v>
      </c>
      <c r="B970" s="7" t="s">
        <v>17</v>
      </c>
      <c r="C970" s="7">
        <v>0.75</v>
      </c>
      <c r="D970" s="7">
        <v>0.75</v>
      </c>
      <c r="E970" s="7">
        <v>4.0</v>
      </c>
      <c r="F970" s="7">
        <v>115.572852611541</v>
      </c>
      <c r="G970" s="7">
        <v>223.869159221649</v>
      </c>
      <c r="H970" s="7">
        <v>3.0</v>
      </c>
      <c r="I970" s="15">
        <v>0.744884402039807</v>
      </c>
      <c r="J970" s="15">
        <v>0.156756701276564</v>
      </c>
      <c r="K970" s="12">
        <f>AVERAGE(I967:I971)</f>
        <v>0.6361581367</v>
      </c>
      <c r="L970" s="18">
        <v>8202.0</v>
      </c>
      <c r="M970" s="14">
        <f>STDEV(L967:L971)</f>
        <v>43911.53727</v>
      </c>
      <c r="N970" s="15" t="b">
        <f t="shared" si="1"/>
        <v>0</v>
      </c>
    </row>
    <row r="971" hidden="1">
      <c r="A971" s="7" t="s">
        <v>200</v>
      </c>
      <c r="B971" s="7" t="s">
        <v>17</v>
      </c>
      <c r="C971" s="7">
        <v>0.75</v>
      </c>
      <c r="D971" s="7">
        <v>0.75</v>
      </c>
      <c r="E971" s="7">
        <v>4.0</v>
      </c>
      <c r="F971" s="7">
        <v>115.572852611541</v>
      </c>
      <c r="G971" s="7">
        <v>223.869159221649</v>
      </c>
      <c r="H971" s="7">
        <v>4.0</v>
      </c>
      <c r="I971" s="15">
        <v>0.872705425714888</v>
      </c>
      <c r="J971" s="15">
        <v>0.0988682946806077</v>
      </c>
      <c r="K971" s="12">
        <f>AVERAGE(I967:I971)</f>
        <v>0.6361581367</v>
      </c>
      <c r="L971" s="18">
        <v>4379.0</v>
      </c>
      <c r="M971" s="14">
        <f>STDEV(L967:L971)</f>
        <v>43911.53727</v>
      </c>
      <c r="N971" s="15" t="b">
        <f t="shared" si="1"/>
        <v>0</v>
      </c>
    </row>
    <row r="972" hidden="1">
      <c r="A972" s="7" t="s">
        <v>201</v>
      </c>
      <c r="B972" s="7" t="s">
        <v>17</v>
      </c>
      <c r="C972" s="7">
        <v>0.75</v>
      </c>
      <c r="D972" s="7">
        <v>0.75</v>
      </c>
      <c r="E972" s="7">
        <v>5.0</v>
      </c>
      <c r="F972" s="7">
        <v>191.748328208923</v>
      </c>
      <c r="G972" s="7">
        <v>265.043925285339</v>
      </c>
      <c r="H972" s="7">
        <v>0.0</v>
      </c>
      <c r="I972" s="15">
        <v>0.0531992476427607</v>
      </c>
      <c r="J972" s="15">
        <v>0.186873314884341</v>
      </c>
      <c r="K972" s="12">
        <f>AVERAGE(I972:I976)</f>
        <v>0.3366904253</v>
      </c>
      <c r="L972" s="18">
        <v>99603.0</v>
      </c>
      <c r="M972" s="14">
        <f>STDEV(L972:L976)</f>
        <v>40412.67288</v>
      </c>
      <c r="N972" s="15" t="b">
        <f t="shared" si="1"/>
        <v>0</v>
      </c>
    </row>
    <row r="973" hidden="1">
      <c r="A973" s="7" t="s">
        <v>201</v>
      </c>
      <c r="B973" s="7" t="s">
        <v>17</v>
      </c>
      <c r="C973" s="7">
        <v>0.75</v>
      </c>
      <c r="D973" s="7">
        <v>0.75</v>
      </c>
      <c r="E973" s="7">
        <v>5.0</v>
      </c>
      <c r="F973" s="7">
        <v>191.748328208923</v>
      </c>
      <c r="G973" s="7">
        <v>265.043925285339</v>
      </c>
      <c r="H973" s="7">
        <v>1.0</v>
      </c>
      <c r="I973" s="15">
        <v>0.747820270754661</v>
      </c>
      <c r="J973" s="15">
        <v>0.146230198963</v>
      </c>
      <c r="K973" s="12">
        <f>AVERAGE(I972:I976)</f>
        <v>0.3366904253</v>
      </c>
      <c r="L973" s="18">
        <v>8193.0</v>
      </c>
      <c r="M973" s="14">
        <f>STDEV(L972:L976)</f>
        <v>40412.67288</v>
      </c>
      <c r="N973" s="15" t="b">
        <f t="shared" si="1"/>
        <v>0</v>
      </c>
    </row>
    <row r="974" hidden="1">
      <c r="A974" s="7" t="s">
        <v>201</v>
      </c>
      <c r="B974" s="7" t="s">
        <v>17</v>
      </c>
      <c r="C974" s="7">
        <v>0.75</v>
      </c>
      <c r="D974" s="7">
        <v>0.75</v>
      </c>
      <c r="E974" s="7">
        <v>5.0</v>
      </c>
      <c r="F974" s="7">
        <v>191.748328208923</v>
      </c>
      <c r="G974" s="7">
        <v>265.043925285339</v>
      </c>
      <c r="H974" s="7">
        <v>2.0</v>
      </c>
      <c r="I974" s="15">
        <v>0.641214168268985</v>
      </c>
      <c r="J974" s="15">
        <v>0.129034975097287</v>
      </c>
      <c r="K974" s="12">
        <f>AVERAGE(I972:I976)</f>
        <v>0.3366904253</v>
      </c>
      <c r="L974" s="18">
        <v>1933.0</v>
      </c>
      <c r="M974" s="14">
        <f>STDEV(L972:L976)</f>
        <v>40412.67288</v>
      </c>
      <c r="N974" s="15" t="b">
        <f t="shared" si="1"/>
        <v>0</v>
      </c>
    </row>
    <row r="975" hidden="1">
      <c r="A975" s="7" t="s">
        <v>201</v>
      </c>
      <c r="B975" s="7" t="s">
        <v>17</v>
      </c>
      <c r="C975" s="7">
        <v>0.75</v>
      </c>
      <c r="D975" s="7">
        <v>0.75</v>
      </c>
      <c r="E975" s="7">
        <v>5.0</v>
      </c>
      <c r="F975" s="7">
        <v>191.748328208923</v>
      </c>
      <c r="G975" s="7">
        <v>265.043925285339</v>
      </c>
      <c r="H975" s="7">
        <v>3.0</v>
      </c>
      <c r="I975" s="15">
        <v>0.0974522392551638</v>
      </c>
      <c r="J975" s="15">
        <v>0.0576671310586843</v>
      </c>
      <c r="K975" s="12">
        <f>AVERAGE(I972:I976)</f>
        <v>0.3366904253</v>
      </c>
      <c r="L975" s="18">
        <v>20729.0</v>
      </c>
      <c r="M975" s="14">
        <f>STDEV(L972:L976)</f>
        <v>40412.67288</v>
      </c>
      <c r="N975" s="15" t="b">
        <f t="shared" si="1"/>
        <v>0</v>
      </c>
    </row>
    <row r="976" hidden="1">
      <c r="A976" s="7" t="s">
        <v>201</v>
      </c>
      <c r="B976" s="7" t="s">
        <v>17</v>
      </c>
      <c r="C976" s="7">
        <v>0.75</v>
      </c>
      <c r="D976" s="7">
        <v>0.75</v>
      </c>
      <c r="E976" s="7">
        <v>5.0</v>
      </c>
      <c r="F976" s="7">
        <v>191.748328208923</v>
      </c>
      <c r="G976" s="7">
        <v>265.043925285339</v>
      </c>
      <c r="H976" s="7">
        <v>4.0</v>
      </c>
      <c r="I976" s="15">
        <v>0.143766200485694</v>
      </c>
      <c r="J976" s="15">
        <v>0.0915890266204231</v>
      </c>
      <c r="K976" s="12">
        <f>AVERAGE(I972:I976)</f>
        <v>0.3366904253</v>
      </c>
      <c r="L976" s="18">
        <v>11218.0</v>
      </c>
      <c r="M976" s="14">
        <f>STDEV(L972:L976)</f>
        <v>40412.67288</v>
      </c>
      <c r="N976" s="15" t="b">
        <f t="shared" si="1"/>
        <v>0</v>
      </c>
    </row>
    <row r="977" hidden="1">
      <c r="A977" s="7" t="s">
        <v>202</v>
      </c>
      <c r="B977" s="7" t="s">
        <v>17</v>
      </c>
      <c r="C977" s="7">
        <v>0.75</v>
      </c>
      <c r="D977" s="7">
        <v>0.75</v>
      </c>
      <c r="E977" s="7">
        <v>6.0</v>
      </c>
      <c r="F977" s="7">
        <v>224.4539706707</v>
      </c>
      <c r="G977" s="7">
        <v>285.091577291488</v>
      </c>
      <c r="H977" s="7">
        <v>0.0</v>
      </c>
      <c r="I977" s="15">
        <v>0.237492063685138</v>
      </c>
      <c r="J977" s="15">
        <v>0.0768403269865618</v>
      </c>
      <c r="K977" s="12">
        <f>AVERAGE(I977:I981)</f>
        <v>0.3320882871</v>
      </c>
      <c r="L977" s="18">
        <v>35566.0</v>
      </c>
      <c r="M977" s="14">
        <f>STDEV(L977:L981)</f>
        <v>30770.1804</v>
      </c>
      <c r="N977" s="15" t="b">
        <f t="shared" si="1"/>
        <v>0</v>
      </c>
    </row>
    <row r="978" hidden="1">
      <c r="A978" s="7" t="s">
        <v>202</v>
      </c>
      <c r="B978" s="7" t="s">
        <v>17</v>
      </c>
      <c r="C978" s="7">
        <v>0.75</v>
      </c>
      <c r="D978" s="7">
        <v>0.75</v>
      </c>
      <c r="E978" s="7">
        <v>6.0</v>
      </c>
      <c r="F978" s="7">
        <v>224.4539706707</v>
      </c>
      <c r="G978" s="7">
        <v>285.091577291488</v>
      </c>
      <c r="H978" s="7">
        <v>1.0</v>
      </c>
      <c r="I978" s="15">
        <v>0.842388798123871</v>
      </c>
      <c r="J978" s="15">
        <v>0.113351837920659</v>
      </c>
      <c r="K978" s="12">
        <f>AVERAGE(I977:I981)</f>
        <v>0.3320882871</v>
      </c>
      <c r="L978" s="18">
        <v>3929.0</v>
      </c>
      <c r="M978" s="14">
        <f>STDEV(L977:L981)</f>
        <v>30770.1804</v>
      </c>
      <c r="N978" s="15" t="b">
        <f t="shared" si="1"/>
        <v>0</v>
      </c>
    </row>
    <row r="979" hidden="1">
      <c r="A979" s="7" t="s">
        <v>202</v>
      </c>
      <c r="B979" s="7" t="s">
        <v>17</v>
      </c>
      <c r="C979" s="7">
        <v>0.75</v>
      </c>
      <c r="D979" s="7">
        <v>0.75</v>
      </c>
      <c r="E979" s="7">
        <v>6.0</v>
      </c>
      <c r="F979" s="7">
        <v>224.4539706707</v>
      </c>
      <c r="G979" s="7">
        <v>285.091577291488</v>
      </c>
      <c r="H979" s="7">
        <v>2.0</v>
      </c>
      <c r="I979" s="15">
        <v>0.281158296762916</v>
      </c>
      <c r="J979" s="15">
        <v>0.138789724107941</v>
      </c>
      <c r="K979" s="12">
        <f>AVERAGE(I977:I981)</f>
        <v>0.3320882871</v>
      </c>
      <c r="L979" s="18">
        <v>4294.0</v>
      </c>
      <c r="M979" s="14">
        <f>STDEV(L977:L981)</f>
        <v>30770.1804</v>
      </c>
      <c r="N979" s="15" t="b">
        <f t="shared" si="1"/>
        <v>0</v>
      </c>
    </row>
    <row r="980" hidden="1">
      <c r="A980" s="7" t="s">
        <v>202</v>
      </c>
      <c r="B980" s="7" t="s">
        <v>17</v>
      </c>
      <c r="C980" s="7">
        <v>0.75</v>
      </c>
      <c r="D980" s="7">
        <v>0.75</v>
      </c>
      <c r="E980" s="7">
        <v>6.0</v>
      </c>
      <c r="F980" s="7">
        <v>224.4539706707</v>
      </c>
      <c r="G980" s="7">
        <v>285.091577291488</v>
      </c>
      <c r="H980" s="7">
        <v>3.0</v>
      </c>
      <c r="I980" s="15">
        <v>0.320776140354771</v>
      </c>
      <c r="J980" s="15">
        <v>0.120031921495244</v>
      </c>
      <c r="K980" s="12">
        <f>AVERAGE(I977:I981)</f>
        <v>0.3320882871</v>
      </c>
      <c r="L980" s="18">
        <v>19687.0</v>
      </c>
      <c r="M980" s="14">
        <f>STDEV(L977:L981)</f>
        <v>30770.1804</v>
      </c>
      <c r="N980" s="15" t="b">
        <f t="shared" si="1"/>
        <v>0</v>
      </c>
    </row>
    <row r="981" hidden="1">
      <c r="A981" s="7" t="s">
        <v>202</v>
      </c>
      <c r="B981" s="7" t="s">
        <v>17</v>
      </c>
      <c r="C981" s="7">
        <v>0.75</v>
      </c>
      <c r="D981" s="7">
        <v>0.75</v>
      </c>
      <c r="E981" s="7">
        <v>6.0</v>
      </c>
      <c r="F981" s="7">
        <v>224.4539706707</v>
      </c>
      <c r="G981" s="7">
        <v>285.091577291488</v>
      </c>
      <c r="H981" s="7">
        <v>4.0</v>
      </c>
      <c r="I981" s="15">
        <v>-0.021373863469799</v>
      </c>
      <c r="J981" s="15">
        <v>0.188206055795888</v>
      </c>
      <c r="K981" s="12">
        <f>AVERAGE(I977:I981)</f>
        <v>0.3320882871</v>
      </c>
      <c r="L981" s="18">
        <v>78200.0</v>
      </c>
      <c r="M981" s="14">
        <f>STDEV(L977:L981)</f>
        <v>30770.1804</v>
      </c>
      <c r="N981" s="15" t="b">
        <f t="shared" si="1"/>
        <v>0</v>
      </c>
    </row>
    <row r="982" hidden="1">
      <c r="A982" s="7" t="s">
        <v>203</v>
      </c>
      <c r="B982" s="7" t="s">
        <v>17</v>
      </c>
      <c r="C982" s="7">
        <v>0.75</v>
      </c>
      <c r="D982" s="7">
        <v>0.75</v>
      </c>
      <c r="E982" s="7">
        <v>7.0</v>
      </c>
      <c r="F982" s="7">
        <v>371.117133378982</v>
      </c>
      <c r="G982" s="7">
        <v>449.113486289978</v>
      </c>
      <c r="H982" s="7">
        <v>0.0</v>
      </c>
      <c r="I982" s="15">
        <v>0.766557740701582</v>
      </c>
      <c r="J982" s="15">
        <v>0.155603701626422</v>
      </c>
      <c r="K982" s="12">
        <f>AVERAGE(I982:I986)</f>
        <v>0.501804599</v>
      </c>
      <c r="L982" s="18">
        <v>310.0</v>
      </c>
      <c r="M982" s="14">
        <f>STDEV(L982:L986)</f>
        <v>33108.30403</v>
      </c>
      <c r="N982" s="15" t="b">
        <f t="shared" si="1"/>
        <v>0</v>
      </c>
    </row>
    <row r="983" hidden="1">
      <c r="A983" s="7" t="s">
        <v>203</v>
      </c>
      <c r="B983" s="7" t="s">
        <v>17</v>
      </c>
      <c r="C983" s="7">
        <v>0.75</v>
      </c>
      <c r="D983" s="7">
        <v>0.75</v>
      </c>
      <c r="E983" s="7">
        <v>7.0</v>
      </c>
      <c r="F983" s="7">
        <v>371.117133378982</v>
      </c>
      <c r="G983" s="7">
        <v>449.113486289978</v>
      </c>
      <c r="H983" s="7">
        <v>1.0</v>
      </c>
      <c r="I983" s="15">
        <v>0.814914852121748</v>
      </c>
      <c r="J983" s="15">
        <v>0.100242604416057</v>
      </c>
      <c r="K983" s="12">
        <f>AVERAGE(I982:I986)</f>
        <v>0.501804599</v>
      </c>
      <c r="L983" s="18">
        <v>12263.0</v>
      </c>
      <c r="M983" s="14">
        <f>STDEV(L982:L986)</f>
        <v>33108.30403</v>
      </c>
      <c r="N983" s="15" t="b">
        <f t="shared" si="1"/>
        <v>0</v>
      </c>
    </row>
    <row r="984" hidden="1">
      <c r="A984" s="7" t="s">
        <v>203</v>
      </c>
      <c r="B984" s="7" t="s">
        <v>17</v>
      </c>
      <c r="C984" s="7">
        <v>0.75</v>
      </c>
      <c r="D984" s="7">
        <v>0.75</v>
      </c>
      <c r="E984" s="7">
        <v>7.0</v>
      </c>
      <c r="F984" s="7">
        <v>371.117133378982</v>
      </c>
      <c r="G984" s="7">
        <v>449.113486289978</v>
      </c>
      <c r="H984" s="7">
        <v>2.0</v>
      </c>
      <c r="I984" s="15">
        <v>0.79856367565803</v>
      </c>
      <c r="J984" s="15">
        <v>0.120293605446658</v>
      </c>
      <c r="K984" s="12">
        <f>AVERAGE(I982:I986)</f>
        <v>0.501804599</v>
      </c>
      <c r="L984" s="18">
        <v>10220.0</v>
      </c>
      <c r="M984" s="14">
        <f>STDEV(L982:L986)</f>
        <v>33108.30403</v>
      </c>
      <c r="N984" s="15" t="b">
        <f t="shared" si="1"/>
        <v>0</v>
      </c>
    </row>
    <row r="985" hidden="1">
      <c r="A985" s="7" t="s">
        <v>203</v>
      </c>
      <c r="B985" s="7" t="s">
        <v>17</v>
      </c>
      <c r="C985" s="7">
        <v>0.75</v>
      </c>
      <c r="D985" s="7">
        <v>0.75</v>
      </c>
      <c r="E985" s="7">
        <v>7.0</v>
      </c>
      <c r="F985" s="7">
        <v>371.117133378982</v>
      </c>
      <c r="G985" s="7">
        <v>449.113486289978</v>
      </c>
      <c r="H985" s="7">
        <v>3.0</v>
      </c>
      <c r="I985" s="15">
        <v>0.193065480531152</v>
      </c>
      <c r="J985" s="15">
        <v>0.0951291326187652</v>
      </c>
      <c r="K985" s="12">
        <f>AVERAGE(I982:I986)</f>
        <v>0.501804599</v>
      </c>
      <c r="L985" s="18">
        <v>36230.0</v>
      </c>
      <c r="M985" s="14">
        <f>STDEV(L982:L986)</f>
        <v>33108.30403</v>
      </c>
      <c r="N985" s="15" t="b">
        <f t="shared" si="1"/>
        <v>0</v>
      </c>
    </row>
    <row r="986" hidden="1">
      <c r="A986" s="7" t="s">
        <v>203</v>
      </c>
      <c r="B986" s="7" t="s">
        <v>17</v>
      </c>
      <c r="C986" s="7">
        <v>0.75</v>
      </c>
      <c r="D986" s="7">
        <v>0.75</v>
      </c>
      <c r="E986" s="7">
        <v>7.0</v>
      </c>
      <c r="F986" s="7">
        <v>371.117133378982</v>
      </c>
      <c r="G986" s="7">
        <v>449.113486289978</v>
      </c>
      <c r="H986" s="7">
        <v>4.0</v>
      </c>
      <c r="I986" s="15">
        <v>-0.0640787538199028</v>
      </c>
      <c r="J986" s="15">
        <v>0.233226188651398</v>
      </c>
      <c r="K986" s="12">
        <f>AVERAGE(I982:I986)</f>
        <v>0.501804599</v>
      </c>
      <c r="L986" s="18">
        <v>82653.0</v>
      </c>
      <c r="M986" s="14">
        <f>STDEV(L982:L986)</f>
        <v>33108.30403</v>
      </c>
      <c r="N986" s="15" t="b">
        <f t="shared" si="1"/>
        <v>0</v>
      </c>
    </row>
    <row r="987" hidden="1">
      <c r="A987" s="7" t="s">
        <v>204</v>
      </c>
      <c r="B987" s="7" t="s">
        <v>17</v>
      </c>
      <c r="C987" s="7">
        <v>0.75</v>
      </c>
      <c r="D987" s="7">
        <v>0.75</v>
      </c>
      <c r="E987" s="7">
        <v>8.0</v>
      </c>
      <c r="F987" s="7">
        <v>147.909232854843</v>
      </c>
      <c r="G987" s="7">
        <v>244.52333164215</v>
      </c>
      <c r="H987" s="7">
        <v>0.0</v>
      </c>
      <c r="I987" s="15">
        <v>0.845197582558439</v>
      </c>
      <c r="J987" s="15">
        <v>0.103967665565834</v>
      </c>
      <c r="K987" s="12">
        <f>AVERAGE(I987:I991)</f>
        <v>0.5724279517</v>
      </c>
      <c r="L987" s="18">
        <v>3929.0</v>
      </c>
      <c r="M987" s="14">
        <f>STDEV(L987:L991)</f>
        <v>43170.71818</v>
      </c>
      <c r="N987" s="15" t="b">
        <f t="shared" si="1"/>
        <v>0</v>
      </c>
    </row>
    <row r="988" hidden="1">
      <c r="A988" s="7" t="s">
        <v>204</v>
      </c>
      <c r="B988" s="7" t="s">
        <v>17</v>
      </c>
      <c r="C988" s="7">
        <v>0.75</v>
      </c>
      <c r="D988" s="7">
        <v>0.75</v>
      </c>
      <c r="E988" s="7">
        <v>8.0</v>
      </c>
      <c r="F988" s="7">
        <v>147.909232854843</v>
      </c>
      <c r="G988" s="7">
        <v>244.52333164215</v>
      </c>
      <c r="H988" s="7">
        <v>1.0</v>
      </c>
      <c r="I988" s="15">
        <v>0.0046304859108016</v>
      </c>
      <c r="J988" s="15">
        <v>0.170727367591865</v>
      </c>
      <c r="K988" s="12">
        <f>AVERAGE(I987:I991)</f>
        <v>0.5724279517</v>
      </c>
      <c r="L988" s="18">
        <v>103916.0</v>
      </c>
      <c r="M988" s="14">
        <f>STDEV(L987:L991)</f>
        <v>43170.71818</v>
      </c>
      <c r="N988" s="15" t="b">
        <f t="shared" si="1"/>
        <v>0</v>
      </c>
    </row>
    <row r="989" hidden="1">
      <c r="A989" s="7" t="s">
        <v>204</v>
      </c>
      <c r="B989" s="7" t="s">
        <v>17</v>
      </c>
      <c r="C989" s="7">
        <v>0.75</v>
      </c>
      <c r="D989" s="7">
        <v>0.75</v>
      </c>
      <c r="E989" s="7">
        <v>8.0</v>
      </c>
      <c r="F989" s="7">
        <v>147.909232854843</v>
      </c>
      <c r="G989" s="7">
        <v>244.52333164215</v>
      </c>
      <c r="H989" s="7">
        <v>2.0</v>
      </c>
      <c r="I989" s="15">
        <v>0.828301232276173</v>
      </c>
      <c r="J989" s="15">
        <v>0.0976691848073305</v>
      </c>
      <c r="K989" s="12">
        <f>AVERAGE(I987:I991)</f>
        <v>0.5724279517</v>
      </c>
      <c r="L989" s="18">
        <v>7459.0</v>
      </c>
      <c r="M989" s="14">
        <f>STDEV(L987:L991)</f>
        <v>43170.71818</v>
      </c>
      <c r="N989" s="15" t="b">
        <f t="shared" si="1"/>
        <v>0</v>
      </c>
    </row>
    <row r="990" hidden="1">
      <c r="A990" s="7" t="s">
        <v>204</v>
      </c>
      <c r="B990" s="7" t="s">
        <v>17</v>
      </c>
      <c r="C990" s="7">
        <v>0.75</v>
      </c>
      <c r="D990" s="7">
        <v>0.75</v>
      </c>
      <c r="E990" s="7">
        <v>8.0</v>
      </c>
      <c r="F990" s="7">
        <v>147.909232854843</v>
      </c>
      <c r="G990" s="7">
        <v>244.52333164215</v>
      </c>
      <c r="H990" s="7">
        <v>3.0</v>
      </c>
      <c r="I990" s="15">
        <v>0.783852929620258</v>
      </c>
      <c r="J990" s="15">
        <v>0.142728021227199</v>
      </c>
      <c r="K990" s="12">
        <f>AVERAGE(I987:I991)</f>
        <v>0.5724279517</v>
      </c>
      <c r="L990" s="18">
        <v>1963.0</v>
      </c>
      <c r="M990" s="14">
        <f>STDEV(L987:L991)</f>
        <v>43170.71818</v>
      </c>
      <c r="N990" s="15" t="b">
        <f t="shared" si="1"/>
        <v>0</v>
      </c>
    </row>
    <row r="991" hidden="1">
      <c r="A991" s="7" t="s">
        <v>204</v>
      </c>
      <c r="B991" s="7" t="s">
        <v>17</v>
      </c>
      <c r="C991" s="7">
        <v>0.75</v>
      </c>
      <c r="D991" s="7">
        <v>0.75</v>
      </c>
      <c r="E991" s="7">
        <v>8.0</v>
      </c>
      <c r="F991" s="7">
        <v>147.909232854843</v>
      </c>
      <c r="G991" s="7">
        <v>244.52333164215</v>
      </c>
      <c r="H991" s="7">
        <v>4.0</v>
      </c>
      <c r="I991" s="15">
        <v>0.400157527978196</v>
      </c>
      <c r="J991" s="15">
        <v>0.065395068115722</v>
      </c>
      <c r="K991" s="12">
        <f>AVERAGE(I987:I991)</f>
        <v>0.5724279517</v>
      </c>
      <c r="L991" s="18">
        <v>24409.0</v>
      </c>
      <c r="M991" s="14">
        <f>STDEV(L987:L991)</f>
        <v>43170.71818</v>
      </c>
      <c r="N991" s="15" t="b">
        <f t="shared" si="1"/>
        <v>0</v>
      </c>
    </row>
    <row r="992" hidden="1">
      <c r="A992" s="7" t="s">
        <v>205</v>
      </c>
      <c r="B992" s="7" t="s">
        <v>17</v>
      </c>
      <c r="C992" s="7">
        <v>0.75</v>
      </c>
      <c r="D992" s="7">
        <v>0.75</v>
      </c>
      <c r="E992" s="7">
        <v>9.0</v>
      </c>
      <c r="F992" s="7">
        <v>313.513770103454</v>
      </c>
      <c r="G992" s="7">
        <v>400.924966335296</v>
      </c>
      <c r="H992" s="7">
        <v>0.0</v>
      </c>
      <c r="I992" s="15">
        <v>0.746777611800818</v>
      </c>
      <c r="J992" s="15">
        <v>0.148141714957194</v>
      </c>
      <c r="K992" s="12">
        <f>AVERAGE(I992:I996)</f>
        <v>0.4418885927</v>
      </c>
      <c r="L992" s="18">
        <v>8191.0</v>
      </c>
      <c r="M992" s="14">
        <f>STDEV(L992:L996)</f>
        <v>31271.56454</v>
      </c>
      <c r="N992" s="15" t="b">
        <f t="shared" si="1"/>
        <v>0</v>
      </c>
    </row>
    <row r="993" hidden="1">
      <c r="A993" s="7" t="s">
        <v>205</v>
      </c>
      <c r="B993" s="7" t="s">
        <v>17</v>
      </c>
      <c r="C993" s="7">
        <v>0.75</v>
      </c>
      <c r="D993" s="7">
        <v>0.75</v>
      </c>
      <c r="E993" s="7">
        <v>9.0</v>
      </c>
      <c r="F993" s="7">
        <v>313.513770103454</v>
      </c>
      <c r="G993" s="7">
        <v>400.924966335296</v>
      </c>
      <c r="H993" s="7">
        <v>1.0</v>
      </c>
      <c r="I993" s="15">
        <v>0.824266954091357</v>
      </c>
      <c r="J993" s="15">
        <v>0.117531168180356</v>
      </c>
      <c r="K993" s="12">
        <f>AVERAGE(I992:I996)</f>
        <v>0.4418885927</v>
      </c>
      <c r="L993" s="18">
        <v>5162.0</v>
      </c>
      <c r="M993" s="14">
        <f>STDEV(L992:L996)</f>
        <v>31271.56454</v>
      </c>
      <c r="N993" s="15" t="b">
        <f t="shared" si="1"/>
        <v>0</v>
      </c>
    </row>
    <row r="994" hidden="1">
      <c r="A994" s="7" t="s">
        <v>205</v>
      </c>
      <c r="B994" s="7" t="s">
        <v>17</v>
      </c>
      <c r="C994" s="7">
        <v>0.75</v>
      </c>
      <c r="D994" s="7">
        <v>0.75</v>
      </c>
      <c r="E994" s="7">
        <v>9.0</v>
      </c>
      <c r="F994" s="7">
        <v>313.513770103454</v>
      </c>
      <c r="G994" s="7">
        <v>400.924966335296</v>
      </c>
      <c r="H994" s="7">
        <v>2.0</v>
      </c>
      <c r="I994" s="15">
        <v>-0.072123503132859</v>
      </c>
      <c r="J994" s="15">
        <v>0.226488020458015</v>
      </c>
      <c r="K994" s="12">
        <f>AVERAGE(I992:I996)</f>
        <v>0.4418885927</v>
      </c>
      <c r="L994" s="18">
        <v>82271.0</v>
      </c>
      <c r="M994" s="14">
        <f>STDEV(L992:L996)</f>
        <v>31271.56454</v>
      </c>
      <c r="N994" s="15" t="b">
        <f t="shared" si="1"/>
        <v>0</v>
      </c>
    </row>
    <row r="995" hidden="1">
      <c r="A995" s="7" t="s">
        <v>205</v>
      </c>
      <c r="B995" s="7" t="s">
        <v>17</v>
      </c>
      <c r="C995" s="7">
        <v>0.75</v>
      </c>
      <c r="D995" s="7">
        <v>0.75</v>
      </c>
      <c r="E995" s="7">
        <v>9.0</v>
      </c>
      <c r="F995" s="7">
        <v>313.513770103454</v>
      </c>
      <c r="G995" s="7">
        <v>400.924966335296</v>
      </c>
      <c r="H995" s="7">
        <v>3.0</v>
      </c>
      <c r="I995" s="15">
        <v>0.397494114609965</v>
      </c>
      <c r="J995" s="15">
        <v>0.0689176012785966</v>
      </c>
      <c r="K995" s="12">
        <f>AVERAGE(I992:I996)</f>
        <v>0.4418885927</v>
      </c>
      <c r="L995" s="18">
        <v>24332.0</v>
      </c>
      <c r="M995" s="14">
        <f>STDEV(L992:L996)</f>
        <v>31271.56454</v>
      </c>
      <c r="N995" s="15" t="b">
        <f t="shared" si="1"/>
        <v>0</v>
      </c>
    </row>
    <row r="996" hidden="1">
      <c r="A996" s="7" t="s">
        <v>205</v>
      </c>
      <c r="B996" s="7" t="s">
        <v>17</v>
      </c>
      <c r="C996" s="7">
        <v>0.75</v>
      </c>
      <c r="D996" s="7">
        <v>0.75</v>
      </c>
      <c r="E996" s="7">
        <v>9.0</v>
      </c>
      <c r="F996" s="7">
        <v>313.513770103454</v>
      </c>
      <c r="G996" s="7">
        <v>400.924966335296</v>
      </c>
      <c r="H996" s="7">
        <v>4.0</v>
      </c>
      <c r="I996" s="15">
        <v>0.313027786319404</v>
      </c>
      <c r="J996" s="15">
        <v>0.114211146272057</v>
      </c>
      <c r="K996" s="12">
        <f>AVERAGE(I992:I996)</f>
        <v>0.4418885927</v>
      </c>
      <c r="L996" s="18">
        <v>21720.0</v>
      </c>
      <c r="M996" s="14">
        <f>STDEV(L992:L996)</f>
        <v>31271.56454</v>
      </c>
      <c r="N996" s="15" t="b">
        <f t="shared" si="1"/>
        <v>0</v>
      </c>
    </row>
    <row r="997" hidden="1">
      <c r="A997" s="7" t="s">
        <v>206</v>
      </c>
      <c r="B997" s="24" t="s">
        <v>17</v>
      </c>
      <c r="C997" s="24">
        <v>0.75</v>
      </c>
      <c r="D997" s="24">
        <v>0.75</v>
      </c>
      <c r="E997" s="24">
        <v>10.0</v>
      </c>
      <c r="F997" s="7">
        <v>145.235728025436</v>
      </c>
      <c r="G997" s="7">
        <v>238.531413793563</v>
      </c>
      <c r="H997" s="7">
        <v>0.0</v>
      </c>
      <c r="I997" s="15">
        <v>0.845301911961025</v>
      </c>
      <c r="J997" s="15">
        <v>0.103210402164397</v>
      </c>
      <c r="K997" s="12">
        <f>AVERAGE(I997:I1001)</f>
        <v>0.6216370571</v>
      </c>
      <c r="L997" s="18">
        <v>3929.0</v>
      </c>
      <c r="M997" s="14">
        <f>STDEV(L997:L1001)</f>
        <v>46915.70713</v>
      </c>
      <c r="N997" s="15" t="b">
        <f t="shared" si="1"/>
        <v>0</v>
      </c>
    </row>
    <row r="998" hidden="1">
      <c r="A998" s="7" t="s">
        <v>206</v>
      </c>
      <c r="B998" s="24" t="s">
        <v>17</v>
      </c>
      <c r="C998" s="24">
        <v>0.75</v>
      </c>
      <c r="D998" s="24">
        <v>0.75</v>
      </c>
      <c r="E998" s="24">
        <v>10.0</v>
      </c>
      <c r="F998" s="7">
        <v>145.235728025436</v>
      </c>
      <c r="G998" s="7">
        <v>238.531413793563</v>
      </c>
      <c r="H998" s="7">
        <v>1.0</v>
      </c>
      <c r="I998" s="15">
        <v>0.823186722542567</v>
      </c>
      <c r="J998" s="15">
        <v>0.105049185858711</v>
      </c>
      <c r="K998" s="12">
        <f>AVERAGE(I997:I1001)</f>
        <v>0.6216370571</v>
      </c>
      <c r="L998" s="18">
        <v>5435.0</v>
      </c>
      <c r="M998" s="14">
        <f>STDEV(L997:L1001)</f>
        <v>46915.70713</v>
      </c>
      <c r="N998" s="15" t="b">
        <f t="shared" si="1"/>
        <v>0</v>
      </c>
    </row>
    <row r="999" hidden="1">
      <c r="A999" s="7" t="s">
        <v>206</v>
      </c>
      <c r="B999" s="24" t="s">
        <v>17</v>
      </c>
      <c r="C999" s="24">
        <v>0.75</v>
      </c>
      <c r="D999" s="24">
        <v>0.75</v>
      </c>
      <c r="E999" s="24">
        <v>10.0</v>
      </c>
      <c r="F999" s="7">
        <v>145.235728025436</v>
      </c>
      <c r="G999" s="7">
        <v>238.531413793563</v>
      </c>
      <c r="H999" s="7">
        <v>2.0</v>
      </c>
      <c r="I999" s="15">
        <v>0.479785559040699</v>
      </c>
      <c r="J999" s="15">
        <v>0.154248053886345</v>
      </c>
      <c r="K999" s="12">
        <f>AVERAGE(I997:I1001)</f>
        <v>0.6216370571</v>
      </c>
      <c r="L999" s="18">
        <v>19335.0</v>
      </c>
      <c r="M999" s="14">
        <f>STDEV(L997:L1001)</f>
        <v>46915.70713</v>
      </c>
      <c r="N999" s="15" t="b">
        <f t="shared" si="1"/>
        <v>0</v>
      </c>
    </row>
    <row r="1000" hidden="1">
      <c r="A1000" s="7" t="s">
        <v>206</v>
      </c>
      <c r="B1000" s="24" t="s">
        <v>17</v>
      </c>
      <c r="C1000" s="24">
        <v>0.75</v>
      </c>
      <c r="D1000" s="24">
        <v>0.75</v>
      </c>
      <c r="E1000" s="24">
        <v>10.0</v>
      </c>
      <c r="F1000" s="7">
        <v>145.235728025436</v>
      </c>
      <c r="G1000" s="7">
        <v>238.531413793563</v>
      </c>
      <c r="H1000" s="7">
        <v>3.0</v>
      </c>
      <c r="I1000" s="15">
        <v>0.924738257980959</v>
      </c>
      <c r="J1000" s="15">
        <v>0.0269794915889386</v>
      </c>
      <c r="K1000" s="12">
        <f>AVERAGE(I997:I1001)</f>
        <v>0.6216370571</v>
      </c>
      <c r="L1000" s="18">
        <v>1634.0</v>
      </c>
      <c r="M1000" s="14">
        <f>STDEV(L997:L1001)</f>
        <v>46915.70713</v>
      </c>
      <c r="N1000" s="15" t="b">
        <f t="shared" si="1"/>
        <v>0</v>
      </c>
    </row>
    <row r="1001" hidden="1">
      <c r="A1001" s="7" t="s">
        <v>206</v>
      </c>
      <c r="B1001" s="24" t="s">
        <v>17</v>
      </c>
      <c r="C1001" s="24">
        <v>0.75</v>
      </c>
      <c r="D1001" s="24">
        <v>0.75</v>
      </c>
      <c r="E1001" s="24">
        <v>10.0</v>
      </c>
      <c r="F1001" s="7">
        <v>145.235728025436</v>
      </c>
      <c r="G1001" s="7">
        <v>238.531413793563</v>
      </c>
      <c r="H1001" s="7">
        <v>4.0</v>
      </c>
      <c r="I1001" s="15">
        <v>0.0351728340167441</v>
      </c>
      <c r="J1001" s="15">
        <v>0.162755490397952</v>
      </c>
      <c r="K1001" s="12">
        <f>AVERAGE(I997:I1001)</f>
        <v>0.6216370571</v>
      </c>
      <c r="L1001" s="18">
        <v>111343.0</v>
      </c>
      <c r="M1001" s="14">
        <f>STDEV(L997:L1001)</f>
        <v>46915.70713</v>
      </c>
      <c r="N1001" s="15" t="b">
        <f t="shared" si="1"/>
        <v>0</v>
      </c>
    </row>
    <row r="1002" hidden="1">
      <c r="A1002" s="7" t="s">
        <v>207</v>
      </c>
      <c r="B1002" s="21" t="s">
        <v>17</v>
      </c>
      <c r="C1002" s="21">
        <v>0.75</v>
      </c>
      <c r="D1002" s="21">
        <v>1.0</v>
      </c>
      <c r="E1002" s="21">
        <v>1.0</v>
      </c>
      <c r="F1002" s="7">
        <v>127.612248897552</v>
      </c>
      <c r="G1002" s="7">
        <v>198.37413740158</v>
      </c>
      <c r="H1002" s="7">
        <v>0.0</v>
      </c>
      <c r="I1002" s="15">
        <v>0.0591100631262168</v>
      </c>
      <c r="J1002" s="15">
        <v>0.130468658128374</v>
      </c>
      <c r="K1002" s="12">
        <f>AVERAGE(I1002:I1006)</f>
        <v>0.6650236537</v>
      </c>
      <c r="L1002" s="18">
        <v>121793.0</v>
      </c>
      <c r="M1002" s="14">
        <f>STDEV(L1002:L1006)</f>
        <v>52282.94168</v>
      </c>
      <c r="N1002" s="15" t="b">
        <f t="shared" si="1"/>
        <v>1</v>
      </c>
    </row>
    <row r="1003" hidden="1">
      <c r="A1003" s="7" t="s">
        <v>207</v>
      </c>
      <c r="B1003" s="21" t="s">
        <v>17</v>
      </c>
      <c r="C1003" s="21">
        <v>0.75</v>
      </c>
      <c r="D1003" s="21">
        <v>1.0</v>
      </c>
      <c r="E1003" s="21">
        <v>1.0</v>
      </c>
      <c r="F1003" s="7">
        <v>127.612248897552</v>
      </c>
      <c r="G1003" s="7">
        <v>198.37413740158</v>
      </c>
      <c r="H1003" s="7">
        <v>1.0</v>
      </c>
      <c r="I1003" s="15">
        <v>0.823776151760667</v>
      </c>
      <c r="J1003" s="15">
        <v>0.105027113055107</v>
      </c>
      <c r="K1003" s="12">
        <f>AVERAGE(I1002:I1006)</f>
        <v>0.6650236537</v>
      </c>
      <c r="L1003" s="18">
        <v>5435.0</v>
      </c>
      <c r="M1003" s="14">
        <f>STDEV(L1002:L1006)</f>
        <v>52282.94168</v>
      </c>
      <c r="N1003" s="15" t="b">
        <f t="shared" si="1"/>
        <v>1</v>
      </c>
    </row>
    <row r="1004" hidden="1">
      <c r="A1004" s="7" t="s">
        <v>207</v>
      </c>
      <c r="B1004" s="21" t="s">
        <v>17</v>
      </c>
      <c r="C1004" s="21">
        <v>0.75</v>
      </c>
      <c r="D1004" s="21">
        <v>1.0</v>
      </c>
      <c r="E1004" s="21">
        <v>1.0</v>
      </c>
      <c r="F1004" s="7">
        <v>127.612248897552</v>
      </c>
      <c r="G1004" s="7">
        <v>198.37413740158</v>
      </c>
      <c r="H1004" s="7">
        <v>2.0</v>
      </c>
      <c r="I1004" s="15">
        <v>0.824510986652108</v>
      </c>
      <c r="J1004" s="15">
        <v>0.116913729175556</v>
      </c>
      <c r="K1004" s="12">
        <f>AVERAGE(I1002:I1006)</f>
        <v>0.6650236537</v>
      </c>
      <c r="L1004" s="18">
        <v>5115.0</v>
      </c>
      <c r="M1004" s="14">
        <f>STDEV(L1002:L1006)</f>
        <v>52282.94168</v>
      </c>
      <c r="N1004" s="15" t="b">
        <f t="shared" si="1"/>
        <v>1</v>
      </c>
    </row>
    <row r="1005" hidden="1">
      <c r="A1005" s="7" t="s">
        <v>207</v>
      </c>
      <c r="B1005" s="21" t="s">
        <v>17</v>
      </c>
      <c r="C1005" s="21">
        <v>0.75</v>
      </c>
      <c r="D1005" s="21">
        <v>1.0</v>
      </c>
      <c r="E1005" s="21">
        <v>1.0</v>
      </c>
      <c r="F1005" s="7">
        <v>127.612248897552</v>
      </c>
      <c r="G1005" s="7">
        <v>198.37413740158</v>
      </c>
      <c r="H1005" s="7">
        <v>3.0</v>
      </c>
      <c r="I1005" s="15">
        <v>0.789320319984613</v>
      </c>
      <c r="J1005" s="15">
        <v>0.139498507532104</v>
      </c>
      <c r="K1005" s="12">
        <f>AVERAGE(I1002:I1006)</f>
        <v>0.6650236537</v>
      </c>
      <c r="L1005" s="18">
        <v>1869.0</v>
      </c>
      <c r="M1005" s="14">
        <f>STDEV(L1002:L1006)</f>
        <v>52282.94168</v>
      </c>
      <c r="N1005" s="15" t="b">
        <f t="shared" si="1"/>
        <v>1</v>
      </c>
    </row>
    <row r="1006" hidden="1">
      <c r="A1006" s="7" t="s">
        <v>207</v>
      </c>
      <c r="B1006" s="21" t="s">
        <v>17</v>
      </c>
      <c r="C1006" s="21">
        <v>0.75</v>
      </c>
      <c r="D1006" s="21">
        <v>1.0</v>
      </c>
      <c r="E1006" s="21">
        <v>1.0</v>
      </c>
      <c r="F1006" s="7">
        <v>127.612248897552</v>
      </c>
      <c r="G1006" s="7">
        <v>198.37413740158</v>
      </c>
      <c r="H1006" s="7">
        <v>4.0</v>
      </c>
      <c r="I1006" s="15">
        <v>0.828400747214439</v>
      </c>
      <c r="J1006" s="15">
        <v>0.100274099377167</v>
      </c>
      <c r="K1006" s="12">
        <f>AVERAGE(I1002:I1006)</f>
        <v>0.6650236537</v>
      </c>
      <c r="L1006" s="18">
        <v>7464.0</v>
      </c>
      <c r="M1006" s="14">
        <f>STDEV(L1002:L1006)</f>
        <v>52282.94168</v>
      </c>
      <c r="N1006" s="15" t="b">
        <f t="shared" si="1"/>
        <v>1</v>
      </c>
    </row>
    <row r="1007" hidden="1">
      <c r="A1007" s="7" t="s">
        <v>208</v>
      </c>
      <c r="B1007" s="7" t="s">
        <v>17</v>
      </c>
      <c r="C1007" s="7">
        <v>0.75</v>
      </c>
      <c r="D1007" s="7">
        <v>1.0</v>
      </c>
      <c r="E1007" s="7">
        <v>2.0</v>
      </c>
      <c r="F1007" s="7">
        <v>230.548645496368</v>
      </c>
      <c r="G1007" s="7">
        <v>315.963236570358</v>
      </c>
      <c r="H1007" s="7">
        <v>0.0</v>
      </c>
      <c r="I1007" s="15">
        <v>0.300269397957144</v>
      </c>
      <c r="J1007" s="15">
        <v>0.103360651899115</v>
      </c>
      <c r="K1007" s="12">
        <f>AVERAGE(I1007:I1011)</f>
        <v>0.4544936687</v>
      </c>
      <c r="L1007" s="18">
        <v>25777.0</v>
      </c>
      <c r="M1007" s="14">
        <f>STDEV(L1007:L1011)</f>
        <v>32295.10538</v>
      </c>
      <c r="N1007" s="15" t="b">
        <f t="shared" si="1"/>
        <v>0</v>
      </c>
    </row>
    <row r="1008" hidden="1">
      <c r="A1008" s="7" t="s">
        <v>208</v>
      </c>
      <c r="B1008" s="7" t="s">
        <v>17</v>
      </c>
      <c r="C1008" s="7">
        <v>0.75</v>
      </c>
      <c r="D1008" s="7">
        <v>1.0</v>
      </c>
      <c r="E1008" s="7">
        <v>2.0</v>
      </c>
      <c r="F1008" s="7">
        <v>230.548645496368</v>
      </c>
      <c r="G1008" s="7">
        <v>315.963236570358</v>
      </c>
      <c r="H1008" s="7">
        <v>1.0</v>
      </c>
      <c r="I1008" s="15">
        <v>0.823357708439914</v>
      </c>
      <c r="J1008" s="15">
        <v>0.106489895894179</v>
      </c>
      <c r="K1008" s="12">
        <f>AVERAGE(I1007:I1011)</f>
        <v>0.4544936687</v>
      </c>
      <c r="L1008" s="18">
        <v>5428.0</v>
      </c>
      <c r="M1008" s="14">
        <f>STDEV(L1007:L1011)</f>
        <v>32295.10538</v>
      </c>
      <c r="N1008" s="15" t="b">
        <f t="shared" si="1"/>
        <v>0</v>
      </c>
    </row>
    <row r="1009" hidden="1">
      <c r="A1009" s="7" t="s">
        <v>208</v>
      </c>
      <c r="B1009" s="7" t="s">
        <v>17</v>
      </c>
      <c r="C1009" s="7">
        <v>0.75</v>
      </c>
      <c r="D1009" s="7">
        <v>1.0</v>
      </c>
      <c r="E1009" s="7">
        <v>2.0</v>
      </c>
      <c r="F1009" s="7">
        <v>230.548645496368</v>
      </c>
      <c r="G1009" s="7">
        <v>315.963236570358</v>
      </c>
      <c r="H1009" s="7">
        <v>2.0</v>
      </c>
      <c r="I1009" s="15">
        <v>0.47419287425466</v>
      </c>
      <c r="J1009" s="15">
        <v>0.152183716454659</v>
      </c>
      <c r="K1009" s="12">
        <f>AVERAGE(I1007:I1011)</f>
        <v>0.4544936687</v>
      </c>
      <c r="L1009" s="18">
        <v>18736.0</v>
      </c>
      <c r="M1009" s="14">
        <f>STDEV(L1007:L1011)</f>
        <v>32295.10538</v>
      </c>
      <c r="N1009" s="15" t="b">
        <f t="shared" si="1"/>
        <v>0</v>
      </c>
    </row>
    <row r="1010" hidden="1">
      <c r="A1010" s="7" t="s">
        <v>208</v>
      </c>
      <c r="B1010" s="7" t="s">
        <v>17</v>
      </c>
      <c r="C1010" s="7">
        <v>0.75</v>
      </c>
      <c r="D1010" s="7">
        <v>1.0</v>
      </c>
      <c r="E1010" s="7">
        <v>2.0</v>
      </c>
      <c r="F1010" s="7">
        <v>230.548645496368</v>
      </c>
      <c r="G1010" s="7">
        <v>315.963236570358</v>
      </c>
      <c r="H1010" s="7">
        <v>3.0</v>
      </c>
      <c r="I1010" s="15">
        <v>-0.073766734401471</v>
      </c>
      <c r="J1010" s="15">
        <v>0.222548386225355</v>
      </c>
      <c r="K1010" s="12">
        <f>AVERAGE(I1007:I1011)</f>
        <v>0.4544936687</v>
      </c>
      <c r="L1010" s="18">
        <v>84167.0</v>
      </c>
      <c r="M1010" s="14">
        <f>STDEV(L1007:L1011)</f>
        <v>32295.10538</v>
      </c>
      <c r="N1010" s="15" t="b">
        <f t="shared" si="1"/>
        <v>0</v>
      </c>
    </row>
    <row r="1011" hidden="1">
      <c r="A1011" s="7" t="s">
        <v>208</v>
      </c>
      <c r="B1011" s="7" t="s">
        <v>17</v>
      </c>
      <c r="C1011" s="7">
        <v>0.75</v>
      </c>
      <c r="D1011" s="7">
        <v>1.0</v>
      </c>
      <c r="E1011" s="7">
        <v>2.0</v>
      </c>
      <c r="F1011" s="7">
        <v>230.548645496368</v>
      </c>
      <c r="G1011" s="7">
        <v>315.963236570358</v>
      </c>
      <c r="H1011" s="7">
        <v>4.0</v>
      </c>
      <c r="I1011" s="15">
        <v>0.748415097414384</v>
      </c>
      <c r="J1011" s="15">
        <v>0.150386247628152</v>
      </c>
      <c r="K1011" s="12">
        <f>AVERAGE(I1007:I1011)</f>
        <v>0.4544936687</v>
      </c>
      <c r="L1011" s="18">
        <v>7568.0</v>
      </c>
      <c r="M1011" s="14">
        <f>STDEV(L1007:L1011)</f>
        <v>32295.10538</v>
      </c>
      <c r="N1011" s="15" t="b">
        <f t="shared" si="1"/>
        <v>0</v>
      </c>
    </row>
    <row r="1012" hidden="1">
      <c r="A1012" s="7" t="s">
        <v>209</v>
      </c>
      <c r="B1012" s="7" t="s">
        <v>17</v>
      </c>
      <c r="C1012" s="7">
        <v>0.75</v>
      </c>
      <c r="D1012" s="7">
        <v>1.0</v>
      </c>
      <c r="E1012" s="7">
        <v>3.0</v>
      </c>
      <c r="F1012" s="7">
        <v>190.110229492187</v>
      </c>
      <c r="G1012" s="7">
        <v>264.742893218994</v>
      </c>
      <c r="H1012" s="7">
        <v>0.0</v>
      </c>
      <c r="I1012" s="15">
        <v>0.473306669456264</v>
      </c>
      <c r="J1012" s="15">
        <v>0.164315798573094</v>
      </c>
      <c r="K1012" s="12">
        <f>AVERAGE(I1012:I1016)</f>
        <v>0.3928964532</v>
      </c>
      <c r="L1012" s="18">
        <v>5444.0</v>
      </c>
      <c r="M1012" s="14">
        <f>STDEV(L1012:L1016)</f>
        <v>37627.87091</v>
      </c>
      <c r="N1012" s="15" t="b">
        <f t="shared" si="1"/>
        <v>0</v>
      </c>
    </row>
    <row r="1013" hidden="1">
      <c r="A1013" s="7" t="s">
        <v>209</v>
      </c>
      <c r="B1013" s="7" t="s">
        <v>17</v>
      </c>
      <c r="C1013" s="7">
        <v>0.75</v>
      </c>
      <c r="D1013" s="7">
        <v>1.0</v>
      </c>
      <c r="E1013" s="7">
        <v>3.0</v>
      </c>
      <c r="F1013" s="7">
        <v>190.110229492187</v>
      </c>
      <c r="G1013" s="7">
        <v>264.742893218994</v>
      </c>
      <c r="H1013" s="7">
        <v>1.0</v>
      </c>
      <c r="I1013" s="15">
        <v>0.294008649085848</v>
      </c>
      <c r="J1013" s="15">
        <v>0.0825297463617836</v>
      </c>
      <c r="K1013" s="12">
        <f>AVERAGE(I1012:I1016)</f>
        <v>0.3928964532</v>
      </c>
      <c r="L1013" s="18">
        <v>28362.0</v>
      </c>
      <c r="M1013" s="14">
        <f>STDEV(L1012:L1016)</f>
        <v>37627.87091</v>
      </c>
      <c r="N1013" s="15" t="b">
        <f t="shared" si="1"/>
        <v>0</v>
      </c>
    </row>
    <row r="1014" hidden="1">
      <c r="A1014" s="7" t="s">
        <v>209</v>
      </c>
      <c r="B1014" s="7" t="s">
        <v>17</v>
      </c>
      <c r="C1014" s="7">
        <v>0.75</v>
      </c>
      <c r="D1014" s="7">
        <v>1.0</v>
      </c>
      <c r="E1014" s="7">
        <v>3.0</v>
      </c>
      <c r="F1014" s="7">
        <v>190.110229492187</v>
      </c>
      <c r="G1014" s="7">
        <v>264.742893218994</v>
      </c>
      <c r="H1014" s="7">
        <v>2.0</v>
      </c>
      <c r="I1014" s="15">
        <v>0.00302439540756143</v>
      </c>
      <c r="J1014" s="15">
        <v>0.17112169243761</v>
      </c>
      <c r="K1014" s="12">
        <f>AVERAGE(I1012:I1016)</f>
        <v>0.3928964532</v>
      </c>
      <c r="L1014" s="18">
        <v>93140.0</v>
      </c>
      <c r="M1014" s="14">
        <f>STDEV(L1012:L1016)</f>
        <v>37627.87091</v>
      </c>
      <c r="N1014" s="15" t="b">
        <f t="shared" si="1"/>
        <v>0</v>
      </c>
    </row>
    <row r="1015" hidden="1">
      <c r="A1015" s="7" t="s">
        <v>209</v>
      </c>
      <c r="B1015" s="7" t="s">
        <v>17</v>
      </c>
      <c r="C1015" s="7">
        <v>0.75</v>
      </c>
      <c r="D1015" s="7">
        <v>1.0</v>
      </c>
      <c r="E1015" s="7">
        <v>3.0</v>
      </c>
      <c r="F1015" s="7">
        <v>190.110229492187</v>
      </c>
      <c r="G1015" s="7">
        <v>264.742893218994</v>
      </c>
      <c r="H1015" s="7">
        <v>3.0</v>
      </c>
      <c r="I1015" s="15">
        <v>0.408596126227846</v>
      </c>
      <c r="J1015" s="15">
        <v>0.0553264463568706</v>
      </c>
      <c r="K1015" s="12">
        <f>AVERAGE(I1012:I1016)</f>
        <v>0.3928964532</v>
      </c>
      <c r="L1015" s="18">
        <v>12854.0</v>
      </c>
      <c r="M1015" s="14">
        <f>STDEV(L1012:L1016)</f>
        <v>37627.87091</v>
      </c>
      <c r="N1015" s="15" t="b">
        <f t="shared" si="1"/>
        <v>0</v>
      </c>
    </row>
    <row r="1016" hidden="1">
      <c r="A1016" s="7" t="s">
        <v>209</v>
      </c>
      <c r="B1016" s="7" t="s">
        <v>17</v>
      </c>
      <c r="C1016" s="7">
        <v>0.75</v>
      </c>
      <c r="D1016" s="7">
        <v>1.0</v>
      </c>
      <c r="E1016" s="7">
        <v>3.0</v>
      </c>
      <c r="F1016" s="7">
        <v>190.110229492187</v>
      </c>
      <c r="G1016" s="7">
        <v>264.742893218994</v>
      </c>
      <c r="H1016" s="7">
        <v>4.0</v>
      </c>
      <c r="I1016" s="15">
        <v>0.785546425861681</v>
      </c>
      <c r="J1016" s="15">
        <v>0.144393782338571</v>
      </c>
      <c r="K1016" s="12">
        <f>AVERAGE(I1012:I1016)</f>
        <v>0.3928964532</v>
      </c>
      <c r="L1016" s="18">
        <v>1876.0</v>
      </c>
      <c r="M1016" s="14">
        <f>STDEV(L1012:L1016)</f>
        <v>37627.87091</v>
      </c>
      <c r="N1016" s="15" t="b">
        <f t="shared" si="1"/>
        <v>0</v>
      </c>
    </row>
    <row r="1017" hidden="1">
      <c r="A1017" s="7" t="s">
        <v>210</v>
      </c>
      <c r="B1017" s="7" t="s">
        <v>17</v>
      </c>
      <c r="C1017" s="7">
        <v>0.75</v>
      </c>
      <c r="D1017" s="7">
        <v>1.0</v>
      </c>
      <c r="E1017" s="7">
        <v>4.0</v>
      </c>
      <c r="F1017" s="7">
        <v>138.609330654144</v>
      </c>
      <c r="G1017" s="7">
        <v>192.156899690628</v>
      </c>
      <c r="H1017" s="7">
        <v>0.0</v>
      </c>
      <c r="I1017" s="15">
        <v>0.47482441958172</v>
      </c>
      <c r="J1017" s="15">
        <v>0.163160881160616</v>
      </c>
      <c r="K1017" s="12">
        <f>AVERAGE(I1017:I1021)</f>
        <v>0.5789741282</v>
      </c>
      <c r="L1017" s="18">
        <v>16680.0</v>
      </c>
      <c r="M1017" s="14">
        <f>STDEV(L1017:L1021)</f>
        <v>43775.32081</v>
      </c>
      <c r="N1017" s="15" t="b">
        <f t="shared" si="1"/>
        <v>0</v>
      </c>
    </row>
    <row r="1018" hidden="1">
      <c r="A1018" s="7" t="s">
        <v>210</v>
      </c>
      <c r="B1018" s="7" t="s">
        <v>17</v>
      </c>
      <c r="C1018" s="7">
        <v>0.75</v>
      </c>
      <c r="D1018" s="7">
        <v>1.0</v>
      </c>
      <c r="E1018" s="7">
        <v>4.0</v>
      </c>
      <c r="F1018" s="7">
        <v>138.609330654144</v>
      </c>
      <c r="G1018" s="7">
        <v>192.156899690628</v>
      </c>
      <c r="H1018" s="7">
        <v>1.0</v>
      </c>
      <c r="I1018" s="15">
        <v>0.788093714470415</v>
      </c>
      <c r="J1018" s="15">
        <v>0.142713139862651</v>
      </c>
      <c r="K1018" s="12">
        <f>AVERAGE(I1017:I1021)</f>
        <v>0.5789741282</v>
      </c>
      <c r="L1018" s="18">
        <v>1869.0</v>
      </c>
      <c r="M1018" s="14">
        <f>STDEV(L1017:L1021)</f>
        <v>43775.32081</v>
      </c>
      <c r="N1018" s="15" t="b">
        <f t="shared" si="1"/>
        <v>0</v>
      </c>
    </row>
    <row r="1019" hidden="1">
      <c r="A1019" s="7" t="s">
        <v>210</v>
      </c>
      <c r="B1019" s="7" t="s">
        <v>17</v>
      </c>
      <c r="C1019" s="7">
        <v>0.75</v>
      </c>
      <c r="D1019" s="7">
        <v>1.0</v>
      </c>
      <c r="E1019" s="7">
        <v>4.0</v>
      </c>
      <c r="F1019" s="7">
        <v>138.609330654144</v>
      </c>
      <c r="G1019" s="7">
        <v>192.156899690628</v>
      </c>
      <c r="H1019" s="7">
        <v>2.0</v>
      </c>
      <c r="I1019" s="15">
        <v>0.823499793484874</v>
      </c>
      <c r="J1019" s="15">
        <v>0.104499909682869</v>
      </c>
      <c r="K1019" s="12">
        <f>AVERAGE(I1017:I1021)</f>
        <v>0.5789741282</v>
      </c>
      <c r="L1019" s="18">
        <v>5427.0</v>
      </c>
      <c r="M1019" s="14">
        <f>STDEV(L1017:L1021)</f>
        <v>43775.32081</v>
      </c>
      <c r="N1019" s="15" t="b">
        <f t="shared" si="1"/>
        <v>0</v>
      </c>
    </row>
    <row r="1020" hidden="1">
      <c r="A1020" s="7" t="s">
        <v>210</v>
      </c>
      <c r="B1020" s="7" t="s">
        <v>17</v>
      </c>
      <c r="C1020" s="7">
        <v>0.75</v>
      </c>
      <c r="D1020" s="7">
        <v>1.0</v>
      </c>
      <c r="E1020" s="7">
        <v>4.0</v>
      </c>
      <c r="F1020" s="7">
        <v>138.609330654144</v>
      </c>
      <c r="G1020" s="7">
        <v>192.156899690628</v>
      </c>
      <c r="H1020" s="7">
        <v>3.0</v>
      </c>
      <c r="I1020" s="15">
        <v>0.819015217119129</v>
      </c>
      <c r="J1020" s="15">
        <v>0.100121231883733</v>
      </c>
      <c r="K1020" s="12">
        <f>AVERAGE(I1017:I1021)</f>
        <v>0.5789741282</v>
      </c>
      <c r="L1020" s="18">
        <v>11724.0</v>
      </c>
      <c r="M1020" s="14">
        <f>STDEV(L1017:L1021)</f>
        <v>43775.32081</v>
      </c>
      <c r="N1020" s="15" t="b">
        <f t="shared" si="1"/>
        <v>0</v>
      </c>
    </row>
    <row r="1021" hidden="1">
      <c r="A1021" s="7" t="s">
        <v>210</v>
      </c>
      <c r="B1021" s="7" t="s">
        <v>17</v>
      </c>
      <c r="C1021" s="7">
        <v>0.75</v>
      </c>
      <c r="D1021" s="7">
        <v>1.0</v>
      </c>
      <c r="E1021" s="7">
        <v>4.0</v>
      </c>
      <c r="F1021" s="7">
        <v>138.609330654144</v>
      </c>
      <c r="G1021" s="7">
        <v>192.156899690628</v>
      </c>
      <c r="H1021" s="7">
        <v>4.0</v>
      </c>
      <c r="I1021" s="15">
        <v>-0.0105625038265696</v>
      </c>
      <c r="J1021" s="15">
        <v>0.203828806873998</v>
      </c>
      <c r="K1021" s="12">
        <f>AVERAGE(I1017:I1021)</f>
        <v>0.5789741282</v>
      </c>
      <c r="L1021" s="18">
        <v>105976.0</v>
      </c>
      <c r="M1021" s="14">
        <f>STDEV(L1017:L1021)</f>
        <v>43775.32081</v>
      </c>
      <c r="N1021" s="15" t="b">
        <f t="shared" si="1"/>
        <v>0</v>
      </c>
    </row>
    <row r="1022" hidden="1">
      <c r="A1022" s="7" t="s">
        <v>211</v>
      </c>
      <c r="B1022" s="7" t="s">
        <v>17</v>
      </c>
      <c r="C1022" s="7">
        <v>0.75</v>
      </c>
      <c r="D1022" s="7">
        <v>1.0</v>
      </c>
      <c r="E1022" s="7">
        <v>5.0</v>
      </c>
      <c r="F1022" s="7">
        <v>182.748615980148</v>
      </c>
      <c r="G1022" s="7">
        <v>261.267032623291</v>
      </c>
      <c r="H1022" s="7">
        <v>0.0</v>
      </c>
      <c r="I1022" s="15">
        <v>0.787559389844343</v>
      </c>
      <c r="J1022" s="15">
        <v>0.134039598765439</v>
      </c>
      <c r="K1022" s="12">
        <f>AVERAGE(I1022:I1026)</f>
        <v>0.4376014809</v>
      </c>
      <c r="L1022" s="18">
        <v>11985.0</v>
      </c>
      <c r="M1022" s="14">
        <f>STDEV(L1022:L1026)</f>
        <v>31292.70832</v>
      </c>
      <c r="N1022" s="15" t="b">
        <f t="shared" si="1"/>
        <v>0</v>
      </c>
    </row>
    <row r="1023" hidden="1">
      <c r="A1023" s="7" t="s">
        <v>211</v>
      </c>
      <c r="B1023" s="7" t="s">
        <v>17</v>
      </c>
      <c r="C1023" s="7">
        <v>0.75</v>
      </c>
      <c r="D1023" s="7">
        <v>1.0</v>
      </c>
      <c r="E1023" s="7">
        <v>5.0</v>
      </c>
      <c r="F1023" s="7">
        <v>182.748615980148</v>
      </c>
      <c r="G1023" s="7">
        <v>261.267032623291</v>
      </c>
      <c r="H1023" s="7">
        <v>1.0</v>
      </c>
      <c r="I1023" s="15">
        <v>-0.0933049211892281</v>
      </c>
      <c r="J1023" s="15">
        <v>0.247767249219433</v>
      </c>
      <c r="K1023" s="12">
        <f>AVERAGE(I1022:I1026)</f>
        <v>0.4376014809</v>
      </c>
      <c r="L1023" s="18">
        <v>83523.0</v>
      </c>
      <c r="M1023" s="14">
        <f>STDEV(L1022:L1026)</f>
        <v>31292.70832</v>
      </c>
      <c r="N1023" s="15" t="b">
        <f t="shared" si="1"/>
        <v>0</v>
      </c>
    </row>
    <row r="1024" hidden="1">
      <c r="A1024" s="7" t="s">
        <v>211</v>
      </c>
      <c r="B1024" s="7" t="s">
        <v>17</v>
      </c>
      <c r="C1024" s="7">
        <v>0.75</v>
      </c>
      <c r="D1024" s="7">
        <v>1.0</v>
      </c>
      <c r="E1024" s="7">
        <v>5.0</v>
      </c>
      <c r="F1024" s="7">
        <v>182.748615980148</v>
      </c>
      <c r="G1024" s="7">
        <v>261.267032623291</v>
      </c>
      <c r="H1024" s="7">
        <v>2.0</v>
      </c>
      <c r="I1024" s="15">
        <v>0.426290820142886</v>
      </c>
      <c r="J1024" s="15">
        <v>0.115430655581671</v>
      </c>
      <c r="K1024" s="12">
        <f>AVERAGE(I1022:I1026)</f>
        <v>0.4376014809</v>
      </c>
      <c r="L1024" s="18">
        <v>17136.0</v>
      </c>
      <c r="M1024" s="14">
        <f>STDEV(L1022:L1026)</f>
        <v>31292.70832</v>
      </c>
      <c r="N1024" s="15" t="b">
        <f t="shared" si="1"/>
        <v>0</v>
      </c>
    </row>
    <row r="1025" hidden="1">
      <c r="A1025" s="7" t="s">
        <v>211</v>
      </c>
      <c r="B1025" s="7" t="s">
        <v>17</v>
      </c>
      <c r="C1025" s="7">
        <v>0.75</v>
      </c>
      <c r="D1025" s="7">
        <v>1.0</v>
      </c>
      <c r="E1025" s="7">
        <v>5.0</v>
      </c>
      <c r="F1025" s="7">
        <v>182.748615980148</v>
      </c>
      <c r="G1025" s="7">
        <v>261.267032623291</v>
      </c>
      <c r="H1025" s="7">
        <v>3.0</v>
      </c>
      <c r="I1025" s="15">
        <v>0.322767088092171</v>
      </c>
      <c r="J1025" s="15">
        <v>0.121784384889202</v>
      </c>
      <c r="K1025" s="12">
        <f>AVERAGE(I1022:I1026)</f>
        <v>0.4376014809</v>
      </c>
      <c r="L1025" s="18">
        <v>21464.0</v>
      </c>
      <c r="M1025" s="14">
        <f>STDEV(L1022:L1026)</f>
        <v>31292.70832</v>
      </c>
      <c r="N1025" s="15" t="b">
        <f t="shared" si="1"/>
        <v>0</v>
      </c>
    </row>
    <row r="1026" hidden="1">
      <c r="A1026" s="7" t="s">
        <v>211</v>
      </c>
      <c r="B1026" s="7" t="s">
        <v>17</v>
      </c>
      <c r="C1026" s="7">
        <v>0.75</v>
      </c>
      <c r="D1026" s="7">
        <v>1.0</v>
      </c>
      <c r="E1026" s="7">
        <v>5.0</v>
      </c>
      <c r="F1026" s="7">
        <v>182.748615980148</v>
      </c>
      <c r="G1026" s="7">
        <v>261.267032623291</v>
      </c>
      <c r="H1026" s="7">
        <v>4.0</v>
      </c>
      <c r="I1026" s="15">
        <v>0.744695027555239</v>
      </c>
      <c r="J1026" s="15">
        <v>0.159368703640847</v>
      </c>
      <c r="K1026" s="12">
        <f>AVERAGE(I1022:I1026)</f>
        <v>0.4376014809</v>
      </c>
      <c r="L1026" s="18">
        <v>7568.0</v>
      </c>
      <c r="M1026" s="14">
        <f>STDEV(L1022:L1026)</f>
        <v>31292.70832</v>
      </c>
      <c r="N1026" s="15" t="b">
        <f t="shared" si="1"/>
        <v>0</v>
      </c>
    </row>
    <row r="1027" hidden="1">
      <c r="A1027" s="7" t="s">
        <v>212</v>
      </c>
      <c r="B1027" s="7" t="s">
        <v>17</v>
      </c>
      <c r="C1027" s="7">
        <v>0.75</v>
      </c>
      <c r="D1027" s="7">
        <v>1.0</v>
      </c>
      <c r="E1027" s="7">
        <v>6.0</v>
      </c>
      <c r="F1027" s="7">
        <v>162.045854091644</v>
      </c>
      <c r="G1027" s="7">
        <v>238.553506374359</v>
      </c>
      <c r="H1027" s="7">
        <v>0.0</v>
      </c>
      <c r="I1027" s="15">
        <v>0.204123674268815</v>
      </c>
      <c r="J1027" s="15">
        <v>0.0956965195962691</v>
      </c>
      <c r="K1027" s="12">
        <f>AVERAGE(I1027:I1031)</f>
        <v>0.4579661433</v>
      </c>
      <c r="L1027" s="18">
        <v>4882.0</v>
      </c>
      <c r="M1027" s="14">
        <f>STDEV(L1027:L1031)</f>
        <v>43306.05419</v>
      </c>
      <c r="N1027" s="15" t="b">
        <f t="shared" si="1"/>
        <v>0</v>
      </c>
    </row>
    <row r="1028" hidden="1">
      <c r="A1028" s="7" t="s">
        <v>212</v>
      </c>
      <c r="B1028" s="7" t="s">
        <v>17</v>
      </c>
      <c r="C1028" s="7">
        <v>0.75</v>
      </c>
      <c r="D1028" s="7">
        <v>1.0</v>
      </c>
      <c r="E1028" s="7">
        <v>6.0</v>
      </c>
      <c r="F1028" s="7">
        <v>162.045854091644</v>
      </c>
      <c r="G1028" s="7">
        <v>238.553506374359</v>
      </c>
      <c r="H1028" s="7">
        <v>1.0</v>
      </c>
      <c r="I1028" s="15">
        <v>0.322585484767859</v>
      </c>
      <c r="J1028" s="15">
        <v>0.126646331295106</v>
      </c>
      <c r="K1028" s="12">
        <f>AVERAGE(I1027:I1031)</f>
        <v>0.4579661433</v>
      </c>
      <c r="L1028" s="18">
        <v>22940.0</v>
      </c>
      <c r="M1028" s="14">
        <f>STDEV(L1027:L1031)</f>
        <v>43306.05419</v>
      </c>
      <c r="N1028" s="15" t="b">
        <f t="shared" si="1"/>
        <v>0</v>
      </c>
    </row>
    <row r="1029" hidden="1">
      <c r="A1029" s="7" t="s">
        <v>212</v>
      </c>
      <c r="B1029" s="7" t="s">
        <v>17</v>
      </c>
      <c r="C1029" s="7">
        <v>0.75</v>
      </c>
      <c r="D1029" s="7">
        <v>1.0</v>
      </c>
      <c r="E1029" s="7">
        <v>6.0</v>
      </c>
      <c r="F1029" s="7">
        <v>162.045854091644</v>
      </c>
      <c r="G1029" s="7">
        <v>238.553506374359</v>
      </c>
      <c r="H1029" s="7">
        <v>2.0</v>
      </c>
      <c r="I1029" s="15">
        <v>0.0413755788623874</v>
      </c>
      <c r="J1029" s="15">
        <v>0.116426374330031</v>
      </c>
      <c r="K1029" s="12">
        <f>AVERAGE(I1027:I1031)</f>
        <v>0.4579661433</v>
      </c>
      <c r="L1029" s="18">
        <v>104434.0</v>
      </c>
      <c r="M1029" s="14">
        <f>STDEV(L1027:L1031)</f>
        <v>43306.05419</v>
      </c>
      <c r="N1029" s="15" t="b">
        <f t="shared" si="1"/>
        <v>0</v>
      </c>
    </row>
    <row r="1030" hidden="1">
      <c r="A1030" s="7" t="s">
        <v>212</v>
      </c>
      <c r="B1030" s="7" t="s">
        <v>17</v>
      </c>
      <c r="C1030" s="7">
        <v>0.75</v>
      </c>
      <c r="D1030" s="7">
        <v>1.0</v>
      </c>
      <c r="E1030" s="7">
        <v>6.0</v>
      </c>
      <c r="F1030" s="7">
        <v>162.045854091644</v>
      </c>
      <c r="G1030" s="7">
        <v>238.553506374359</v>
      </c>
      <c r="H1030" s="7">
        <v>3.0</v>
      </c>
      <c r="I1030" s="15">
        <v>0.896679980033269</v>
      </c>
      <c r="J1030" s="15">
        <v>0.124823359809053</v>
      </c>
      <c r="K1030" s="12">
        <f>AVERAGE(I1027:I1031)</f>
        <v>0.4579661433</v>
      </c>
      <c r="L1030" s="18">
        <v>1956.0</v>
      </c>
      <c r="M1030" s="14">
        <f>STDEV(L1027:L1031)</f>
        <v>43306.05419</v>
      </c>
      <c r="N1030" s="15" t="b">
        <f t="shared" si="1"/>
        <v>0</v>
      </c>
    </row>
    <row r="1031" hidden="1">
      <c r="A1031" s="7" t="s">
        <v>212</v>
      </c>
      <c r="B1031" s="7" t="s">
        <v>17</v>
      </c>
      <c r="C1031" s="7">
        <v>0.75</v>
      </c>
      <c r="D1031" s="7">
        <v>1.0</v>
      </c>
      <c r="E1031" s="7">
        <v>6.0</v>
      </c>
      <c r="F1031" s="7">
        <v>162.045854091644</v>
      </c>
      <c r="G1031" s="7">
        <v>238.553506374359</v>
      </c>
      <c r="H1031" s="7">
        <v>4.0</v>
      </c>
      <c r="I1031" s="15">
        <v>0.825065998733571</v>
      </c>
      <c r="J1031" s="15">
        <v>0.110699579735198</v>
      </c>
      <c r="K1031" s="12">
        <f>AVERAGE(I1027:I1031)</f>
        <v>0.4579661433</v>
      </c>
      <c r="L1031" s="18">
        <v>7464.0</v>
      </c>
      <c r="M1031" s="14">
        <f>STDEV(L1027:L1031)</f>
        <v>43306.05419</v>
      </c>
      <c r="N1031" s="15" t="b">
        <f t="shared" si="1"/>
        <v>0</v>
      </c>
    </row>
    <row r="1032" hidden="1">
      <c r="A1032" s="7" t="s">
        <v>213</v>
      </c>
      <c r="B1032" s="7" t="s">
        <v>17</v>
      </c>
      <c r="C1032" s="7">
        <v>0.75</v>
      </c>
      <c r="D1032" s="7">
        <v>1.0</v>
      </c>
      <c r="E1032" s="7">
        <v>7.0</v>
      </c>
      <c r="F1032" s="7">
        <v>124.652461767196</v>
      </c>
      <c r="G1032" s="7">
        <v>184.311017513275</v>
      </c>
      <c r="H1032" s="7">
        <v>0.0</v>
      </c>
      <c r="I1032" s="15">
        <v>0.0484747532152473</v>
      </c>
      <c r="J1032" s="15">
        <v>0.140515615526842</v>
      </c>
      <c r="K1032" s="12">
        <f>AVERAGE(I1032:I1036)</f>
        <v>0.6483124993</v>
      </c>
      <c r="L1032" s="18">
        <v>125019.0</v>
      </c>
      <c r="M1032" s="14">
        <f>STDEV(L1032:L1036)</f>
        <v>54095.69936</v>
      </c>
      <c r="N1032" s="15" t="b">
        <f t="shared" si="1"/>
        <v>0</v>
      </c>
    </row>
    <row r="1033" hidden="1">
      <c r="A1033" s="7" t="s">
        <v>213</v>
      </c>
      <c r="B1033" s="7" t="s">
        <v>17</v>
      </c>
      <c r="C1033" s="7">
        <v>0.75</v>
      </c>
      <c r="D1033" s="7">
        <v>1.0</v>
      </c>
      <c r="E1033" s="7">
        <v>7.0</v>
      </c>
      <c r="F1033" s="7">
        <v>124.652461767196</v>
      </c>
      <c r="G1033" s="7">
        <v>184.311017513275</v>
      </c>
      <c r="H1033" s="7">
        <v>1.0</v>
      </c>
      <c r="I1033" s="15">
        <v>0.824656616579898</v>
      </c>
      <c r="J1033" s="15">
        <v>0.118914056956786</v>
      </c>
      <c r="K1033" s="12">
        <f>AVERAGE(I1032:I1036)</f>
        <v>0.6483124993</v>
      </c>
      <c r="L1033" s="18">
        <v>5111.0</v>
      </c>
      <c r="M1033" s="14">
        <f>STDEV(L1032:L1036)</f>
        <v>54095.69936</v>
      </c>
      <c r="N1033" s="15" t="b">
        <f t="shared" si="1"/>
        <v>0</v>
      </c>
    </row>
    <row r="1034" hidden="1">
      <c r="A1034" s="7" t="s">
        <v>213</v>
      </c>
      <c r="B1034" s="7" t="s">
        <v>17</v>
      </c>
      <c r="C1034" s="7">
        <v>0.75</v>
      </c>
      <c r="D1034" s="7">
        <v>1.0</v>
      </c>
      <c r="E1034" s="7">
        <v>7.0</v>
      </c>
      <c r="F1034" s="7">
        <v>124.652461767196</v>
      </c>
      <c r="G1034" s="7">
        <v>184.311017513275</v>
      </c>
      <c r="H1034" s="7">
        <v>2.0</v>
      </c>
      <c r="I1034" s="15">
        <v>0.788836855334201</v>
      </c>
      <c r="J1034" s="15">
        <v>0.140769772883469</v>
      </c>
      <c r="K1034" s="12">
        <f>AVERAGE(I1032:I1036)</f>
        <v>0.6483124993</v>
      </c>
      <c r="L1034" s="18">
        <v>1869.0</v>
      </c>
      <c r="M1034" s="14">
        <f>STDEV(L1032:L1036)</f>
        <v>54095.69936</v>
      </c>
      <c r="N1034" s="15" t="b">
        <f t="shared" si="1"/>
        <v>0</v>
      </c>
    </row>
    <row r="1035" hidden="1">
      <c r="A1035" s="7" t="s">
        <v>213</v>
      </c>
      <c r="B1035" s="7" t="s">
        <v>17</v>
      </c>
      <c r="C1035" s="7">
        <v>0.75</v>
      </c>
      <c r="D1035" s="7">
        <v>1.0</v>
      </c>
      <c r="E1035" s="7">
        <v>7.0</v>
      </c>
      <c r="F1035" s="7">
        <v>124.652461767196</v>
      </c>
      <c r="G1035" s="7">
        <v>184.311017513275</v>
      </c>
      <c r="H1035" s="7">
        <v>3.0</v>
      </c>
      <c r="I1035" s="15">
        <v>0.750998631046934</v>
      </c>
      <c r="J1035" s="15">
        <v>0.160292529717826</v>
      </c>
      <c r="K1035" s="12">
        <f>AVERAGE(I1032:I1036)</f>
        <v>0.6483124993</v>
      </c>
      <c r="L1035" s="18">
        <v>2230.0</v>
      </c>
      <c r="M1035" s="14">
        <f>STDEV(L1032:L1036)</f>
        <v>54095.69936</v>
      </c>
      <c r="N1035" s="15" t="b">
        <f t="shared" si="1"/>
        <v>0</v>
      </c>
    </row>
    <row r="1036" hidden="1">
      <c r="A1036" s="7" t="s">
        <v>213</v>
      </c>
      <c r="B1036" s="7" t="s">
        <v>17</v>
      </c>
      <c r="C1036" s="7">
        <v>0.75</v>
      </c>
      <c r="D1036" s="7">
        <v>1.0</v>
      </c>
      <c r="E1036" s="7">
        <v>7.0</v>
      </c>
      <c r="F1036" s="7">
        <v>124.652461767196</v>
      </c>
      <c r="G1036" s="7">
        <v>184.311017513275</v>
      </c>
      <c r="H1036" s="7">
        <v>4.0</v>
      </c>
      <c r="I1036" s="15">
        <v>0.82859564007547</v>
      </c>
      <c r="J1036" s="15">
        <v>0.100920779747827</v>
      </c>
      <c r="K1036" s="12">
        <f>AVERAGE(I1032:I1036)</f>
        <v>0.6483124993</v>
      </c>
      <c r="L1036" s="18">
        <v>7447.0</v>
      </c>
      <c r="M1036" s="14">
        <f>STDEV(L1032:L1036)</f>
        <v>54095.69936</v>
      </c>
      <c r="N1036" s="15" t="b">
        <f t="shared" si="1"/>
        <v>0</v>
      </c>
    </row>
    <row r="1037" hidden="1">
      <c r="A1037" s="7" t="s">
        <v>214</v>
      </c>
      <c r="B1037" s="24" t="s">
        <v>17</v>
      </c>
      <c r="C1037" s="24">
        <v>0.75</v>
      </c>
      <c r="D1037" s="24">
        <v>1.0</v>
      </c>
      <c r="E1037" s="24">
        <v>8.0</v>
      </c>
      <c r="F1037" s="7">
        <v>118.613084554672</v>
      </c>
      <c r="G1037" s="7">
        <v>192.593798875808</v>
      </c>
      <c r="H1037" s="7">
        <v>0.0</v>
      </c>
      <c r="I1037" s="15">
        <v>0.0316837375471449</v>
      </c>
      <c r="J1037" s="15">
        <v>0.168239599531591</v>
      </c>
      <c r="K1037" s="12">
        <f>AVERAGE(I1037:I1041)</f>
        <v>0.6205583449</v>
      </c>
      <c r="L1037" s="18">
        <v>112045.0</v>
      </c>
      <c r="M1037" s="14">
        <f>STDEV(L1037:L1041)</f>
        <v>47275.01135</v>
      </c>
      <c r="N1037" s="15" t="b">
        <f t="shared" si="1"/>
        <v>0</v>
      </c>
    </row>
    <row r="1038" hidden="1">
      <c r="A1038" s="7" t="s">
        <v>214</v>
      </c>
      <c r="B1038" s="24" t="s">
        <v>17</v>
      </c>
      <c r="C1038" s="24">
        <v>0.75</v>
      </c>
      <c r="D1038" s="24">
        <v>1.0</v>
      </c>
      <c r="E1038" s="24">
        <v>8.0</v>
      </c>
      <c r="F1038" s="7">
        <v>118.613084554672</v>
      </c>
      <c r="G1038" s="7">
        <v>192.593798875808</v>
      </c>
      <c r="H1038" s="7">
        <v>1.0</v>
      </c>
      <c r="I1038" s="15">
        <v>0.846568677746036</v>
      </c>
      <c r="J1038" s="15">
        <v>0.105033582104667</v>
      </c>
      <c r="K1038" s="12">
        <f>AVERAGE(I1037:I1041)</f>
        <v>0.6205583449</v>
      </c>
      <c r="L1038" s="18">
        <v>3754.0</v>
      </c>
      <c r="M1038" s="14">
        <f>STDEV(L1037:L1041)</f>
        <v>47275.01135</v>
      </c>
      <c r="N1038" s="15" t="b">
        <f t="shared" si="1"/>
        <v>0</v>
      </c>
    </row>
    <row r="1039" hidden="1">
      <c r="A1039" s="7" t="s">
        <v>214</v>
      </c>
      <c r="B1039" s="24" t="s">
        <v>17</v>
      </c>
      <c r="C1039" s="24">
        <v>0.75</v>
      </c>
      <c r="D1039" s="24">
        <v>1.0</v>
      </c>
      <c r="E1039" s="24">
        <v>8.0</v>
      </c>
      <c r="F1039" s="7">
        <v>118.613084554672</v>
      </c>
      <c r="G1039" s="7">
        <v>192.593798875808</v>
      </c>
      <c r="H1039" s="7">
        <v>2.0</v>
      </c>
      <c r="I1039" s="15">
        <v>0.924738396128566</v>
      </c>
      <c r="J1039" s="15">
        <v>0.0269764641970999</v>
      </c>
      <c r="K1039" s="12">
        <f>AVERAGE(I1037:I1041)</f>
        <v>0.6205583449</v>
      </c>
      <c r="L1039" s="18">
        <v>1634.0</v>
      </c>
      <c r="M1039" s="14">
        <f>STDEV(L1037:L1041)</f>
        <v>47275.01135</v>
      </c>
      <c r="N1039" s="15" t="b">
        <f t="shared" si="1"/>
        <v>0</v>
      </c>
    </row>
    <row r="1040" hidden="1">
      <c r="A1040" s="7" t="s">
        <v>214</v>
      </c>
      <c r="B1040" s="24" t="s">
        <v>17</v>
      </c>
      <c r="C1040" s="24">
        <v>0.75</v>
      </c>
      <c r="D1040" s="24">
        <v>1.0</v>
      </c>
      <c r="E1040" s="24">
        <v>8.0</v>
      </c>
      <c r="F1040" s="7">
        <v>118.613084554672</v>
      </c>
      <c r="G1040" s="7">
        <v>192.593798875808</v>
      </c>
      <c r="H1040" s="7">
        <v>3.0</v>
      </c>
      <c r="I1040" s="15">
        <v>0.823200479605168</v>
      </c>
      <c r="J1040" s="15">
        <v>0.105030453792875</v>
      </c>
      <c r="K1040" s="12">
        <f>AVERAGE(I1037:I1041)</f>
        <v>0.6205583449</v>
      </c>
      <c r="L1040" s="18">
        <v>5435.0</v>
      </c>
      <c r="M1040" s="14">
        <f>STDEV(L1037:L1041)</f>
        <v>47275.01135</v>
      </c>
      <c r="N1040" s="15" t="b">
        <f t="shared" si="1"/>
        <v>0</v>
      </c>
    </row>
    <row r="1041" hidden="1">
      <c r="A1041" s="7" t="s">
        <v>214</v>
      </c>
      <c r="B1041" s="24" t="s">
        <v>17</v>
      </c>
      <c r="C1041" s="24">
        <v>0.75</v>
      </c>
      <c r="D1041" s="24">
        <v>1.0</v>
      </c>
      <c r="E1041" s="24">
        <v>8.0</v>
      </c>
      <c r="F1041" s="7">
        <v>118.613084554672</v>
      </c>
      <c r="G1041" s="7">
        <v>192.593798875808</v>
      </c>
      <c r="H1041" s="7">
        <v>4.0</v>
      </c>
      <c r="I1041" s="15">
        <v>0.476600433513201</v>
      </c>
      <c r="J1041" s="15">
        <v>0.151261110735676</v>
      </c>
      <c r="K1041" s="12">
        <f>AVERAGE(I1037:I1041)</f>
        <v>0.6205583449</v>
      </c>
      <c r="L1041" s="18">
        <v>18808.0</v>
      </c>
      <c r="M1041" s="14">
        <f>STDEV(L1037:L1041)</f>
        <v>47275.01135</v>
      </c>
      <c r="N1041" s="15" t="b">
        <f t="shared" si="1"/>
        <v>0</v>
      </c>
    </row>
    <row r="1042" hidden="1">
      <c r="A1042" s="7" t="s">
        <v>215</v>
      </c>
      <c r="B1042" s="7" t="s">
        <v>17</v>
      </c>
      <c r="C1042" s="7">
        <v>0.75</v>
      </c>
      <c r="D1042" s="7">
        <v>1.0</v>
      </c>
      <c r="E1042" s="7">
        <v>9.0</v>
      </c>
      <c r="F1042" s="7">
        <v>99.2266225814819</v>
      </c>
      <c r="G1042" s="7">
        <v>169.782907485961</v>
      </c>
      <c r="H1042" s="7">
        <v>0.0</v>
      </c>
      <c r="I1042" s="15">
        <v>0.77164200447521</v>
      </c>
      <c r="J1042" s="15">
        <v>0.143631533466699</v>
      </c>
      <c r="K1042" s="12">
        <f>AVERAGE(I1042:I1046)</f>
        <v>0.515811159</v>
      </c>
      <c r="L1042" s="18">
        <v>5268.0</v>
      </c>
      <c r="M1042" s="14">
        <f>STDEV(L1042:L1046)</f>
        <v>33348.16674</v>
      </c>
      <c r="N1042" s="15" t="b">
        <f t="shared" si="1"/>
        <v>0</v>
      </c>
    </row>
    <row r="1043" hidden="1">
      <c r="A1043" s="7" t="s">
        <v>215</v>
      </c>
      <c r="B1043" s="7" t="s">
        <v>17</v>
      </c>
      <c r="C1043" s="7">
        <v>0.75</v>
      </c>
      <c r="D1043" s="7">
        <v>1.0</v>
      </c>
      <c r="E1043" s="7">
        <v>9.0</v>
      </c>
      <c r="F1043" s="7">
        <v>99.2266225814819</v>
      </c>
      <c r="G1043" s="7">
        <v>169.782907485961</v>
      </c>
      <c r="H1043" s="7">
        <v>1.0</v>
      </c>
      <c r="I1043" s="15">
        <v>0.785934961291928</v>
      </c>
      <c r="J1043" s="15">
        <v>0.131681846302186</v>
      </c>
      <c r="K1043" s="12">
        <f>AVERAGE(I1042:I1046)</f>
        <v>0.515811159</v>
      </c>
      <c r="L1043" s="18">
        <v>12030.0</v>
      </c>
      <c r="M1043" s="14">
        <f>STDEV(L1042:L1046)</f>
        <v>33348.16674</v>
      </c>
      <c r="N1043" s="15" t="b">
        <f t="shared" si="1"/>
        <v>0</v>
      </c>
    </row>
    <row r="1044" hidden="1">
      <c r="A1044" s="7" t="s">
        <v>215</v>
      </c>
      <c r="B1044" s="7" t="s">
        <v>17</v>
      </c>
      <c r="C1044" s="7">
        <v>0.75</v>
      </c>
      <c r="D1044" s="7">
        <v>1.0</v>
      </c>
      <c r="E1044" s="7">
        <v>9.0</v>
      </c>
      <c r="F1044" s="7">
        <v>99.2266225814819</v>
      </c>
      <c r="G1044" s="7">
        <v>169.782907485961</v>
      </c>
      <c r="H1044" s="7">
        <v>2.0</v>
      </c>
      <c r="I1044" s="15">
        <v>0.132292578536889</v>
      </c>
      <c r="J1044" s="15">
        <v>0.056186973668089</v>
      </c>
      <c r="K1044" s="12">
        <f>AVERAGE(I1042:I1046)</f>
        <v>0.515811159</v>
      </c>
      <c r="L1044" s="18">
        <v>45024.0</v>
      </c>
      <c r="M1044" s="14">
        <f>STDEV(L1042:L1046)</f>
        <v>33348.16674</v>
      </c>
      <c r="N1044" s="15" t="b">
        <f t="shared" si="1"/>
        <v>0</v>
      </c>
    </row>
    <row r="1045" hidden="1">
      <c r="A1045" s="7" t="s">
        <v>215</v>
      </c>
      <c r="B1045" s="7" t="s">
        <v>17</v>
      </c>
      <c r="C1045" s="7">
        <v>0.75</v>
      </c>
      <c r="D1045" s="7">
        <v>1.0</v>
      </c>
      <c r="E1045" s="7">
        <v>9.0</v>
      </c>
      <c r="F1045" s="7">
        <v>99.2266225814819</v>
      </c>
      <c r="G1045" s="7">
        <v>169.782907485961</v>
      </c>
      <c r="H1045" s="7">
        <v>3.0</v>
      </c>
      <c r="I1045" s="15">
        <v>-0.0125305461799057</v>
      </c>
      <c r="J1045" s="15">
        <v>0.191891301450996</v>
      </c>
      <c r="K1045" s="12">
        <f>AVERAGE(I1042:I1046)</f>
        <v>0.515811159</v>
      </c>
      <c r="L1045" s="18">
        <v>79140.0</v>
      </c>
      <c r="M1045" s="14">
        <f>STDEV(L1042:L1046)</f>
        <v>33348.16674</v>
      </c>
      <c r="N1045" s="15" t="b">
        <f t="shared" si="1"/>
        <v>0</v>
      </c>
    </row>
    <row r="1046" hidden="1">
      <c r="A1046" s="7" t="s">
        <v>215</v>
      </c>
      <c r="B1046" s="7" t="s">
        <v>17</v>
      </c>
      <c r="C1046" s="7">
        <v>0.75</v>
      </c>
      <c r="D1046" s="7">
        <v>1.0</v>
      </c>
      <c r="E1046" s="7">
        <v>9.0</v>
      </c>
      <c r="F1046" s="7">
        <v>99.2266225814819</v>
      </c>
      <c r="G1046" s="7">
        <v>169.782907485961</v>
      </c>
      <c r="H1046" s="7">
        <v>4.0</v>
      </c>
      <c r="I1046" s="15">
        <v>0.901716796777659</v>
      </c>
      <c r="J1046" s="15">
        <v>0.0232064193142593</v>
      </c>
      <c r="K1046" s="12">
        <f>AVERAGE(I1042:I1046)</f>
        <v>0.515811159</v>
      </c>
      <c r="L1046" s="18">
        <v>214.0</v>
      </c>
      <c r="M1046" s="14">
        <f>STDEV(L1042:L1046)</f>
        <v>33348.16674</v>
      </c>
      <c r="N1046" s="15" t="b">
        <f t="shared" si="1"/>
        <v>0</v>
      </c>
    </row>
    <row r="1047" hidden="1">
      <c r="A1047" s="7" t="s">
        <v>216</v>
      </c>
      <c r="B1047" s="7" t="s">
        <v>17</v>
      </c>
      <c r="C1047" s="7">
        <v>0.75</v>
      </c>
      <c r="D1047" s="7">
        <v>1.0</v>
      </c>
      <c r="E1047" s="7">
        <v>10.0</v>
      </c>
      <c r="F1047" s="7">
        <v>105.745595455169</v>
      </c>
      <c r="G1047" s="7">
        <v>179.219873666763</v>
      </c>
      <c r="H1047" s="7">
        <v>0.0</v>
      </c>
      <c r="I1047" s="15">
        <v>0.802414140902619</v>
      </c>
      <c r="J1047" s="15">
        <v>0.130867135314295</v>
      </c>
      <c r="K1047" s="12">
        <f>AVERAGE(I1047:I1051)</f>
        <v>0.6174819107</v>
      </c>
      <c r="L1047" s="18">
        <v>3806.0</v>
      </c>
      <c r="M1047" s="14">
        <f>STDEV(L1047:L1051)</f>
        <v>47429.77895</v>
      </c>
      <c r="N1047" s="15" t="b">
        <f t="shared" si="1"/>
        <v>0</v>
      </c>
    </row>
    <row r="1048" hidden="1">
      <c r="A1048" s="7" t="s">
        <v>216</v>
      </c>
      <c r="B1048" s="7" t="s">
        <v>17</v>
      </c>
      <c r="C1048" s="7">
        <v>0.75</v>
      </c>
      <c r="D1048" s="7">
        <v>1.0</v>
      </c>
      <c r="E1048" s="7">
        <v>10.0</v>
      </c>
      <c r="F1048" s="7">
        <v>105.745595455169</v>
      </c>
      <c r="G1048" s="7">
        <v>179.219873666763</v>
      </c>
      <c r="H1048" s="7">
        <v>1.0</v>
      </c>
      <c r="I1048" s="15">
        <v>0.773201577402613</v>
      </c>
      <c r="J1048" s="15">
        <v>0.14258515379852</v>
      </c>
      <c r="K1048" s="12">
        <f>AVERAGE(I1047:I1051)</f>
        <v>0.6174819107</v>
      </c>
      <c r="L1048" s="18">
        <v>5261.0</v>
      </c>
      <c r="M1048" s="14">
        <f>STDEV(L1047:L1051)</f>
        <v>47429.77895</v>
      </c>
      <c r="N1048" s="15" t="b">
        <f t="shared" si="1"/>
        <v>0</v>
      </c>
    </row>
    <row r="1049" hidden="1">
      <c r="A1049" s="7" t="s">
        <v>216</v>
      </c>
      <c r="B1049" s="7" t="s">
        <v>17</v>
      </c>
      <c r="C1049" s="7">
        <v>0.75</v>
      </c>
      <c r="D1049" s="7">
        <v>1.0</v>
      </c>
      <c r="E1049" s="7">
        <v>10.0</v>
      </c>
      <c r="F1049" s="7">
        <v>105.745595455169</v>
      </c>
      <c r="G1049" s="7">
        <v>179.219873666763</v>
      </c>
      <c r="H1049" s="7">
        <v>2.0</v>
      </c>
      <c r="I1049" s="15">
        <v>-0.0191947202615374</v>
      </c>
      <c r="J1049" s="15">
        <v>0.237149478331934</v>
      </c>
      <c r="K1049" s="12">
        <f>AVERAGE(I1047:I1051)</f>
        <v>0.6174819107</v>
      </c>
      <c r="L1049" s="18">
        <v>112999.0</v>
      </c>
      <c r="M1049" s="14">
        <f>STDEV(L1047:L1051)</f>
        <v>47429.77895</v>
      </c>
      <c r="N1049" s="15" t="b">
        <f t="shared" si="1"/>
        <v>0</v>
      </c>
    </row>
    <row r="1050" hidden="1">
      <c r="A1050" s="7" t="s">
        <v>216</v>
      </c>
      <c r="B1050" s="7" t="s">
        <v>17</v>
      </c>
      <c r="C1050" s="7">
        <v>0.75</v>
      </c>
      <c r="D1050" s="7">
        <v>1.0</v>
      </c>
      <c r="E1050" s="7">
        <v>10.0</v>
      </c>
      <c r="F1050" s="7">
        <v>105.745595455169</v>
      </c>
      <c r="G1050" s="7">
        <v>179.219873666763</v>
      </c>
      <c r="H1050" s="7">
        <v>3.0</v>
      </c>
      <c r="I1050" s="15">
        <v>0.7877333049969</v>
      </c>
      <c r="J1050" s="15">
        <v>0.134172354474874</v>
      </c>
      <c r="K1050" s="12">
        <f>AVERAGE(I1047:I1051)</f>
        <v>0.6174819107</v>
      </c>
      <c r="L1050" s="18">
        <v>11989.0</v>
      </c>
      <c r="M1050" s="14">
        <f>STDEV(L1047:L1051)</f>
        <v>47429.77895</v>
      </c>
      <c r="N1050" s="15" t="b">
        <f t="shared" si="1"/>
        <v>0</v>
      </c>
    </row>
    <row r="1051" hidden="1">
      <c r="A1051" s="7" t="s">
        <v>216</v>
      </c>
      <c r="B1051" s="7" t="s">
        <v>17</v>
      </c>
      <c r="C1051" s="7">
        <v>0.75</v>
      </c>
      <c r="D1051" s="7">
        <v>1.0</v>
      </c>
      <c r="E1051" s="7">
        <v>10.0</v>
      </c>
      <c r="F1051" s="7">
        <v>105.745595455169</v>
      </c>
      <c r="G1051" s="7">
        <v>179.219873666763</v>
      </c>
      <c r="H1051" s="7">
        <v>4.0</v>
      </c>
      <c r="I1051" s="15">
        <v>0.743255250218481</v>
      </c>
      <c r="J1051" s="15">
        <v>0.16191984905056</v>
      </c>
      <c r="K1051" s="12">
        <f>AVERAGE(I1047:I1051)</f>
        <v>0.6174819107</v>
      </c>
      <c r="L1051" s="18">
        <v>7621.0</v>
      </c>
      <c r="M1051" s="14">
        <f>STDEV(L1047:L1051)</f>
        <v>47429.77895</v>
      </c>
      <c r="N1051" s="15" t="b">
        <f t="shared" si="1"/>
        <v>0</v>
      </c>
    </row>
    <row r="1052" hidden="1">
      <c r="A1052" s="7" t="s">
        <v>217</v>
      </c>
      <c r="B1052" s="21" t="s">
        <v>17</v>
      </c>
      <c r="C1052" s="21">
        <v>1.0</v>
      </c>
      <c r="D1052" s="21">
        <v>0.1</v>
      </c>
      <c r="E1052" s="21">
        <v>1.0</v>
      </c>
      <c r="F1052" s="7">
        <v>94.3752722740173</v>
      </c>
      <c r="G1052" s="7">
        <v>170.171241044998</v>
      </c>
      <c r="H1052" s="7">
        <v>0.0</v>
      </c>
      <c r="I1052" s="15">
        <v>0.0296094389583519</v>
      </c>
      <c r="J1052" s="15">
        <v>0.178163254319596</v>
      </c>
      <c r="K1052" s="12">
        <f>AVERAGE(I1052:I1056)</f>
        <v>0.6585924754</v>
      </c>
      <c r="L1052" s="18">
        <v>110104.0</v>
      </c>
      <c r="M1052" s="14">
        <f>STDEV(L1052:L1056)</f>
        <v>45833.16263</v>
      </c>
      <c r="N1052" s="15" t="b">
        <f t="shared" si="1"/>
        <v>1</v>
      </c>
    </row>
    <row r="1053" hidden="1">
      <c r="A1053" s="7" t="s">
        <v>217</v>
      </c>
      <c r="B1053" s="21" t="s">
        <v>17</v>
      </c>
      <c r="C1053" s="21">
        <v>1.0</v>
      </c>
      <c r="D1053" s="21">
        <v>0.1</v>
      </c>
      <c r="E1053" s="21">
        <v>1.0</v>
      </c>
      <c r="F1053" s="7">
        <v>94.3752722740173</v>
      </c>
      <c r="G1053" s="7">
        <v>170.171241044998</v>
      </c>
      <c r="H1053" s="7">
        <v>1.0</v>
      </c>
      <c r="I1053" s="15">
        <v>0.755244593859119</v>
      </c>
      <c r="J1053" s="15">
        <v>0.134557122805881</v>
      </c>
      <c r="K1053" s="12">
        <f>AVERAGE(I1052:I1056)</f>
        <v>0.6585924754</v>
      </c>
      <c r="L1053" s="18">
        <v>10322.0</v>
      </c>
      <c r="M1053" s="14">
        <f>STDEV(L1052:L1056)</f>
        <v>45833.16263</v>
      </c>
      <c r="N1053" s="15" t="b">
        <f t="shared" si="1"/>
        <v>1</v>
      </c>
    </row>
    <row r="1054" hidden="1">
      <c r="A1054" s="7" t="s">
        <v>217</v>
      </c>
      <c r="B1054" s="21" t="s">
        <v>17</v>
      </c>
      <c r="C1054" s="21">
        <v>1.0</v>
      </c>
      <c r="D1054" s="21">
        <v>0.1</v>
      </c>
      <c r="E1054" s="21">
        <v>1.0</v>
      </c>
      <c r="F1054" s="7">
        <v>94.3752722740173</v>
      </c>
      <c r="G1054" s="7">
        <v>170.171241044998</v>
      </c>
      <c r="H1054" s="7">
        <v>2.0</v>
      </c>
      <c r="I1054" s="15">
        <v>0.839112178305029</v>
      </c>
      <c r="J1054" s="15">
        <v>0.101170209137773</v>
      </c>
      <c r="K1054" s="12">
        <f>AVERAGE(I1052:I1056)</f>
        <v>0.6585924754</v>
      </c>
      <c r="L1054" s="18">
        <v>4740.0</v>
      </c>
      <c r="M1054" s="14">
        <f>STDEV(L1052:L1056)</f>
        <v>45833.16263</v>
      </c>
      <c r="N1054" s="15" t="b">
        <f t="shared" si="1"/>
        <v>1</v>
      </c>
    </row>
    <row r="1055" hidden="1">
      <c r="A1055" s="7" t="s">
        <v>217</v>
      </c>
      <c r="B1055" s="21" t="s">
        <v>17</v>
      </c>
      <c r="C1055" s="21">
        <v>1.0</v>
      </c>
      <c r="D1055" s="21">
        <v>0.1</v>
      </c>
      <c r="E1055" s="21">
        <v>1.0</v>
      </c>
      <c r="F1055" s="7">
        <v>94.3752722740173</v>
      </c>
      <c r="G1055" s="7">
        <v>170.171241044998</v>
      </c>
      <c r="H1055" s="7">
        <v>3.0</v>
      </c>
      <c r="I1055" s="15">
        <v>0.871107469835625</v>
      </c>
      <c r="J1055" s="15">
        <v>0.0986982129409264</v>
      </c>
      <c r="K1055" s="12">
        <f>AVERAGE(I1052:I1056)</f>
        <v>0.6585924754</v>
      </c>
      <c r="L1055" s="18">
        <v>4451.0</v>
      </c>
      <c r="M1055" s="14">
        <f>STDEV(L1052:L1056)</f>
        <v>45833.16263</v>
      </c>
      <c r="N1055" s="15" t="b">
        <f t="shared" si="1"/>
        <v>1</v>
      </c>
    </row>
    <row r="1056" hidden="1">
      <c r="A1056" s="7" t="s">
        <v>217</v>
      </c>
      <c r="B1056" s="21" t="s">
        <v>17</v>
      </c>
      <c r="C1056" s="21">
        <v>1.0</v>
      </c>
      <c r="D1056" s="21">
        <v>0.1</v>
      </c>
      <c r="E1056" s="21">
        <v>1.0</v>
      </c>
      <c r="F1056" s="7">
        <v>94.3752722740173</v>
      </c>
      <c r="G1056" s="7">
        <v>170.171241044998</v>
      </c>
      <c r="H1056" s="7">
        <v>4.0</v>
      </c>
      <c r="I1056" s="15">
        <v>0.79788869626582</v>
      </c>
      <c r="J1056" s="15">
        <v>0.10904415179997</v>
      </c>
      <c r="K1056" s="12">
        <f>AVERAGE(I1052:I1056)</f>
        <v>0.6585924754</v>
      </c>
      <c r="L1056" s="18">
        <v>12059.0</v>
      </c>
      <c r="M1056" s="14">
        <f>STDEV(L1052:L1056)</f>
        <v>45833.16263</v>
      </c>
      <c r="N1056" s="15" t="b">
        <f t="shared" si="1"/>
        <v>1</v>
      </c>
    </row>
    <row r="1057" hidden="1">
      <c r="A1057" s="7" t="s">
        <v>218</v>
      </c>
      <c r="B1057" s="7" t="s">
        <v>17</v>
      </c>
      <c r="C1057" s="7">
        <v>1.0</v>
      </c>
      <c r="D1057" s="7">
        <v>0.1</v>
      </c>
      <c r="E1057" s="7">
        <v>2.0</v>
      </c>
      <c r="F1057" s="7">
        <v>310.182070255279</v>
      </c>
      <c r="G1057" s="7">
        <v>423.177936553955</v>
      </c>
      <c r="H1057" s="7">
        <v>0.0</v>
      </c>
      <c r="I1057" s="15">
        <v>0.755032944003375</v>
      </c>
      <c r="J1057" s="15">
        <v>0.13446305679868</v>
      </c>
      <c r="K1057" s="12">
        <f>AVERAGE(I1057:I1061)</f>
        <v>0.3995546755</v>
      </c>
      <c r="L1057" s="18">
        <v>10300.0</v>
      </c>
      <c r="M1057" s="14">
        <f>STDEV(L1057:L1061)</f>
        <v>28510.49955</v>
      </c>
      <c r="N1057" s="15" t="b">
        <f t="shared" si="1"/>
        <v>0</v>
      </c>
    </row>
    <row r="1058" hidden="1">
      <c r="A1058" s="7" t="s">
        <v>218</v>
      </c>
      <c r="B1058" s="7" t="s">
        <v>17</v>
      </c>
      <c r="C1058" s="7">
        <v>1.0</v>
      </c>
      <c r="D1058" s="7">
        <v>0.1</v>
      </c>
      <c r="E1058" s="7">
        <v>2.0</v>
      </c>
      <c r="F1058" s="7">
        <v>310.182070255279</v>
      </c>
      <c r="G1058" s="7">
        <v>423.177936553955</v>
      </c>
      <c r="H1058" s="7">
        <v>1.0</v>
      </c>
      <c r="I1058" s="15">
        <v>0.838774491970189</v>
      </c>
      <c r="J1058" s="15">
        <v>0.101732115331592</v>
      </c>
      <c r="K1058" s="12">
        <f>AVERAGE(I1057:I1061)</f>
        <v>0.3995546755</v>
      </c>
      <c r="L1058" s="18">
        <v>4740.0</v>
      </c>
      <c r="M1058" s="14">
        <f>STDEV(L1057:L1061)</f>
        <v>28510.49955</v>
      </c>
      <c r="N1058" s="15" t="b">
        <f t="shared" si="1"/>
        <v>0</v>
      </c>
    </row>
    <row r="1059" hidden="1">
      <c r="A1059" s="7" t="s">
        <v>218</v>
      </c>
      <c r="B1059" s="7" t="s">
        <v>17</v>
      </c>
      <c r="C1059" s="7">
        <v>1.0</v>
      </c>
      <c r="D1059" s="7">
        <v>0.1</v>
      </c>
      <c r="E1059" s="7">
        <v>2.0</v>
      </c>
      <c r="F1059" s="7">
        <v>310.182070255279</v>
      </c>
      <c r="G1059" s="7">
        <v>423.177936553955</v>
      </c>
      <c r="H1059" s="7">
        <v>2.0</v>
      </c>
      <c r="I1059" s="15">
        <v>0.217511117974123</v>
      </c>
      <c r="J1059" s="15">
        <v>0.0618317191721734</v>
      </c>
      <c r="K1059" s="12">
        <f>AVERAGE(I1057:I1061)</f>
        <v>0.3995546755</v>
      </c>
      <c r="L1059" s="18">
        <v>44047.0</v>
      </c>
      <c r="M1059" s="14">
        <f>STDEV(L1057:L1061)</f>
        <v>28510.49955</v>
      </c>
      <c r="N1059" s="15" t="b">
        <f t="shared" si="1"/>
        <v>0</v>
      </c>
    </row>
    <row r="1060" hidden="1">
      <c r="A1060" s="7" t="s">
        <v>218</v>
      </c>
      <c r="B1060" s="7" t="s">
        <v>17</v>
      </c>
      <c r="C1060" s="7">
        <v>1.0</v>
      </c>
      <c r="D1060" s="7">
        <v>0.1</v>
      </c>
      <c r="E1060" s="7">
        <v>2.0</v>
      </c>
      <c r="F1060" s="7">
        <v>310.182070255279</v>
      </c>
      <c r="G1060" s="7">
        <v>423.177936553955</v>
      </c>
      <c r="H1060" s="7">
        <v>3.0</v>
      </c>
      <c r="I1060" s="15">
        <v>-0.0277491118115819</v>
      </c>
      <c r="J1060" s="15">
        <v>0.185846876800235</v>
      </c>
      <c r="K1060" s="12">
        <f>AVERAGE(I1057:I1061)</f>
        <v>0.3995546755</v>
      </c>
      <c r="L1060" s="18">
        <v>71183.0</v>
      </c>
      <c r="M1060" s="14">
        <f>STDEV(L1057:L1061)</f>
        <v>28510.49955</v>
      </c>
      <c r="N1060" s="15" t="b">
        <f t="shared" si="1"/>
        <v>0</v>
      </c>
    </row>
    <row r="1061" hidden="1">
      <c r="A1061" s="7" t="s">
        <v>218</v>
      </c>
      <c r="B1061" s="7" t="s">
        <v>17</v>
      </c>
      <c r="C1061" s="7">
        <v>1.0</v>
      </c>
      <c r="D1061" s="7">
        <v>0.1</v>
      </c>
      <c r="E1061" s="7">
        <v>2.0</v>
      </c>
      <c r="F1061" s="7">
        <v>310.182070255279</v>
      </c>
      <c r="G1061" s="7">
        <v>423.177936553955</v>
      </c>
      <c r="H1061" s="7">
        <v>4.0</v>
      </c>
      <c r="I1061" s="15">
        <v>0.214203935610144</v>
      </c>
      <c r="J1061" s="15">
        <v>0.0900530039204117</v>
      </c>
      <c r="K1061" s="12">
        <f>AVERAGE(I1057:I1061)</f>
        <v>0.3995546755</v>
      </c>
      <c r="L1061" s="18">
        <v>11406.0</v>
      </c>
      <c r="M1061" s="14">
        <f>STDEV(L1057:L1061)</f>
        <v>28510.49955</v>
      </c>
      <c r="N1061" s="15" t="b">
        <f t="shared" si="1"/>
        <v>0</v>
      </c>
    </row>
    <row r="1062" hidden="1">
      <c r="A1062" s="7" t="s">
        <v>219</v>
      </c>
      <c r="B1062" s="7" t="s">
        <v>17</v>
      </c>
      <c r="C1062" s="7">
        <v>1.0</v>
      </c>
      <c r="D1062" s="7">
        <v>0.1</v>
      </c>
      <c r="E1062" s="7">
        <v>3.0</v>
      </c>
      <c r="F1062" s="7">
        <v>342.415438652038</v>
      </c>
      <c r="G1062" s="7">
        <v>451.831175565719</v>
      </c>
      <c r="H1062" s="7">
        <v>0.0</v>
      </c>
      <c r="I1062" s="15">
        <v>0.781898374942769</v>
      </c>
      <c r="J1062" s="15">
        <v>0.130004188980594</v>
      </c>
      <c r="K1062" s="12">
        <f>AVERAGE(I1062:I1066)</f>
        <v>0.4881957239</v>
      </c>
      <c r="L1062" s="18">
        <v>13256.0</v>
      </c>
      <c r="M1062" s="14">
        <f>STDEV(L1062:L1066)</f>
        <v>30652.10425</v>
      </c>
      <c r="N1062" s="15" t="b">
        <f t="shared" si="1"/>
        <v>0</v>
      </c>
    </row>
    <row r="1063" hidden="1">
      <c r="A1063" s="7" t="s">
        <v>219</v>
      </c>
      <c r="B1063" s="7" t="s">
        <v>17</v>
      </c>
      <c r="C1063" s="7">
        <v>1.0</v>
      </c>
      <c r="D1063" s="7">
        <v>0.1</v>
      </c>
      <c r="E1063" s="7">
        <v>3.0</v>
      </c>
      <c r="F1063" s="7">
        <v>342.415438652038</v>
      </c>
      <c r="G1063" s="7">
        <v>451.831175565719</v>
      </c>
      <c r="H1063" s="7">
        <v>1.0</v>
      </c>
      <c r="I1063" s="15">
        <v>-0.0282066915190862</v>
      </c>
      <c r="J1063" s="15">
        <v>0.177739621367603</v>
      </c>
      <c r="K1063" s="12">
        <f>AVERAGE(I1062:I1066)</f>
        <v>0.4881957239</v>
      </c>
      <c r="L1063" s="18">
        <v>81583.0</v>
      </c>
      <c r="M1063" s="14">
        <f>STDEV(L1062:L1066)</f>
        <v>30652.10425</v>
      </c>
      <c r="N1063" s="15" t="b">
        <f t="shared" si="1"/>
        <v>0</v>
      </c>
    </row>
    <row r="1064" hidden="1">
      <c r="A1064" s="7" t="s">
        <v>219</v>
      </c>
      <c r="B1064" s="7" t="s">
        <v>17</v>
      </c>
      <c r="C1064" s="7">
        <v>1.0</v>
      </c>
      <c r="D1064" s="7">
        <v>0.1</v>
      </c>
      <c r="E1064" s="7">
        <v>3.0</v>
      </c>
      <c r="F1064" s="7">
        <v>342.415438652038</v>
      </c>
      <c r="G1064" s="7">
        <v>451.831175565719</v>
      </c>
      <c r="H1064" s="7">
        <v>2.0</v>
      </c>
      <c r="I1064" s="15">
        <v>0.414566201699711</v>
      </c>
      <c r="J1064" s="15">
        <v>0.0691344915186183</v>
      </c>
      <c r="K1064" s="12">
        <f>AVERAGE(I1062:I1066)</f>
        <v>0.4881957239</v>
      </c>
      <c r="L1064" s="18">
        <v>26076.0</v>
      </c>
      <c r="M1064" s="14">
        <f>STDEV(L1062:L1066)</f>
        <v>30652.10425</v>
      </c>
      <c r="N1064" s="15" t="b">
        <f t="shared" si="1"/>
        <v>0</v>
      </c>
    </row>
    <row r="1065" hidden="1">
      <c r="A1065" s="7" t="s">
        <v>219</v>
      </c>
      <c r="B1065" s="7" t="s">
        <v>17</v>
      </c>
      <c r="C1065" s="7">
        <v>1.0</v>
      </c>
      <c r="D1065" s="7">
        <v>0.1</v>
      </c>
      <c r="E1065" s="7">
        <v>3.0</v>
      </c>
      <c r="F1065" s="7">
        <v>342.415438652038</v>
      </c>
      <c r="G1065" s="7">
        <v>451.831175565719</v>
      </c>
      <c r="H1065" s="7">
        <v>3.0</v>
      </c>
      <c r="I1065" s="15">
        <v>0.452850006263241</v>
      </c>
      <c r="J1065" s="15">
        <v>0.164509758836495</v>
      </c>
      <c r="K1065" s="12">
        <f>AVERAGE(I1062:I1066)</f>
        <v>0.4881957239</v>
      </c>
      <c r="L1065" s="18">
        <v>15158.0</v>
      </c>
      <c r="M1065" s="14">
        <f>STDEV(L1062:L1066)</f>
        <v>30652.10425</v>
      </c>
      <c r="N1065" s="15" t="b">
        <f t="shared" si="1"/>
        <v>0</v>
      </c>
    </row>
    <row r="1066" hidden="1">
      <c r="A1066" s="7" t="s">
        <v>219</v>
      </c>
      <c r="B1066" s="7" t="s">
        <v>17</v>
      </c>
      <c r="C1066" s="7">
        <v>1.0</v>
      </c>
      <c r="D1066" s="7">
        <v>0.1</v>
      </c>
      <c r="E1066" s="7">
        <v>3.0</v>
      </c>
      <c r="F1066" s="7">
        <v>342.415438652038</v>
      </c>
      <c r="G1066" s="7">
        <v>451.831175565719</v>
      </c>
      <c r="H1066" s="7">
        <v>4.0</v>
      </c>
      <c r="I1066" s="15">
        <v>0.819870728035896</v>
      </c>
      <c r="J1066" s="15">
        <v>0.114892937945068</v>
      </c>
      <c r="K1066" s="12">
        <f>AVERAGE(I1062:I1066)</f>
        <v>0.4881957239</v>
      </c>
      <c r="L1066" s="18">
        <v>5603.0</v>
      </c>
      <c r="M1066" s="14">
        <f>STDEV(L1062:L1066)</f>
        <v>30652.10425</v>
      </c>
      <c r="N1066" s="15" t="b">
        <f t="shared" si="1"/>
        <v>0</v>
      </c>
    </row>
    <row r="1067" hidden="1">
      <c r="A1067" s="7" t="s">
        <v>220</v>
      </c>
      <c r="B1067" s="7" t="s">
        <v>17</v>
      </c>
      <c r="C1067" s="7">
        <v>1.0</v>
      </c>
      <c r="D1067" s="7">
        <v>0.1</v>
      </c>
      <c r="E1067" s="7">
        <v>4.0</v>
      </c>
      <c r="F1067" s="7">
        <v>150.31304359436</v>
      </c>
      <c r="G1067" s="7">
        <v>244.721810579299</v>
      </c>
      <c r="H1067" s="7">
        <v>0.0</v>
      </c>
      <c r="I1067" s="15">
        <v>0.400114374715638</v>
      </c>
      <c r="J1067" s="15">
        <v>0.0717293859676304</v>
      </c>
      <c r="K1067" s="12">
        <f>AVERAGE(I1067:I1071)</f>
        <v>0.4464235594</v>
      </c>
      <c r="L1067" s="18">
        <v>26455.0</v>
      </c>
      <c r="M1067" s="14">
        <f>STDEV(L1067:L1071)</f>
        <v>26643.0949</v>
      </c>
      <c r="N1067" s="15" t="b">
        <f t="shared" si="1"/>
        <v>0</v>
      </c>
    </row>
    <row r="1068" hidden="1">
      <c r="A1068" s="7" t="s">
        <v>220</v>
      </c>
      <c r="B1068" s="7" t="s">
        <v>17</v>
      </c>
      <c r="C1068" s="7">
        <v>1.0</v>
      </c>
      <c r="D1068" s="7">
        <v>0.1</v>
      </c>
      <c r="E1068" s="7">
        <v>4.0</v>
      </c>
      <c r="F1068" s="7">
        <v>150.31304359436</v>
      </c>
      <c r="G1068" s="7">
        <v>244.721810579299</v>
      </c>
      <c r="H1068" s="7">
        <v>1.0</v>
      </c>
      <c r="I1068" s="15">
        <v>0.838361362400744</v>
      </c>
      <c r="J1068" s="15">
        <v>0.0991357044870805</v>
      </c>
      <c r="K1068" s="12">
        <f>AVERAGE(I1067:I1071)</f>
        <v>0.4464235594</v>
      </c>
      <c r="L1068" s="18">
        <v>4740.0</v>
      </c>
      <c r="M1068" s="14">
        <f>STDEV(L1067:L1071)</f>
        <v>26643.0949</v>
      </c>
      <c r="N1068" s="15" t="b">
        <f t="shared" si="1"/>
        <v>0</v>
      </c>
    </row>
    <row r="1069" hidden="1">
      <c r="A1069" s="7" t="s">
        <v>220</v>
      </c>
      <c r="B1069" s="7" t="s">
        <v>17</v>
      </c>
      <c r="C1069" s="7">
        <v>1.0</v>
      </c>
      <c r="D1069" s="7">
        <v>0.1</v>
      </c>
      <c r="E1069" s="7">
        <v>4.0</v>
      </c>
      <c r="F1069" s="7">
        <v>150.31304359436</v>
      </c>
      <c r="G1069" s="7">
        <v>244.721810579299</v>
      </c>
      <c r="H1069" s="7">
        <v>2.0</v>
      </c>
      <c r="I1069" s="15">
        <v>0.0930785855448806</v>
      </c>
      <c r="J1069" s="15">
        <v>0.233803015446663</v>
      </c>
      <c r="K1069" s="12">
        <f>AVERAGE(I1067:I1071)</f>
        <v>0.4464235594</v>
      </c>
      <c r="L1069" s="18">
        <v>66386.0</v>
      </c>
      <c r="M1069" s="14">
        <f>STDEV(L1067:L1071)</f>
        <v>26643.0949</v>
      </c>
      <c r="N1069" s="15" t="b">
        <f t="shared" si="1"/>
        <v>0</v>
      </c>
    </row>
    <row r="1070" hidden="1">
      <c r="A1070" s="7" t="s">
        <v>220</v>
      </c>
      <c r="B1070" s="7" t="s">
        <v>17</v>
      </c>
      <c r="C1070" s="7">
        <v>1.0</v>
      </c>
      <c r="D1070" s="7">
        <v>0.1</v>
      </c>
      <c r="E1070" s="7">
        <v>4.0</v>
      </c>
      <c r="F1070" s="7">
        <v>150.31304359436</v>
      </c>
      <c r="G1070" s="7">
        <v>244.721810579299</v>
      </c>
      <c r="H1070" s="7">
        <v>3.0</v>
      </c>
      <c r="I1070" s="15">
        <v>0.850757411664192</v>
      </c>
      <c r="J1070" s="15">
        <v>0.0924360083885407</v>
      </c>
      <c r="K1070" s="12">
        <f>AVERAGE(I1067:I1071)</f>
        <v>0.4464235594</v>
      </c>
      <c r="L1070" s="18">
        <v>2654.0</v>
      </c>
      <c r="M1070" s="14">
        <f>STDEV(L1067:L1071)</f>
        <v>26643.0949</v>
      </c>
      <c r="N1070" s="15" t="b">
        <f t="shared" si="1"/>
        <v>0</v>
      </c>
    </row>
    <row r="1071" hidden="1">
      <c r="A1071" s="7" t="s">
        <v>220</v>
      </c>
      <c r="B1071" s="7" t="s">
        <v>17</v>
      </c>
      <c r="C1071" s="7">
        <v>1.0</v>
      </c>
      <c r="D1071" s="7">
        <v>0.1</v>
      </c>
      <c r="E1071" s="7">
        <v>4.0</v>
      </c>
      <c r="F1071" s="7">
        <v>150.31304359436</v>
      </c>
      <c r="G1071" s="7">
        <v>244.721810579299</v>
      </c>
      <c r="H1071" s="7">
        <v>4.0</v>
      </c>
      <c r="I1071" s="15">
        <v>0.0498060624470881</v>
      </c>
      <c r="J1071" s="15">
        <v>0.0295271968688891</v>
      </c>
      <c r="K1071" s="12">
        <f>AVERAGE(I1067:I1071)</f>
        <v>0.4464235594</v>
      </c>
      <c r="L1071" s="18">
        <v>41441.0</v>
      </c>
      <c r="M1071" s="14">
        <f>STDEV(L1067:L1071)</f>
        <v>26643.0949</v>
      </c>
      <c r="N1071" s="15" t="b">
        <f t="shared" si="1"/>
        <v>0</v>
      </c>
    </row>
    <row r="1072" hidden="1">
      <c r="A1072" s="7" t="s">
        <v>221</v>
      </c>
      <c r="B1072" s="7" t="s">
        <v>17</v>
      </c>
      <c r="C1072" s="7">
        <v>1.0</v>
      </c>
      <c r="D1072" s="7">
        <v>0.1</v>
      </c>
      <c r="E1072" s="7">
        <v>5.0</v>
      </c>
      <c r="F1072" s="7">
        <v>146.763798952102</v>
      </c>
      <c r="G1072" s="7">
        <v>250.13357424736</v>
      </c>
      <c r="H1072" s="7">
        <v>0.0</v>
      </c>
      <c r="I1072" s="15">
        <v>0.418385464264532</v>
      </c>
      <c r="J1072" s="15">
        <v>0.0736870074114947</v>
      </c>
      <c r="K1072" s="12">
        <f>AVERAGE(I1072:I1076)</f>
        <v>0.4321910574</v>
      </c>
      <c r="L1072" s="18">
        <v>8667.0</v>
      </c>
      <c r="M1072" s="14">
        <f>STDEV(L1072:L1076)</f>
        <v>22912.54344</v>
      </c>
      <c r="N1072" s="15" t="b">
        <f t="shared" si="1"/>
        <v>0</v>
      </c>
    </row>
    <row r="1073" hidden="1">
      <c r="A1073" s="7" t="s">
        <v>221</v>
      </c>
      <c r="B1073" s="7" t="s">
        <v>17</v>
      </c>
      <c r="C1073" s="7">
        <v>1.0</v>
      </c>
      <c r="D1073" s="7">
        <v>0.1</v>
      </c>
      <c r="E1073" s="7">
        <v>5.0</v>
      </c>
      <c r="F1073" s="7">
        <v>146.763798952102</v>
      </c>
      <c r="G1073" s="7">
        <v>250.13357424736</v>
      </c>
      <c r="H1073" s="7">
        <v>1.0</v>
      </c>
      <c r="I1073" s="15">
        <v>0.0527852325237175</v>
      </c>
      <c r="J1073" s="15">
        <v>0.0435615563097274</v>
      </c>
      <c r="K1073" s="12">
        <f>AVERAGE(I1072:I1076)</f>
        <v>0.4321910574</v>
      </c>
      <c r="L1073" s="18">
        <v>50228.0</v>
      </c>
      <c r="M1073" s="14">
        <f>STDEV(L1072:L1076)</f>
        <v>22912.54344</v>
      </c>
      <c r="N1073" s="15" t="b">
        <f t="shared" si="1"/>
        <v>0</v>
      </c>
    </row>
    <row r="1074" hidden="1">
      <c r="A1074" s="7" t="s">
        <v>221</v>
      </c>
      <c r="B1074" s="7" t="s">
        <v>17</v>
      </c>
      <c r="C1074" s="7">
        <v>1.0</v>
      </c>
      <c r="D1074" s="7">
        <v>0.1</v>
      </c>
      <c r="E1074" s="7">
        <v>5.0</v>
      </c>
      <c r="F1074" s="7">
        <v>146.763798952102</v>
      </c>
      <c r="G1074" s="7">
        <v>250.13357424736</v>
      </c>
      <c r="H1074" s="7">
        <v>2.0</v>
      </c>
      <c r="I1074" s="15">
        <v>0.803593155593243</v>
      </c>
      <c r="J1074" s="15">
        <v>0.0962366617654123</v>
      </c>
      <c r="K1074" s="12">
        <f>AVERAGE(I1072:I1076)</f>
        <v>0.4321910574</v>
      </c>
      <c r="L1074" s="18">
        <v>14532.0</v>
      </c>
      <c r="M1074" s="14">
        <f>STDEV(L1072:L1076)</f>
        <v>22912.54344</v>
      </c>
      <c r="N1074" s="15" t="b">
        <f t="shared" si="1"/>
        <v>0</v>
      </c>
    </row>
    <row r="1075" hidden="1">
      <c r="A1075" s="7" t="s">
        <v>221</v>
      </c>
      <c r="B1075" s="7" t="s">
        <v>17</v>
      </c>
      <c r="C1075" s="7">
        <v>1.0</v>
      </c>
      <c r="D1075" s="7">
        <v>0.1</v>
      </c>
      <c r="E1075" s="7">
        <v>5.0</v>
      </c>
      <c r="F1075" s="7">
        <v>146.763798952102</v>
      </c>
      <c r="G1075" s="7">
        <v>250.13357424736</v>
      </c>
      <c r="H1075" s="7">
        <v>3.0</v>
      </c>
      <c r="I1075" s="15">
        <v>0.794678419857547</v>
      </c>
      <c r="J1075" s="15">
        <v>0.110410528022927</v>
      </c>
      <c r="K1075" s="12">
        <f>AVERAGE(I1072:I1076)</f>
        <v>0.4321910574</v>
      </c>
      <c r="L1075" s="18">
        <v>12031.0</v>
      </c>
      <c r="M1075" s="14">
        <f>STDEV(L1072:L1076)</f>
        <v>22912.54344</v>
      </c>
      <c r="N1075" s="15" t="b">
        <f t="shared" si="1"/>
        <v>0</v>
      </c>
    </row>
    <row r="1076" hidden="1">
      <c r="A1076" s="7" t="s">
        <v>221</v>
      </c>
      <c r="B1076" s="7" t="s">
        <v>17</v>
      </c>
      <c r="C1076" s="7">
        <v>1.0</v>
      </c>
      <c r="D1076" s="7">
        <v>0.1</v>
      </c>
      <c r="E1076" s="7">
        <v>5.0</v>
      </c>
      <c r="F1076" s="7">
        <v>146.763798952102</v>
      </c>
      <c r="G1076" s="7">
        <v>250.13357424736</v>
      </c>
      <c r="H1076" s="7">
        <v>4.0</v>
      </c>
      <c r="I1076" s="15">
        <v>0.0915130146791072</v>
      </c>
      <c r="J1076" s="15">
        <v>0.299176826019002</v>
      </c>
      <c r="K1076" s="12">
        <f>AVERAGE(I1072:I1076)</f>
        <v>0.4321910574</v>
      </c>
      <c r="L1076" s="18">
        <v>56218.0</v>
      </c>
      <c r="M1076" s="14">
        <f>STDEV(L1072:L1076)</f>
        <v>22912.54344</v>
      </c>
      <c r="N1076" s="15" t="b">
        <f t="shared" si="1"/>
        <v>0</v>
      </c>
    </row>
    <row r="1077" hidden="1">
      <c r="A1077" s="7" t="s">
        <v>222</v>
      </c>
      <c r="B1077" s="7" t="s">
        <v>17</v>
      </c>
      <c r="C1077" s="7">
        <v>1.0</v>
      </c>
      <c r="D1077" s="7">
        <v>0.1</v>
      </c>
      <c r="E1077" s="7">
        <v>6.0</v>
      </c>
      <c r="F1077" s="7">
        <v>206.522238731384</v>
      </c>
      <c r="G1077" s="7">
        <v>264.228308200836</v>
      </c>
      <c r="H1077" s="7">
        <v>0.0</v>
      </c>
      <c r="I1077" s="15">
        <v>-0.0253401533444378</v>
      </c>
      <c r="J1077" s="15">
        <v>0.195722588482383</v>
      </c>
      <c r="K1077" s="12">
        <f>AVERAGE(I1077:I1081)</f>
        <v>0.5405997683</v>
      </c>
      <c r="L1077" s="18">
        <v>85896.0</v>
      </c>
      <c r="M1077" s="14">
        <f>STDEV(L1077:L1081)</f>
        <v>33226.73262</v>
      </c>
      <c r="N1077" s="15" t="b">
        <f t="shared" si="1"/>
        <v>0</v>
      </c>
    </row>
    <row r="1078" hidden="1">
      <c r="A1078" s="7" t="s">
        <v>222</v>
      </c>
      <c r="B1078" s="7" t="s">
        <v>17</v>
      </c>
      <c r="C1078" s="7">
        <v>1.0</v>
      </c>
      <c r="D1078" s="7">
        <v>0.1</v>
      </c>
      <c r="E1078" s="7">
        <v>6.0</v>
      </c>
      <c r="F1078" s="7">
        <v>206.522238731384</v>
      </c>
      <c r="G1078" s="7">
        <v>264.228308200836</v>
      </c>
      <c r="H1078" s="7">
        <v>1.0</v>
      </c>
      <c r="I1078" s="15">
        <v>0.79752321302756</v>
      </c>
      <c r="J1078" s="15">
        <v>0.109946168725763</v>
      </c>
      <c r="K1078" s="12">
        <f>AVERAGE(I1077:I1081)</f>
        <v>0.5405997683</v>
      </c>
      <c r="L1078" s="18">
        <v>12059.0</v>
      </c>
      <c r="M1078" s="14">
        <f>STDEV(L1077:L1081)</f>
        <v>33226.73262</v>
      </c>
      <c r="N1078" s="15" t="b">
        <f t="shared" si="1"/>
        <v>0</v>
      </c>
    </row>
    <row r="1079" hidden="1">
      <c r="A1079" s="7" t="s">
        <v>222</v>
      </c>
      <c r="B1079" s="7" t="s">
        <v>17</v>
      </c>
      <c r="C1079" s="7">
        <v>1.0</v>
      </c>
      <c r="D1079" s="7">
        <v>0.1</v>
      </c>
      <c r="E1079" s="7">
        <v>6.0</v>
      </c>
      <c r="F1079" s="7">
        <v>206.522238731384</v>
      </c>
      <c r="G1079" s="7">
        <v>264.228308200836</v>
      </c>
      <c r="H1079" s="7">
        <v>2.0</v>
      </c>
      <c r="I1079" s="15">
        <v>0.754375766989255</v>
      </c>
      <c r="J1079" s="15">
        <v>0.137594710566579</v>
      </c>
      <c r="K1079" s="12">
        <f>AVERAGE(I1077:I1081)</f>
        <v>0.5405997683</v>
      </c>
      <c r="L1079" s="18">
        <v>10304.0</v>
      </c>
      <c r="M1079" s="14">
        <f>STDEV(L1077:L1081)</f>
        <v>33226.73262</v>
      </c>
      <c r="N1079" s="15" t="b">
        <f t="shared" si="1"/>
        <v>0</v>
      </c>
    </row>
    <row r="1080" hidden="1">
      <c r="A1080" s="7" t="s">
        <v>222</v>
      </c>
      <c r="B1080" s="7" t="s">
        <v>17</v>
      </c>
      <c r="C1080" s="7">
        <v>1.0</v>
      </c>
      <c r="D1080" s="7">
        <v>0.1</v>
      </c>
      <c r="E1080" s="7">
        <v>6.0</v>
      </c>
      <c r="F1080" s="7">
        <v>206.522238731384</v>
      </c>
      <c r="G1080" s="7">
        <v>264.228308200836</v>
      </c>
      <c r="H1080" s="7">
        <v>3.0</v>
      </c>
      <c r="I1080" s="15">
        <v>0.778193708397489</v>
      </c>
      <c r="J1080" s="15">
        <v>0.136779838410966</v>
      </c>
      <c r="K1080" s="12">
        <f>AVERAGE(I1077:I1081)</f>
        <v>0.5405997683</v>
      </c>
      <c r="L1080" s="18">
        <v>5699.0</v>
      </c>
      <c r="M1080" s="14">
        <f>STDEV(L1077:L1081)</f>
        <v>33226.73262</v>
      </c>
      <c r="N1080" s="15" t="b">
        <f t="shared" si="1"/>
        <v>0</v>
      </c>
    </row>
    <row r="1081" hidden="1">
      <c r="A1081" s="7" t="s">
        <v>222</v>
      </c>
      <c r="B1081" s="7" t="s">
        <v>17</v>
      </c>
      <c r="C1081" s="7">
        <v>1.0</v>
      </c>
      <c r="D1081" s="7">
        <v>0.1</v>
      </c>
      <c r="E1081" s="7">
        <v>6.0</v>
      </c>
      <c r="F1081" s="7">
        <v>206.522238731384</v>
      </c>
      <c r="G1081" s="7">
        <v>264.228308200836</v>
      </c>
      <c r="H1081" s="7">
        <v>4.0</v>
      </c>
      <c r="I1081" s="15">
        <v>0.398246306245397</v>
      </c>
      <c r="J1081" s="15">
        <v>0.0632483947802471</v>
      </c>
      <c r="K1081" s="12">
        <f>AVERAGE(I1077:I1081)</f>
        <v>0.5405997683</v>
      </c>
      <c r="L1081" s="18">
        <v>27718.0</v>
      </c>
      <c r="M1081" s="14">
        <f>STDEV(L1077:L1081)</f>
        <v>33226.73262</v>
      </c>
      <c r="N1081" s="15" t="b">
        <f t="shared" si="1"/>
        <v>0</v>
      </c>
    </row>
    <row r="1082" hidden="1">
      <c r="A1082" s="7" t="s">
        <v>223</v>
      </c>
      <c r="B1082" s="7" t="s">
        <v>17</v>
      </c>
      <c r="C1082" s="7">
        <v>1.0</v>
      </c>
      <c r="D1082" s="7">
        <v>0.1</v>
      </c>
      <c r="E1082" s="7">
        <v>7.0</v>
      </c>
      <c r="F1082" s="7">
        <v>82.2616300582885</v>
      </c>
      <c r="G1082" s="7">
        <v>168.47805571556</v>
      </c>
      <c r="H1082" s="7">
        <v>0.0</v>
      </c>
      <c r="I1082" s="15">
        <v>0.306600272669641</v>
      </c>
      <c r="J1082" s="15">
        <v>0.078567322453684</v>
      </c>
      <c r="K1082" s="12">
        <f>AVERAGE(I1082:I1086)</f>
        <v>0.4685306583</v>
      </c>
      <c r="L1082" s="18">
        <v>32302.0</v>
      </c>
      <c r="M1082" s="14">
        <f>STDEV(L1082:L1086)</f>
        <v>39124.44397</v>
      </c>
      <c r="N1082" s="15" t="b">
        <f t="shared" si="1"/>
        <v>0</v>
      </c>
    </row>
    <row r="1083" hidden="1">
      <c r="A1083" s="7" t="s">
        <v>223</v>
      </c>
      <c r="B1083" s="7" t="s">
        <v>17</v>
      </c>
      <c r="C1083" s="7">
        <v>1.0</v>
      </c>
      <c r="D1083" s="7">
        <v>0.1</v>
      </c>
      <c r="E1083" s="7">
        <v>7.0</v>
      </c>
      <c r="F1083" s="7">
        <v>82.2616300582885</v>
      </c>
      <c r="G1083" s="7">
        <v>168.47805571556</v>
      </c>
      <c r="H1083" s="7">
        <v>1.0</v>
      </c>
      <c r="I1083" s="15">
        <v>0.895114250537194</v>
      </c>
      <c r="J1083" s="15">
        <v>0.136258169438568</v>
      </c>
      <c r="K1083" s="12">
        <f>AVERAGE(I1082:I1086)</f>
        <v>0.4685306583</v>
      </c>
      <c r="L1083" s="18">
        <v>1947.0</v>
      </c>
      <c r="M1083" s="14">
        <f>STDEV(L1082:L1086)</f>
        <v>39124.44397</v>
      </c>
      <c r="N1083" s="15" t="b">
        <f t="shared" si="1"/>
        <v>0</v>
      </c>
    </row>
    <row r="1084" hidden="1">
      <c r="A1084" s="7" t="s">
        <v>223</v>
      </c>
      <c r="B1084" s="7" t="s">
        <v>17</v>
      </c>
      <c r="C1084" s="7">
        <v>1.0</v>
      </c>
      <c r="D1084" s="7">
        <v>0.1</v>
      </c>
      <c r="E1084" s="7">
        <v>7.0</v>
      </c>
      <c r="F1084" s="7">
        <v>82.2616300582885</v>
      </c>
      <c r="G1084" s="7">
        <v>168.47805571556</v>
      </c>
      <c r="H1084" s="7">
        <v>2.0</v>
      </c>
      <c r="I1084" s="15">
        <v>0.363781529707723</v>
      </c>
      <c r="J1084" s="15">
        <v>0.0739406097128707</v>
      </c>
      <c r="K1084" s="12">
        <f>AVERAGE(I1082:I1086)</f>
        <v>0.4685306583</v>
      </c>
      <c r="L1084" s="18">
        <v>2434.0</v>
      </c>
      <c r="M1084" s="14">
        <f>STDEV(L1082:L1086)</f>
        <v>39124.44397</v>
      </c>
      <c r="N1084" s="15" t="b">
        <f t="shared" si="1"/>
        <v>0</v>
      </c>
    </row>
    <row r="1085" hidden="1">
      <c r="A1085" s="7" t="s">
        <v>223</v>
      </c>
      <c r="B1085" s="7" t="s">
        <v>17</v>
      </c>
      <c r="C1085" s="7">
        <v>1.0</v>
      </c>
      <c r="D1085" s="7">
        <v>0.1</v>
      </c>
      <c r="E1085" s="7">
        <v>7.0</v>
      </c>
      <c r="F1085" s="7">
        <v>82.2616300582885</v>
      </c>
      <c r="G1085" s="7">
        <v>168.47805571556</v>
      </c>
      <c r="H1085" s="7">
        <v>3.0</v>
      </c>
      <c r="I1085" s="15">
        <v>0.0136210401933843</v>
      </c>
      <c r="J1085" s="15">
        <v>0.147827464295748</v>
      </c>
      <c r="K1085" s="12">
        <f>AVERAGE(I1082:I1086)</f>
        <v>0.4685306583</v>
      </c>
      <c r="L1085" s="18">
        <v>94760.0</v>
      </c>
      <c r="M1085" s="14">
        <f>STDEV(L1082:L1086)</f>
        <v>39124.44397</v>
      </c>
      <c r="N1085" s="15" t="b">
        <f t="shared" si="1"/>
        <v>0</v>
      </c>
    </row>
    <row r="1086" hidden="1">
      <c r="A1086" s="7" t="s">
        <v>223</v>
      </c>
      <c r="B1086" s="7" t="s">
        <v>17</v>
      </c>
      <c r="C1086" s="7">
        <v>1.0</v>
      </c>
      <c r="D1086" s="7">
        <v>0.1</v>
      </c>
      <c r="E1086" s="7">
        <v>7.0</v>
      </c>
      <c r="F1086" s="7">
        <v>82.2616300582885</v>
      </c>
      <c r="G1086" s="7">
        <v>168.47805571556</v>
      </c>
      <c r="H1086" s="7">
        <v>4.0</v>
      </c>
      <c r="I1086" s="15">
        <v>0.763536198504747</v>
      </c>
      <c r="J1086" s="15">
        <v>0.12963393014811</v>
      </c>
      <c r="K1086" s="12">
        <f>AVERAGE(I1082:I1086)</f>
        <v>0.4685306583</v>
      </c>
      <c r="L1086" s="18">
        <v>10233.0</v>
      </c>
      <c r="M1086" s="14">
        <f>STDEV(L1082:L1086)</f>
        <v>39124.44397</v>
      </c>
      <c r="N1086" s="15" t="b">
        <f t="shared" si="1"/>
        <v>0</v>
      </c>
    </row>
    <row r="1087" hidden="1">
      <c r="A1087" s="7" t="s">
        <v>224</v>
      </c>
      <c r="B1087" s="7" t="s">
        <v>17</v>
      </c>
      <c r="C1087" s="7">
        <v>1.0</v>
      </c>
      <c r="D1087" s="7">
        <v>0.1</v>
      </c>
      <c r="E1087" s="7">
        <v>8.0</v>
      </c>
      <c r="F1087" s="7">
        <v>189.837581157684</v>
      </c>
      <c r="G1087" s="7">
        <v>248.75094628334</v>
      </c>
      <c r="H1087" s="7">
        <v>0.0</v>
      </c>
      <c r="I1087" s="15">
        <v>0.395622556592757</v>
      </c>
      <c r="J1087" s="15">
        <v>0.0680929309448379</v>
      </c>
      <c r="K1087" s="12">
        <f>AVERAGE(I1087:I1091)</f>
        <v>0.3780616712</v>
      </c>
      <c r="L1087" s="18">
        <v>10433.0</v>
      </c>
      <c r="M1087" s="14">
        <f>STDEV(L1087:L1091)</f>
        <v>28987.7341</v>
      </c>
      <c r="N1087" s="15" t="b">
        <f t="shared" si="1"/>
        <v>0</v>
      </c>
    </row>
    <row r="1088" hidden="1">
      <c r="A1088" s="7" t="s">
        <v>224</v>
      </c>
      <c r="B1088" s="7" t="s">
        <v>17</v>
      </c>
      <c r="C1088" s="7">
        <v>1.0</v>
      </c>
      <c r="D1088" s="7">
        <v>0.1</v>
      </c>
      <c r="E1088" s="7">
        <v>8.0</v>
      </c>
      <c r="F1088" s="7">
        <v>189.837581157684</v>
      </c>
      <c r="G1088" s="7">
        <v>248.75094628334</v>
      </c>
      <c r="H1088" s="7">
        <v>1.0</v>
      </c>
      <c r="I1088" s="15">
        <v>0.0495901790640809</v>
      </c>
      <c r="J1088" s="15">
        <v>0.0337807096809748</v>
      </c>
      <c r="K1088" s="12">
        <f>AVERAGE(I1087:I1091)</f>
        <v>0.3780616712</v>
      </c>
      <c r="L1088" s="18">
        <v>38140.0</v>
      </c>
      <c r="M1088" s="14">
        <f>STDEV(L1087:L1091)</f>
        <v>28987.7341</v>
      </c>
      <c r="N1088" s="15" t="b">
        <f t="shared" si="1"/>
        <v>0</v>
      </c>
    </row>
    <row r="1089" hidden="1">
      <c r="A1089" s="7" t="s">
        <v>224</v>
      </c>
      <c r="B1089" s="7" t="s">
        <v>17</v>
      </c>
      <c r="C1089" s="7">
        <v>1.0</v>
      </c>
      <c r="D1089" s="7">
        <v>0.1</v>
      </c>
      <c r="E1089" s="7">
        <v>8.0</v>
      </c>
      <c r="F1089" s="7">
        <v>189.837581157684</v>
      </c>
      <c r="G1089" s="7">
        <v>248.75094628334</v>
      </c>
      <c r="H1089" s="7">
        <v>2.0</v>
      </c>
      <c r="I1089" s="15">
        <v>0.465057173272364</v>
      </c>
      <c r="J1089" s="15">
        <v>0.161837903471781</v>
      </c>
      <c r="K1089" s="12">
        <f>AVERAGE(I1087:I1091)</f>
        <v>0.3780616712</v>
      </c>
      <c r="L1089" s="18">
        <v>18567.0</v>
      </c>
      <c r="M1089" s="14">
        <f>STDEV(L1087:L1091)</f>
        <v>28987.7341</v>
      </c>
      <c r="N1089" s="15" t="b">
        <f t="shared" si="1"/>
        <v>0</v>
      </c>
    </row>
    <row r="1090" hidden="1">
      <c r="A1090" s="7" t="s">
        <v>224</v>
      </c>
      <c r="B1090" s="7" t="s">
        <v>17</v>
      </c>
      <c r="C1090" s="7">
        <v>1.0</v>
      </c>
      <c r="D1090" s="7">
        <v>0.1</v>
      </c>
      <c r="E1090" s="7">
        <v>8.0</v>
      </c>
      <c r="F1090" s="7">
        <v>189.837581157684</v>
      </c>
      <c r="G1090" s="7">
        <v>248.75094628334</v>
      </c>
      <c r="H1090" s="7">
        <v>3.0</v>
      </c>
      <c r="I1090" s="15">
        <v>0.121212133685383</v>
      </c>
      <c r="J1090" s="15">
        <v>0.17159158929888</v>
      </c>
      <c r="K1090" s="12">
        <f>AVERAGE(I1087:I1091)</f>
        <v>0.3780616712</v>
      </c>
      <c r="L1090" s="18">
        <v>73939.0</v>
      </c>
      <c r="M1090" s="14">
        <f>STDEV(L1087:L1091)</f>
        <v>28987.7341</v>
      </c>
      <c r="N1090" s="15" t="b">
        <f t="shared" si="1"/>
        <v>0</v>
      </c>
    </row>
    <row r="1091" hidden="1">
      <c r="A1091" s="7" t="s">
        <v>224</v>
      </c>
      <c r="B1091" s="7" t="s">
        <v>17</v>
      </c>
      <c r="C1091" s="7">
        <v>1.0</v>
      </c>
      <c r="D1091" s="7">
        <v>0.1</v>
      </c>
      <c r="E1091" s="7">
        <v>8.0</v>
      </c>
      <c r="F1091" s="7">
        <v>189.837581157684</v>
      </c>
      <c r="G1091" s="7">
        <v>248.75094628334</v>
      </c>
      <c r="H1091" s="7">
        <v>4.0</v>
      </c>
      <c r="I1091" s="15">
        <v>0.858826313612774</v>
      </c>
      <c r="J1091" s="15">
        <v>0.105179949944875</v>
      </c>
      <c r="K1091" s="12">
        <f>AVERAGE(I1087:I1091)</f>
        <v>0.3780616712</v>
      </c>
      <c r="L1091" s="18">
        <v>597.0</v>
      </c>
      <c r="M1091" s="14">
        <f>STDEV(L1087:L1091)</f>
        <v>28987.7341</v>
      </c>
      <c r="N1091" s="15" t="b">
        <f t="shared" si="1"/>
        <v>0</v>
      </c>
    </row>
    <row r="1092" hidden="1">
      <c r="A1092" s="7" t="s">
        <v>225</v>
      </c>
      <c r="B1092" s="7" t="s">
        <v>17</v>
      </c>
      <c r="C1092" s="7">
        <v>1.0</v>
      </c>
      <c r="D1092" s="7">
        <v>0.1</v>
      </c>
      <c r="E1092" s="7">
        <v>9.0</v>
      </c>
      <c r="F1092" s="7">
        <v>79.240019083023</v>
      </c>
      <c r="G1092" s="7">
        <v>159.632578134536</v>
      </c>
      <c r="H1092" s="7">
        <v>0.0</v>
      </c>
      <c r="I1092" s="15">
        <v>0.87042302032593</v>
      </c>
      <c r="J1092" s="15">
        <v>0.0995820292801508</v>
      </c>
      <c r="K1092" s="12">
        <f>AVERAGE(I1092:I1096)</f>
        <v>0.5267951804</v>
      </c>
      <c r="L1092" s="18">
        <v>4451.0</v>
      </c>
      <c r="M1092" s="14">
        <f>STDEV(L1092:L1096)</f>
        <v>29730.98677</v>
      </c>
      <c r="N1092" s="15" t="b">
        <f t="shared" si="1"/>
        <v>0</v>
      </c>
    </row>
    <row r="1093" hidden="1">
      <c r="A1093" s="7" t="s">
        <v>225</v>
      </c>
      <c r="B1093" s="7" t="s">
        <v>17</v>
      </c>
      <c r="C1093" s="7">
        <v>1.0</v>
      </c>
      <c r="D1093" s="7">
        <v>0.1</v>
      </c>
      <c r="E1093" s="7">
        <v>9.0</v>
      </c>
      <c r="F1093" s="7">
        <v>79.240019083023</v>
      </c>
      <c r="G1093" s="7">
        <v>159.632578134536</v>
      </c>
      <c r="H1093" s="7">
        <v>1.0</v>
      </c>
      <c r="I1093" s="15">
        <v>0.0545149480525159</v>
      </c>
      <c r="J1093" s="15">
        <v>0.0491349228503551</v>
      </c>
      <c r="K1093" s="12">
        <f>AVERAGE(I1092:I1096)</f>
        <v>0.5267951804</v>
      </c>
      <c r="L1093" s="18">
        <v>56288.0</v>
      </c>
      <c r="M1093" s="14">
        <f>STDEV(L1092:L1096)</f>
        <v>29730.98677</v>
      </c>
      <c r="N1093" s="15" t="b">
        <f t="shared" si="1"/>
        <v>0</v>
      </c>
    </row>
    <row r="1094" hidden="1">
      <c r="A1094" s="7" t="s">
        <v>225</v>
      </c>
      <c r="B1094" s="7" t="s">
        <v>17</v>
      </c>
      <c r="C1094" s="7">
        <v>1.0</v>
      </c>
      <c r="D1094" s="7">
        <v>0.1</v>
      </c>
      <c r="E1094" s="7">
        <v>9.0</v>
      </c>
      <c r="F1094" s="7">
        <v>79.240019083023</v>
      </c>
      <c r="G1094" s="7">
        <v>159.632578134536</v>
      </c>
      <c r="H1094" s="7">
        <v>2.0</v>
      </c>
      <c r="I1094" s="15">
        <v>0.750859307314161</v>
      </c>
      <c r="J1094" s="15">
        <v>0.134683905832786</v>
      </c>
      <c r="K1094" s="12">
        <f>AVERAGE(I1092:I1096)</f>
        <v>0.5267951804</v>
      </c>
      <c r="L1094" s="18">
        <v>10321.0</v>
      </c>
      <c r="M1094" s="14">
        <f>STDEV(L1092:L1096)</f>
        <v>29730.98677</v>
      </c>
      <c r="N1094" s="15" t="b">
        <f t="shared" si="1"/>
        <v>0</v>
      </c>
    </row>
    <row r="1095" hidden="1">
      <c r="A1095" s="7" t="s">
        <v>225</v>
      </c>
      <c r="B1095" s="7" t="s">
        <v>17</v>
      </c>
      <c r="C1095" s="7">
        <v>1.0</v>
      </c>
      <c r="D1095" s="7">
        <v>0.1</v>
      </c>
      <c r="E1095" s="7">
        <v>9.0</v>
      </c>
      <c r="F1095" s="7">
        <v>79.240019083023</v>
      </c>
      <c r="G1095" s="7">
        <v>159.632578134536</v>
      </c>
      <c r="H1095" s="7">
        <v>3.0</v>
      </c>
      <c r="I1095" s="15">
        <v>0.817454580336086</v>
      </c>
      <c r="J1095" s="15">
        <v>0.11481837066895</v>
      </c>
      <c r="K1095" s="12">
        <f>AVERAGE(I1092:I1096)</f>
        <v>0.5267951804</v>
      </c>
      <c r="L1095" s="18">
        <v>5625.0</v>
      </c>
      <c r="M1095" s="14">
        <f>STDEV(L1092:L1096)</f>
        <v>29730.98677</v>
      </c>
      <c r="N1095" s="15" t="b">
        <f t="shared" si="1"/>
        <v>0</v>
      </c>
    </row>
    <row r="1096" hidden="1">
      <c r="A1096" s="7" t="s">
        <v>225</v>
      </c>
      <c r="B1096" s="7" t="s">
        <v>17</v>
      </c>
      <c r="C1096" s="7">
        <v>1.0</v>
      </c>
      <c r="D1096" s="7">
        <v>0.1</v>
      </c>
      <c r="E1096" s="7">
        <v>9.0</v>
      </c>
      <c r="F1096" s="7">
        <v>79.240019083023</v>
      </c>
      <c r="G1096" s="7">
        <v>159.632578134536</v>
      </c>
      <c r="H1096" s="7">
        <v>4.0</v>
      </c>
      <c r="I1096" s="15">
        <v>0.140724046055605</v>
      </c>
      <c r="J1096" s="15">
        <v>0.249727210609495</v>
      </c>
      <c r="K1096" s="12">
        <f>AVERAGE(I1092:I1096)</f>
        <v>0.5267951804</v>
      </c>
      <c r="L1096" s="18">
        <v>64991.0</v>
      </c>
      <c r="M1096" s="14">
        <f>STDEV(L1092:L1096)</f>
        <v>29730.98677</v>
      </c>
      <c r="N1096" s="15" t="b">
        <f t="shared" si="1"/>
        <v>0</v>
      </c>
    </row>
    <row r="1097" hidden="1">
      <c r="A1097" s="7" t="s">
        <v>226</v>
      </c>
      <c r="B1097" s="7" t="s">
        <v>17</v>
      </c>
      <c r="C1097" s="7">
        <v>1.0</v>
      </c>
      <c r="D1097" s="7">
        <v>0.1</v>
      </c>
      <c r="E1097" s="7">
        <v>10.0</v>
      </c>
      <c r="F1097" s="7">
        <v>96.502896785736</v>
      </c>
      <c r="G1097" s="7">
        <v>205.662008285522</v>
      </c>
      <c r="H1097" s="7">
        <v>0.0</v>
      </c>
      <c r="I1097" s="15">
        <v>0.754792831031482</v>
      </c>
      <c r="J1097" s="15">
        <v>0.136381184170015</v>
      </c>
      <c r="K1097" s="12">
        <f>AVERAGE(I1097:I1101)</f>
        <v>0.5500061261</v>
      </c>
      <c r="L1097" s="18">
        <v>10305.0</v>
      </c>
      <c r="M1097" s="14">
        <f>STDEV(L1097:L1101)</f>
        <v>39743.56274</v>
      </c>
      <c r="N1097" s="15" t="b">
        <f t="shared" si="1"/>
        <v>0</v>
      </c>
    </row>
    <row r="1098" hidden="1">
      <c r="A1098" s="7" t="s">
        <v>226</v>
      </c>
      <c r="B1098" s="7" t="s">
        <v>17</v>
      </c>
      <c r="C1098" s="7">
        <v>1.0</v>
      </c>
      <c r="D1098" s="7">
        <v>0.1</v>
      </c>
      <c r="E1098" s="7">
        <v>10.0</v>
      </c>
      <c r="F1098" s="7">
        <v>96.502896785736</v>
      </c>
      <c r="G1098" s="7">
        <v>205.662008285522</v>
      </c>
      <c r="H1098" s="7">
        <v>1.0</v>
      </c>
      <c r="I1098" s="15">
        <v>0.85261604348289</v>
      </c>
      <c r="J1098" s="15">
        <v>0.0881541694971679</v>
      </c>
      <c r="K1098" s="12">
        <f>AVERAGE(I1097:I1101)</f>
        <v>0.5500061261</v>
      </c>
      <c r="L1098" s="18">
        <v>5217.0</v>
      </c>
      <c r="M1098" s="14">
        <f>STDEV(L1097:L1101)</f>
        <v>39743.56274</v>
      </c>
      <c r="N1098" s="15" t="b">
        <f t="shared" si="1"/>
        <v>0</v>
      </c>
    </row>
    <row r="1099" hidden="1">
      <c r="A1099" s="7" t="s">
        <v>226</v>
      </c>
      <c r="B1099" s="7" t="s">
        <v>17</v>
      </c>
      <c r="C1099" s="7">
        <v>1.0</v>
      </c>
      <c r="D1099" s="7">
        <v>0.1</v>
      </c>
      <c r="E1099" s="7">
        <v>10.0</v>
      </c>
      <c r="F1099" s="7">
        <v>96.502896785736</v>
      </c>
      <c r="G1099" s="7">
        <v>205.662008285522</v>
      </c>
      <c r="H1099" s="7">
        <v>2.0</v>
      </c>
      <c r="I1099" s="15">
        <v>0.00641440840639082</v>
      </c>
      <c r="J1099" s="15">
        <v>0.167819690799505</v>
      </c>
      <c r="K1099" s="12">
        <f>AVERAGE(I1097:I1101)</f>
        <v>0.5500061261</v>
      </c>
      <c r="L1099" s="18">
        <v>97077.0</v>
      </c>
      <c r="M1099" s="14">
        <f>STDEV(L1097:L1101)</f>
        <v>39743.56274</v>
      </c>
      <c r="N1099" s="15" t="b">
        <f t="shared" si="1"/>
        <v>0</v>
      </c>
    </row>
    <row r="1100" hidden="1">
      <c r="A1100" s="7" t="s">
        <v>226</v>
      </c>
      <c r="B1100" s="7" t="s">
        <v>17</v>
      </c>
      <c r="C1100" s="7">
        <v>1.0</v>
      </c>
      <c r="D1100" s="7">
        <v>0.1</v>
      </c>
      <c r="E1100" s="7">
        <v>10.0</v>
      </c>
      <c r="F1100" s="7">
        <v>96.502896785736</v>
      </c>
      <c r="G1100" s="7">
        <v>205.662008285522</v>
      </c>
      <c r="H1100" s="7">
        <v>3.0</v>
      </c>
      <c r="I1100" s="15">
        <v>0.397129951839904</v>
      </c>
      <c r="J1100" s="15">
        <v>0.0637691442626481</v>
      </c>
      <c r="K1100" s="12">
        <f>AVERAGE(I1097:I1101)</f>
        <v>0.5500061261</v>
      </c>
      <c r="L1100" s="18">
        <v>27815.0</v>
      </c>
      <c r="M1100" s="14">
        <f>STDEV(L1097:L1101)</f>
        <v>39743.56274</v>
      </c>
      <c r="N1100" s="15" t="b">
        <f t="shared" si="1"/>
        <v>0</v>
      </c>
    </row>
    <row r="1101" hidden="1">
      <c r="A1101" s="7" t="s">
        <v>226</v>
      </c>
      <c r="B1101" s="7" t="s">
        <v>17</v>
      </c>
      <c r="C1101" s="7">
        <v>1.0</v>
      </c>
      <c r="D1101" s="7">
        <v>0.1</v>
      </c>
      <c r="E1101" s="7">
        <v>10.0</v>
      </c>
      <c r="F1101" s="7">
        <v>96.502896785736</v>
      </c>
      <c r="G1101" s="7">
        <v>205.662008285522</v>
      </c>
      <c r="H1101" s="7">
        <v>4.0</v>
      </c>
      <c r="I1101" s="15">
        <v>0.739077395722005</v>
      </c>
      <c r="J1101" s="15">
        <v>0.162649530781531</v>
      </c>
      <c r="K1101" s="12">
        <f>AVERAGE(I1097:I1101)</f>
        <v>0.5500061261</v>
      </c>
      <c r="L1101" s="18">
        <v>1262.0</v>
      </c>
      <c r="M1101" s="14">
        <f>STDEV(L1097:L1101)</f>
        <v>39743.56274</v>
      </c>
      <c r="N1101" s="15" t="b">
        <f t="shared" si="1"/>
        <v>0</v>
      </c>
    </row>
    <row r="1102" hidden="1">
      <c r="A1102" s="7" t="s">
        <v>227</v>
      </c>
      <c r="B1102" s="7" t="s">
        <v>17</v>
      </c>
      <c r="C1102" s="7">
        <v>1.0</v>
      </c>
      <c r="D1102" s="7">
        <v>0.25</v>
      </c>
      <c r="E1102" s="7">
        <v>1.0</v>
      </c>
      <c r="F1102" s="7">
        <v>240.92090177536</v>
      </c>
      <c r="G1102" s="7">
        <v>346.261936664581</v>
      </c>
      <c r="H1102" s="7">
        <v>0.0</v>
      </c>
      <c r="I1102" s="15">
        <v>0.0503206031815589</v>
      </c>
      <c r="J1102" s="15">
        <v>0.0333504699449042</v>
      </c>
      <c r="K1102" s="12">
        <f>AVERAGE(I1102:I1106)</f>
        <v>0.4789157059</v>
      </c>
      <c r="L1102" s="18">
        <v>41271.0</v>
      </c>
      <c r="M1102" s="14">
        <f>STDEV(L1102:L1106)</f>
        <v>34558.14298</v>
      </c>
      <c r="N1102" s="15" t="b">
        <f t="shared" si="1"/>
        <v>0</v>
      </c>
    </row>
    <row r="1103" hidden="1">
      <c r="A1103" s="7" t="s">
        <v>227</v>
      </c>
      <c r="B1103" s="7" t="s">
        <v>17</v>
      </c>
      <c r="C1103" s="7">
        <v>1.0</v>
      </c>
      <c r="D1103" s="7">
        <v>0.25</v>
      </c>
      <c r="E1103" s="7">
        <v>1.0</v>
      </c>
      <c r="F1103" s="7">
        <v>240.92090177536</v>
      </c>
      <c r="G1103" s="7">
        <v>346.261936664581</v>
      </c>
      <c r="H1103" s="7">
        <v>1.0</v>
      </c>
      <c r="I1103" s="15">
        <v>0.750799698764405</v>
      </c>
      <c r="J1103" s="15">
        <v>0.13732176859567</v>
      </c>
      <c r="K1103" s="12">
        <f>AVERAGE(I1102:I1106)</f>
        <v>0.4789157059</v>
      </c>
      <c r="L1103" s="18">
        <v>9953.0</v>
      </c>
      <c r="M1103" s="14">
        <f>STDEV(L1102:L1106)</f>
        <v>34558.14298</v>
      </c>
      <c r="N1103" s="15" t="b">
        <f t="shared" si="1"/>
        <v>0</v>
      </c>
    </row>
    <row r="1104" hidden="1">
      <c r="A1104" s="7" t="s">
        <v>227</v>
      </c>
      <c r="B1104" s="7" t="s">
        <v>17</v>
      </c>
      <c r="C1104" s="7">
        <v>1.0</v>
      </c>
      <c r="D1104" s="7">
        <v>0.25</v>
      </c>
      <c r="E1104" s="7">
        <v>1.0</v>
      </c>
      <c r="F1104" s="7">
        <v>240.92090177536</v>
      </c>
      <c r="G1104" s="7">
        <v>346.261936664581</v>
      </c>
      <c r="H1104" s="7">
        <v>2.0</v>
      </c>
      <c r="I1104" s="15">
        <v>0.850824974348147</v>
      </c>
      <c r="J1104" s="15">
        <v>0.0926935359437862</v>
      </c>
      <c r="K1104" s="12">
        <f>AVERAGE(I1102:I1106)</f>
        <v>0.4789157059</v>
      </c>
      <c r="L1104" s="18">
        <v>5073.0</v>
      </c>
      <c r="M1104" s="14">
        <f>STDEV(L1102:L1106)</f>
        <v>34558.14298</v>
      </c>
      <c r="N1104" s="15" t="b">
        <f t="shared" si="1"/>
        <v>0</v>
      </c>
    </row>
    <row r="1105" hidden="1">
      <c r="A1105" s="7" t="s">
        <v>227</v>
      </c>
      <c r="B1105" s="7" t="s">
        <v>17</v>
      </c>
      <c r="C1105" s="7">
        <v>1.0</v>
      </c>
      <c r="D1105" s="7">
        <v>0.25</v>
      </c>
      <c r="E1105" s="7">
        <v>1.0</v>
      </c>
      <c r="F1105" s="7">
        <v>240.92090177536</v>
      </c>
      <c r="G1105" s="7">
        <v>346.261936664581</v>
      </c>
      <c r="H1105" s="7">
        <v>3.0</v>
      </c>
      <c r="I1105" s="15">
        <v>0.0953474239223046</v>
      </c>
      <c r="J1105" s="15">
        <v>0.203240719134634</v>
      </c>
      <c r="K1105" s="12">
        <f>AVERAGE(I1102:I1106)</f>
        <v>0.4789157059</v>
      </c>
      <c r="L1105" s="18">
        <v>83424.0</v>
      </c>
      <c r="M1105" s="14">
        <f>STDEV(L1102:L1106)</f>
        <v>34558.14298</v>
      </c>
      <c r="N1105" s="15" t="b">
        <f t="shared" si="1"/>
        <v>0</v>
      </c>
    </row>
    <row r="1106" hidden="1">
      <c r="A1106" s="7" t="s">
        <v>227</v>
      </c>
      <c r="B1106" s="7" t="s">
        <v>17</v>
      </c>
      <c r="C1106" s="7">
        <v>1.0</v>
      </c>
      <c r="D1106" s="7">
        <v>0.25</v>
      </c>
      <c r="E1106" s="7">
        <v>1.0</v>
      </c>
      <c r="F1106" s="7">
        <v>240.92090177536</v>
      </c>
      <c r="G1106" s="7">
        <v>346.261936664581</v>
      </c>
      <c r="H1106" s="7">
        <v>4.0</v>
      </c>
      <c r="I1106" s="15">
        <v>0.647285829453721</v>
      </c>
      <c r="J1106" s="15">
        <v>0.124335845223613</v>
      </c>
      <c r="K1106" s="12">
        <f>AVERAGE(I1102:I1106)</f>
        <v>0.4789157059</v>
      </c>
      <c r="L1106" s="18">
        <v>1955.0</v>
      </c>
      <c r="M1106" s="14">
        <f>STDEV(L1102:L1106)</f>
        <v>34558.14298</v>
      </c>
      <c r="N1106" s="15" t="b">
        <f t="shared" si="1"/>
        <v>0</v>
      </c>
    </row>
    <row r="1107" hidden="1">
      <c r="A1107" s="7" t="s">
        <v>228</v>
      </c>
      <c r="B1107" s="24" t="s">
        <v>17</v>
      </c>
      <c r="C1107" s="24">
        <v>1.0</v>
      </c>
      <c r="D1107" s="24">
        <v>0.25</v>
      </c>
      <c r="E1107" s="24">
        <v>2.0</v>
      </c>
      <c r="F1107" s="7">
        <v>130.728809356689</v>
      </c>
      <c r="G1107" s="7">
        <v>219.564658880233</v>
      </c>
      <c r="H1107" s="7">
        <v>0.0</v>
      </c>
      <c r="I1107" s="15">
        <v>0.82020141614331</v>
      </c>
      <c r="J1107" s="15">
        <v>0.113532365318462</v>
      </c>
      <c r="K1107" s="12">
        <f>AVERAGE(I1107:I1111)</f>
        <v>0.591024664</v>
      </c>
      <c r="L1107" s="18">
        <v>5572.0</v>
      </c>
      <c r="M1107" s="14">
        <f>STDEV(L1107:L1111)</f>
        <v>39540.67371</v>
      </c>
      <c r="N1107" s="15" t="b">
        <f t="shared" si="1"/>
        <v>0</v>
      </c>
    </row>
    <row r="1108" hidden="1">
      <c r="A1108" s="7" t="s">
        <v>228</v>
      </c>
      <c r="B1108" s="24" t="s">
        <v>17</v>
      </c>
      <c r="C1108" s="24">
        <v>1.0</v>
      </c>
      <c r="D1108" s="24">
        <v>0.25</v>
      </c>
      <c r="E1108" s="24">
        <v>2.0</v>
      </c>
      <c r="F1108" s="7">
        <v>130.728809356689</v>
      </c>
      <c r="G1108" s="7">
        <v>219.564658880233</v>
      </c>
      <c r="H1108" s="7">
        <v>1.0</v>
      </c>
      <c r="I1108" s="15">
        <v>0.427822737640739</v>
      </c>
      <c r="J1108" s="15">
        <v>0.121297450966597</v>
      </c>
      <c r="K1108" s="12">
        <f>AVERAGE(I1107:I1111)</f>
        <v>0.591024664</v>
      </c>
      <c r="L1108" s="18">
        <v>22254.0</v>
      </c>
      <c r="M1108" s="14">
        <f>STDEV(L1107:L1111)</f>
        <v>39540.67371</v>
      </c>
      <c r="N1108" s="15" t="b">
        <f t="shared" si="1"/>
        <v>0</v>
      </c>
    </row>
    <row r="1109" hidden="1">
      <c r="A1109" s="7" t="s">
        <v>228</v>
      </c>
      <c r="B1109" s="24" t="s">
        <v>17</v>
      </c>
      <c r="C1109" s="24">
        <v>1.0</v>
      </c>
      <c r="D1109" s="24">
        <v>0.25</v>
      </c>
      <c r="E1109" s="24">
        <v>2.0</v>
      </c>
      <c r="F1109" s="7">
        <v>130.728809356689</v>
      </c>
      <c r="G1109" s="7">
        <v>219.564658880233</v>
      </c>
      <c r="H1109" s="7">
        <v>2.0</v>
      </c>
      <c r="I1109" s="15">
        <v>0.00159334694319905</v>
      </c>
      <c r="J1109" s="15">
        <v>0.176000149390031</v>
      </c>
      <c r="K1109" s="12">
        <f>AVERAGE(I1107:I1111)</f>
        <v>0.591024664</v>
      </c>
      <c r="L1109" s="18">
        <v>97651.0</v>
      </c>
      <c r="M1109" s="14">
        <f>STDEV(L1107:L1111)</f>
        <v>39540.67371</v>
      </c>
      <c r="N1109" s="15" t="b">
        <f t="shared" si="1"/>
        <v>0</v>
      </c>
    </row>
    <row r="1110" hidden="1">
      <c r="A1110" s="7" t="s">
        <v>228</v>
      </c>
      <c r="B1110" s="24" t="s">
        <v>17</v>
      </c>
      <c r="C1110" s="24">
        <v>1.0</v>
      </c>
      <c r="D1110" s="24">
        <v>0.25</v>
      </c>
      <c r="E1110" s="24">
        <v>2.0</v>
      </c>
      <c r="F1110" s="7">
        <v>130.728809356689</v>
      </c>
      <c r="G1110" s="7">
        <v>219.564658880233</v>
      </c>
      <c r="H1110" s="7">
        <v>3.0</v>
      </c>
      <c r="I1110" s="15">
        <v>0.807585089152048</v>
      </c>
      <c r="J1110" s="15">
        <v>0.0970710731475977</v>
      </c>
      <c r="K1110" s="12">
        <f>AVERAGE(I1107:I1111)</f>
        <v>0.591024664</v>
      </c>
      <c r="L1110" s="18">
        <v>14226.0</v>
      </c>
      <c r="M1110" s="14">
        <f>STDEV(L1107:L1111)</f>
        <v>39540.67371</v>
      </c>
      <c r="N1110" s="15" t="b">
        <f t="shared" si="1"/>
        <v>0</v>
      </c>
    </row>
    <row r="1111" hidden="1">
      <c r="A1111" s="7" t="s">
        <v>228</v>
      </c>
      <c r="B1111" s="24" t="s">
        <v>17</v>
      </c>
      <c r="C1111" s="24">
        <v>1.0</v>
      </c>
      <c r="D1111" s="24">
        <v>0.25</v>
      </c>
      <c r="E1111" s="24">
        <v>2.0</v>
      </c>
      <c r="F1111" s="7">
        <v>130.728809356689</v>
      </c>
      <c r="G1111" s="7">
        <v>219.564658880233</v>
      </c>
      <c r="H1111" s="7">
        <v>4.0</v>
      </c>
      <c r="I1111" s="15">
        <v>0.897920730349111</v>
      </c>
      <c r="J1111" s="15">
        <v>0.116765889204798</v>
      </c>
      <c r="K1111" s="12">
        <f>AVERAGE(I1107:I1111)</f>
        <v>0.591024664</v>
      </c>
      <c r="L1111" s="18">
        <v>1973.0</v>
      </c>
      <c r="M1111" s="14">
        <f>STDEV(L1107:L1111)</f>
        <v>39540.67371</v>
      </c>
      <c r="N1111" s="15" t="b">
        <f t="shared" si="1"/>
        <v>0</v>
      </c>
    </row>
    <row r="1112" hidden="1">
      <c r="A1112" s="7" t="s">
        <v>229</v>
      </c>
      <c r="B1112" s="7" t="s">
        <v>17</v>
      </c>
      <c r="C1112" s="7">
        <v>1.0</v>
      </c>
      <c r="D1112" s="7">
        <v>0.25</v>
      </c>
      <c r="E1112" s="7">
        <v>3.0</v>
      </c>
      <c r="F1112" s="7">
        <v>138.747268676757</v>
      </c>
      <c r="G1112" s="7">
        <v>214.090088367462</v>
      </c>
      <c r="H1112" s="7">
        <v>0.0</v>
      </c>
      <c r="I1112" s="15">
        <v>0.797808535523663</v>
      </c>
      <c r="J1112" s="15">
        <v>0.111294831306093</v>
      </c>
      <c r="K1112" s="12">
        <f>AVERAGE(I1112:I1116)</f>
        <v>0.5413086736</v>
      </c>
      <c r="L1112" s="18">
        <v>11811.0</v>
      </c>
      <c r="M1112" s="14">
        <f>STDEV(L1112:L1116)</f>
        <v>33393.07637</v>
      </c>
      <c r="N1112" s="15" t="b">
        <f t="shared" si="1"/>
        <v>0</v>
      </c>
    </row>
    <row r="1113" hidden="1">
      <c r="A1113" s="7" t="s">
        <v>229</v>
      </c>
      <c r="B1113" s="7" t="s">
        <v>17</v>
      </c>
      <c r="C1113" s="7">
        <v>1.0</v>
      </c>
      <c r="D1113" s="7">
        <v>0.25</v>
      </c>
      <c r="E1113" s="7">
        <v>3.0</v>
      </c>
      <c r="F1113" s="7">
        <v>138.747268676757</v>
      </c>
      <c r="G1113" s="7">
        <v>214.090088367462</v>
      </c>
      <c r="H1113" s="7">
        <v>1.0</v>
      </c>
      <c r="I1113" s="15">
        <v>0.820489479051762</v>
      </c>
      <c r="J1113" s="15">
        <v>0.115723288359077</v>
      </c>
      <c r="K1113" s="12">
        <f>AVERAGE(I1112:I1116)</f>
        <v>0.5413086736</v>
      </c>
      <c r="L1113" s="18">
        <v>5557.0</v>
      </c>
      <c r="M1113" s="14">
        <f>STDEV(L1112:L1116)</f>
        <v>33393.07637</v>
      </c>
      <c r="N1113" s="15" t="b">
        <f t="shared" si="1"/>
        <v>0</v>
      </c>
    </row>
    <row r="1114" hidden="1">
      <c r="A1114" s="7" t="s">
        <v>229</v>
      </c>
      <c r="B1114" s="7" t="s">
        <v>17</v>
      </c>
      <c r="C1114" s="7">
        <v>1.0</v>
      </c>
      <c r="D1114" s="7">
        <v>0.25</v>
      </c>
      <c r="E1114" s="7">
        <v>3.0</v>
      </c>
      <c r="F1114" s="7">
        <v>138.747268676757</v>
      </c>
      <c r="G1114" s="7">
        <v>214.090088367462</v>
      </c>
      <c r="H1114" s="7">
        <v>2.0</v>
      </c>
      <c r="I1114" s="15">
        <v>-0.0330748386662805</v>
      </c>
      <c r="J1114" s="15">
        <v>0.19581477042627</v>
      </c>
      <c r="K1114" s="12">
        <f>AVERAGE(I1112:I1116)</f>
        <v>0.5413086736</v>
      </c>
      <c r="L1114" s="18">
        <v>83518.0</v>
      </c>
      <c r="M1114" s="14">
        <f>STDEV(L1112:L1116)</f>
        <v>33393.07637</v>
      </c>
      <c r="N1114" s="15" t="b">
        <f t="shared" si="1"/>
        <v>0</v>
      </c>
    </row>
    <row r="1115" hidden="1">
      <c r="A1115" s="7" t="s">
        <v>229</v>
      </c>
      <c r="B1115" s="7" t="s">
        <v>17</v>
      </c>
      <c r="C1115" s="7">
        <v>1.0</v>
      </c>
      <c r="D1115" s="7">
        <v>0.25</v>
      </c>
      <c r="E1115" s="7">
        <v>3.0</v>
      </c>
      <c r="F1115" s="7">
        <v>138.747268676757</v>
      </c>
      <c r="G1115" s="7">
        <v>214.090088367462</v>
      </c>
      <c r="H1115" s="7">
        <v>3.0</v>
      </c>
      <c r="I1115" s="15">
        <v>0.280888945400955</v>
      </c>
      <c r="J1115" s="15">
        <v>0.0688686169041281</v>
      </c>
      <c r="K1115" s="12">
        <f>AVERAGE(I1112:I1116)</f>
        <v>0.5413086736</v>
      </c>
      <c r="L1115" s="18">
        <v>36163.0</v>
      </c>
      <c r="M1115" s="14">
        <f>STDEV(L1112:L1116)</f>
        <v>33393.07637</v>
      </c>
      <c r="N1115" s="15" t="b">
        <f t="shared" si="1"/>
        <v>0</v>
      </c>
    </row>
    <row r="1116" hidden="1">
      <c r="A1116" s="7" t="s">
        <v>229</v>
      </c>
      <c r="B1116" s="7" t="s">
        <v>17</v>
      </c>
      <c r="C1116" s="7">
        <v>1.0</v>
      </c>
      <c r="D1116" s="7">
        <v>0.25</v>
      </c>
      <c r="E1116" s="7">
        <v>3.0</v>
      </c>
      <c r="F1116" s="7">
        <v>138.747268676757</v>
      </c>
      <c r="G1116" s="7">
        <v>214.090088367462</v>
      </c>
      <c r="H1116" s="7">
        <v>4.0</v>
      </c>
      <c r="I1116" s="15">
        <v>0.840431246779919</v>
      </c>
      <c r="J1116" s="15">
        <v>0.0991828944941187</v>
      </c>
      <c r="K1116" s="12">
        <f>AVERAGE(I1112:I1116)</f>
        <v>0.5413086736</v>
      </c>
      <c r="L1116" s="18">
        <v>4627.0</v>
      </c>
      <c r="M1116" s="14">
        <f>STDEV(L1112:L1116)</f>
        <v>33393.07637</v>
      </c>
      <c r="N1116" s="15" t="b">
        <f t="shared" si="1"/>
        <v>0</v>
      </c>
    </row>
    <row r="1117" hidden="1">
      <c r="A1117" s="7" t="s">
        <v>230</v>
      </c>
      <c r="B1117" s="7" t="s">
        <v>17</v>
      </c>
      <c r="C1117" s="7">
        <v>1.0</v>
      </c>
      <c r="D1117" s="7">
        <v>0.25</v>
      </c>
      <c r="E1117" s="7">
        <v>4.0</v>
      </c>
      <c r="F1117" s="7">
        <v>336.067373752594</v>
      </c>
      <c r="G1117" s="7">
        <v>438.245797634124</v>
      </c>
      <c r="H1117" s="7">
        <v>0.0</v>
      </c>
      <c r="I1117" s="15">
        <v>0.852568147637135</v>
      </c>
      <c r="J1117" s="15">
        <v>0.0894115508183764</v>
      </c>
      <c r="K1117" s="12">
        <f>AVERAGE(I1117:I1121)</f>
        <v>0.5236213601</v>
      </c>
      <c r="L1117" s="18">
        <v>5073.0</v>
      </c>
      <c r="M1117" s="14">
        <f>STDEV(L1117:L1121)</f>
        <v>32669.39435</v>
      </c>
      <c r="N1117" s="15" t="b">
        <f t="shared" si="1"/>
        <v>0</v>
      </c>
    </row>
    <row r="1118" hidden="1">
      <c r="A1118" s="7" t="s">
        <v>230</v>
      </c>
      <c r="B1118" s="7" t="s">
        <v>17</v>
      </c>
      <c r="C1118" s="7">
        <v>1.0</v>
      </c>
      <c r="D1118" s="7">
        <v>0.25</v>
      </c>
      <c r="E1118" s="7">
        <v>4.0</v>
      </c>
      <c r="F1118" s="7">
        <v>336.067373752594</v>
      </c>
      <c r="G1118" s="7">
        <v>438.245797634124</v>
      </c>
      <c r="H1118" s="7">
        <v>1.0</v>
      </c>
      <c r="I1118" s="15">
        <v>0.219386413987639</v>
      </c>
      <c r="J1118" s="15">
        <v>0.0615950139911435</v>
      </c>
      <c r="K1118" s="12">
        <f>AVERAGE(I1117:I1121)</f>
        <v>0.5236213601</v>
      </c>
      <c r="L1118" s="18">
        <v>43277.0</v>
      </c>
      <c r="M1118" s="14">
        <f>STDEV(L1117:L1121)</f>
        <v>32669.39435</v>
      </c>
      <c r="N1118" s="15" t="b">
        <f t="shared" si="1"/>
        <v>0</v>
      </c>
    </row>
    <row r="1119" hidden="1">
      <c r="A1119" s="7" t="s">
        <v>230</v>
      </c>
      <c r="B1119" s="7" t="s">
        <v>17</v>
      </c>
      <c r="C1119" s="7">
        <v>1.0</v>
      </c>
      <c r="D1119" s="7">
        <v>0.25</v>
      </c>
      <c r="E1119" s="7">
        <v>4.0</v>
      </c>
      <c r="F1119" s="7">
        <v>336.067373752594</v>
      </c>
      <c r="G1119" s="7">
        <v>438.245797634124</v>
      </c>
      <c r="H1119" s="7">
        <v>2.0</v>
      </c>
      <c r="I1119" s="15">
        <v>0.829694719643013</v>
      </c>
      <c r="J1119" s="15">
        <v>0.11058120834071</v>
      </c>
      <c r="K1119" s="12">
        <f>AVERAGE(I1117:I1121)</f>
        <v>0.5236213601</v>
      </c>
      <c r="L1119" s="18">
        <v>4223.0</v>
      </c>
      <c r="M1119" s="14">
        <f>STDEV(L1117:L1121)</f>
        <v>32669.39435</v>
      </c>
      <c r="N1119" s="15" t="b">
        <f t="shared" si="1"/>
        <v>0</v>
      </c>
    </row>
    <row r="1120" hidden="1">
      <c r="A1120" s="7" t="s">
        <v>230</v>
      </c>
      <c r="B1120" s="7" t="s">
        <v>17</v>
      </c>
      <c r="C1120" s="7">
        <v>1.0</v>
      </c>
      <c r="D1120" s="7">
        <v>0.25</v>
      </c>
      <c r="E1120" s="7">
        <v>4.0</v>
      </c>
      <c r="F1120" s="7">
        <v>336.067373752594</v>
      </c>
      <c r="G1120" s="7">
        <v>438.245797634124</v>
      </c>
      <c r="H1120" s="7">
        <v>3.0</v>
      </c>
      <c r="I1120" s="15">
        <v>-0.0375245304172678</v>
      </c>
      <c r="J1120" s="15">
        <v>0.202098035578866</v>
      </c>
      <c r="K1120" s="12">
        <f>AVERAGE(I1117:I1121)</f>
        <v>0.5236213601</v>
      </c>
      <c r="L1120" s="18">
        <v>79174.0</v>
      </c>
      <c r="M1120" s="14">
        <f>STDEV(L1117:L1121)</f>
        <v>32669.39435</v>
      </c>
      <c r="N1120" s="15" t="b">
        <f t="shared" si="1"/>
        <v>0</v>
      </c>
    </row>
    <row r="1121" hidden="1">
      <c r="A1121" s="7" t="s">
        <v>230</v>
      </c>
      <c r="B1121" s="7" t="s">
        <v>17</v>
      </c>
      <c r="C1121" s="7">
        <v>1.0</v>
      </c>
      <c r="D1121" s="7">
        <v>0.25</v>
      </c>
      <c r="E1121" s="7">
        <v>4.0</v>
      </c>
      <c r="F1121" s="7">
        <v>336.067373752594</v>
      </c>
      <c r="G1121" s="7">
        <v>438.245797634124</v>
      </c>
      <c r="H1121" s="7">
        <v>4.0</v>
      </c>
      <c r="I1121" s="15">
        <v>0.753982049704985</v>
      </c>
      <c r="J1121" s="15">
        <v>0.135805698127455</v>
      </c>
      <c r="K1121" s="12">
        <f>AVERAGE(I1117:I1121)</f>
        <v>0.5236213601</v>
      </c>
      <c r="L1121" s="18">
        <v>9929.0</v>
      </c>
      <c r="M1121" s="14">
        <f>STDEV(L1117:L1121)</f>
        <v>32669.39435</v>
      </c>
      <c r="N1121" s="15" t="b">
        <f t="shared" si="1"/>
        <v>0</v>
      </c>
    </row>
    <row r="1122" hidden="1">
      <c r="A1122" s="7" t="s">
        <v>231</v>
      </c>
      <c r="B1122" s="7" t="s">
        <v>17</v>
      </c>
      <c r="C1122" s="7">
        <v>1.0</v>
      </c>
      <c r="D1122" s="7">
        <v>0.25</v>
      </c>
      <c r="E1122" s="7">
        <v>5.0</v>
      </c>
      <c r="F1122" s="7">
        <v>327.018525600433</v>
      </c>
      <c r="G1122" s="7">
        <v>431.924121856689</v>
      </c>
      <c r="H1122" s="7">
        <v>0.0</v>
      </c>
      <c r="I1122" s="15">
        <v>0.821686893439536</v>
      </c>
      <c r="J1122" s="15">
        <v>0.129257431577822</v>
      </c>
      <c r="K1122" s="12">
        <f>AVERAGE(I1122:I1126)</f>
        <v>0.412951595</v>
      </c>
      <c r="L1122" s="18">
        <v>1380.0</v>
      </c>
      <c r="M1122" s="14">
        <f>STDEV(L1122:L1126)</f>
        <v>31132.46595</v>
      </c>
      <c r="N1122" s="15" t="b">
        <f t="shared" si="1"/>
        <v>0</v>
      </c>
    </row>
    <row r="1123" hidden="1">
      <c r="A1123" s="7" t="s">
        <v>231</v>
      </c>
      <c r="B1123" s="7" t="s">
        <v>17</v>
      </c>
      <c r="C1123" s="7">
        <v>1.0</v>
      </c>
      <c r="D1123" s="7">
        <v>0.25</v>
      </c>
      <c r="E1123" s="7">
        <v>5.0</v>
      </c>
      <c r="F1123" s="7">
        <v>327.018525600433</v>
      </c>
      <c r="G1123" s="7">
        <v>431.924121856689</v>
      </c>
      <c r="H1123" s="7">
        <v>1.0</v>
      </c>
      <c r="I1123" s="15">
        <v>0.47755940013783</v>
      </c>
      <c r="J1123" s="15">
        <v>0.160898467879725</v>
      </c>
      <c r="K1123" s="12">
        <f>AVERAGE(I1122:I1126)</f>
        <v>0.412951595</v>
      </c>
      <c r="L1123" s="18">
        <v>16065.0</v>
      </c>
      <c r="M1123" s="14">
        <f>STDEV(L1122:L1126)</f>
        <v>31132.46595</v>
      </c>
      <c r="N1123" s="15" t="b">
        <f t="shared" si="1"/>
        <v>0</v>
      </c>
    </row>
    <row r="1124" hidden="1">
      <c r="A1124" s="7" t="s">
        <v>231</v>
      </c>
      <c r="B1124" s="7" t="s">
        <v>17</v>
      </c>
      <c r="C1124" s="7">
        <v>1.0</v>
      </c>
      <c r="D1124" s="7">
        <v>0.25</v>
      </c>
      <c r="E1124" s="7">
        <v>5.0</v>
      </c>
      <c r="F1124" s="7">
        <v>327.018525600433</v>
      </c>
      <c r="G1124" s="7">
        <v>431.924121856689</v>
      </c>
      <c r="H1124" s="7">
        <v>2.0</v>
      </c>
      <c r="I1124" s="15">
        <v>0.399650973744646</v>
      </c>
      <c r="J1124" s="15">
        <v>0.0628506552105584</v>
      </c>
      <c r="K1124" s="12">
        <f>AVERAGE(I1122:I1126)</f>
        <v>0.412951595</v>
      </c>
      <c r="L1124" s="18">
        <v>27267.0</v>
      </c>
      <c r="M1124" s="14">
        <f>STDEV(L1122:L1126)</f>
        <v>31132.46595</v>
      </c>
      <c r="N1124" s="15" t="b">
        <f t="shared" si="1"/>
        <v>0</v>
      </c>
    </row>
    <row r="1125" hidden="1">
      <c r="A1125" s="7" t="s">
        <v>231</v>
      </c>
      <c r="B1125" s="7" t="s">
        <v>17</v>
      </c>
      <c r="C1125" s="7">
        <v>1.0</v>
      </c>
      <c r="D1125" s="7">
        <v>0.25</v>
      </c>
      <c r="E1125" s="7">
        <v>5.0</v>
      </c>
      <c r="F1125" s="7">
        <v>327.018525600433</v>
      </c>
      <c r="G1125" s="7">
        <v>431.924121856689</v>
      </c>
      <c r="H1125" s="7">
        <v>3.0</v>
      </c>
      <c r="I1125" s="15">
        <v>0.392169678460383</v>
      </c>
      <c r="J1125" s="15">
        <v>0.0924676863467407</v>
      </c>
      <c r="K1125" s="12">
        <f>AVERAGE(I1122:I1126)</f>
        <v>0.412951595</v>
      </c>
      <c r="L1125" s="18">
        <v>15415.0</v>
      </c>
      <c r="M1125" s="14">
        <f>STDEV(L1122:L1126)</f>
        <v>31132.46595</v>
      </c>
      <c r="N1125" s="15" t="b">
        <f t="shared" si="1"/>
        <v>0</v>
      </c>
    </row>
    <row r="1126" hidden="1">
      <c r="A1126" s="7" t="s">
        <v>231</v>
      </c>
      <c r="B1126" s="7" t="s">
        <v>17</v>
      </c>
      <c r="C1126" s="7">
        <v>1.0</v>
      </c>
      <c r="D1126" s="7">
        <v>0.25</v>
      </c>
      <c r="E1126" s="7">
        <v>5.0</v>
      </c>
      <c r="F1126" s="7">
        <v>327.018525600433</v>
      </c>
      <c r="G1126" s="7">
        <v>431.924121856689</v>
      </c>
      <c r="H1126" s="7">
        <v>4.0</v>
      </c>
      <c r="I1126" s="15">
        <v>-0.0263089705939119</v>
      </c>
      <c r="J1126" s="15">
        <v>0.161051167167969</v>
      </c>
      <c r="K1126" s="12">
        <f>AVERAGE(I1122:I1126)</f>
        <v>0.412951595</v>
      </c>
      <c r="L1126" s="18">
        <v>81549.0</v>
      </c>
      <c r="M1126" s="14">
        <f>STDEV(L1122:L1126)</f>
        <v>31132.46595</v>
      </c>
      <c r="N1126" s="15" t="b">
        <f t="shared" si="1"/>
        <v>0</v>
      </c>
    </row>
    <row r="1127" hidden="1">
      <c r="A1127" s="7" t="s">
        <v>232</v>
      </c>
      <c r="B1127" s="21" t="s">
        <v>17</v>
      </c>
      <c r="C1127" s="21">
        <v>1.0</v>
      </c>
      <c r="D1127" s="21">
        <v>0.25</v>
      </c>
      <c r="E1127" s="21">
        <v>6.0</v>
      </c>
      <c r="F1127" s="7">
        <v>88.4234089851379</v>
      </c>
      <c r="G1127" s="7">
        <v>177.924452543258</v>
      </c>
      <c r="H1127" s="7">
        <v>0.0</v>
      </c>
      <c r="I1127" s="15">
        <v>0.840820577608119</v>
      </c>
      <c r="J1127" s="15">
        <v>0.0984404221357808</v>
      </c>
      <c r="K1127" s="12">
        <f>AVERAGE(I1127:I1131)</f>
        <v>0.667975647</v>
      </c>
      <c r="L1127" s="18">
        <v>4627.0</v>
      </c>
      <c r="M1127" s="14">
        <f>STDEV(L1127:L1131)</f>
        <v>49074.18384</v>
      </c>
      <c r="N1127" s="15" t="b">
        <f t="shared" si="1"/>
        <v>1</v>
      </c>
    </row>
    <row r="1128" hidden="1">
      <c r="A1128" s="7" t="s">
        <v>232</v>
      </c>
      <c r="B1128" s="21" t="s">
        <v>17</v>
      </c>
      <c r="C1128" s="21">
        <v>1.0</v>
      </c>
      <c r="D1128" s="21">
        <v>0.25</v>
      </c>
      <c r="E1128" s="21">
        <v>6.0</v>
      </c>
      <c r="F1128" s="7">
        <v>88.4234089851379</v>
      </c>
      <c r="G1128" s="7">
        <v>177.924452543258</v>
      </c>
      <c r="H1128" s="7">
        <v>1.0</v>
      </c>
      <c r="I1128" s="15">
        <v>0.79777789103024</v>
      </c>
      <c r="J1128" s="15">
        <v>0.110804836263589</v>
      </c>
      <c r="K1128" s="12">
        <f>AVERAGE(I1127:I1131)</f>
        <v>0.667975647</v>
      </c>
      <c r="L1128" s="18">
        <v>11819.0</v>
      </c>
      <c r="M1128" s="14">
        <f>STDEV(L1127:L1131)</f>
        <v>49074.18384</v>
      </c>
      <c r="N1128" s="15" t="b">
        <f t="shared" si="1"/>
        <v>1</v>
      </c>
    </row>
    <row r="1129" hidden="1">
      <c r="A1129" s="7" t="s">
        <v>232</v>
      </c>
      <c r="B1129" s="21" t="s">
        <v>17</v>
      </c>
      <c r="C1129" s="21">
        <v>1.0</v>
      </c>
      <c r="D1129" s="21">
        <v>0.25</v>
      </c>
      <c r="E1129" s="21">
        <v>6.0</v>
      </c>
      <c r="F1129" s="7">
        <v>88.4234089851379</v>
      </c>
      <c r="G1129" s="7">
        <v>177.924452543258</v>
      </c>
      <c r="H1129" s="7">
        <v>2.0</v>
      </c>
      <c r="I1129" s="15">
        <v>0.032303753794557</v>
      </c>
      <c r="J1129" s="15">
        <v>0.176163348487621</v>
      </c>
      <c r="K1129" s="12">
        <f>AVERAGE(I1127:I1131)</f>
        <v>0.667975647</v>
      </c>
      <c r="L1129" s="18">
        <v>115945.0</v>
      </c>
      <c r="M1129" s="14">
        <f>STDEV(L1127:L1131)</f>
        <v>49074.18384</v>
      </c>
      <c r="N1129" s="15" t="b">
        <f t="shared" si="1"/>
        <v>1</v>
      </c>
    </row>
    <row r="1130" hidden="1">
      <c r="A1130" s="7" t="s">
        <v>232</v>
      </c>
      <c r="B1130" s="21" t="s">
        <v>17</v>
      </c>
      <c r="C1130" s="21">
        <v>1.0</v>
      </c>
      <c r="D1130" s="21">
        <v>0.25</v>
      </c>
      <c r="E1130" s="21">
        <v>6.0</v>
      </c>
      <c r="F1130" s="7">
        <v>88.4234089851379</v>
      </c>
      <c r="G1130" s="7">
        <v>177.924452543258</v>
      </c>
      <c r="H1130" s="7">
        <v>3.0</v>
      </c>
      <c r="I1130" s="15">
        <v>0.797934868510045</v>
      </c>
      <c r="J1130" s="15">
        <v>0.122648784562308</v>
      </c>
      <c r="K1130" s="12">
        <f>AVERAGE(I1127:I1131)</f>
        <v>0.667975647</v>
      </c>
      <c r="L1130" s="18">
        <v>4834.0</v>
      </c>
      <c r="M1130" s="14">
        <f>STDEV(L1127:L1131)</f>
        <v>49074.18384</v>
      </c>
      <c r="N1130" s="15" t="b">
        <f t="shared" si="1"/>
        <v>1</v>
      </c>
    </row>
    <row r="1131" hidden="1">
      <c r="A1131" s="7" t="s">
        <v>232</v>
      </c>
      <c r="B1131" s="21" t="s">
        <v>17</v>
      </c>
      <c r="C1131" s="21">
        <v>1.0</v>
      </c>
      <c r="D1131" s="21">
        <v>0.25</v>
      </c>
      <c r="E1131" s="21">
        <v>6.0</v>
      </c>
      <c r="F1131" s="7">
        <v>88.4234089851379</v>
      </c>
      <c r="G1131" s="7">
        <v>177.924452543258</v>
      </c>
      <c r="H1131" s="7">
        <v>4.0</v>
      </c>
      <c r="I1131" s="15">
        <v>0.871041143925921</v>
      </c>
      <c r="J1131" s="15">
        <v>0.0987587102294871</v>
      </c>
      <c r="K1131" s="12">
        <f>AVERAGE(I1127:I1131)</f>
        <v>0.667975647</v>
      </c>
      <c r="L1131" s="18">
        <v>4451.0</v>
      </c>
      <c r="M1131" s="14">
        <f>STDEV(L1127:L1131)</f>
        <v>49074.18384</v>
      </c>
      <c r="N1131" s="15" t="b">
        <f t="shared" si="1"/>
        <v>1</v>
      </c>
    </row>
    <row r="1132" hidden="1">
      <c r="A1132" s="7" t="s">
        <v>233</v>
      </c>
      <c r="B1132" s="7" t="s">
        <v>17</v>
      </c>
      <c r="C1132" s="7">
        <v>1.0</v>
      </c>
      <c r="D1132" s="7">
        <v>0.25</v>
      </c>
      <c r="E1132" s="7">
        <v>7.0</v>
      </c>
      <c r="F1132" s="7">
        <v>291.925174474716</v>
      </c>
      <c r="G1132" s="7">
        <v>389.479318380355</v>
      </c>
      <c r="H1132" s="7">
        <v>0.0</v>
      </c>
      <c r="I1132" s="15">
        <v>-0.0144988512404627</v>
      </c>
      <c r="J1132" s="15">
        <v>0.174763579992277</v>
      </c>
      <c r="K1132" s="12">
        <f>AVERAGE(I1132:I1136)</f>
        <v>0.4010769711</v>
      </c>
      <c r="L1132" s="18">
        <v>74997.0</v>
      </c>
      <c r="M1132" s="14">
        <f>STDEV(L1132:L1136)</f>
        <v>29480.04789</v>
      </c>
      <c r="N1132" s="15" t="b">
        <f t="shared" si="1"/>
        <v>0</v>
      </c>
    </row>
    <row r="1133" hidden="1">
      <c r="A1133" s="7" t="s">
        <v>233</v>
      </c>
      <c r="B1133" s="7" t="s">
        <v>17</v>
      </c>
      <c r="C1133" s="7">
        <v>1.0</v>
      </c>
      <c r="D1133" s="7">
        <v>0.25</v>
      </c>
      <c r="E1133" s="7">
        <v>7.0</v>
      </c>
      <c r="F1133" s="7">
        <v>291.925174474716</v>
      </c>
      <c r="G1133" s="7">
        <v>389.479318380355</v>
      </c>
      <c r="H1133" s="7">
        <v>1.0</v>
      </c>
      <c r="I1133" s="15">
        <v>0.270003979034663</v>
      </c>
      <c r="J1133" s="15">
        <v>0.0564999124639259</v>
      </c>
      <c r="K1133" s="12">
        <f>AVERAGE(I1132:I1136)</f>
        <v>0.4010769711</v>
      </c>
      <c r="L1133" s="18">
        <v>38468.0</v>
      </c>
      <c r="M1133" s="14">
        <f>STDEV(L1132:L1136)</f>
        <v>29480.04789</v>
      </c>
      <c r="N1133" s="15" t="b">
        <f t="shared" si="1"/>
        <v>0</v>
      </c>
    </row>
    <row r="1134" hidden="1">
      <c r="A1134" s="7" t="s">
        <v>233</v>
      </c>
      <c r="B1134" s="7" t="s">
        <v>17</v>
      </c>
      <c r="C1134" s="7">
        <v>1.0</v>
      </c>
      <c r="D1134" s="7">
        <v>0.25</v>
      </c>
      <c r="E1134" s="7">
        <v>7.0</v>
      </c>
      <c r="F1134" s="7">
        <v>291.925174474716</v>
      </c>
      <c r="G1134" s="7">
        <v>389.479318380355</v>
      </c>
      <c r="H1134" s="7">
        <v>2.0</v>
      </c>
      <c r="I1134" s="15">
        <v>0.752069614252099</v>
      </c>
      <c r="J1134" s="15">
        <v>0.138660202449232</v>
      </c>
      <c r="K1134" s="12">
        <f>AVERAGE(I1132:I1136)</f>
        <v>0.4010769711</v>
      </c>
      <c r="L1134" s="18">
        <v>9932.0</v>
      </c>
      <c r="M1134" s="14">
        <f>STDEV(L1132:L1136)</f>
        <v>29480.04789</v>
      </c>
      <c r="N1134" s="15" t="b">
        <f t="shared" si="1"/>
        <v>0</v>
      </c>
    </row>
    <row r="1135" hidden="1">
      <c r="A1135" s="7" t="s">
        <v>233</v>
      </c>
      <c r="B1135" s="7" t="s">
        <v>17</v>
      </c>
      <c r="C1135" s="7">
        <v>1.0</v>
      </c>
      <c r="D1135" s="7">
        <v>0.25</v>
      </c>
      <c r="E1135" s="7">
        <v>7.0</v>
      </c>
      <c r="F1135" s="7">
        <v>291.925174474716</v>
      </c>
      <c r="G1135" s="7">
        <v>389.479318380355</v>
      </c>
      <c r="H1135" s="7">
        <v>3.0</v>
      </c>
      <c r="I1135" s="15">
        <v>0.171876838521884</v>
      </c>
      <c r="J1135" s="15">
        <v>0.0466206069347018</v>
      </c>
      <c r="K1135" s="12">
        <f>AVERAGE(I1132:I1136)</f>
        <v>0.4010769711</v>
      </c>
      <c r="L1135" s="18">
        <v>16907.0</v>
      </c>
      <c r="M1135" s="14">
        <f>STDEV(L1132:L1136)</f>
        <v>29480.04789</v>
      </c>
      <c r="N1135" s="15" t="b">
        <f t="shared" si="1"/>
        <v>0</v>
      </c>
    </row>
    <row r="1136" hidden="1">
      <c r="A1136" s="7" t="s">
        <v>233</v>
      </c>
      <c r="B1136" s="7" t="s">
        <v>17</v>
      </c>
      <c r="C1136" s="7">
        <v>1.0</v>
      </c>
      <c r="D1136" s="7">
        <v>0.25</v>
      </c>
      <c r="E1136" s="7">
        <v>7.0</v>
      </c>
      <c r="F1136" s="7">
        <v>291.925174474716</v>
      </c>
      <c r="G1136" s="7">
        <v>389.479318380355</v>
      </c>
      <c r="H1136" s="7">
        <v>4.0</v>
      </c>
      <c r="I1136" s="15">
        <v>0.825933274686589</v>
      </c>
      <c r="J1136" s="15">
        <v>0.122521616119135</v>
      </c>
      <c r="K1136" s="12">
        <f>AVERAGE(I1132:I1136)</f>
        <v>0.4010769711</v>
      </c>
      <c r="L1136" s="18">
        <v>1372.0</v>
      </c>
      <c r="M1136" s="14">
        <f>STDEV(L1132:L1136)</f>
        <v>29480.04789</v>
      </c>
      <c r="N1136" s="15" t="b">
        <f t="shared" si="1"/>
        <v>0</v>
      </c>
    </row>
    <row r="1137" hidden="1">
      <c r="A1137" s="7" t="s">
        <v>234</v>
      </c>
      <c r="B1137" s="7" t="s">
        <v>17</v>
      </c>
      <c r="C1137" s="7">
        <v>1.0</v>
      </c>
      <c r="D1137" s="7">
        <v>0.25</v>
      </c>
      <c r="E1137" s="7">
        <v>8.0</v>
      </c>
      <c r="F1137" s="7">
        <v>210.580013513565</v>
      </c>
      <c r="G1137" s="7">
        <v>312.968153476715</v>
      </c>
      <c r="H1137" s="7">
        <v>0.0</v>
      </c>
      <c r="I1137" s="15">
        <v>0.411854451146499</v>
      </c>
      <c r="J1137" s="15">
        <v>0.0945010229671384</v>
      </c>
      <c r="K1137" s="12">
        <f>AVERAGE(I1137:I1141)</f>
        <v>0.4155145625</v>
      </c>
      <c r="L1137" s="18">
        <v>24382.0</v>
      </c>
      <c r="M1137" s="14">
        <f>STDEV(L1137:L1141)</f>
        <v>30283.33033</v>
      </c>
      <c r="N1137" s="15" t="b">
        <f t="shared" si="1"/>
        <v>0</v>
      </c>
    </row>
    <row r="1138" hidden="1">
      <c r="A1138" s="7" t="s">
        <v>234</v>
      </c>
      <c r="B1138" s="7" t="s">
        <v>17</v>
      </c>
      <c r="C1138" s="7">
        <v>1.0</v>
      </c>
      <c r="D1138" s="7">
        <v>0.25</v>
      </c>
      <c r="E1138" s="7">
        <v>8.0</v>
      </c>
      <c r="F1138" s="7">
        <v>210.580013513565</v>
      </c>
      <c r="G1138" s="7">
        <v>312.968153476715</v>
      </c>
      <c r="H1138" s="7">
        <v>1.0</v>
      </c>
      <c r="I1138" s="15">
        <v>0.75242635579708</v>
      </c>
      <c r="J1138" s="15">
        <v>0.139624142176665</v>
      </c>
      <c r="K1138" s="12">
        <f>AVERAGE(I1137:I1141)</f>
        <v>0.4155145625</v>
      </c>
      <c r="L1138" s="18">
        <v>9934.0</v>
      </c>
      <c r="M1138" s="14">
        <f>STDEV(L1137:L1141)</f>
        <v>30283.33033</v>
      </c>
      <c r="N1138" s="15" t="b">
        <f t="shared" si="1"/>
        <v>0</v>
      </c>
    </row>
    <row r="1139" hidden="1">
      <c r="A1139" s="7" t="s">
        <v>234</v>
      </c>
      <c r="B1139" s="7" t="s">
        <v>17</v>
      </c>
      <c r="C1139" s="7">
        <v>1.0</v>
      </c>
      <c r="D1139" s="7">
        <v>0.25</v>
      </c>
      <c r="E1139" s="7">
        <v>8.0</v>
      </c>
      <c r="F1139" s="7">
        <v>210.580013513565</v>
      </c>
      <c r="G1139" s="7">
        <v>312.968153476715</v>
      </c>
      <c r="H1139" s="7">
        <v>2.0</v>
      </c>
      <c r="I1139" s="15">
        <v>0.468565328663741</v>
      </c>
      <c r="J1139" s="15">
        <v>0.146390296292134</v>
      </c>
      <c r="K1139" s="12">
        <f>AVERAGE(I1137:I1141)</f>
        <v>0.4155145625</v>
      </c>
      <c r="L1139" s="18">
        <v>19355.0</v>
      </c>
      <c r="M1139" s="14">
        <f>STDEV(L1137:L1141)</f>
        <v>30283.33033</v>
      </c>
      <c r="N1139" s="15" t="b">
        <f t="shared" si="1"/>
        <v>0</v>
      </c>
    </row>
    <row r="1140" hidden="1">
      <c r="A1140" s="7" t="s">
        <v>234</v>
      </c>
      <c r="B1140" s="7" t="s">
        <v>17</v>
      </c>
      <c r="C1140" s="7">
        <v>1.0</v>
      </c>
      <c r="D1140" s="7">
        <v>0.25</v>
      </c>
      <c r="E1140" s="7">
        <v>8.0</v>
      </c>
      <c r="F1140" s="7">
        <v>210.580013513565</v>
      </c>
      <c r="G1140" s="7">
        <v>312.968153476715</v>
      </c>
      <c r="H1140" s="7">
        <v>3.0</v>
      </c>
      <c r="I1140" s="15">
        <v>0.487754748895505</v>
      </c>
      <c r="J1140" s="15">
        <v>0.160836284965685</v>
      </c>
      <c r="K1140" s="12">
        <f>AVERAGE(I1137:I1141)</f>
        <v>0.4155145625</v>
      </c>
      <c r="L1140" s="18">
        <v>6972.0</v>
      </c>
      <c r="M1140" s="14">
        <f>STDEV(L1137:L1141)</f>
        <v>30283.33033</v>
      </c>
      <c r="N1140" s="15" t="b">
        <f t="shared" si="1"/>
        <v>0</v>
      </c>
    </row>
    <row r="1141" hidden="1">
      <c r="A1141" s="7" t="s">
        <v>234</v>
      </c>
      <c r="B1141" s="7" t="s">
        <v>17</v>
      </c>
      <c r="C1141" s="7">
        <v>1.0</v>
      </c>
      <c r="D1141" s="7">
        <v>0.25</v>
      </c>
      <c r="E1141" s="7">
        <v>8.0</v>
      </c>
      <c r="F1141" s="7">
        <v>210.580013513565</v>
      </c>
      <c r="G1141" s="7">
        <v>312.968153476715</v>
      </c>
      <c r="H1141" s="7">
        <v>4.0</v>
      </c>
      <c r="I1141" s="15">
        <v>-0.0430280720630119</v>
      </c>
      <c r="J1141" s="15">
        <v>0.194037705726133</v>
      </c>
      <c r="K1141" s="12">
        <f>AVERAGE(I1137:I1141)</f>
        <v>0.4155145625</v>
      </c>
      <c r="L1141" s="18">
        <v>81033.0</v>
      </c>
      <c r="M1141" s="14">
        <f>STDEV(L1137:L1141)</f>
        <v>30283.33033</v>
      </c>
      <c r="N1141" s="15" t="b">
        <f t="shared" si="1"/>
        <v>0</v>
      </c>
    </row>
    <row r="1142" hidden="1">
      <c r="A1142" s="7" t="s">
        <v>235</v>
      </c>
      <c r="B1142" s="7" t="s">
        <v>17</v>
      </c>
      <c r="C1142" s="7">
        <v>1.0</v>
      </c>
      <c r="D1142" s="7">
        <v>0.25</v>
      </c>
      <c r="E1142" s="7">
        <v>9.0</v>
      </c>
      <c r="F1142" s="7">
        <v>247.77584528923</v>
      </c>
      <c r="G1142" s="7">
        <v>351.775849103927</v>
      </c>
      <c r="H1142" s="7">
        <v>0.0</v>
      </c>
      <c r="I1142" s="15">
        <v>-0.0374231252289284</v>
      </c>
      <c r="J1142" s="15">
        <v>0.207660442324124</v>
      </c>
      <c r="K1142" s="12">
        <f>AVERAGE(I1142:I1146)</f>
        <v>0.551269088</v>
      </c>
      <c r="L1142" s="18">
        <v>87594.0</v>
      </c>
      <c r="M1142" s="14">
        <f>STDEV(L1142:L1146)</f>
        <v>33851.23607</v>
      </c>
      <c r="N1142" s="15" t="b">
        <f t="shared" si="1"/>
        <v>0</v>
      </c>
    </row>
    <row r="1143" hidden="1">
      <c r="A1143" s="7" t="s">
        <v>235</v>
      </c>
      <c r="B1143" s="7" t="s">
        <v>17</v>
      </c>
      <c r="C1143" s="7">
        <v>1.0</v>
      </c>
      <c r="D1143" s="7">
        <v>0.25</v>
      </c>
      <c r="E1143" s="7">
        <v>9.0</v>
      </c>
      <c r="F1143" s="7">
        <v>247.77584528923</v>
      </c>
      <c r="G1143" s="7">
        <v>351.775849103927</v>
      </c>
      <c r="H1143" s="7">
        <v>1.0</v>
      </c>
      <c r="I1143" s="15">
        <v>0.753120196242468</v>
      </c>
      <c r="J1143" s="15">
        <v>0.138705305574801</v>
      </c>
      <c r="K1143" s="12">
        <f>AVERAGE(I1142:I1146)</f>
        <v>0.551269088</v>
      </c>
      <c r="L1143" s="18">
        <v>9934.0</v>
      </c>
      <c r="M1143" s="14">
        <f>STDEV(L1142:L1146)</f>
        <v>33851.23607</v>
      </c>
      <c r="N1143" s="15" t="b">
        <f t="shared" si="1"/>
        <v>0</v>
      </c>
    </row>
    <row r="1144" hidden="1">
      <c r="A1144" s="7" t="s">
        <v>235</v>
      </c>
      <c r="B1144" s="7" t="s">
        <v>17</v>
      </c>
      <c r="C1144" s="7">
        <v>1.0</v>
      </c>
      <c r="D1144" s="7">
        <v>0.25</v>
      </c>
      <c r="E1144" s="7">
        <v>9.0</v>
      </c>
      <c r="F1144" s="7">
        <v>247.77584528923</v>
      </c>
      <c r="G1144" s="7">
        <v>351.775849103927</v>
      </c>
      <c r="H1144" s="7">
        <v>2.0</v>
      </c>
      <c r="I1144" s="15">
        <v>0.820676460127974</v>
      </c>
      <c r="J1144" s="15">
        <v>0.113524949585503</v>
      </c>
      <c r="K1144" s="12">
        <f>AVERAGE(I1142:I1146)</f>
        <v>0.551269088</v>
      </c>
      <c r="L1144" s="18">
        <v>5564.0</v>
      </c>
      <c r="M1144" s="14">
        <f>STDEV(L1142:L1146)</f>
        <v>33851.23607</v>
      </c>
      <c r="N1144" s="15" t="b">
        <f t="shared" si="1"/>
        <v>0</v>
      </c>
    </row>
    <row r="1145" hidden="1">
      <c r="A1145" s="7" t="s">
        <v>235</v>
      </c>
      <c r="B1145" s="7" t="s">
        <v>17</v>
      </c>
      <c r="C1145" s="7">
        <v>1.0</v>
      </c>
      <c r="D1145" s="7">
        <v>0.25</v>
      </c>
      <c r="E1145" s="7">
        <v>9.0</v>
      </c>
      <c r="F1145" s="7">
        <v>247.77584528923</v>
      </c>
      <c r="G1145" s="7">
        <v>351.775849103927</v>
      </c>
      <c r="H1145" s="7">
        <v>3.0</v>
      </c>
      <c r="I1145" s="15">
        <v>0.8074449332915</v>
      </c>
      <c r="J1145" s="15">
        <v>0.0974609585779183</v>
      </c>
      <c r="K1145" s="12">
        <f>AVERAGE(I1142:I1146)</f>
        <v>0.551269088</v>
      </c>
      <c r="L1145" s="18">
        <v>14226.0</v>
      </c>
      <c r="M1145" s="14">
        <f>STDEV(L1142:L1146)</f>
        <v>33851.23607</v>
      </c>
      <c r="N1145" s="15" t="b">
        <f t="shared" si="1"/>
        <v>0</v>
      </c>
    </row>
    <row r="1146" hidden="1">
      <c r="A1146" s="7" t="s">
        <v>235</v>
      </c>
      <c r="B1146" s="7" t="s">
        <v>17</v>
      </c>
      <c r="C1146" s="7">
        <v>1.0</v>
      </c>
      <c r="D1146" s="7">
        <v>0.25</v>
      </c>
      <c r="E1146" s="7">
        <v>9.0</v>
      </c>
      <c r="F1146" s="7">
        <v>247.77584528923</v>
      </c>
      <c r="G1146" s="7">
        <v>351.775849103927</v>
      </c>
      <c r="H1146" s="7">
        <v>4.0</v>
      </c>
      <c r="I1146" s="15">
        <v>0.412526975432513</v>
      </c>
      <c r="J1146" s="15">
        <v>0.0942305980588057</v>
      </c>
      <c r="K1146" s="12">
        <f>AVERAGE(I1142:I1146)</f>
        <v>0.551269088</v>
      </c>
      <c r="L1146" s="18">
        <v>24358.0</v>
      </c>
      <c r="M1146" s="14">
        <f>STDEV(L1142:L1146)</f>
        <v>33851.23607</v>
      </c>
      <c r="N1146" s="15" t="b">
        <f t="shared" si="1"/>
        <v>0</v>
      </c>
    </row>
    <row r="1147" hidden="1">
      <c r="A1147" s="7" t="s">
        <v>236</v>
      </c>
      <c r="B1147" s="7" t="s">
        <v>17</v>
      </c>
      <c r="C1147" s="7">
        <v>1.0</v>
      </c>
      <c r="D1147" s="7">
        <v>0.25</v>
      </c>
      <c r="E1147" s="7">
        <v>10.0</v>
      </c>
      <c r="F1147" s="7">
        <v>309.777971982955</v>
      </c>
      <c r="G1147" s="7">
        <v>417.303103685379</v>
      </c>
      <c r="H1147" s="7">
        <v>0.0</v>
      </c>
      <c r="I1147" s="15">
        <v>0.798038941175082</v>
      </c>
      <c r="J1147" s="15">
        <v>0.11079937278126</v>
      </c>
      <c r="K1147" s="12">
        <f>AVERAGE(I1147:I1151)</f>
        <v>0.5697581095</v>
      </c>
      <c r="L1147" s="18">
        <v>11806.0</v>
      </c>
      <c r="M1147" s="14">
        <f>STDEV(L1147:L1151)</f>
        <v>36204.86503</v>
      </c>
      <c r="N1147" s="15" t="b">
        <f t="shared" si="1"/>
        <v>0</v>
      </c>
    </row>
    <row r="1148" hidden="1">
      <c r="A1148" s="7" t="s">
        <v>236</v>
      </c>
      <c r="B1148" s="7" t="s">
        <v>17</v>
      </c>
      <c r="C1148" s="7">
        <v>1.0</v>
      </c>
      <c r="D1148" s="7">
        <v>0.25</v>
      </c>
      <c r="E1148" s="7">
        <v>10.0</v>
      </c>
      <c r="F1148" s="7">
        <v>309.777971982955</v>
      </c>
      <c r="G1148" s="7">
        <v>417.303103685379</v>
      </c>
      <c r="H1148" s="7">
        <v>1.0</v>
      </c>
      <c r="I1148" s="15">
        <v>0.3981616244923</v>
      </c>
      <c r="J1148" s="15">
        <v>0.064015091366903</v>
      </c>
      <c r="K1148" s="12">
        <f>AVERAGE(I1147:I1151)</f>
        <v>0.5697581095</v>
      </c>
      <c r="L1148" s="18">
        <v>27301.0</v>
      </c>
      <c r="M1148" s="14">
        <f>STDEV(L1147:L1151)</f>
        <v>36204.86503</v>
      </c>
      <c r="N1148" s="15" t="b">
        <f t="shared" si="1"/>
        <v>0</v>
      </c>
    </row>
    <row r="1149" hidden="1">
      <c r="A1149" s="7" t="s">
        <v>236</v>
      </c>
      <c r="B1149" s="7" t="s">
        <v>17</v>
      </c>
      <c r="C1149" s="7">
        <v>1.0</v>
      </c>
      <c r="D1149" s="7">
        <v>0.25</v>
      </c>
      <c r="E1149" s="7">
        <v>10.0</v>
      </c>
      <c r="F1149" s="7">
        <v>309.777971982955</v>
      </c>
      <c r="G1149" s="7">
        <v>417.303103685379</v>
      </c>
      <c r="H1149" s="7">
        <v>2.0</v>
      </c>
      <c r="I1149" s="15">
        <v>0.922611308193032</v>
      </c>
      <c r="J1149" s="15">
        <v>0.0312634794485766</v>
      </c>
      <c r="K1149" s="12">
        <f>AVERAGE(I1147:I1151)</f>
        <v>0.5697581095</v>
      </c>
      <c r="L1149" s="18">
        <v>1680.0</v>
      </c>
      <c r="M1149" s="14">
        <f>STDEV(L1147:L1151)</f>
        <v>36204.86503</v>
      </c>
      <c r="N1149" s="15" t="b">
        <f t="shared" si="1"/>
        <v>0</v>
      </c>
    </row>
    <row r="1150" hidden="1">
      <c r="A1150" s="7" t="s">
        <v>236</v>
      </c>
      <c r="B1150" s="7" t="s">
        <v>17</v>
      </c>
      <c r="C1150" s="7">
        <v>1.0</v>
      </c>
      <c r="D1150" s="7">
        <v>0.25</v>
      </c>
      <c r="E1150" s="7">
        <v>10.0</v>
      </c>
      <c r="F1150" s="7">
        <v>309.777971982955</v>
      </c>
      <c r="G1150" s="7">
        <v>417.303103685379</v>
      </c>
      <c r="H1150" s="7">
        <v>3.0</v>
      </c>
      <c r="I1150" s="15">
        <v>-0.0227930215920806</v>
      </c>
      <c r="J1150" s="15">
        <v>0.191338943048206</v>
      </c>
      <c r="K1150" s="12">
        <f>AVERAGE(I1147:I1151)</f>
        <v>0.5697581095</v>
      </c>
      <c r="L1150" s="18">
        <v>90946.0</v>
      </c>
      <c r="M1150" s="14">
        <f>STDEV(L1147:L1151)</f>
        <v>36204.86503</v>
      </c>
      <c r="N1150" s="15" t="b">
        <f t="shared" si="1"/>
        <v>0</v>
      </c>
    </row>
    <row r="1151" hidden="1">
      <c r="A1151" s="7" t="s">
        <v>236</v>
      </c>
      <c r="B1151" s="7" t="s">
        <v>17</v>
      </c>
      <c r="C1151" s="7">
        <v>1.0</v>
      </c>
      <c r="D1151" s="7">
        <v>0.25</v>
      </c>
      <c r="E1151" s="7">
        <v>10.0</v>
      </c>
      <c r="F1151" s="7">
        <v>309.777971982955</v>
      </c>
      <c r="G1151" s="7">
        <v>417.303103685379</v>
      </c>
      <c r="H1151" s="7">
        <v>4.0</v>
      </c>
      <c r="I1151" s="15">
        <v>0.752771695369801</v>
      </c>
      <c r="J1151" s="15">
        <v>0.139502101155783</v>
      </c>
      <c r="K1151" s="12">
        <f>AVERAGE(I1147:I1151)</f>
        <v>0.5697581095</v>
      </c>
      <c r="L1151" s="18">
        <v>9943.0</v>
      </c>
      <c r="M1151" s="14">
        <f>STDEV(L1147:L1151)</f>
        <v>36204.86503</v>
      </c>
      <c r="N1151" s="15" t="b">
        <f t="shared" si="1"/>
        <v>0</v>
      </c>
    </row>
    <row r="1152" hidden="1">
      <c r="A1152" s="7" t="s">
        <v>237</v>
      </c>
      <c r="B1152" s="7" t="s">
        <v>17</v>
      </c>
      <c r="C1152" s="7">
        <v>1.0</v>
      </c>
      <c r="D1152" s="7">
        <v>0.5</v>
      </c>
      <c r="E1152" s="7">
        <v>1.0</v>
      </c>
      <c r="F1152" s="7">
        <v>188.755493640899</v>
      </c>
      <c r="G1152" s="7">
        <v>274.41589307785</v>
      </c>
      <c r="H1152" s="7">
        <v>0.0</v>
      </c>
      <c r="I1152" s="15">
        <v>0.821304623790952</v>
      </c>
      <c r="J1152" s="15">
        <v>0.114836334836928</v>
      </c>
      <c r="K1152" s="12">
        <f>AVERAGE(I1152:I1156)</f>
        <v>0.4129496381</v>
      </c>
      <c r="L1152" s="18">
        <v>5419.0</v>
      </c>
      <c r="M1152" s="14">
        <f>STDEV(L1152:L1156)</f>
        <v>35709.66876</v>
      </c>
      <c r="N1152" s="15" t="b">
        <f t="shared" si="1"/>
        <v>0</v>
      </c>
    </row>
    <row r="1153" hidden="1">
      <c r="A1153" s="7" t="s">
        <v>237</v>
      </c>
      <c r="B1153" s="7" t="s">
        <v>17</v>
      </c>
      <c r="C1153" s="7">
        <v>1.0</v>
      </c>
      <c r="D1153" s="7">
        <v>0.5</v>
      </c>
      <c r="E1153" s="7">
        <v>1.0</v>
      </c>
      <c r="F1153" s="7">
        <v>188.755493640899</v>
      </c>
      <c r="G1153" s="7">
        <v>274.41589307785</v>
      </c>
      <c r="H1153" s="7">
        <v>1.0</v>
      </c>
      <c r="I1153" s="15">
        <v>0.0616041288519628</v>
      </c>
      <c r="J1153" s="15">
        <v>0.0390772111823474</v>
      </c>
      <c r="K1153" s="12">
        <f>AVERAGE(I1152:I1156)</f>
        <v>0.4129496381</v>
      </c>
      <c r="L1153" s="18">
        <v>30162.0</v>
      </c>
      <c r="M1153" s="14">
        <f>STDEV(L1152:L1156)</f>
        <v>35709.66876</v>
      </c>
      <c r="N1153" s="15" t="b">
        <f t="shared" si="1"/>
        <v>0</v>
      </c>
    </row>
    <row r="1154" hidden="1">
      <c r="A1154" s="7" t="s">
        <v>237</v>
      </c>
      <c r="B1154" s="7" t="s">
        <v>17</v>
      </c>
      <c r="C1154" s="7">
        <v>1.0</v>
      </c>
      <c r="D1154" s="7">
        <v>0.5</v>
      </c>
      <c r="E1154" s="7">
        <v>1.0</v>
      </c>
      <c r="F1154" s="7">
        <v>188.755493640899</v>
      </c>
      <c r="G1154" s="7">
        <v>274.41589307785</v>
      </c>
      <c r="H1154" s="7">
        <v>2.0</v>
      </c>
      <c r="I1154" s="15">
        <v>0.104791514957072</v>
      </c>
      <c r="J1154" s="15">
        <v>0.175911617394273</v>
      </c>
      <c r="K1154" s="12">
        <f>AVERAGE(I1152:I1156)</f>
        <v>0.4129496381</v>
      </c>
      <c r="L1154" s="18">
        <v>89583.0</v>
      </c>
      <c r="M1154" s="14">
        <f>STDEV(L1152:L1156)</f>
        <v>35709.66876</v>
      </c>
      <c r="N1154" s="15" t="b">
        <f t="shared" si="1"/>
        <v>0</v>
      </c>
    </row>
    <row r="1155" hidden="1">
      <c r="A1155" s="7" t="s">
        <v>237</v>
      </c>
      <c r="B1155" s="7" t="s">
        <v>17</v>
      </c>
      <c r="C1155" s="7">
        <v>1.0</v>
      </c>
      <c r="D1155" s="7">
        <v>0.5</v>
      </c>
      <c r="E1155" s="7">
        <v>1.0</v>
      </c>
      <c r="F1155" s="7">
        <v>188.755493640899</v>
      </c>
      <c r="G1155" s="7">
        <v>274.41589307785</v>
      </c>
      <c r="H1155" s="7">
        <v>3.0</v>
      </c>
      <c r="I1155" s="15">
        <v>0.297227643552656</v>
      </c>
      <c r="J1155" s="15">
        <v>0.0860856603777467</v>
      </c>
      <c r="K1155" s="12">
        <f>AVERAGE(I1152:I1156)</f>
        <v>0.4129496381</v>
      </c>
      <c r="L1155" s="18">
        <v>10957.0</v>
      </c>
      <c r="M1155" s="14">
        <f>STDEV(L1152:L1156)</f>
        <v>35709.66876</v>
      </c>
      <c r="N1155" s="15" t="b">
        <f t="shared" si="1"/>
        <v>0</v>
      </c>
    </row>
    <row r="1156" hidden="1">
      <c r="A1156" s="7" t="s">
        <v>237</v>
      </c>
      <c r="B1156" s="7" t="s">
        <v>17</v>
      </c>
      <c r="C1156" s="7">
        <v>1.0</v>
      </c>
      <c r="D1156" s="7">
        <v>0.5</v>
      </c>
      <c r="E1156" s="7">
        <v>1.0</v>
      </c>
      <c r="F1156" s="7">
        <v>188.755493640899</v>
      </c>
      <c r="G1156" s="7">
        <v>274.41589307785</v>
      </c>
      <c r="H1156" s="7">
        <v>4.0</v>
      </c>
      <c r="I1156" s="15">
        <v>0.779820279396903</v>
      </c>
      <c r="J1156" s="15">
        <v>0.137924177532011</v>
      </c>
      <c r="K1156" s="12">
        <f>AVERAGE(I1152:I1156)</f>
        <v>0.4129496381</v>
      </c>
      <c r="L1156" s="18">
        <v>5555.0</v>
      </c>
      <c r="M1156" s="14">
        <f>STDEV(L1152:L1156)</f>
        <v>35709.66876</v>
      </c>
      <c r="N1156" s="15" t="b">
        <f t="shared" si="1"/>
        <v>0</v>
      </c>
    </row>
    <row r="1157" hidden="1">
      <c r="A1157" s="7" t="s">
        <v>238</v>
      </c>
      <c r="B1157" s="7" t="s">
        <v>17</v>
      </c>
      <c r="C1157" s="7">
        <v>1.0</v>
      </c>
      <c r="D1157" s="7">
        <v>0.5</v>
      </c>
      <c r="E1157" s="7">
        <v>2.0</v>
      </c>
      <c r="F1157" s="7">
        <v>323.537850379943</v>
      </c>
      <c r="G1157" s="7">
        <v>418.804587364196</v>
      </c>
      <c r="H1157" s="7">
        <v>0.0</v>
      </c>
      <c r="I1157" s="15">
        <v>-0.0161605126399215</v>
      </c>
      <c r="J1157" s="15">
        <v>0.172536164229044</v>
      </c>
      <c r="K1157" s="12">
        <f>AVERAGE(I1157:I1161)</f>
        <v>0.3630205677</v>
      </c>
      <c r="L1157" s="18">
        <v>78630.0</v>
      </c>
      <c r="M1157" s="14">
        <f>STDEV(L1157:L1161)</f>
        <v>29386.3847</v>
      </c>
      <c r="N1157" s="15" t="b">
        <f t="shared" si="1"/>
        <v>0</v>
      </c>
    </row>
    <row r="1158" hidden="1">
      <c r="A1158" s="7" t="s">
        <v>238</v>
      </c>
      <c r="B1158" s="7" t="s">
        <v>17</v>
      </c>
      <c r="C1158" s="7">
        <v>1.0</v>
      </c>
      <c r="D1158" s="7">
        <v>0.5</v>
      </c>
      <c r="E1158" s="7">
        <v>2.0</v>
      </c>
      <c r="F1158" s="7">
        <v>323.537850379943</v>
      </c>
      <c r="G1158" s="7">
        <v>418.804587364196</v>
      </c>
      <c r="H1158" s="7">
        <v>1.0</v>
      </c>
      <c r="I1158" s="15">
        <v>0.288392930312091</v>
      </c>
      <c r="J1158" s="15">
        <v>0.0795264595659992</v>
      </c>
      <c r="K1158" s="12">
        <f>AVERAGE(I1157:I1161)</f>
        <v>0.3630205677</v>
      </c>
      <c r="L1158" s="18">
        <v>29658.0</v>
      </c>
      <c r="M1158" s="14">
        <f>STDEV(L1157:L1161)</f>
        <v>29386.3847</v>
      </c>
      <c r="N1158" s="15" t="b">
        <f t="shared" si="1"/>
        <v>0</v>
      </c>
    </row>
    <row r="1159" hidden="1">
      <c r="A1159" s="7" t="s">
        <v>238</v>
      </c>
      <c r="B1159" s="7" t="s">
        <v>17</v>
      </c>
      <c r="C1159" s="7">
        <v>1.0</v>
      </c>
      <c r="D1159" s="7">
        <v>0.5</v>
      </c>
      <c r="E1159" s="7">
        <v>2.0</v>
      </c>
      <c r="F1159" s="7">
        <v>323.537850379943</v>
      </c>
      <c r="G1159" s="7">
        <v>418.804587364196</v>
      </c>
      <c r="H1159" s="7">
        <v>2.0</v>
      </c>
      <c r="I1159" s="15">
        <v>0.781964654368558</v>
      </c>
      <c r="J1159" s="15">
        <v>0.130486091836218</v>
      </c>
      <c r="K1159" s="12">
        <f>AVERAGE(I1157:I1161)</f>
        <v>0.3630205677</v>
      </c>
      <c r="L1159" s="18">
        <v>12900.0</v>
      </c>
      <c r="M1159" s="14">
        <f>STDEV(L1157:L1161)</f>
        <v>29386.3847</v>
      </c>
      <c r="N1159" s="15" t="b">
        <f t="shared" si="1"/>
        <v>0</v>
      </c>
    </row>
    <row r="1160" hidden="1">
      <c r="A1160" s="7" t="s">
        <v>238</v>
      </c>
      <c r="B1160" s="7" t="s">
        <v>17</v>
      </c>
      <c r="C1160" s="7">
        <v>1.0</v>
      </c>
      <c r="D1160" s="7">
        <v>0.5</v>
      </c>
      <c r="E1160" s="7">
        <v>2.0</v>
      </c>
      <c r="F1160" s="7">
        <v>323.537850379943</v>
      </c>
      <c r="G1160" s="7">
        <v>418.804587364196</v>
      </c>
      <c r="H1160" s="7">
        <v>3.0</v>
      </c>
      <c r="I1160" s="15">
        <v>0.502925588053304</v>
      </c>
      <c r="J1160" s="15">
        <v>0.174953326550469</v>
      </c>
      <c r="K1160" s="12">
        <f>AVERAGE(I1157:I1161)</f>
        <v>0.3630205677</v>
      </c>
      <c r="L1160" s="18">
        <v>6365.0</v>
      </c>
      <c r="M1160" s="14">
        <f>STDEV(L1157:L1161)</f>
        <v>29386.3847</v>
      </c>
      <c r="N1160" s="15" t="b">
        <f t="shared" si="1"/>
        <v>0</v>
      </c>
    </row>
    <row r="1161" hidden="1">
      <c r="A1161" s="7" t="s">
        <v>238</v>
      </c>
      <c r="B1161" s="7" t="s">
        <v>17</v>
      </c>
      <c r="C1161" s="7">
        <v>1.0</v>
      </c>
      <c r="D1161" s="7">
        <v>0.5</v>
      </c>
      <c r="E1161" s="7">
        <v>2.0</v>
      </c>
      <c r="F1161" s="7">
        <v>323.537850379943</v>
      </c>
      <c r="G1161" s="7">
        <v>418.804587364196</v>
      </c>
      <c r="H1161" s="7">
        <v>4.0</v>
      </c>
      <c r="I1161" s="15">
        <v>0.257980178236081</v>
      </c>
      <c r="J1161" s="15">
        <v>0.0496596232537746</v>
      </c>
      <c r="K1161" s="12">
        <f>AVERAGE(I1157:I1161)</f>
        <v>0.3630205677</v>
      </c>
      <c r="L1161" s="18">
        <v>14123.0</v>
      </c>
      <c r="M1161" s="14">
        <f>STDEV(L1157:L1161)</f>
        <v>29386.3847</v>
      </c>
      <c r="N1161" s="15" t="b">
        <f t="shared" si="1"/>
        <v>0</v>
      </c>
    </row>
    <row r="1162" hidden="1">
      <c r="A1162" s="7" t="s">
        <v>239</v>
      </c>
      <c r="B1162" s="7" t="s">
        <v>17</v>
      </c>
      <c r="C1162" s="7">
        <v>1.0</v>
      </c>
      <c r="D1162" s="7">
        <v>0.5</v>
      </c>
      <c r="E1162" s="7">
        <v>3.0</v>
      </c>
      <c r="F1162" s="7">
        <v>383.803940534591</v>
      </c>
      <c r="G1162" s="7">
        <v>438.561162948608</v>
      </c>
      <c r="H1162" s="7">
        <v>0.0</v>
      </c>
      <c r="I1162" s="15">
        <v>0.414608976047248</v>
      </c>
      <c r="J1162" s="15">
        <v>0.0721541102309245</v>
      </c>
      <c r="K1162" s="12">
        <f>AVERAGE(I1162:I1166)</f>
        <v>0.5434597332</v>
      </c>
      <c r="L1162" s="18">
        <v>24156.0</v>
      </c>
      <c r="M1162" s="14">
        <f>STDEV(L1162:L1166)</f>
        <v>35217.59932</v>
      </c>
      <c r="N1162" s="15" t="b">
        <f t="shared" si="1"/>
        <v>0</v>
      </c>
    </row>
    <row r="1163" hidden="1">
      <c r="A1163" s="7" t="s">
        <v>239</v>
      </c>
      <c r="B1163" s="7" t="s">
        <v>17</v>
      </c>
      <c r="C1163" s="7">
        <v>1.0</v>
      </c>
      <c r="D1163" s="7">
        <v>0.5</v>
      </c>
      <c r="E1163" s="7">
        <v>3.0</v>
      </c>
      <c r="F1163" s="7">
        <v>383.803940534591</v>
      </c>
      <c r="G1163" s="7">
        <v>438.561162948608</v>
      </c>
      <c r="H1163" s="7">
        <v>1.0</v>
      </c>
      <c r="I1163" s="15">
        <v>0.821739657237974</v>
      </c>
      <c r="J1163" s="15">
        <v>0.11503469245745</v>
      </c>
      <c r="K1163" s="12">
        <f>AVERAGE(I1162:I1166)</f>
        <v>0.5434597332</v>
      </c>
      <c r="L1163" s="18">
        <v>5427.0</v>
      </c>
      <c r="M1163" s="14">
        <f>STDEV(L1162:L1166)</f>
        <v>35217.59932</v>
      </c>
      <c r="N1163" s="15" t="b">
        <f t="shared" si="1"/>
        <v>0</v>
      </c>
    </row>
    <row r="1164" hidden="1">
      <c r="A1164" s="7" t="s">
        <v>239</v>
      </c>
      <c r="B1164" s="7" t="s">
        <v>17</v>
      </c>
      <c r="C1164" s="7">
        <v>1.0</v>
      </c>
      <c r="D1164" s="7">
        <v>0.5</v>
      </c>
      <c r="E1164" s="7">
        <v>3.0</v>
      </c>
      <c r="F1164" s="7">
        <v>383.803940534591</v>
      </c>
      <c r="G1164" s="7">
        <v>438.561162948608</v>
      </c>
      <c r="H1164" s="7">
        <v>2.0</v>
      </c>
      <c r="I1164" s="15">
        <v>0.747614138959305</v>
      </c>
      <c r="J1164" s="15">
        <v>0.149236993692664</v>
      </c>
      <c r="K1164" s="12">
        <f>AVERAGE(I1162:I1166)</f>
        <v>0.5434597332</v>
      </c>
      <c r="L1164" s="18">
        <v>9183.0</v>
      </c>
      <c r="M1164" s="14">
        <f>STDEV(L1162:L1166)</f>
        <v>35217.59932</v>
      </c>
      <c r="N1164" s="15" t="b">
        <f t="shared" si="1"/>
        <v>0</v>
      </c>
    </row>
    <row r="1165" hidden="1">
      <c r="A1165" s="7" t="s">
        <v>239</v>
      </c>
      <c r="B1165" s="7" t="s">
        <v>17</v>
      </c>
      <c r="C1165" s="7">
        <v>1.0</v>
      </c>
      <c r="D1165" s="7">
        <v>0.5</v>
      </c>
      <c r="E1165" s="7">
        <v>3.0</v>
      </c>
      <c r="F1165" s="7">
        <v>383.803940534591</v>
      </c>
      <c r="G1165" s="7">
        <v>438.561162948608</v>
      </c>
      <c r="H1165" s="7">
        <v>3.0</v>
      </c>
      <c r="I1165" s="15">
        <v>0.783063217769353</v>
      </c>
      <c r="J1165" s="15">
        <v>0.132862654323057</v>
      </c>
      <c r="K1165" s="12">
        <f>AVERAGE(I1162:I1166)</f>
        <v>0.5434597332</v>
      </c>
      <c r="L1165" s="18">
        <v>12835.0</v>
      </c>
      <c r="M1165" s="14">
        <f>STDEV(L1162:L1166)</f>
        <v>35217.59932</v>
      </c>
      <c r="N1165" s="15" t="b">
        <f t="shared" si="1"/>
        <v>0</v>
      </c>
    </row>
    <row r="1166" hidden="1">
      <c r="A1166" s="7" t="s">
        <v>239</v>
      </c>
      <c r="B1166" s="7" t="s">
        <v>17</v>
      </c>
      <c r="C1166" s="7">
        <v>1.0</v>
      </c>
      <c r="D1166" s="7">
        <v>0.5</v>
      </c>
      <c r="E1166" s="7">
        <v>3.0</v>
      </c>
      <c r="F1166" s="7">
        <v>383.803940534591</v>
      </c>
      <c r="G1166" s="7">
        <v>438.561162948608</v>
      </c>
      <c r="H1166" s="7">
        <v>4.0</v>
      </c>
      <c r="I1166" s="15">
        <v>-0.0497273238233879</v>
      </c>
      <c r="J1166" s="15">
        <v>0.214978007264514</v>
      </c>
      <c r="K1166" s="12">
        <f>AVERAGE(I1162:I1166)</f>
        <v>0.5434597332</v>
      </c>
      <c r="L1166" s="18">
        <v>90075.0</v>
      </c>
      <c r="M1166" s="14">
        <f>STDEV(L1162:L1166)</f>
        <v>35217.59932</v>
      </c>
      <c r="N1166" s="15" t="b">
        <f t="shared" si="1"/>
        <v>0</v>
      </c>
    </row>
    <row r="1167" hidden="1">
      <c r="A1167" s="7" t="s">
        <v>240</v>
      </c>
      <c r="B1167" s="7" t="s">
        <v>17</v>
      </c>
      <c r="C1167" s="7">
        <v>1.0</v>
      </c>
      <c r="D1167" s="7">
        <v>0.5</v>
      </c>
      <c r="E1167" s="7">
        <v>4.0</v>
      </c>
      <c r="F1167" s="7">
        <v>234.079749584198</v>
      </c>
      <c r="G1167" s="7">
        <v>345.164274692535</v>
      </c>
      <c r="H1167" s="7">
        <v>0.0</v>
      </c>
      <c r="I1167" s="15">
        <v>0.282378087749141</v>
      </c>
      <c r="J1167" s="15">
        <v>0.079599369462468</v>
      </c>
      <c r="K1167" s="12">
        <f>AVERAGE(I1167:I1171)</f>
        <v>0.4064776558</v>
      </c>
      <c r="L1167" s="18">
        <v>31265.0</v>
      </c>
      <c r="M1167" s="14">
        <f>STDEV(L1167:L1171)</f>
        <v>23443.52157</v>
      </c>
      <c r="N1167" s="15" t="b">
        <f t="shared" si="1"/>
        <v>0</v>
      </c>
    </row>
    <row r="1168" hidden="1">
      <c r="A1168" s="7" t="s">
        <v>240</v>
      </c>
      <c r="B1168" s="7" t="s">
        <v>17</v>
      </c>
      <c r="C1168" s="7">
        <v>1.0</v>
      </c>
      <c r="D1168" s="7">
        <v>0.5</v>
      </c>
      <c r="E1168" s="7">
        <v>4.0</v>
      </c>
      <c r="F1168" s="7">
        <v>234.079749584198</v>
      </c>
      <c r="G1168" s="7">
        <v>345.164274692535</v>
      </c>
      <c r="H1168" s="7">
        <v>1.0</v>
      </c>
      <c r="I1168" s="15">
        <v>-0.00285119990770257</v>
      </c>
      <c r="J1168" s="15">
        <v>0.272656356569762</v>
      </c>
      <c r="K1168" s="12">
        <f>AVERAGE(I1167:I1171)</f>
        <v>0.4064776558</v>
      </c>
      <c r="L1168" s="18">
        <v>56375.0</v>
      </c>
      <c r="M1168" s="14">
        <f>STDEV(L1167:L1171)</f>
        <v>23443.52157</v>
      </c>
      <c r="N1168" s="15" t="b">
        <f t="shared" si="1"/>
        <v>0</v>
      </c>
    </row>
    <row r="1169" hidden="1">
      <c r="A1169" s="7" t="s">
        <v>240</v>
      </c>
      <c r="B1169" s="7" t="s">
        <v>17</v>
      </c>
      <c r="C1169" s="7">
        <v>1.0</v>
      </c>
      <c r="D1169" s="7">
        <v>0.5</v>
      </c>
      <c r="E1169" s="7">
        <v>4.0</v>
      </c>
      <c r="F1169" s="7">
        <v>234.079749584198</v>
      </c>
      <c r="G1169" s="7">
        <v>345.164274692535</v>
      </c>
      <c r="H1169" s="7">
        <v>2.0</v>
      </c>
      <c r="I1169" s="15">
        <v>0.837736077765095</v>
      </c>
      <c r="J1169" s="15">
        <v>0.103642189535698</v>
      </c>
      <c r="K1169" s="12">
        <f>AVERAGE(I1167:I1171)</f>
        <v>0.4064776558</v>
      </c>
      <c r="L1169" s="18">
        <v>4380.0</v>
      </c>
      <c r="M1169" s="14">
        <f>STDEV(L1167:L1171)</f>
        <v>23443.52157</v>
      </c>
      <c r="N1169" s="15" t="b">
        <f t="shared" si="1"/>
        <v>0</v>
      </c>
    </row>
    <row r="1170" hidden="1">
      <c r="A1170" s="7" t="s">
        <v>240</v>
      </c>
      <c r="B1170" s="7" t="s">
        <v>17</v>
      </c>
      <c r="C1170" s="7">
        <v>1.0</v>
      </c>
      <c r="D1170" s="7">
        <v>0.5</v>
      </c>
      <c r="E1170" s="7">
        <v>4.0</v>
      </c>
      <c r="F1170" s="7">
        <v>234.079749584198</v>
      </c>
      <c r="G1170" s="7">
        <v>345.164274692535</v>
      </c>
      <c r="H1170" s="7">
        <v>3.0</v>
      </c>
      <c r="I1170" s="15">
        <v>0.849201194772513</v>
      </c>
      <c r="J1170" s="15">
        <v>0.0941930694412376</v>
      </c>
      <c r="K1170" s="12">
        <f>AVERAGE(I1167:I1171)</f>
        <v>0.4064776558</v>
      </c>
      <c r="L1170" s="18">
        <v>4764.0</v>
      </c>
      <c r="M1170" s="14">
        <f>STDEV(L1167:L1171)</f>
        <v>23443.52157</v>
      </c>
      <c r="N1170" s="15" t="b">
        <f t="shared" si="1"/>
        <v>0</v>
      </c>
    </row>
    <row r="1171" hidden="1">
      <c r="A1171" s="7" t="s">
        <v>240</v>
      </c>
      <c r="B1171" s="7" t="s">
        <v>17</v>
      </c>
      <c r="C1171" s="7">
        <v>1.0</v>
      </c>
      <c r="D1171" s="7">
        <v>0.5</v>
      </c>
      <c r="E1171" s="7">
        <v>4.0</v>
      </c>
      <c r="F1171" s="7">
        <v>234.079749584198</v>
      </c>
      <c r="G1171" s="7">
        <v>345.164274692535</v>
      </c>
      <c r="H1171" s="7">
        <v>4.0</v>
      </c>
      <c r="I1171" s="15">
        <v>0.0659241185657021</v>
      </c>
      <c r="J1171" s="15">
        <v>0.0618359675049858</v>
      </c>
      <c r="K1171" s="12">
        <f>AVERAGE(I1167:I1171)</f>
        <v>0.4064776558</v>
      </c>
      <c r="L1171" s="18">
        <v>44892.0</v>
      </c>
      <c r="M1171" s="14">
        <f>STDEV(L1167:L1171)</f>
        <v>23443.52157</v>
      </c>
      <c r="N1171" s="15" t="b">
        <f t="shared" si="1"/>
        <v>0</v>
      </c>
    </row>
    <row r="1172" hidden="1">
      <c r="A1172" s="7" t="s">
        <v>241</v>
      </c>
      <c r="B1172" s="7" t="s">
        <v>17</v>
      </c>
      <c r="C1172" s="7">
        <v>1.0</v>
      </c>
      <c r="D1172" s="7">
        <v>0.5</v>
      </c>
      <c r="E1172" s="7">
        <v>5.0</v>
      </c>
      <c r="F1172" s="7">
        <v>213.782567739486</v>
      </c>
      <c r="G1172" s="7">
        <v>312.506279945373</v>
      </c>
      <c r="H1172" s="7">
        <v>0.0</v>
      </c>
      <c r="I1172" s="15">
        <v>0.800963659990716</v>
      </c>
      <c r="J1172" s="15">
        <v>0.113646638449119</v>
      </c>
      <c r="K1172" s="12">
        <f>AVERAGE(I1172:I1176)</f>
        <v>0.5466913761</v>
      </c>
      <c r="L1172" s="18">
        <v>11149.0</v>
      </c>
      <c r="M1172" s="14">
        <f>STDEV(L1172:L1176)</f>
        <v>36006.24895</v>
      </c>
      <c r="N1172" s="15" t="b">
        <f t="shared" si="1"/>
        <v>0</v>
      </c>
    </row>
    <row r="1173" hidden="1">
      <c r="A1173" s="7" t="s">
        <v>241</v>
      </c>
      <c r="B1173" s="7" t="s">
        <v>17</v>
      </c>
      <c r="C1173" s="7">
        <v>1.0</v>
      </c>
      <c r="D1173" s="7">
        <v>0.5</v>
      </c>
      <c r="E1173" s="7">
        <v>5.0</v>
      </c>
      <c r="F1173" s="7">
        <v>213.782567739486</v>
      </c>
      <c r="G1173" s="7">
        <v>312.506279945373</v>
      </c>
      <c r="H1173" s="7">
        <v>1.0</v>
      </c>
      <c r="I1173" s="15">
        <v>0.398013037933376</v>
      </c>
      <c r="J1173" s="15">
        <v>0.0658197506085539</v>
      </c>
      <c r="K1173" s="12">
        <f>AVERAGE(I1172:I1176)</f>
        <v>0.5466913761</v>
      </c>
      <c r="L1173" s="18">
        <v>26247.0</v>
      </c>
      <c r="M1173" s="14">
        <f>STDEV(L1172:L1176)</f>
        <v>36006.24895</v>
      </c>
      <c r="N1173" s="15" t="b">
        <f t="shared" si="1"/>
        <v>0</v>
      </c>
    </row>
    <row r="1174" hidden="1">
      <c r="A1174" s="7" t="s">
        <v>241</v>
      </c>
      <c r="B1174" s="7" t="s">
        <v>17</v>
      </c>
      <c r="C1174" s="7">
        <v>1.0</v>
      </c>
      <c r="D1174" s="7">
        <v>0.5</v>
      </c>
      <c r="E1174" s="7">
        <v>5.0</v>
      </c>
      <c r="F1174" s="7">
        <v>213.782567739486</v>
      </c>
      <c r="G1174" s="7">
        <v>312.506279945373</v>
      </c>
      <c r="H1174" s="7">
        <v>2.0</v>
      </c>
      <c r="I1174" s="15">
        <v>-0.0472548131391684</v>
      </c>
      <c r="J1174" s="15">
        <v>0.223078062150522</v>
      </c>
      <c r="K1174" s="12">
        <f>AVERAGE(I1172:I1176)</f>
        <v>0.5466913761</v>
      </c>
      <c r="L1174" s="18">
        <v>91027.0</v>
      </c>
      <c r="M1174" s="14">
        <f>STDEV(L1172:L1176)</f>
        <v>36006.24895</v>
      </c>
      <c r="N1174" s="15" t="b">
        <f t="shared" si="1"/>
        <v>0</v>
      </c>
    </row>
    <row r="1175" hidden="1">
      <c r="A1175" s="7" t="s">
        <v>241</v>
      </c>
      <c r="B1175" s="7" t="s">
        <v>17</v>
      </c>
      <c r="C1175" s="7">
        <v>1.0</v>
      </c>
      <c r="D1175" s="7">
        <v>0.5</v>
      </c>
      <c r="E1175" s="7">
        <v>5.0</v>
      </c>
      <c r="F1175" s="7">
        <v>213.782567739486</v>
      </c>
      <c r="G1175" s="7">
        <v>312.506279945373</v>
      </c>
      <c r="H1175" s="7">
        <v>3.0</v>
      </c>
      <c r="I1175" s="15">
        <v>0.832660498727538</v>
      </c>
      <c r="J1175" s="15">
        <v>0.114926411666554</v>
      </c>
      <c r="K1175" s="12">
        <f>AVERAGE(I1172:I1176)</f>
        <v>0.5466913761</v>
      </c>
      <c r="L1175" s="18">
        <v>4050.0</v>
      </c>
      <c r="M1175" s="14">
        <f>STDEV(L1172:L1176)</f>
        <v>36006.24895</v>
      </c>
      <c r="N1175" s="15" t="b">
        <f t="shared" si="1"/>
        <v>0</v>
      </c>
    </row>
    <row r="1176" hidden="1">
      <c r="A1176" s="7" t="s">
        <v>241</v>
      </c>
      <c r="B1176" s="7" t="s">
        <v>17</v>
      </c>
      <c r="C1176" s="7">
        <v>1.0</v>
      </c>
      <c r="D1176" s="7">
        <v>0.5</v>
      </c>
      <c r="E1176" s="7">
        <v>5.0</v>
      </c>
      <c r="F1176" s="7">
        <v>213.782567739486</v>
      </c>
      <c r="G1176" s="7">
        <v>312.506279945373</v>
      </c>
      <c r="H1176" s="7">
        <v>4.0</v>
      </c>
      <c r="I1176" s="15">
        <v>0.749074496879416</v>
      </c>
      <c r="J1176" s="15">
        <v>0.143801522978953</v>
      </c>
      <c r="K1176" s="12">
        <f>AVERAGE(I1172:I1176)</f>
        <v>0.5466913761</v>
      </c>
      <c r="L1176" s="18">
        <v>9203.0</v>
      </c>
      <c r="M1176" s="14">
        <f>STDEV(L1172:L1176)</f>
        <v>36006.24895</v>
      </c>
      <c r="N1176" s="15" t="b">
        <f t="shared" si="1"/>
        <v>0</v>
      </c>
    </row>
    <row r="1177" hidden="1">
      <c r="A1177" s="7" t="s">
        <v>242</v>
      </c>
      <c r="B1177" s="7" t="s">
        <v>17</v>
      </c>
      <c r="C1177" s="7">
        <v>1.0</v>
      </c>
      <c r="D1177" s="7">
        <v>0.5</v>
      </c>
      <c r="E1177" s="7">
        <v>6.0</v>
      </c>
      <c r="F1177" s="7">
        <v>229.112225532531</v>
      </c>
      <c r="G1177" s="7">
        <v>338.043577909469</v>
      </c>
      <c r="H1177" s="7">
        <v>0.0</v>
      </c>
      <c r="I1177" s="15">
        <v>0.104792334472226</v>
      </c>
      <c r="J1177" s="15">
        <v>0.187127224998325</v>
      </c>
      <c r="K1177" s="12">
        <f>AVERAGE(I1177:I1181)</f>
        <v>0.5357588718</v>
      </c>
      <c r="L1177" s="18">
        <v>85891.0</v>
      </c>
      <c r="M1177" s="14">
        <f>STDEV(L1177:L1181)</f>
        <v>36537.85911</v>
      </c>
      <c r="N1177" s="15" t="b">
        <f t="shared" si="1"/>
        <v>0</v>
      </c>
    </row>
    <row r="1178" hidden="1">
      <c r="A1178" s="7" t="s">
        <v>242</v>
      </c>
      <c r="B1178" s="7" t="s">
        <v>17</v>
      </c>
      <c r="C1178" s="7">
        <v>1.0</v>
      </c>
      <c r="D1178" s="7">
        <v>0.5</v>
      </c>
      <c r="E1178" s="7">
        <v>6.0</v>
      </c>
      <c r="F1178" s="7">
        <v>229.112225532531</v>
      </c>
      <c r="G1178" s="7">
        <v>338.043577909469</v>
      </c>
      <c r="H1178" s="7">
        <v>1.0</v>
      </c>
      <c r="I1178" s="15">
        <v>0.900152502847397</v>
      </c>
      <c r="J1178" s="15">
        <v>0.114651067652624</v>
      </c>
      <c r="K1178" s="12">
        <f>AVERAGE(I1177:I1181)</f>
        <v>0.5357588718</v>
      </c>
      <c r="L1178" s="18">
        <v>1962.0</v>
      </c>
      <c r="M1178" s="14">
        <f>STDEV(L1177:L1181)</f>
        <v>36537.85911</v>
      </c>
      <c r="N1178" s="15" t="b">
        <f t="shared" si="1"/>
        <v>0</v>
      </c>
    </row>
    <row r="1179" hidden="1">
      <c r="A1179" s="7" t="s">
        <v>242</v>
      </c>
      <c r="B1179" s="7" t="s">
        <v>17</v>
      </c>
      <c r="C1179" s="7">
        <v>1.0</v>
      </c>
      <c r="D1179" s="7">
        <v>0.5</v>
      </c>
      <c r="E1179" s="7">
        <v>6.0</v>
      </c>
      <c r="F1179" s="7">
        <v>229.112225532531</v>
      </c>
      <c r="G1179" s="7">
        <v>338.043577909469</v>
      </c>
      <c r="H1179" s="7">
        <v>2.0</v>
      </c>
      <c r="I1179" s="15">
        <v>0.839202690321407</v>
      </c>
      <c r="J1179" s="15">
        <v>0.102078360897385</v>
      </c>
      <c r="K1179" s="12">
        <f>AVERAGE(I1177:I1181)</f>
        <v>0.5357588718</v>
      </c>
      <c r="L1179" s="18">
        <v>4380.0</v>
      </c>
      <c r="M1179" s="14">
        <f>STDEV(L1177:L1181)</f>
        <v>36537.85911</v>
      </c>
      <c r="N1179" s="15" t="b">
        <f t="shared" si="1"/>
        <v>0</v>
      </c>
    </row>
    <row r="1180" hidden="1">
      <c r="A1180" s="7" t="s">
        <v>242</v>
      </c>
      <c r="B1180" s="7" t="s">
        <v>17</v>
      </c>
      <c r="C1180" s="7">
        <v>1.0</v>
      </c>
      <c r="D1180" s="7">
        <v>0.5</v>
      </c>
      <c r="E1180" s="7">
        <v>6.0</v>
      </c>
      <c r="F1180" s="7">
        <v>229.112225532531</v>
      </c>
      <c r="G1180" s="7">
        <v>338.043577909469</v>
      </c>
      <c r="H1180" s="7">
        <v>3.0</v>
      </c>
      <c r="I1180" s="15">
        <v>0.0595577267522839</v>
      </c>
      <c r="J1180" s="15">
        <v>0.0446366566814622</v>
      </c>
      <c r="K1180" s="12">
        <f>AVERAGE(I1177:I1181)</f>
        <v>0.5357588718</v>
      </c>
      <c r="L1180" s="18">
        <v>43851.0</v>
      </c>
      <c r="M1180" s="14">
        <f>STDEV(L1177:L1181)</f>
        <v>36537.85911</v>
      </c>
      <c r="N1180" s="15" t="b">
        <f t="shared" si="1"/>
        <v>0</v>
      </c>
    </row>
    <row r="1181" hidden="1">
      <c r="A1181" s="7" t="s">
        <v>242</v>
      </c>
      <c r="B1181" s="7" t="s">
        <v>17</v>
      </c>
      <c r="C1181" s="7">
        <v>1.0</v>
      </c>
      <c r="D1181" s="7">
        <v>0.5</v>
      </c>
      <c r="E1181" s="7">
        <v>6.0</v>
      </c>
      <c r="F1181" s="7">
        <v>229.112225532531</v>
      </c>
      <c r="G1181" s="7">
        <v>338.043577909469</v>
      </c>
      <c r="H1181" s="7">
        <v>4.0</v>
      </c>
      <c r="I1181" s="15">
        <v>0.7750891048399</v>
      </c>
      <c r="J1181" s="15">
        <v>0.139724109774696</v>
      </c>
      <c r="K1181" s="12">
        <f>AVERAGE(I1177:I1181)</f>
        <v>0.5357588718</v>
      </c>
      <c r="L1181" s="18">
        <v>5592.0</v>
      </c>
      <c r="M1181" s="14">
        <f>STDEV(L1177:L1181)</f>
        <v>36537.85911</v>
      </c>
      <c r="N1181" s="15" t="b">
        <f t="shared" si="1"/>
        <v>0</v>
      </c>
    </row>
    <row r="1182" hidden="1">
      <c r="A1182" s="7" t="s">
        <v>243</v>
      </c>
      <c r="B1182" s="24" t="s">
        <v>17</v>
      </c>
      <c r="C1182" s="24">
        <v>1.0</v>
      </c>
      <c r="D1182" s="24">
        <v>0.5</v>
      </c>
      <c r="E1182" s="24">
        <v>7.0</v>
      </c>
      <c r="F1182" s="7">
        <v>271.883457422256</v>
      </c>
      <c r="G1182" s="7">
        <v>371.347908020019</v>
      </c>
      <c r="H1182" s="7">
        <v>0.0</v>
      </c>
      <c r="I1182" s="15">
        <v>0.829195040458465</v>
      </c>
      <c r="J1182" s="15">
        <v>0.115648485507396</v>
      </c>
      <c r="K1182" s="12">
        <f>AVERAGE(I1182:I1186)</f>
        <v>0.5707073456</v>
      </c>
      <c r="L1182" s="18">
        <v>4078.0</v>
      </c>
      <c r="M1182" s="14">
        <f>STDEV(L1182:L1186)</f>
        <v>38155.24683</v>
      </c>
      <c r="N1182" s="15" t="b">
        <f t="shared" si="1"/>
        <v>0</v>
      </c>
    </row>
    <row r="1183" hidden="1">
      <c r="A1183" s="7" t="s">
        <v>243</v>
      </c>
      <c r="B1183" s="24" t="s">
        <v>17</v>
      </c>
      <c r="C1183" s="24">
        <v>1.0</v>
      </c>
      <c r="D1183" s="24">
        <v>0.5</v>
      </c>
      <c r="E1183" s="24">
        <v>7.0</v>
      </c>
      <c r="F1183" s="7">
        <v>271.883457422256</v>
      </c>
      <c r="G1183" s="7">
        <v>371.347908020019</v>
      </c>
      <c r="H1183" s="7">
        <v>1.0</v>
      </c>
      <c r="I1183" s="15">
        <v>0.821273628288362</v>
      </c>
      <c r="J1183" s="15">
        <v>0.115114766132479</v>
      </c>
      <c r="K1183" s="12">
        <f>AVERAGE(I1182:I1186)</f>
        <v>0.5707073456</v>
      </c>
      <c r="L1183" s="18">
        <v>5435.0</v>
      </c>
      <c r="M1183" s="14">
        <f>STDEV(L1182:L1186)</f>
        <v>38155.24683</v>
      </c>
      <c r="N1183" s="15" t="b">
        <f t="shared" si="1"/>
        <v>0</v>
      </c>
    </row>
    <row r="1184" hidden="1">
      <c r="A1184" s="7" t="s">
        <v>243</v>
      </c>
      <c r="B1184" s="24" t="s">
        <v>17</v>
      </c>
      <c r="C1184" s="24">
        <v>1.0</v>
      </c>
      <c r="D1184" s="24">
        <v>0.5</v>
      </c>
      <c r="E1184" s="24">
        <v>7.0</v>
      </c>
      <c r="F1184" s="7">
        <v>271.883457422256</v>
      </c>
      <c r="G1184" s="7">
        <v>371.347908020019</v>
      </c>
      <c r="H1184" s="7">
        <v>2.0</v>
      </c>
      <c r="I1184" s="15">
        <v>0.810218396984802</v>
      </c>
      <c r="J1184" s="15">
        <v>0.0984437391323026</v>
      </c>
      <c r="K1184" s="12">
        <f>AVERAGE(I1182:I1186)</f>
        <v>0.5707073456</v>
      </c>
      <c r="L1184" s="18">
        <v>13498.0</v>
      </c>
      <c r="M1184" s="14">
        <f>STDEV(L1182:L1186)</f>
        <v>38155.24683</v>
      </c>
      <c r="N1184" s="15" t="b">
        <f t="shared" si="1"/>
        <v>0</v>
      </c>
    </row>
    <row r="1185" hidden="1">
      <c r="A1185" s="7" t="s">
        <v>243</v>
      </c>
      <c r="B1185" s="24" t="s">
        <v>17</v>
      </c>
      <c r="C1185" s="24">
        <v>1.0</v>
      </c>
      <c r="D1185" s="24">
        <v>0.5</v>
      </c>
      <c r="E1185" s="24">
        <v>7.0</v>
      </c>
      <c r="F1185" s="7">
        <v>271.883457422256</v>
      </c>
      <c r="G1185" s="7">
        <v>371.347908020019</v>
      </c>
      <c r="H1185" s="7">
        <v>3.0</v>
      </c>
      <c r="I1185" s="15">
        <v>-0.0214794782157953</v>
      </c>
      <c r="J1185" s="15">
        <v>0.201440823122607</v>
      </c>
      <c r="K1185" s="12">
        <f>AVERAGE(I1182:I1186)</f>
        <v>0.5707073456</v>
      </c>
      <c r="L1185" s="18">
        <v>95170.0</v>
      </c>
      <c r="M1185" s="14">
        <f>STDEV(L1182:L1186)</f>
        <v>38155.24683</v>
      </c>
      <c r="N1185" s="15" t="b">
        <f t="shared" si="1"/>
        <v>0</v>
      </c>
    </row>
    <row r="1186" hidden="1">
      <c r="A1186" s="7" t="s">
        <v>243</v>
      </c>
      <c r="B1186" s="24" t="s">
        <v>17</v>
      </c>
      <c r="C1186" s="24">
        <v>1.0</v>
      </c>
      <c r="D1186" s="24">
        <v>0.5</v>
      </c>
      <c r="E1186" s="24">
        <v>7.0</v>
      </c>
      <c r="F1186" s="7">
        <v>271.883457422256</v>
      </c>
      <c r="G1186" s="7">
        <v>371.347908020019</v>
      </c>
      <c r="H1186" s="7">
        <v>4.0</v>
      </c>
      <c r="I1186" s="15">
        <v>0.414329140411161</v>
      </c>
      <c r="J1186" s="15">
        <v>0.0971485387603985</v>
      </c>
      <c r="K1186" s="12">
        <f>AVERAGE(I1182:I1186)</f>
        <v>0.5707073456</v>
      </c>
      <c r="L1186" s="18">
        <v>23495.0</v>
      </c>
      <c r="M1186" s="14">
        <f>STDEV(L1182:L1186)</f>
        <v>38155.24683</v>
      </c>
      <c r="N1186" s="15" t="b">
        <f t="shared" si="1"/>
        <v>0</v>
      </c>
    </row>
    <row r="1187" hidden="1">
      <c r="A1187" s="7" t="s">
        <v>244</v>
      </c>
      <c r="B1187" s="7" t="s">
        <v>17</v>
      </c>
      <c r="C1187" s="7">
        <v>1.0</v>
      </c>
      <c r="D1187" s="7">
        <v>0.5</v>
      </c>
      <c r="E1187" s="7">
        <v>8.0</v>
      </c>
      <c r="F1187" s="7">
        <v>319.333149194717</v>
      </c>
      <c r="G1187" s="7">
        <v>406.531881093978</v>
      </c>
      <c r="H1187" s="7">
        <v>0.0</v>
      </c>
      <c r="I1187" s="15">
        <v>-0.0151935904284018</v>
      </c>
      <c r="J1187" s="15">
        <v>0.137148626308158</v>
      </c>
      <c r="K1187" s="12">
        <f>AVERAGE(I1187:I1191)</f>
        <v>0.3116074114</v>
      </c>
      <c r="L1187" s="18">
        <v>76058.0</v>
      </c>
      <c r="M1187" s="14">
        <f>STDEV(L1187:L1191)</f>
        <v>30520.46349</v>
      </c>
      <c r="N1187" s="15" t="b">
        <f t="shared" si="1"/>
        <v>0</v>
      </c>
    </row>
    <row r="1188" hidden="1">
      <c r="A1188" s="7" t="s">
        <v>244</v>
      </c>
      <c r="B1188" s="7" t="s">
        <v>17</v>
      </c>
      <c r="C1188" s="7">
        <v>1.0</v>
      </c>
      <c r="D1188" s="7">
        <v>0.5</v>
      </c>
      <c r="E1188" s="7">
        <v>8.0</v>
      </c>
      <c r="F1188" s="7">
        <v>319.333149194717</v>
      </c>
      <c r="G1188" s="7">
        <v>406.531881093978</v>
      </c>
      <c r="H1188" s="7">
        <v>1.0</v>
      </c>
      <c r="I1188" s="15">
        <v>0.137157159791334</v>
      </c>
      <c r="J1188" s="15">
        <v>0.0643144204283063</v>
      </c>
      <c r="K1188" s="12">
        <f>AVERAGE(I1187:I1191)</f>
        <v>0.3116074114</v>
      </c>
      <c r="L1188" s="18">
        <v>35881.0</v>
      </c>
      <c r="M1188" s="14">
        <f>STDEV(L1187:L1191)</f>
        <v>30520.46349</v>
      </c>
      <c r="N1188" s="15" t="b">
        <f t="shared" si="1"/>
        <v>0</v>
      </c>
    </row>
    <row r="1189" hidden="1">
      <c r="A1189" s="7" t="s">
        <v>244</v>
      </c>
      <c r="B1189" s="7" t="s">
        <v>17</v>
      </c>
      <c r="C1189" s="7">
        <v>1.0</v>
      </c>
      <c r="D1189" s="7">
        <v>0.5</v>
      </c>
      <c r="E1189" s="7">
        <v>8.0</v>
      </c>
      <c r="F1189" s="7">
        <v>319.333149194717</v>
      </c>
      <c r="G1189" s="7">
        <v>406.531881093978</v>
      </c>
      <c r="H1189" s="7">
        <v>2.0</v>
      </c>
      <c r="I1189" s="15">
        <v>0.411414506642305</v>
      </c>
      <c r="J1189" s="15">
        <v>0.0500999558990803</v>
      </c>
      <c r="K1189" s="12">
        <f>AVERAGE(I1187:I1191)</f>
        <v>0.3116074114</v>
      </c>
      <c r="L1189" s="18">
        <v>25682.0</v>
      </c>
      <c r="M1189" s="14">
        <f>STDEV(L1187:L1191)</f>
        <v>30520.46349</v>
      </c>
      <c r="N1189" s="15" t="b">
        <f t="shared" si="1"/>
        <v>0</v>
      </c>
    </row>
    <row r="1190" hidden="1">
      <c r="A1190" s="7" t="s">
        <v>244</v>
      </c>
      <c r="B1190" s="7" t="s">
        <v>17</v>
      </c>
      <c r="C1190" s="7">
        <v>1.0</v>
      </c>
      <c r="D1190" s="7">
        <v>0.5</v>
      </c>
      <c r="E1190" s="7">
        <v>8.0</v>
      </c>
      <c r="F1190" s="7">
        <v>319.333149194717</v>
      </c>
      <c r="G1190" s="7">
        <v>406.531881093978</v>
      </c>
      <c r="H1190" s="7">
        <v>3.0</v>
      </c>
      <c r="I1190" s="15">
        <v>0.747577406216525</v>
      </c>
      <c r="J1190" s="15">
        <v>0.144335399027746</v>
      </c>
      <c r="K1190" s="12">
        <f>AVERAGE(I1187:I1191)</f>
        <v>0.3116074114</v>
      </c>
      <c r="L1190" s="18">
        <v>1603.0</v>
      </c>
      <c r="M1190" s="14">
        <f>STDEV(L1187:L1191)</f>
        <v>30520.46349</v>
      </c>
      <c r="N1190" s="15" t="b">
        <f t="shared" si="1"/>
        <v>0</v>
      </c>
    </row>
    <row r="1191" hidden="1">
      <c r="A1191" s="7" t="s">
        <v>244</v>
      </c>
      <c r="B1191" s="7" t="s">
        <v>17</v>
      </c>
      <c r="C1191" s="7">
        <v>1.0</v>
      </c>
      <c r="D1191" s="7">
        <v>0.5</v>
      </c>
      <c r="E1191" s="7">
        <v>8.0</v>
      </c>
      <c r="F1191" s="7">
        <v>319.333149194717</v>
      </c>
      <c r="G1191" s="7">
        <v>406.531881093978</v>
      </c>
      <c r="H1191" s="7">
        <v>4.0</v>
      </c>
      <c r="I1191" s="15">
        <v>0.277081575012714</v>
      </c>
      <c r="J1191" s="15">
        <v>0.1374687175134</v>
      </c>
      <c r="K1191" s="12">
        <f>AVERAGE(I1187:I1191)</f>
        <v>0.3116074114</v>
      </c>
      <c r="L1191" s="18">
        <v>2452.0</v>
      </c>
      <c r="M1191" s="14">
        <f>STDEV(L1187:L1191)</f>
        <v>30520.46349</v>
      </c>
      <c r="N1191" s="15" t="b">
        <f t="shared" si="1"/>
        <v>0</v>
      </c>
    </row>
    <row r="1192" hidden="1">
      <c r="A1192" s="7" t="s">
        <v>245</v>
      </c>
      <c r="B1192" s="7" t="s">
        <v>17</v>
      </c>
      <c r="C1192" s="7">
        <v>1.0</v>
      </c>
      <c r="D1192" s="7">
        <v>0.5</v>
      </c>
      <c r="E1192" s="7">
        <v>9.0</v>
      </c>
      <c r="F1192" s="7">
        <v>104.207517147064</v>
      </c>
      <c r="G1192" s="7">
        <v>197.969529867172</v>
      </c>
      <c r="H1192" s="7">
        <v>0.0</v>
      </c>
      <c r="I1192" s="15">
        <v>0.0557175036886371</v>
      </c>
      <c r="J1192" s="15">
        <v>0.116342025204716</v>
      </c>
      <c r="K1192" s="12">
        <f>AVERAGE(I1192:I1196)</f>
        <v>0.5773724093</v>
      </c>
      <c r="L1192" s="18">
        <v>131265.0</v>
      </c>
      <c r="M1192" s="14">
        <f>STDEV(L1192:L1196)</f>
        <v>57548.82699</v>
      </c>
      <c r="N1192" s="15" t="b">
        <f t="shared" si="1"/>
        <v>0</v>
      </c>
    </row>
    <row r="1193" hidden="1">
      <c r="A1193" s="7" t="s">
        <v>245</v>
      </c>
      <c r="B1193" s="7" t="s">
        <v>17</v>
      </c>
      <c r="C1193" s="7">
        <v>1.0</v>
      </c>
      <c r="D1193" s="7">
        <v>0.5</v>
      </c>
      <c r="E1193" s="7">
        <v>9.0</v>
      </c>
      <c r="F1193" s="7">
        <v>104.207517147064</v>
      </c>
      <c r="G1193" s="7">
        <v>197.969529867172</v>
      </c>
      <c r="H1193" s="7">
        <v>1.0</v>
      </c>
      <c r="I1193" s="15">
        <v>0.299955048813285</v>
      </c>
      <c r="J1193" s="15">
        <v>0.114812883091887</v>
      </c>
      <c r="K1193" s="12">
        <f>AVERAGE(I1192:I1196)</f>
        <v>0.5773724093</v>
      </c>
      <c r="L1193" s="18">
        <v>4338.0</v>
      </c>
      <c r="M1193" s="14">
        <f>STDEV(L1192:L1196)</f>
        <v>57548.82699</v>
      </c>
      <c r="N1193" s="15" t="b">
        <f t="shared" si="1"/>
        <v>0</v>
      </c>
    </row>
    <row r="1194" hidden="1">
      <c r="A1194" s="7" t="s">
        <v>245</v>
      </c>
      <c r="B1194" s="7" t="s">
        <v>17</v>
      </c>
      <c r="C1194" s="7">
        <v>1.0</v>
      </c>
      <c r="D1194" s="7">
        <v>0.5</v>
      </c>
      <c r="E1194" s="7">
        <v>9.0</v>
      </c>
      <c r="F1194" s="7">
        <v>104.207517147064</v>
      </c>
      <c r="G1194" s="7">
        <v>197.969529867172</v>
      </c>
      <c r="H1194" s="7">
        <v>2.0</v>
      </c>
      <c r="I1194" s="15">
        <v>0.92344793795908</v>
      </c>
      <c r="J1194" s="15">
        <v>0.0281439260272004</v>
      </c>
      <c r="K1194" s="12">
        <f>AVERAGE(I1192:I1196)</f>
        <v>0.5773724093</v>
      </c>
      <c r="L1194" s="18">
        <v>1675.0</v>
      </c>
      <c r="M1194" s="14">
        <f>STDEV(L1192:L1196)</f>
        <v>57548.82699</v>
      </c>
      <c r="N1194" s="15" t="b">
        <f t="shared" si="1"/>
        <v>0</v>
      </c>
    </row>
    <row r="1195" hidden="1">
      <c r="A1195" s="7" t="s">
        <v>245</v>
      </c>
      <c r="B1195" s="7" t="s">
        <v>17</v>
      </c>
      <c r="C1195" s="7">
        <v>1.0</v>
      </c>
      <c r="D1195" s="7">
        <v>0.5</v>
      </c>
      <c r="E1195" s="7">
        <v>9.0</v>
      </c>
      <c r="F1195" s="7">
        <v>104.207517147064</v>
      </c>
      <c r="G1195" s="7">
        <v>197.969529867172</v>
      </c>
      <c r="H1195" s="7">
        <v>3.0</v>
      </c>
      <c r="I1195" s="15">
        <v>0.863775194483994</v>
      </c>
      <c r="J1195" s="15">
        <v>0.0817094479433844</v>
      </c>
      <c r="K1195" s="12">
        <f>AVERAGE(I1192:I1196)</f>
        <v>0.5773724093</v>
      </c>
      <c r="L1195" s="18">
        <v>1984.0</v>
      </c>
      <c r="M1195" s="14">
        <f>STDEV(L1192:L1196)</f>
        <v>57548.82699</v>
      </c>
      <c r="N1195" s="15" t="b">
        <f t="shared" si="1"/>
        <v>0</v>
      </c>
    </row>
    <row r="1196" hidden="1">
      <c r="A1196" s="7" t="s">
        <v>245</v>
      </c>
      <c r="B1196" s="7" t="s">
        <v>17</v>
      </c>
      <c r="C1196" s="7">
        <v>1.0</v>
      </c>
      <c r="D1196" s="7">
        <v>0.5</v>
      </c>
      <c r="E1196" s="7">
        <v>9.0</v>
      </c>
      <c r="F1196" s="7">
        <v>104.207517147064</v>
      </c>
      <c r="G1196" s="7">
        <v>197.969529867172</v>
      </c>
      <c r="H1196" s="7">
        <v>4.0</v>
      </c>
      <c r="I1196" s="15">
        <v>0.743966361321395</v>
      </c>
      <c r="J1196" s="15">
        <v>0.158504250751727</v>
      </c>
      <c r="K1196" s="12">
        <f>AVERAGE(I1192:I1196)</f>
        <v>0.5773724093</v>
      </c>
      <c r="L1196" s="18">
        <v>2414.0</v>
      </c>
      <c r="M1196" s="14">
        <f>STDEV(L1192:L1196)</f>
        <v>57548.82699</v>
      </c>
      <c r="N1196" s="15" t="b">
        <f t="shared" si="1"/>
        <v>0</v>
      </c>
    </row>
    <row r="1197" hidden="1">
      <c r="A1197" s="7" t="s">
        <v>246</v>
      </c>
      <c r="B1197" s="7" t="s">
        <v>17</v>
      </c>
      <c r="C1197" s="7">
        <v>1.0</v>
      </c>
      <c r="D1197" s="7">
        <v>0.5</v>
      </c>
      <c r="E1197" s="7">
        <v>10.0</v>
      </c>
      <c r="F1197" s="7">
        <v>143.908506631851</v>
      </c>
      <c r="G1197" s="7">
        <v>222.277840614318</v>
      </c>
      <c r="H1197" s="7">
        <v>0.0</v>
      </c>
      <c r="I1197" s="15">
        <v>0.7783307313496</v>
      </c>
      <c r="J1197" s="15">
        <v>0.137644664296799</v>
      </c>
      <c r="K1197" s="12">
        <f>AVERAGE(I1197:I1201)</f>
        <v>0.6219154965</v>
      </c>
      <c r="L1197" s="18">
        <v>5575.0</v>
      </c>
      <c r="M1197" s="14">
        <f>STDEV(L1197:L1201)</f>
        <v>45506.42142</v>
      </c>
      <c r="N1197" s="15" t="b">
        <f t="shared" si="1"/>
        <v>0</v>
      </c>
    </row>
    <row r="1198" hidden="1">
      <c r="A1198" s="7" t="s">
        <v>246</v>
      </c>
      <c r="B1198" s="7" t="s">
        <v>17</v>
      </c>
      <c r="C1198" s="7">
        <v>1.0</v>
      </c>
      <c r="D1198" s="7">
        <v>0.5</v>
      </c>
      <c r="E1198" s="7">
        <v>10.0</v>
      </c>
      <c r="F1198" s="7">
        <v>143.908506631851</v>
      </c>
      <c r="G1198" s="7">
        <v>222.277840614318</v>
      </c>
      <c r="H1198" s="7">
        <v>1.0</v>
      </c>
      <c r="I1198" s="15">
        <v>0.746247804978591</v>
      </c>
      <c r="J1198" s="15">
        <v>0.151218637301427</v>
      </c>
      <c r="K1198" s="12">
        <f>AVERAGE(I1197:I1201)</f>
        <v>0.6219154965</v>
      </c>
      <c r="L1198" s="18">
        <v>9213.0</v>
      </c>
      <c r="M1198" s="14">
        <f>STDEV(L1197:L1201)</f>
        <v>45506.42142</v>
      </c>
      <c r="N1198" s="15" t="b">
        <f t="shared" si="1"/>
        <v>0</v>
      </c>
    </row>
    <row r="1199" hidden="1">
      <c r="A1199" s="7" t="s">
        <v>246</v>
      </c>
      <c r="B1199" s="7" t="s">
        <v>17</v>
      </c>
      <c r="C1199" s="7">
        <v>1.0</v>
      </c>
      <c r="D1199" s="7">
        <v>0.5</v>
      </c>
      <c r="E1199" s="7">
        <v>10.0</v>
      </c>
      <c r="F1199" s="7">
        <v>143.908506631851</v>
      </c>
      <c r="G1199" s="7">
        <v>222.277840614318</v>
      </c>
      <c r="H1199" s="7">
        <v>2.0</v>
      </c>
      <c r="I1199" s="15">
        <v>0.00328180984432602</v>
      </c>
      <c r="J1199" s="15">
        <v>0.207806372839737</v>
      </c>
      <c r="K1199" s="12">
        <f>AVERAGE(I1197:I1201)</f>
        <v>0.6219154965</v>
      </c>
      <c r="L1199" s="18">
        <v>109528.0</v>
      </c>
      <c r="M1199" s="14">
        <f>STDEV(L1197:L1201)</f>
        <v>45506.42142</v>
      </c>
      <c r="N1199" s="15" t="b">
        <f t="shared" si="1"/>
        <v>0</v>
      </c>
    </row>
    <row r="1200" hidden="1">
      <c r="A1200" s="7" t="s">
        <v>246</v>
      </c>
      <c r="B1200" s="7" t="s">
        <v>17</v>
      </c>
      <c r="C1200" s="7">
        <v>1.0</v>
      </c>
      <c r="D1200" s="7">
        <v>0.5</v>
      </c>
      <c r="E1200" s="7">
        <v>10.0</v>
      </c>
      <c r="F1200" s="7">
        <v>143.908506631851</v>
      </c>
      <c r="G1200" s="7">
        <v>222.277840614318</v>
      </c>
      <c r="H1200" s="7">
        <v>3.0</v>
      </c>
      <c r="I1200" s="15">
        <v>0.782815547435887</v>
      </c>
      <c r="J1200" s="15">
        <v>0.132235884820529</v>
      </c>
      <c r="K1200" s="12">
        <f>AVERAGE(I1197:I1201)</f>
        <v>0.6219154965</v>
      </c>
      <c r="L1200" s="18">
        <v>12847.0</v>
      </c>
      <c r="M1200" s="14">
        <f>STDEV(L1197:L1201)</f>
        <v>45506.42142</v>
      </c>
      <c r="N1200" s="15" t="b">
        <f t="shared" si="1"/>
        <v>0</v>
      </c>
    </row>
    <row r="1201" hidden="1">
      <c r="A1201" s="7" t="s">
        <v>246</v>
      </c>
      <c r="B1201" s="7" t="s">
        <v>17</v>
      </c>
      <c r="C1201" s="7">
        <v>1.0</v>
      </c>
      <c r="D1201" s="7">
        <v>0.5</v>
      </c>
      <c r="E1201" s="7">
        <v>10.0</v>
      </c>
      <c r="F1201" s="7">
        <v>143.908506631851</v>
      </c>
      <c r="G1201" s="7">
        <v>222.277840614318</v>
      </c>
      <c r="H1201" s="7">
        <v>4.0</v>
      </c>
      <c r="I1201" s="15">
        <v>0.798901588774548</v>
      </c>
      <c r="J1201" s="15">
        <v>0.123349059348041</v>
      </c>
      <c r="K1201" s="12">
        <f>AVERAGE(I1197:I1201)</f>
        <v>0.6219154965</v>
      </c>
      <c r="L1201" s="18">
        <v>4513.0</v>
      </c>
      <c r="M1201" s="14">
        <f>STDEV(L1197:L1201)</f>
        <v>45506.42142</v>
      </c>
      <c r="N1201" s="15" t="b">
        <f t="shared" si="1"/>
        <v>0</v>
      </c>
    </row>
    <row r="1202" hidden="1">
      <c r="A1202" s="7" t="s">
        <v>247</v>
      </c>
      <c r="B1202" s="20" t="s">
        <v>17</v>
      </c>
      <c r="C1202" s="20">
        <v>1.0</v>
      </c>
      <c r="D1202" s="20">
        <v>0.75</v>
      </c>
      <c r="E1202" s="20">
        <v>1.0</v>
      </c>
      <c r="F1202" s="7">
        <v>114.317750453948</v>
      </c>
      <c r="G1202" s="7">
        <v>224.90317082405</v>
      </c>
      <c r="H1202" s="7">
        <v>0.0</v>
      </c>
      <c r="I1202" s="15">
        <v>0.805081324496527</v>
      </c>
      <c r="J1202" s="15">
        <v>0.116872252708855</v>
      </c>
      <c r="K1202" s="12">
        <f>AVERAGE(I1202:I1206)</f>
        <v>0.6594250809</v>
      </c>
      <c r="L1202" s="18">
        <v>10049.0</v>
      </c>
      <c r="M1202" s="14">
        <f>STDEV(L1202:L1206)</f>
        <v>46498.17301</v>
      </c>
      <c r="N1202" s="15" t="b">
        <f t="shared" si="1"/>
        <v>1</v>
      </c>
    </row>
    <row r="1203" hidden="1">
      <c r="A1203" s="7" t="s">
        <v>247</v>
      </c>
      <c r="B1203" s="20" t="s">
        <v>17</v>
      </c>
      <c r="C1203" s="20">
        <v>1.0</v>
      </c>
      <c r="D1203" s="20">
        <v>0.75</v>
      </c>
      <c r="E1203" s="20">
        <v>1.0</v>
      </c>
      <c r="F1203" s="7">
        <v>114.317750453948</v>
      </c>
      <c r="G1203" s="7">
        <v>224.90317082405</v>
      </c>
      <c r="H1203" s="7">
        <v>1.0</v>
      </c>
      <c r="I1203" s="15">
        <v>0.872768194685761</v>
      </c>
      <c r="J1203" s="15">
        <v>0.0985198560865845</v>
      </c>
      <c r="K1203" s="12">
        <f>AVERAGE(I1202:I1206)</f>
        <v>0.6594250809</v>
      </c>
      <c r="L1203" s="18">
        <v>4379.0</v>
      </c>
      <c r="M1203" s="14">
        <f>STDEV(L1202:L1206)</f>
        <v>46498.17301</v>
      </c>
      <c r="N1203" s="15" t="b">
        <f t="shared" si="1"/>
        <v>1</v>
      </c>
    </row>
    <row r="1204" hidden="1">
      <c r="A1204" s="7" t="s">
        <v>247</v>
      </c>
      <c r="B1204" s="20" t="s">
        <v>17</v>
      </c>
      <c r="C1204" s="20">
        <v>1.0</v>
      </c>
      <c r="D1204" s="20">
        <v>0.75</v>
      </c>
      <c r="E1204" s="20">
        <v>1.0</v>
      </c>
      <c r="F1204" s="7">
        <v>114.317750453948</v>
      </c>
      <c r="G1204" s="7">
        <v>224.90317082405</v>
      </c>
      <c r="H1204" s="7">
        <v>2.0</v>
      </c>
      <c r="I1204" s="15">
        <v>-1.13388260406871E-4</v>
      </c>
      <c r="J1204" s="15">
        <v>0.207344894590626</v>
      </c>
      <c r="K1204" s="12">
        <f>AVERAGE(I1202:I1206)</f>
        <v>0.6594250809</v>
      </c>
      <c r="L1204" s="18">
        <v>111258.0</v>
      </c>
      <c r="M1204" s="14">
        <f>STDEV(L1202:L1206)</f>
        <v>46498.17301</v>
      </c>
      <c r="N1204" s="15" t="b">
        <f t="shared" si="1"/>
        <v>1</v>
      </c>
    </row>
    <row r="1205" hidden="1">
      <c r="A1205" s="7" t="s">
        <v>247</v>
      </c>
      <c r="B1205" s="20" t="s">
        <v>17</v>
      </c>
      <c r="C1205" s="20">
        <v>1.0</v>
      </c>
      <c r="D1205" s="20">
        <v>0.75</v>
      </c>
      <c r="E1205" s="20">
        <v>1.0</v>
      </c>
      <c r="F1205" s="7">
        <v>114.317750453948</v>
      </c>
      <c r="G1205" s="7">
        <v>224.90317082405</v>
      </c>
      <c r="H1205" s="7">
        <v>3.0</v>
      </c>
      <c r="I1205" s="15">
        <v>0.785138945621112</v>
      </c>
      <c r="J1205" s="15">
        <v>0.131725256576536</v>
      </c>
      <c r="K1205" s="12">
        <f>AVERAGE(I1202:I1206)</f>
        <v>0.6594250809</v>
      </c>
      <c r="L1205" s="18">
        <v>12261.0</v>
      </c>
      <c r="M1205" s="14">
        <f>STDEV(L1202:L1206)</f>
        <v>46498.17301</v>
      </c>
      <c r="N1205" s="15" t="b">
        <f t="shared" si="1"/>
        <v>1</v>
      </c>
    </row>
    <row r="1206" hidden="1">
      <c r="A1206" s="7" t="s">
        <v>247</v>
      </c>
      <c r="B1206" s="20" t="s">
        <v>17</v>
      </c>
      <c r="C1206" s="20">
        <v>1.0</v>
      </c>
      <c r="D1206" s="20">
        <v>0.75</v>
      </c>
      <c r="E1206" s="20">
        <v>1.0</v>
      </c>
      <c r="F1206" s="7">
        <v>114.317750453948</v>
      </c>
      <c r="G1206" s="7">
        <v>224.90317082405</v>
      </c>
      <c r="H1206" s="7">
        <v>4.0</v>
      </c>
      <c r="I1206" s="15">
        <v>0.834250327845823</v>
      </c>
      <c r="J1206" s="15">
        <v>0.118612336536255</v>
      </c>
      <c r="K1206" s="12">
        <f>AVERAGE(I1202:I1206)</f>
        <v>0.6594250809</v>
      </c>
      <c r="L1206" s="18">
        <v>3729.0</v>
      </c>
      <c r="M1206" s="14">
        <f>STDEV(L1202:L1206)</f>
        <v>46498.17301</v>
      </c>
      <c r="N1206" s="15" t="b">
        <f t="shared" si="1"/>
        <v>1</v>
      </c>
    </row>
    <row r="1207" hidden="1">
      <c r="A1207" s="7" t="s">
        <v>248</v>
      </c>
      <c r="B1207" s="7" t="s">
        <v>17</v>
      </c>
      <c r="C1207" s="7">
        <v>1.0</v>
      </c>
      <c r="D1207" s="7">
        <v>0.75</v>
      </c>
      <c r="E1207" s="7">
        <v>2.0</v>
      </c>
      <c r="F1207" s="7">
        <v>102.661572456359</v>
      </c>
      <c r="G1207" s="7">
        <v>204.712655305862</v>
      </c>
      <c r="H1207" s="7">
        <v>0.0</v>
      </c>
      <c r="I1207" s="15">
        <v>0.776398344309022</v>
      </c>
      <c r="J1207" s="15">
        <v>0.139765960513335</v>
      </c>
      <c r="K1207" s="12">
        <f>AVERAGE(I1207:I1211)</f>
        <v>0.5482458972</v>
      </c>
      <c r="L1207" s="18">
        <v>5245.0</v>
      </c>
      <c r="M1207" s="14">
        <f>STDEV(L1207:L1211)</f>
        <v>49088.74102</v>
      </c>
      <c r="N1207" s="15" t="b">
        <f t="shared" si="1"/>
        <v>0</v>
      </c>
    </row>
    <row r="1208" hidden="1">
      <c r="A1208" s="7" t="s">
        <v>248</v>
      </c>
      <c r="B1208" s="7" t="s">
        <v>17</v>
      </c>
      <c r="C1208" s="7">
        <v>1.0</v>
      </c>
      <c r="D1208" s="7">
        <v>0.75</v>
      </c>
      <c r="E1208" s="7">
        <v>2.0</v>
      </c>
      <c r="F1208" s="7">
        <v>102.661572456359</v>
      </c>
      <c r="G1208" s="7">
        <v>204.712655305862</v>
      </c>
      <c r="H1208" s="7">
        <v>1.0</v>
      </c>
      <c r="I1208" s="15">
        <v>0.330220529737091</v>
      </c>
      <c r="J1208" s="15">
        <v>0.137580186700856</v>
      </c>
      <c r="K1208" s="12">
        <f>AVERAGE(I1207:I1211)</f>
        <v>0.5482458972</v>
      </c>
      <c r="L1208" s="18">
        <v>17875.0</v>
      </c>
      <c r="M1208" s="14">
        <f>STDEV(L1207:L1211)</f>
        <v>49088.74102</v>
      </c>
      <c r="N1208" s="15" t="b">
        <f t="shared" si="1"/>
        <v>0</v>
      </c>
    </row>
    <row r="1209" hidden="1">
      <c r="A1209" s="7" t="s">
        <v>248</v>
      </c>
      <c r="B1209" s="7" t="s">
        <v>17</v>
      </c>
      <c r="C1209" s="7">
        <v>1.0</v>
      </c>
      <c r="D1209" s="7">
        <v>0.75</v>
      </c>
      <c r="E1209" s="7">
        <v>2.0</v>
      </c>
      <c r="F1209" s="7">
        <v>102.661572456359</v>
      </c>
      <c r="G1209" s="7">
        <v>204.712655305862</v>
      </c>
      <c r="H1209" s="7">
        <v>2.0</v>
      </c>
      <c r="I1209" s="15">
        <v>0.0327474778892799</v>
      </c>
      <c r="J1209" s="15">
        <v>0.164242745573462</v>
      </c>
      <c r="K1209" s="12">
        <f>AVERAGE(I1207:I1211)</f>
        <v>0.5482458972</v>
      </c>
      <c r="L1209" s="18">
        <v>115329.0</v>
      </c>
      <c r="M1209" s="14">
        <f>STDEV(L1207:L1211)</f>
        <v>49088.74102</v>
      </c>
      <c r="N1209" s="15" t="b">
        <f t="shared" si="1"/>
        <v>0</v>
      </c>
    </row>
    <row r="1210" hidden="1">
      <c r="A1210" s="7" t="s">
        <v>248</v>
      </c>
      <c r="B1210" s="7" t="s">
        <v>17</v>
      </c>
      <c r="C1210" s="7">
        <v>1.0</v>
      </c>
      <c r="D1210" s="7">
        <v>0.75</v>
      </c>
      <c r="E1210" s="7">
        <v>2.0</v>
      </c>
      <c r="F1210" s="7">
        <v>102.661572456359</v>
      </c>
      <c r="G1210" s="7">
        <v>204.712655305862</v>
      </c>
      <c r="H1210" s="7">
        <v>3.0</v>
      </c>
      <c r="I1210" s="15">
        <v>0.812895933836992</v>
      </c>
      <c r="J1210" s="15">
        <v>0.133171386499738</v>
      </c>
      <c r="K1210" s="12">
        <f>AVERAGE(I1207:I1211)</f>
        <v>0.5482458972</v>
      </c>
      <c r="L1210" s="18">
        <v>1278.0</v>
      </c>
      <c r="M1210" s="14">
        <f>STDEV(L1207:L1211)</f>
        <v>49088.74102</v>
      </c>
      <c r="N1210" s="15" t="b">
        <f t="shared" si="1"/>
        <v>0</v>
      </c>
    </row>
    <row r="1211" hidden="1">
      <c r="A1211" s="7" t="s">
        <v>248</v>
      </c>
      <c r="B1211" s="7" t="s">
        <v>17</v>
      </c>
      <c r="C1211" s="7">
        <v>1.0</v>
      </c>
      <c r="D1211" s="7">
        <v>0.75</v>
      </c>
      <c r="E1211" s="7">
        <v>2.0</v>
      </c>
      <c r="F1211" s="7">
        <v>102.661572456359</v>
      </c>
      <c r="G1211" s="7">
        <v>204.712655305862</v>
      </c>
      <c r="H1211" s="7">
        <v>4.0</v>
      </c>
      <c r="I1211" s="15">
        <v>0.788967200366508</v>
      </c>
      <c r="J1211" s="15">
        <v>0.138074228642582</v>
      </c>
      <c r="K1211" s="12">
        <f>AVERAGE(I1207:I1211)</f>
        <v>0.5482458972</v>
      </c>
      <c r="L1211" s="18">
        <v>1949.0</v>
      </c>
      <c r="M1211" s="14">
        <f>STDEV(L1207:L1211)</f>
        <v>49088.74102</v>
      </c>
      <c r="N1211" s="15" t="b">
        <f t="shared" si="1"/>
        <v>0</v>
      </c>
    </row>
    <row r="1212" hidden="1">
      <c r="A1212" s="7" t="s">
        <v>249</v>
      </c>
      <c r="B1212" s="22" t="s">
        <v>17</v>
      </c>
      <c r="C1212" s="22">
        <v>1.0</v>
      </c>
      <c r="D1212" s="22">
        <v>0.75</v>
      </c>
      <c r="E1212" s="22">
        <v>3.0</v>
      </c>
      <c r="F1212" s="7">
        <v>298.766152858734</v>
      </c>
      <c r="G1212" s="7">
        <v>360.193366765975</v>
      </c>
      <c r="H1212" s="7">
        <v>0.0</v>
      </c>
      <c r="I1212" s="15">
        <v>0.399954781937886</v>
      </c>
      <c r="J1212" s="15">
        <v>0.0664304696972915</v>
      </c>
      <c r="K1212" s="12">
        <f>AVERAGE(I1212:I1216)</f>
        <v>0.5669432853</v>
      </c>
      <c r="L1212" s="18">
        <v>24370.0</v>
      </c>
      <c r="M1212" s="14">
        <f>STDEV(L1212:L1216)</f>
        <v>39699.12698</v>
      </c>
      <c r="N1212" s="15" t="b">
        <f t="shared" si="1"/>
        <v>0</v>
      </c>
    </row>
    <row r="1213" hidden="1">
      <c r="A1213" s="7" t="s">
        <v>249</v>
      </c>
      <c r="B1213" s="22" t="s">
        <v>17</v>
      </c>
      <c r="C1213" s="22">
        <v>1.0</v>
      </c>
      <c r="D1213" s="22">
        <v>0.75</v>
      </c>
      <c r="E1213" s="22">
        <v>3.0</v>
      </c>
      <c r="F1213" s="7">
        <v>298.766152858734</v>
      </c>
      <c r="G1213" s="7">
        <v>360.193366765975</v>
      </c>
      <c r="H1213" s="7">
        <v>1.0</v>
      </c>
      <c r="I1213" s="15">
        <v>0.802956710292152</v>
      </c>
      <c r="J1213" s="15">
        <v>0.116804510649441</v>
      </c>
      <c r="K1213" s="12">
        <f>AVERAGE(I1212:I1216)</f>
        <v>0.5669432853</v>
      </c>
      <c r="L1213" s="18">
        <v>10098.0</v>
      </c>
      <c r="M1213" s="14">
        <f>STDEV(L1212:L1216)</f>
        <v>39699.12698</v>
      </c>
      <c r="N1213" s="15" t="b">
        <f t="shared" si="1"/>
        <v>0</v>
      </c>
    </row>
    <row r="1214" hidden="1">
      <c r="A1214" s="7" t="s">
        <v>249</v>
      </c>
      <c r="B1214" s="22" t="s">
        <v>17</v>
      </c>
      <c r="C1214" s="22">
        <v>1.0</v>
      </c>
      <c r="D1214" s="22">
        <v>0.75</v>
      </c>
      <c r="E1214" s="22">
        <v>3.0</v>
      </c>
      <c r="F1214" s="7">
        <v>298.766152858734</v>
      </c>
      <c r="G1214" s="7">
        <v>360.193366765975</v>
      </c>
      <c r="H1214" s="7">
        <v>2.0</v>
      </c>
      <c r="I1214" s="15">
        <v>0.823147432077626</v>
      </c>
      <c r="J1214" s="15">
        <v>0.11952574842519</v>
      </c>
      <c r="K1214" s="12">
        <f>AVERAGE(I1212:I1216)</f>
        <v>0.5669432853</v>
      </c>
      <c r="L1214" s="18">
        <v>5168.0</v>
      </c>
      <c r="M1214" s="14">
        <f>STDEV(L1212:L1216)</f>
        <v>39699.12698</v>
      </c>
      <c r="N1214" s="15" t="b">
        <f t="shared" si="1"/>
        <v>0</v>
      </c>
    </row>
    <row r="1215" hidden="1">
      <c r="A1215" s="7" t="s">
        <v>249</v>
      </c>
      <c r="B1215" s="22" t="s">
        <v>17</v>
      </c>
      <c r="C1215" s="22">
        <v>1.0</v>
      </c>
      <c r="D1215" s="22">
        <v>0.75</v>
      </c>
      <c r="E1215" s="22">
        <v>3.0</v>
      </c>
      <c r="F1215" s="7">
        <v>298.766152858734</v>
      </c>
      <c r="G1215" s="7">
        <v>360.193366765975</v>
      </c>
      <c r="H1215" s="7">
        <v>3.0</v>
      </c>
      <c r="I1215" s="15">
        <v>0.85512660282481</v>
      </c>
      <c r="J1215" s="15">
        <v>0.0994108825494057</v>
      </c>
      <c r="K1215" s="12">
        <f>AVERAGE(I1212:I1216)</f>
        <v>0.5669432853</v>
      </c>
      <c r="L1215" s="18">
        <v>4170.0</v>
      </c>
      <c r="M1215" s="14">
        <f>STDEV(L1212:L1216)</f>
        <v>39699.12698</v>
      </c>
      <c r="N1215" s="15" t="b">
        <f t="shared" si="1"/>
        <v>0</v>
      </c>
    </row>
    <row r="1216" hidden="1">
      <c r="A1216" s="7" t="s">
        <v>249</v>
      </c>
      <c r="B1216" s="22" t="s">
        <v>17</v>
      </c>
      <c r="C1216" s="22">
        <v>1.0</v>
      </c>
      <c r="D1216" s="22">
        <v>0.75</v>
      </c>
      <c r="E1216" s="22">
        <v>3.0</v>
      </c>
      <c r="F1216" s="7">
        <v>298.766152858734</v>
      </c>
      <c r="G1216" s="7">
        <v>360.193366765975</v>
      </c>
      <c r="H1216" s="7">
        <v>4.0</v>
      </c>
      <c r="I1216" s="15">
        <v>-0.0464691005030109</v>
      </c>
      <c r="J1216" s="15">
        <v>0.231091921489224</v>
      </c>
      <c r="K1216" s="12">
        <f>AVERAGE(I1212:I1216)</f>
        <v>0.5669432853</v>
      </c>
      <c r="L1216" s="18">
        <v>97870.0</v>
      </c>
      <c r="M1216" s="14">
        <f>STDEV(L1212:L1216)</f>
        <v>39699.12698</v>
      </c>
      <c r="N1216" s="15" t="b">
        <f t="shared" si="1"/>
        <v>0</v>
      </c>
    </row>
    <row r="1217" hidden="1">
      <c r="A1217" s="7" t="s">
        <v>250</v>
      </c>
      <c r="B1217" s="24" t="s">
        <v>17</v>
      </c>
      <c r="C1217" s="24">
        <v>1.0</v>
      </c>
      <c r="D1217" s="24">
        <v>0.75</v>
      </c>
      <c r="E1217" s="24">
        <v>4.0</v>
      </c>
      <c r="F1217" s="7">
        <v>110.393858671188</v>
      </c>
      <c r="G1217" s="7">
        <v>213.387986421585</v>
      </c>
      <c r="H1217" s="7">
        <v>0.0</v>
      </c>
      <c r="I1217" s="15">
        <v>-0.0340629371220605</v>
      </c>
      <c r="J1217" s="15">
        <v>0.21525003747915</v>
      </c>
      <c r="K1217" s="12">
        <f>AVERAGE(I1217:I1221)</f>
        <v>0.5641693403</v>
      </c>
      <c r="L1217" s="18">
        <v>102377.0</v>
      </c>
      <c r="M1217" s="14">
        <f>STDEV(L1217:L1221)</f>
        <v>41891.04205</v>
      </c>
      <c r="N1217" s="15" t="b">
        <f t="shared" si="1"/>
        <v>0</v>
      </c>
    </row>
    <row r="1218" hidden="1">
      <c r="A1218" s="7" t="s">
        <v>250</v>
      </c>
      <c r="B1218" s="24" t="s">
        <v>17</v>
      </c>
      <c r="C1218" s="24">
        <v>1.0</v>
      </c>
      <c r="D1218" s="24">
        <v>0.75</v>
      </c>
      <c r="E1218" s="24">
        <v>4.0</v>
      </c>
      <c r="F1218" s="7">
        <v>110.393858671188</v>
      </c>
      <c r="G1218" s="7">
        <v>213.387986421585</v>
      </c>
      <c r="H1218" s="7">
        <v>1.0</v>
      </c>
      <c r="I1218" s="15">
        <v>0.83552867234669</v>
      </c>
      <c r="J1218" s="15">
        <v>0.110333296877221</v>
      </c>
      <c r="K1218" s="12">
        <f>AVERAGE(I1217:I1221)</f>
        <v>0.5641693403</v>
      </c>
      <c r="L1218" s="18">
        <v>3734.0</v>
      </c>
      <c r="M1218" s="14">
        <f>STDEV(L1217:L1221)</f>
        <v>41891.04205</v>
      </c>
      <c r="N1218" s="15" t="b">
        <f t="shared" si="1"/>
        <v>0</v>
      </c>
    </row>
    <row r="1219" hidden="1">
      <c r="A1219" s="7" t="s">
        <v>250</v>
      </c>
      <c r="B1219" s="24" t="s">
        <v>17</v>
      </c>
      <c r="C1219" s="24">
        <v>1.0</v>
      </c>
      <c r="D1219" s="24">
        <v>0.75</v>
      </c>
      <c r="E1219" s="24">
        <v>4.0</v>
      </c>
      <c r="F1219" s="7">
        <v>110.393858671188</v>
      </c>
      <c r="G1219" s="7">
        <v>213.387986421585</v>
      </c>
      <c r="H1219" s="7">
        <v>2.0</v>
      </c>
      <c r="I1219" s="15">
        <v>0.783378590854244</v>
      </c>
      <c r="J1219" s="15">
        <v>0.135232896777288</v>
      </c>
      <c r="K1219" s="12">
        <f>AVERAGE(I1217:I1221)</f>
        <v>0.5641693403</v>
      </c>
      <c r="L1219" s="18">
        <v>12280.0</v>
      </c>
      <c r="M1219" s="14">
        <f>STDEV(L1217:L1221)</f>
        <v>41891.04205</v>
      </c>
      <c r="N1219" s="15" t="b">
        <f t="shared" si="1"/>
        <v>0</v>
      </c>
    </row>
    <row r="1220" hidden="1">
      <c r="A1220" s="7" t="s">
        <v>250</v>
      </c>
      <c r="B1220" s="24" t="s">
        <v>17</v>
      </c>
      <c r="C1220" s="24">
        <v>1.0</v>
      </c>
      <c r="D1220" s="24">
        <v>0.75</v>
      </c>
      <c r="E1220" s="24">
        <v>4.0</v>
      </c>
      <c r="F1220" s="7">
        <v>110.393858671188</v>
      </c>
      <c r="G1220" s="7">
        <v>213.387986421585</v>
      </c>
      <c r="H1220" s="7">
        <v>3.0</v>
      </c>
      <c r="I1220" s="15">
        <v>0.433495482236571</v>
      </c>
      <c r="J1220" s="15">
        <v>0.126297715860603</v>
      </c>
      <c r="K1220" s="12">
        <f>AVERAGE(I1217:I1221)</f>
        <v>0.5641693403</v>
      </c>
      <c r="L1220" s="18">
        <v>19290.0</v>
      </c>
      <c r="M1220" s="14">
        <f>STDEV(L1217:L1221)</f>
        <v>41891.04205</v>
      </c>
      <c r="N1220" s="15" t="b">
        <f t="shared" si="1"/>
        <v>0</v>
      </c>
    </row>
    <row r="1221" hidden="1">
      <c r="A1221" s="7" t="s">
        <v>250</v>
      </c>
      <c r="B1221" s="24" t="s">
        <v>17</v>
      </c>
      <c r="C1221" s="24">
        <v>1.0</v>
      </c>
      <c r="D1221" s="24">
        <v>0.75</v>
      </c>
      <c r="E1221" s="24">
        <v>4.0</v>
      </c>
      <c r="F1221" s="7">
        <v>110.393858671188</v>
      </c>
      <c r="G1221" s="7">
        <v>213.387986421585</v>
      </c>
      <c r="H1221" s="7">
        <v>4.0</v>
      </c>
      <c r="I1221" s="15">
        <v>0.802506893249041</v>
      </c>
      <c r="J1221" s="15">
        <v>0.12680090449786</v>
      </c>
      <c r="K1221" s="12">
        <f>AVERAGE(I1217:I1221)</f>
        <v>0.5641693403</v>
      </c>
      <c r="L1221" s="18">
        <v>3995.0</v>
      </c>
      <c r="M1221" s="14">
        <f>STDEV(L1217:L1221)</f>
        <v>41891.04205</v>
      </c>
      <c r="N1221" s="15" t="b">
        <f t="shared" si="1"/>
        <v>0</v>
      </c>
    </row>
    <row r="1222" hidden="1">
      <c r="A1222" s="7" t="s">
        <v>251</v>
      </c>
      <c r="B1222" s="22" t="s">
        <v>17</v>
      </c>
      <c r="C1222" s="22">
        <v>1.0</v>
      </c>
      <c r="D1222" s="22">
        <v>0.75</v>
      </c>
      <c r="E1222" s="22">
        <v>5.0</v>
      </c>
      <c r="F1222" s="7">
        <v>311.338041782379</v>
      </c>
      <c r="G1222" s="7">
        <v>530.917804479599</v>
      </c>
      <c r="H1222" s="7">
        <v>0.0</v>
      </c>
      <c r="I1222" s="15">
        <v>0.301133574809727</v>
      </c>
      <c r="J1222" s="15">
        <v>0.100026259919839</v>
      </c>
      <c r="K1222" s="12">
        <f>AVERAGE(I1222:I1226)</f>
        <v>0.4487706017</v>
      </c>
      <c r="L1222" s="18">
        <v>26372.0</v>
      </c>
      <c r="M1222" s="14">
        <f>STDEV(L1222:L1226)</f>
        <v>32690.88317</v>
      </c>
      <c r="N1222" s="15" t="b">
        <f t="shared" si="1"/>
        <v>0</v>
      </c>
    </row>
    <row r="1223" hidden="1">
      <c r="A1223" s="7" t="s">
        <v>251</v>
      </c>
      <c r="B1223" s="22" t="s">
        <v>17</v>
      </c>
      <c r="C1223" s="22">
        <v>1.0</v>
      </c>
      <c r="D1223" s="22">
        <v>0.75</v>
      </c>
      <c r="E1223" s="22">
        <v>5.0</v>
      </c>
      <c r="F1223" s="7">
        <v>311.338041782379</v>
      </c>
      <c r="G1223" s="7">
        <v>530.917804479599</v>
      </c>
      <c r="H1223" s="7">
        <v>1.0</v>
      </c>
      <c r="I1223" s="15">
        <v>0.814580195052017</v>
      </c>
      <c r="J1223" s="15">
        <v>0.100750697692501</v>
      </c>
      <c r="K1223" s="12">
        <f>AVERAGE(I1222:I1226)</f>
        <v>0.4487706017</v>
      </c>
      <c r="L1223" s="18">
        <v>12269.0</v>
      </c>
      <c r="M1223" s="14">
        <f>STDEV(L1222:L1226)</f>
        <v>32690.88317</v>
      </c>
      <c r="N1223" s="15" t="b">
        <f t="shared" si="1"/>
        <v>0</v>
      </c>
    </row>
    <row r="1224" hidden="1">
      <c r="A1224" s="7" t="s">
        <v>251</v>
      </c>
      <c r="B1224" s="22" t="s">
        <v>17</v>
      </c>
      <c r="C1224" s="22">
        <v>1.0</v>
      </c>
      <c r="D1224" s="22">
        <v>0.75</v>
      </c>
      <c r="E1224" s="22">
        <v>5.0</v>
      </c>
      <c r="F1224" s="7">
        <v>311.338041782379</v>
      </c>
      <c r="G1224" s="7">
        <v>530.917804479599</v>
      </c>
      <c r="H1224" s="7">
        <v>2.0</v>
      </c>
      <c r="I1224" s="15">
        <v>0.292620500803179</v>
      </c>
      <c r="J1224" s="15">
        <v>0.106697919994175</v>
      </c>
      <c r="K1224" s="12">
        <f>AVERAGE(I1222:I1226)</f>
        <v>0.4487706017</v>
      </c>
      <c r="L1224" s="18">
        <v>16401.0</v>
      </c>
      <c r="M1224" s="14">
        <f>STDEV(L1222:L1226)</f>
        <v>32690.88317</v>
      </c>
      <c r="N1224" s="15" t="b">
        <f t="shared" si="1"/>
        <v>0</v>
      </c>
    </row>
    <row r="1225" hidden="1">
      <c r="A1225" s="7" t="s">
        <v>251</v>
      </c>
      <c r="B1225" s="22" t="s">
        <v>17</v>
      </c>
      <c r="C1225" s="22">
        <v>1.0</v>
      </c>
      <c r="D1225" s="22">
        <v>0.75</v>
      </c>
      <c r="E1225" s="22">
        <v>5.0</v>
      </c>
      <c r="F1225" s="7">
        <v>311.338041782379</v>
      </c>
      <c r="G1225" s="7">
        <v>530.917804479599</v>
      </c>
      <c r="H1225" s="7">
        <v>3.0</v>
      </c>
      <c r="I1225" s="15">
        <v>0.898475661416972</v>
      </c>
      <c r="J1225" s="15">
        <v>0.117234589681673</v>
      </c>
      <c r="K1225" s="12">
        <f>AVERAGE(I1222:I1226)</f>
        <v>0.4487706017</v>
      </c>
      <c r="L1225" s="18">
        <v>1956.0</v>
      </c>
      <c r="M1225" s="14">
        <f>STDEV(L1222:L1226)</f>
        <v>32690.88317</v>
      </c>
      <c r="N1225" s="15" t="b">
        <f t="shared" si="1"/>
        <v>0</v>
      </c>
    </row>
    <row r="1226" hidden="1">
      <c r="A1226" s="7" t="s">
        <v>251</v>
      </c>
      <c r="B1226" s="22" t="s">
        <v>17</v>
      </c>
      <c r="C1226" s="22">
        <v>1.0</v>
      </c>
      <c r="D1226" s="22">
        <v>0.75</v>
      </c>
      <c r="E1226" s="22">
        <v>5.0</v>
      </c>
      <c r="F1226" s="7">
        <v>311.338041782379</v>
      </c>
      <c r="G1226" s="7">
        <v>530.917804479599</v>
      </c>
      <c r="H1226" s="7">
        <v>4.0</v>
      </c>
      <c r="I1226" s="15">
        <v>-0.062956923547089</v>
      </c>
      <c r="J1226" s="15">
        <v>0.20456210246878</v>
      </c>
      <c r="K1226" s="12">
        <f>AVERAGE(I1222:I1226)</f>
        <v>0.4487706017</v>
      </c>
      <c r="L1226" s="18">
        <v>84678.0</v>
      </c>
      <c r="M1226" s="14">
        <f>STDEV(L1222:L1226)</f>
        <v>32690.88317</v>
      </c>
      <c r="N1226" s="15" t="b">
        <f t="shared" si="1"/>
        <v>0</v>
      </c>
    </row>
    <row r="1227" hidden="1">
      <c r="A1227" s="7" t="s">
        <v>252</v>
      </c>
      <c r="B1227" s="7" t="s">
        <v>17</v>
      </c>
      <c r="C1227" s="7">
        <v>1.0</v>
      </c>
      <c r="D1227" s="7">
        <v>0.75</v>
      </c>
      <c r="E1227" s="7">
        <v>6.0</v>
      </c>
      <c r="F1227" s="7">
        <v>210.573216676712</v>
      </c>
      <c r="G1227" s="7">
        <v>279.803643941879</v>
      </c>
      <c r="H1227" s="7">
        <v>0.0</v>
      </c>
      <c r="I1227" s="15">
        <v>-0.0464938329082641</v>
      </c>
      <c r="J1227" s="15">
        <v>0.22690260747418</v>
      </c>
      <c r="K1227" s="12">
        <f>AVERAGE(I1227:I1231)</f>
        <v>0.4855816041</v>
      </c>
      <c r="L1227" s="18">
        <v>96845.0</v>
      </c>
      <c r="M1227" s="14">
        <f>STDEV(L1227:L1231)</f>
        <v>38580.47105</v>
      </c>
      <c r="N1227" s="15" t="b">
        <f t="shared" si="1"/>
        <v>0</v>
      </c>
    </row>
    <row r="1228" hidden="1">
      <c r="A1228" s="7" t="s">
        <v>252</v>
      </c>
      <c r="B1228" s="7" t="s">
        <v>17</v>
      </c>
      <c r="C1228" s="7">
        <v>1.0</v>
      </c>
      <c r="D1228" s="7">
        <v>0.75</v>
      </c>
      <c r="E1228" s="7">
        <v>6.0</v>
      </c>
      <c r="F1228" s="7">
        <v>210.573216676712</v>
      </c>
      <c r="G1228" s="7">
        <v>279.803643941879</v>
      </c>
      <c r="H1228" s="7">
        <v>1.0</v>
      </c>
      <c r="I1228" s="15">
        <v>0.46555453691582</v>
      </c>
      <c r="J1228" s="15">
        <v>0.141500726949483</v>
      </c>
      <c r="K1228" s="12">
        <f>AVERAGE(I1227:I1231)</f>
        <v>0.4855816041</v>
      </c>
      <c r="L1228" s="18">
        <v>16997.0</v>
      </c>
      <c r="M1228" s="14">
        <f>STDEV(L1227:L1231)</f>
        <v>38580.47105</v>
      </c>
      <c r="N1228" s="15" t="b">
        <f t="shared" si="1"/>
        <v>0</v>
      </c>
    </row>
    <row r="1229" hidden="1">
      <c r="A1229" s="7" t="s">
        <v>252</v>
      </c>
      <c r="B1229" s="7" t="s">
        <v>17</v>
      </c>
      <c r="C1229" s="7">
        <v>1.0</v>
      </c>
      <c r="D1229" s="7">
        <v>0.75</v>
      </c>
      <c r="E1229" s="7">
        <v>6.0</v>
      </c>
      <c r="F1229" s="7">
        <v>210.573216676712</v>
      </c>
      <c r="G1229" s="7">
        <v>279.803643941879</v>
      </c>
      <c r="H1229" s="7">
        <v>2.0</v>
      </c>
      <c r="I1229" s="15">
        <v>0.417833947140622</v>
      </c>
      <c r="J1229" s="15">
        <v>0.134996922429727</v>
      </c>
      <c r="K1229" s="12">
        <f>AVERAGE(I1227:I1231)</f>
        <v>0.4855816041</v>
      </c>
      <c r="L1229" s="18">
        <v>11674.0</v>
      </c>
      <c r="M1229" s="14">
        <f>STDEV(L1227:L1231)</f>
        <v>38580.47105</v>
      </c>
      <c r="N1229" s="15" t="b">
        <f t="shared" si="1"/>
        <v>0</v>
      </c>
    </row>
    <row r="1230" hidden="1">
      <c r="A1230" s="7" t="s">
        <v>252</v>
      </c>
      <c r="B1230" s="7" t="s">
        <v>17</v>
      </c>
      <c r="C1230" s="7">
        <v>1.0</v>
      </c>
      <c r="D1230" s="7">
        <v>0.75</v>
      </c>
      <c r="E1230" s="7">
        <v>6.0</v>
      </c>
      <c r="F1230" s="7">
        <v>210.573216676712</v>
      </c>
      <c r="G1230" s="7">
        <v>279.803643941879</v>
      </c>
      <c r="H1230" s="7">
        <v>3.0</v>
      </c>
      <c r="I1230" s="15">
        <v>0.803392493886615</v>
      </c>
      <c r="J1230" s="15">
        <v>0.125854907614381</v>
      </c>
      <c r="K1230" s="12">
        <f>AVERAGE(I1227:I1231)</f>
        <v>0.4855816041</v>
      </c>
      <c r="L1230" s="18">
        <v>3986.0</v>
      </c>
      <c r="M1230" s="14">
        <f>STDEV(L1227:L1231)</f>
        <v>38580.47105</v>
      </c>
      <c r="N1230" s="15" t="b">
        <f t="shared" si="1"/>
        <v>0</v>
      </c>
    </row>
    <row r="1231" hidden="1">
      <c r="A1231" s="7" t="s">
        <v>252</v>
      </c>
      <c r="B1231" s="7" t="s">
        <v>17</v>
      </c>
      <c r="C1231" s="7">
        <v>1.0</v>
      </c>
      <c r="D1231" s="7">
        <v>0.75</v>
      </c>
      <c r="E1231" s="7">
        <v>6.0</v>
      </c>
      <c r="F1231" s="7">
        <v>210.573216676712</v>
      </c>
      <c r="G1231" s="7">
        <v>279.803643941879</v>
      </c>
      <c r="H1231" s="7">
        <v>4.0</v>
      </c>
      <c r="I1231" s="15">
        <v>0.787620875539339</v>
      </c>
      <c r="J1231" s="15">
        <v>0.131755346902083</v>
      </c>
      <c r="K1231" s="12">
        <f>AVERAGE(I1227:I1231)</f>
        <v>0.4855816041</v>
      </c>
      <c r="L1231" s="18">
        <v>12174.0</v>
      </c>
      <c r="M1231" s="14">
        <f>STDEV(L1227:L1231)</f>
        <v>38580.47105</v>
      </c>
      <c r="N1231" s="15" t="b">
        <f t="shared" si="1"/>
        <v>0</v>
      </c>
    </row>
    <row r="1232" hidden="1">
      <c r="A1232" s="7" t="s">
        <v>253</v>
      </c>
      <c r="B1232" s="7" t="s">
        <v>17</v>
      </c>
      <c r="C1232" s="7">
        <v>1.0</v>
      </c>
      <c r="D1232" s="7">
        <v>0.75</v>
      </c>
      <c r="E1232" s="7">
        <v>7.0</v>
      </c>
      <c r="F1232" s="7">
        <v>532.93033504486</v>
      </c>
      <c r="G1232" s="7">
        <v>758.172943592071</v>
      </c>
      <c r="H1232" s="7">
        <v>0.0</v>
      </c>
      <c r="I1232" s="15">
        <v>0.743464315375255</v>
      </c>
      <c r="J1232" s="15">
        <v>0.14642874366274</v>
      </c>
      <c r="K1232" s="12">
        <f>AVERAGE(I1232:I1236)</f>
        <v>0.3511599372</v>
      </c>
      <c r="L1232" s="18">
        <v>8201.0</v>
      </c>
      <c r="M1232" s="14">
        <f>STDEV(L1232:L1236)</f>
        <v>28940.60766</v>
      </c>
      <c r="N1232" s="15" t="b">
        <f t="shared" si="1"/>
        <v>0</v>
      </c>
    </row>
    <row r="1233" hidden="1">
      <c r="A1233" s="7" t="s">
        <v>253</v>
      </c>
      <c r="B1233" s="7" t="s">
        <v>17</v>
      </c>
      <c r="C1233" s="7">
        <v>1.0</v>
      </c>
      <c r="D1233" s="7">
        <v>0.75</v>
      </c>
      <c r="E1233" s="7">
        <v>7.0</v>
      </c>
      <c r="F1233" s="7">
        <v>532.93033504486</v>
      </c>
      <c r="G1233" s="7">
        <v>758.172943592071</v>
      </c>
      <c r="H1233" s="7">
        <v>1.0</v>
      </c>
      <c r="I1233" s="15">
        <v>0.0610678031231156</v>
      </c>
      <c r="J1233" s="15">
        <v>0.271485483643567</v>
      </c>
      <c r="K1233" s="12">
        <f>AVERAGE(I1232:I1236)</f>
        <v>0.3511599372</v>
      </c>
      <c r="L1233" s="18">
        <v>75211.0</v>
      </c>
      <c r="M1233" s="14">
        <f>STDEV(L1232:L1236)</f>
        <v>28940.60766</v>
      </c>
      <c r="N1233" s="15" t="b">
        <f t="shared" si="1"/>
        <v>0</v>
      </c>
    </row>
    <row r="1234" hidden="1">
      <c r="A1234" s="7" t="s">
        <v>253</v>
      </c>
      <c r="B1234" s="7" t="s">
        <v>17</v>
      </c>
      <c r="C1234" s="7">
        <v>1.0</v>
      </c>
      <c r="D1234" s="7">
        <v>0.75</v>
      </c>
      <c r="E1234" s="7">
        <v>7.0</v>
      </c>
      <c r="F1234" s="7">
        <v>532.93033504486</v>
      </c>
      <c r="G1234" s="7">
        <v>758.172943592071</v>
      </c>
      <c r="H1234" s="7">
        <v>2.0</v>
      </c>
      <c r="I1234" s="15">
        <v>0.0810941588569812</v>
      </c>
      <c r="J1234" s="15">
        <v>0.0586123426728976</v>
      </c>
      <c r="K1234" s="12">
        <f>AVERAGE(I1232:I1236)</f>
        <v>0.3511599372</v>
      </c>
      <c r="L1234" s="18">
        <v>16330.0</v>
      </c>
      <c r="M1234" s="14">
        <f>STDEV(L1232:L1236)</f>
        <v>28940.60766</v>
      </c>
      <c r="N1234" s="15" t="b">
        <f t="shared" si="1"/>
        <v>0</v>
      </c>
    </row>
    <row r="1235" hidden="1">
      <c r="A1235" s="7" t="s">
        <v>253</v>
      </c>
      <c r="B1235" s="7" t="s">
        <v>17</v>
      </c>
      <c r="C1235" s="7">
        <v>1.0</v>
      </c>
      <c r="D1235" s="7">
        <v>0.75</v>
      </c>
      <c r="E1235" s="7">
        <v>7.0</v>
      </c>
      <c r="F1235" s="7">
        <v>532.93033504486</v>
      </c>
      <c r="G1235" s="7">
        <v>758.172943592071</v>
      </c>
      <c r="H1235" s="7">
        <v>3.0</v>
      </c>
      <c r="I1235" s="15">
        <v>0.0946912209686836</v>
      </c>
      <c r="J1235" s="15">
        <v>0.0509768958693631</v>
      </c>
      <c r="K1235" s="12">
        <f>AVERAGE(I1232:I1236)</f>
        <v>0.3511599372</v>
      </c>
      <c r="L1235" s="18">
        <v>36696.0</v>
      </c>
      <c r="M1235" s="14">
        <f>STDEV(L1232:L1236)</f>
        <v>28940.60766</v>
      </c>
      <c r="N1235" s="15" t="b">
        <f t="shared" si="1"/>
        <v>0</v>
      </c>
    </row>
    <row r="1236" hidden="1">
      <c r="A1236" s="7" t="s">
        <v>253</v>
      </c>
      <c r="B1236" s="7" t="s">
        <v>17</v>
      </c>
      <c r="C1236" s="7">
        <v>1.0</v>
      </c>
      <c r="D1236" s="7">
        <v>0.75</v>
      </c>
      <c r="E1236" s="7">
        <v>7.0</v>
      </c>
      <c r="F1236" s="7">
        <v>532.93033504486</v>
      </c>
      <c r="G1236" s="7">
        <v>758.172943592071</v>
      </c>
      <c r="H1236" s="7">
        <v>4.0</v>
      </c>
      <c r="I1236" s="15">
        <v>0.775482187580569</v>
      </c>
      <c r="J1236" s="15">
        <v>0.139521319047299</v>
      </c>
      <c r="K1236" s="12">
        <f>AVERAGE(I1232:I1236)</f>
        <v>0.3511599372</v>
      </c>
      <c r="L1236" s="18">
        <v>5238.0</v>
      </c>
      <c r="M1236" s="14">
        <f>STDEV(L1232:L1236)</f>
        <v>28940.60766</v>
      </c>
      <c r="N1236" s="15" t="b">
        <f t="shared" si="1"/>
        <v>0</v>
      </c>
    </row>
    <row r="1237" hidden="1">
      <c r="A1237" s="7" t="s">
        <v>254</v>
      </c>
      <c r="B1237" s="7" t="s">
        <v>17</v>
      </c>
      <c r="C1237" s="7">
        <v>1.0</v>
      </c>
      <c r="D1237" s="7">
        <v>0.75</v>
      </c>
      <c r="E1237" s="7">
        <v>8.0</v>
      </c>
      <c r="F1237" s="7">
        <v>96.1394102573394</v>
      </c>
      <c r="G1237" s="7">
        <v>202.93631529808</v>
      </c>
      <c r="H1237" s="7">
        <v>0.0</v>
      </c>
      <c r="I1237" s="15">
        <v>0.815973132134216</v>
      </c>
      <c r="J1237" s="15">
        <v>0.0997208261393603</v>
      </c>
      <c r="K1237" s="12">
        <f>AVERAGE(I1237:I1241)</f>
        <v>0.6162538866</v>
      </c>
      <c r="L1237" s="18">
        <v>12269.0</v>
      </c>
      <c r="M1237" s="14">
        <f>STDEV(L1237:L1241)</f>
        <v>42293.52077</v>
      </c>
      <c r="N1237" s="15" t="b">
        <f t="shared" si="1"/>
        <v>0</v>
      </c>
    </row>
    <row r="1238" hidden="1">
      <c r="A1238" s="7" t="s">
        <v>254</v>
      </c>
      <c r="B1238" s="7" t="s">
        <v>17</v>
      </c>
      <c r="C1238" s="7">
        <v>1.0</v>
      </c>
      <c r="D1238" s="7">
        <v>0.75</v>
      </c>
      <c r="E1238" s="7">
        <v>8.0</v>
      </c>
      <c r="F1238" s="7">
        <v>96.1394102573394</v>
      </c>
      <c r="G1238" s="7">
        <v>202.93631529808</v>
      </c>
      <c r="H1238" s="7">
        <v>1.0</v>
      </c>
      <c r="I1238" s="15">
        <v>-0.0439176327393412</v>
      </c>
      <c r="J1238" s="15">
        <v>0.248459015058676</v>
      </c>
      <c r="K1238" s="12">
        <f>AVERAGE(I1237:I1241)</f>
        <v>0.6162538866</v>
      </c>
      <c r="L1238" s="18">
        <v>103809.0</v>
      </c>
      <c r="M1238" s="14">
        <f>STDEV(L1237:L1241)</f>
        <v>42293.52077</v>
      </c>
      <c r="N1238" s="15" t="b">
        <f t="shared" si="1"/>
        <v>0</v>
      </c>
    </row>
    <row r="1239" hidden="1">
      <c r="A1239" s="7" t="s">
        <v>254</v>
      </c>
      <c r="B1239" s="7" t="s">
        <v>17</v>
      </c>
      <c r="C1239" s="7">
        <v>1.0</v>
      </c>
      <c r="D1239" s="7">
        <v>0.75</v>
      </c>
      <c r="E1239" s="7">
        <v>8.0</v>
      </c>
      <c r="F1239" s="7">
        <v>96.1394102573394</v>
      </c>
      <c r="G1239" s="7">
        <v>202.93631529808</v>
      </c>
      <c r="H1239" s="7">
        <v>2.0</v>
      </c>
      <c r="I1239" s="15">
        <v>0.775815202839729</v>
      </c>
      <c r="J1239" s="15">
        <v>0.141138380332228</v>
      </c>
      <c r="K1239" s="12">
        <f>AVERAGE(I1237:I1241)</f>
        <v>0.6162538866</v>
      </c>
      <c r="L1239" s="18">
        <v>5245.0</v>
      </c>
      <c r="M1239" s="14">
        <f>STDEV(L1237:L1241)</f>
        <v>42293.52077</v>
      </c>
      <c r="N1239" s="15" t="b">
        <f t="shared" si="1"/>
        <v>0</v>
      </c>
    </row>
    <row r="1240" hidden="1">
      <c r="A1240" s="7" t="s">
        <v>254</v>
      </c>
      <c r="B1240" s="7" t="s">
        <v>17</v>
      </c>
      <c r="C1240" s="7">
        <v>1.0</v>
      </c>
      <c r="D1240" s="7">
        <v>0.75</v>
      </c>
      <c r="E1240" s="7">
        <v>8.0</v>
      </c>
      <c r="F1240" s="7">
        <v>96.1394102573394</v>
      </c>
      <c r="G1240" s="7">
        <v>202.93631529808</v>
      </c>
      <c r="H1240" s="7">
        <v>3.0</v>
      </c>
      <c r="I1240" s="15">
        <v>0.745977965567232</v>
      </c>
      <c r="J1240" s="15">
        <v>0.15506556725785</v>
      </c>
      <c r="K1240" s="12">
        <f>AVERAGE(I1237:I1241)</f>
        <v>0.6162538866</v>
      </c>
      <c r="L1240" s="18">
        <v>8187.0</v>
      </c>
      <c r="M1240" s="14">
        <f>STDEV(L1237:L1241)</f>
        <v>42293.52077</v>
      </c>
      <c r="N1240" s="15" t="b">
        <f t="shared" si="1"/>
        <v>0</v>
      </c>
    </row>
    <row r="1241" hidden="1">
      <c r="A1241" s="7" t="s">
        <v>254</v>
      </c>
      <c r="B1241" s="7" t="s">
        <v>17</v>
      </c>
      <c r="C1241" s="7">
        <v>1.0</v>
      </c>
      <c r="D1241" s="7">
        <v>0.75</v>
      </c>
      <c r="E1241" s="7">
        <v>8.0</v>
      </c>
      <c r="F1241" s="7">
        <v>96.1394102573394</v>
      </c>
      <c r="G1241" s="7">
        <v>202.93631529808</v>
      </c>
      <c r="H1241" s="7">
        <v>4.0</v>
      </c>
      <c r="I1241" s="15">
        <v>0.787420765102836</v>
      </c>
      <c r="J1241" s="15">
        <v>0.132510919963349</v>
      </c>
      <c r="K1241" s="12">
        <f>AVERAGE(I1237:I1241)</f>
        <v>0.6162538866</v>
      </c>
      <c r="L1241" s="18">
        <v>12166.0</v>
      </c>
      <c r="M1241" s="14">
        <f>STDEV(L1237:L1241)</f>
        <v>42293.52077</v>
      </c>
      <c r="N1241" s="15" t="b">
        <f t="shared" si="1"/>
        <v>0</v>
      </c>
    </row>
    <row r="1242" hidden="1">
      <c r="A1242" s="7" t="s">
        <v>255</v>
      </c>
      <c r="B1242" s="22" t="s">
        <v>17</v>
      </c>
      <c r="C1242" s="22">
        <v>1.0</v>
      </c>
      <c r="D1242" s="22">
        <v>0.75</v>
      </c>
      <c r="E1242" s="22">
        <v>9.0</v>
      </c>
      <c r="F1242" s="7">
        <v>170.003169059753</v>
      </c>
      <c r="G1242" s="7">
        <v>263.218985795974</v>
      </c>
      <c r="H1242" s="7">
        <v>0.0</v>
      </c>
      <c r="I1242" s="15">
        <v>0.845303860866702</v>
      </c>
      <c r="J1242" s="15">
        <v>0.103663839278226</v>
      </c>
      <c r="K1242" s="12">
        <f>AVERAGE(I1242:I1246)</f>
        <v>0.6447306401</v>
      </c>
      <c r="L1242" s="18">
        <v>3929.0</v>
      </c>
      <c r="M1242" s="14">
        <f>STDEV(L1242:L1246)</f>
        <v>45853.89669</v>
      </c>
      <c r="N1242" s="15" t="b">
        <f t="shared" si="1"/>
        <v>0</v>
      </c>
    </row>
    <row r="1243" hidden="1">
      <c r="A1243" s="7" t="s">
        <v>255</v>
      </c>
      <c r="B1243" s="22" t="s">
        <v>17</v>
      </c>
      <c r="C1243" s="22">
        <v>1.0</v>
      </c>
      <c r="D1243" s="22">
        <v>0.75</v>
      </c>
      <c r="E1243" s="22">
        <v>9.0</v>
      </c>
      <c r="F1243" s="7">
        <v>170.003169059753</v>
      </c>
      <c r="G1243" s="7">
        <v>263.218985795974</v>
      </c>
      <c r="H1243" s="7">
        <v>1.0</v>
      </c>
      <c r="I1243" s="15">
        <v>0.803216384929255</v>
      </c>
      <c r="J1243" s="15">
        <v>0.116453744437417</v>
      </c>
      <c r="K1243" s="12">
        <f>AVERAGE(I1242:I1246)</f>
        <v>0.6447306401</v>
      </c>
      <c r="L1243" s="18">
        <v>10106.0</v>
      </c>
      <c r="M1243" s="14">
        <f>STDEV(L1242:L1246)</f>
        <v>45853.89669</v>
      </c>
      <c r="N1243" s="15" t="b">
        <f t="shared" si="1"/>
        <v>0</v>
      </c>
    </row>
    <row r="1244" hidden="1">
      <c r="A1244" s="7" t="s">
        <v>255</v>
      </c>
      <c r="B1244" s="22" t="s">
        <v>17</v>
      </c>
      <c r="C1244" s="22">
        <v>1.0</v>
      </c>
      <c r="D1244" s="22">
        <v>0.75</v>
      </c>
      <c r="E1244" s="22">
        <v>9.0</v>
      </c>
      <c r="F1244" s="7">
        <v>170.003169059753</v>
      </c>
      <c r="G1244" s="7">
        <v>263.218985795974</v>
      </c>
      <c r="H1244" s="7">
        <v>2.0</v>
      </c>
      <c r="I1244" s="15">
        <v>-0.0175088933802255</v>
      </c>
      <c r="J1244" s="15">
        <v>0.239741468749676</v>
      </c>
      <c r="K1244" s="12">
        <f>AVERAGE(I1242:I1246)</f>
        <v>0.6447306401</v>
      </c>
      <c r="L1244" s="18">
        <v>110133.0</v>
      </c>
      <c r="M1244" s="14">
        <f>STDEV(L1242:L1246)</f>
        <v>45853.89669</v>
      </c>
      <c r="N1244" s="15" t="b">
        <f t="shared" si="1"/>
        <v>0</v>
      </c>
    </row>
    <row r="1245" hidden="1">
      <c r="A1245" s="7" t="s">
        <v>255</v>
      </c>
      <c r="B1245" s="22" t="s">
        <v>17</v>
      </c>
      <c r="C1245" s="22">
        <v>1.0</v>
      </c>
      <c r="D1245" s="22">
        <v>0.75</v>
      </c>
      <c r="E1245" s="22">
        <v>9.0</v>
      </c>
      <c r="F1245" s="7">
        <v>170.003169059753</v>
      </c>
      <c r="G1245" s="7">
        <v>263.218985795974</v>
      </c>
      <c r="H1245" s="7">
        <v>3.0</v>
      </c>
      <c r="I1245" s="15">
        <v>0.776340854327279</v>
      </c>
      <c r="J1245" s="15">
        <v>0.139573807501724</v>
      </c>
      <c r="K1245" s="12">
        <f>AVERAGE(I1242:I1246)</f>
        <v>0.6447306401</v>
      </c>
      <c r="L1245" s="18">
        <v>5245.0</v>
      </c>
      <c r="M1245" s="14">
        <f>STDEV(L1242:L1246)</f>
        <v>45853.89669</v>
      </c>
      <c r="N1245" s="15" t="b">
        <f t="shared" si="1"/>
        <v>0</v>
      </c>
    </row>
    <row r="1246" hidden="1">
      <c r="A1246" s="7" t="s">
        <v>255</v>
      </c>
      <c r="B1246" s="22" t="s">
        <v>17</v>
      </c>
      <c r="C1246" s="22">
        <v>1.0</v>
      </c>
      <c r="D1246" s="22">
        <v>0.75</v>
      </c>
      <c r="E1246" s="22">
        <v>9.0</v>
      </c>
      <c r="F1246" s="7">
        <v>170.003169059753</v>
      </c>
      <c r="G1246" s="7">
        <v>263.218985795974</v>
      </c>
      <c r="H1246" s="7">
        <v>4.0</v>
      </c>
      <c r="I1246" s="15">
        <v>0.816300993560027</v>
      </c>
      <c r="J1246" s="15">
        <v>0.0994598703505636</v>
      </c>
      <c r="K1246" s="12">
        <f>AVERAGE(I1242:I1246)</f>
        <v>0.6447306401</v>
      </c>
      <c r="L1246" s="18">
        <v>12263.0</v>
      </c>
      <c r="M1246" s="14">
        <f>STDEV(L1242:L1246)</f>
        <v>45853.89669</v>
      </c>
      <c r="N1246" s="15" t="b">
        <f t="shared" si="1"/>
        <v>0</v>
      </c>
    </row>
    <row r="1247" hidden="1">
      <c r="A1247" s="7" t="s">
        <v>256</v>
      </c>
      <c r="B1247" s="7" t="s">
        <v>17</v>
      </c>
      <c r="C1247" s="7">
        <v>1.0</v>
      </c>
      <c r="D1247" s="7">
        <v>0.75</v>
      </c>
      <c r="E1247" s="7">
        <v>10.0</v>
      </c>
      <c r="F1247" s="7">
        <v>153.152690172195</v>
      </c>
      <c r="G1247" s="7">
        <v>249.595227956771</v>
      </c>
      <c r="H1247" s="7">
        <v>0.0</v>
      </c>
      <c r="I1247" s="15">
        <v>0.0322087824798157</v>
      </c>
      <c r="J1247" s="15">
        <v>0.0243723828009128</v>
      </c>
      <c r="K1247" s="12">
        <f>AVERAGE(I1247:I1251)</f>
        <v>0.3884461453</v>
      </c>
      <c r="L1247" s="18">
        <v>43201.0</v>
      </c>
      <c r="M1247" s="14">
        <f>STDEV(L1247:L1251)</f>
        <v>25192.28089</v>
      </c>
      <c r="N1247" s="15" t="b">
        <f t="shared" si="1"/>
        <v>0</v>
      </c>
    </row>
    <row r="1248" hidden="1">
      <c r="A1248" s="7" t="s">
        <v>256</v>
      </c>
      <c r="B1248" s="7" t="s">
        <v>17</v>
      </c>
      <c r="C1248" s="7">
        <v>1.0</v>
      </c>
      <c r="D1248" s="7">
        <v>0.75</v>
      </c>
      <c r="E1248" s="7">
        <v>10.0</v>
      </c>
      <c r="F1248" s="7">
        <v>153.152690172195</v>
      </c>
      <c r="G1248" s="7">
        <v>249.595227956771</v>
      </c>
      <c r="H1248" s="7">
        <v>1.0</v>
      </c>
      <c r="I1248" s="15">
        <v>0.24797540019883</v>
      </c>
      <c r="J1248" s="15">
        <v>0.0620384411197</v>
      </c>
      <c r="K1248" s="12">
        <f>AVERAGE(I1247:I1251)</f>
        <v>0.3884461453</v>
      </c>
      <c r="L1248" s="18">
        <v>33831.0</v>
      </c>
      <c r="M1248" s="14">
        <f>STDEV(L1247:L1251)</f>
        <v>25192.28089</v>
      </c>
      <c r="N1248" s="15" t="b">
        <f t="shared" si="1"/>
        <v>0</v>
      </c>
    </row>
    <row r="1249" hidden="1">
      <c r="A1249" s="7" t="s">
        <v>256</v>
      </c>
      <c r="B1249" s="7" t="s">
        <v>17</v>
      </c>
      <c r="C1249" s="7">
        <v>1.0</v>
      </c>
      <c r="D1249" s="7">
        <v>0.75</v>
      </c>
      <c r="E1249" s="7">
        <v>10.0</v>
      </c>
      <c r="F1249" s="7">
        <v>153.152690172195</v>
      </c>
      <c r="G1249" s="7">
        <v>249.595227956771</v>
      </c>
      <c r="H1249" s="7">
        <v>2.0</v>
      </c>
      <c r="I1249" s="15">
        <v>0.833870336379443</v>
      </c>
      <c r="J1249" s="15">
        <v>0.121406368676265</v>
      </c>
      <c r="K1249" s="12">
        <f>AVERAGE(I1247:I1251)</f>
        <v>0.3884461453</v>
      </c>
      <c r="L1249" s="18">
        <v>164.0</v>
      </c>
      <c r="M1249" s="14">
        <f>STDEV(L1247:L1251)</f>
        <v>25192.28089</v>
      </c>
      <c r="N1249" s="15" t="b">
        <f t="shared" si="1"/>
        <v>0</v>
      </c>
    </row>
    <row r="1250" hidden="1">
      <c r="A1250" s="7" t="s">
        <v>256</v>
      </c>
      <c r="B1250" s="7" t="s">
        <v>17</v>
      </c>
      <c r="C1250" s="7">
        <v>1.0</v>
      </c>
      <c r="D1250" s="7">
        <v>0.75</v>
      </c>
      <c r="E1250" s="7">
        <v>10.0</v>
      </c>
      <c r="F1250" s="7">
        <v>153.152690172195</v>
      </c>
      <c r="G1250" s="7">
        <v>249.595227956771</v>
      </c>
      <c r="H1250" s="7">
        <v>3.0</v>
      </c>
      <c r="I1250" s="15">
        <v>0.820619496737134</v>
      </c>
      <c r="J1250" s="15">
        <v>0.118733442104772</v>
      </c>
      <c r="K1250" s="12">
        <f>AVERAGE(I1247:I1251)</f>
        <v>0.3884461453</v>
      </c>
      <c r="L1250" s="18">
        <v>5191.0</v>
      </c>
      <c r="M1250" s="14">
        <f>STDEV(L1247:L1251)</f>
        <v>25192.28089</v>
      </c>
      <c r="N1250" s="15" t="b">
        <f t="shared" si="1"/>
        <v>0</v>
      </c>
    </row>
    <row r="1251" hidden="1">
      <c r="A1251" s="7" t="s">
        <v>256</v>
      </c>
      <c r="B1251" s="7" t="s">
        <v>17</v>
      </c>
      <c r="C1251" s="7">
        <v>1.0</v>
      </c>
      <c r="D1251" s="7">
        <v>0.75</v>
      </c>
      <c r="E1251" s="7">
        <v>10.0</v>
      </c>
      <c r="F1251" s="7">
        <v>153.152690172195</v>
      </c>
      <c r="G1251" s="7">
        <v>249.595227956771</v>
      </c>
      <c r="H1251" s="7">
        <v>4.0</v>
      </c>
      <c r="I1251" s="15">
        <v>0.00755671048655181</v>
      </c>
      <c r="J1251" s="15">
        <v>0.215666230579072</v>
      </c>
      <c r="K1251" s="12">
        <f>AVERAGE(I1247:I1251)</f>
        <v>0.3884461453</v>
      </c>
      <c r="L1251" s="18">
        <v>59289.0</v>
      </c>
      <c r="M1251" s="14">
        <f>STDEV(L1247:L1251)</f>
        <v>25192.28089</v>
      </c>
      <c r="N1251" s="15" t="b">
        <f t="shared" si="1"/>
        <v>0</v>
      </c>
    </row>
    <row r="1252" hidden="1">
      <c r="A1252" s="7" t="s">
        <v>257</v>
      </c>
      <c r="B1252" s="24" t="s">
        <v>17</v>
      </c>
      <c r="C1252" s="24">
        <v>1.0</v>
      </c>
      <c r="D1252" s="24">
        <v>1.0</v>
      </c>
      <c r="E1252" s="24">
        <v>1.0</v>
      </c>
      <c r="F1252" s="7">
        <v>135.68161535263</v>
      </c>
      <c r="G1252" s="7">
        <v>222.888922929763</v>
      </c>
      <c r="H1252" s="7">
        <v>0.0</v>
      </c>
      <c r="I1252" s="15">
        <v>0.818571601465106</v>
      </c>
      <c r="J1252" s="15">
        <v>0.10088847740639</v>
      </c>
      <c r="K1252" s="12">
        <f>AVERAGE(I1252:I1256)</f>
        <v>0.5684544396</v>
      </c>
      <c r="L1252" s="18">
        <v>11728.0</v>
      </c>
      <c r="M1252" s="14">
        <f>STDEV(L1252:L1256)</f>
        <v>40512.44495</v>
      </c>
      <c r="N1252" s="15" t="b">
        <f t="shared" si="1"/>
        <v>0</v>
      </c>
    </row>
    <row r="1253" hidden="1">
      <c r="A1253" s="7" t="s">
        <v>257</v>
      </c>
      <c r="B1253" s="24" t="s">
        <v>17</v>
      </c>
      <c r="C1253" s="24">
        <v>1.0</v>
      </c>
      <c r="D1253" s="24">
        <v>1.0</v>
      </c>
      <c r="E1253" s="24">
        <v>1.0</v>
      </c>
      <c r="F1253" s="7">
        <v>135.68161535263</v>
      </c>
      <c r="G1253" s="7">
        <v>222.888922929763</v>
      </c>
      <c r="H1253" s="7">
        <v>1.0</v>
      </c>
      <c r="I1253" s="15">
        <v>-0.0679733636203825</v>
      </c>
      <c r="J1253" s="15">
        <v>0.240798716959696</v>
      </c>
      <c r="K1253" s="12">
        <f>AVERAGE(I1252:I1256)</f>
        <v>0.5684544396</v>
      </c>
      <c r="L1253" s="18">
        <v>99697.0</v>
      </c>
      <c r="M1253" s="14">
        <f>STDEV(L1252:L1256)</f>
        <v>40512.44495</v>
      </c>
      <c r="N1253" s="15" t="b">
        <f t="shared" si="1"/>
        <v>0</v>
      </c>
    </row>
    <row r="1254" hidden="1">
      <c r="A1254" s="7" t="s">
        <v>257</v>
      </c>
      <c r="B1254" s="24" t="s">
        <v>17</v>
      </c>
      <c r="C1254" s="24">
        <v>1.0</v>
      </c>
      <c r="D1254" s="24">
        <v>1.0</v>
      </c>
      <c r="E1254" s="24">
        <v>1.0</v>
      </c>
      <c r="F1254" s="7">
        <v>135.68161535263</v>
      </c>
      <c r="G1254" s="7">
        <v>222.888922929763</v>
      </c>
      <c r="H1254" s="7">
        <v>2.0</v>
      </c>
      <c r="I1254" s="15">
        <v>0.420329390905806</v>
      </c>
      <c r="J1254" s="15">
        <v>0.10800292046251</v>
      </c>
      <c r="K1254" s="12">
        <f>AVERAGE(I1252:I1256)</f>
        <v>0.5684544396</v>
      </c>
      <c r="L1254" s="18">
        <v>21027.0</v>
      </c>
      <c r="M1254" s="14">
        <f>STDEV(L1252:L1256)</f>
        <v>40512.44495</v>
      </c>
      <c r="N1254" s="15" t="b">
        <f t="shared" si="1"/>
        <v>0</v>
      </c>
    </row>
    <row r="1255" hidden="1">
      <c r="A1255" s="7" t="s">
        <v>257</v>
      </c>
      <c r="B1255" s="24" t="s">
        <v>17</v>
      </c>
      <c r="C1255" s="24">
        <v>1.0</v>
      </c>
      <c r="D1255" s="24">
        <v>1.0</v>
      </c>
      <c r="E1255" s="24">
        <v>1.0</v>
      </c>
      <c r="F1255" s="7">
        <v>135.68161535263</v>
      </c>
      <c r="G1255" s="7">
        <v>222.888922929763</v>
      </c>
      <c r="H1255" s="7">
        <v>3.0</v>
      </c>
      <c r="I1255" s="15">
        <v>0.74696166793825</v>
      </c>
      <c r="J1255" s="15">
        <v>0.153658889568308</v>
      </c>
      <c r="K1255" s="12">
        <f>AVERAGE(I1252:I1256)</f>
        <v>0.5684544396</v>
      </c>
      <c r="L1255" s="18">
        <v>7590.0</v>
      </c>
      <c r="M1255" s="14">
        <f>STDEV(L1252:L1256)</f>
        <v>40512.44495</v>
      </c>
      <c r="N1255" s="15" t="b">
        <f t="shared" si="1"/>
        <v>0</v>
      </c>
    </row>
    <row r="1256" hidden="1">
      <c r="A1256" s="7" t="s">
        <v>257</v>
      </c>
      <c r="B1256" s="24" t="s">
        <v>17</v>
      </c>
      <c r="C1256" s="24">
        <v>1.0</v>
      </c>
      <c r="D1256" s="24">
        <v>1.0</v>
      </c>
      <c r="E1256" s="24">
        <v>1.0</v>
      </c>
      <c r="F1256" s="7">
        <v>135.68161535263</v>
      </c>
      <c r="G1256" s="7">
        <v>222.888922929763</v>
      </c>
      <c r="H1256" s="7">
        <v>4.0</v>
      </c>
      <c r="I1256" s="15">
        <v>0.924382901263788</v>
      </c>
      <c r="J1256" s="15">
        <v>0.0280947784109032</v>
      </c>
      <c r="K1256" s="12">
        <f>AVERAGE(I1252:I1256)</f>
        <v>0.5684544396</v>
      </c>
      <c r="L1256" s="18">
        <v>1634.0</v>
      </c>
      <c r="M1256" s="14">
        <f>STDEV(L1252:L1256)</f>
        <v>40512.44495</v>
      </c>
      <c r="N1256" s="15" t="b">
        <f t="shared" si="1"/>
        <v>0</v>
      </c>
    </row>
    <row r="1257" hidden="1">
      <c r="A1257" s="7" t="s">
        <v>258</v>
      </c>
      <c r="B1257" s="7" t="s">
        <v>17</v>
      </c>
      <c r="C1257" s="7">
        <v>1.0</v>
      </c>
      <c r="D1257" s="7">
        <v>1.0</v>
      </c>
      <c r="E1257" s="7">
        <v>2.0</v>
      </c>
      <c r="F1257" s="7">
        <v>373.623945236206</v>
      </c>
      <c r="G1257" s="7">
        <v>580.591511011123</v>
      </c>
      <c r="H1257" s="7">
        <v>0.0</v>
      </c>
      <c r="I1257" s="15">
        <v>0.815593918675359</v>
      </c>
      <c r="J1257" s="15">
        <v>0.136769182132686</v>
      </c>
      <c r="K1257" s="12">
        <f>AVERAGE(I1257:I1261)</f>
        <v>0.4752743601</v>
      </c>
      <c r="L1257" s="18">
        <v>1246.0</v>
      </c>
      <c r="M1257" s="14">
        <f>STDEV(L1257:L1261)</f>
        <v>38301.40861</v>
      </c>
      <c r="N1257" s="15" t="b">
        <f t="shared" si="1"/>
        <v>0</v>
      </c>
    </row>
    <row r="1258" hidden="1">
      <c r="A1258" s="7" t="s">
        <v>258</v>
      </c>
      <c r="B1258" s="7" t="s">
        <v>17</v>
      </c>
      <c r="C1258" s="7">
        <v>1.0</v>
      </c>
      <c r="D1258" s="7">
        <v>1.0</v>
      </c>
      <c r="E1258" s="7">
        <v>2.0</v>
      </c>
      <c r="F1258" s="7">
        <v>373.623945236206</v>
      </c>
      <c r="G1258" s="7">
        <v>580.591511011123</v>
      </c>
      <c r="H1258" s="7">
        <v>1.0</v>
      </c>
      <c r="I1258" s="15">
        <v>0.419796345800996</v>
      </c>
      <c r="J1258" s="15">
        <v>0.109185274510497</v>
      </c>
      <c r="K1258" s="12">
        <f>AVERAGE(I1257:I1261)</f>
        <v>0.4752743601</v>
      </c>
      <c r="L1258" s="18">
        <v>20992.0</v>
      </c>
      <c r="M1258" s="14">
        <f>STDEV(L1257:L1261)</f>
        <v>38301.40861</v>
      </c>
      <c r="N1258" s="15" t="b">
        <f t="shared" si="1"/>
        <v>0</v>
      </c>
    </row>
    <row r="1259" hidden="1">
      <c r="A1259" s="7" t="s">
        <v>258</v>
      </c>
      <c r="B1259" s="7" t="s">
        <v>17</v>
      </c>
      <c r="C1259" s="7">
        <v>1.0</v>
      </c>
      <c r="D1259" s="7">
        <v>1.0</v>
      </c>
      <c r="E1259" s="7">
        <v>2.0</v>
      </c>
      <c r="F1259" s="7">
        <v>373.623945236206</v>
      </c>
      <c r="G1259" s="7">
        <v>580.591511011123</v>
      </c>
      <c r="H1259" s="7">
        <v>2.0</v>
      </c>
      <c r="I1259" s="15">
        <v>0.747391127735375</v>
      </c>
      <c r="J1259" s="15">
        <v>0.154387249419438</v>
      </c>
      <c r="K1259" s="12">
        <f>AVERAGE(I1257:I1261)</f>
        <v>0.4752743601</v>
      </c>
      <c r="L1259" s="18">
        <v>7573.0</v>
      </c>
      <c r="M1259" s="14">
        <f>STDEV(L1257:L1261)</f>
        <v>38301.40861</v>
      </c>
      <c r="N1259" s="15" t="b">
        <f t="shared" si="1"/>
        <v>0</v>
      </c>
    </row>
    <row r="1260" hidden="1">
      <c r="A1260" s="7" t="s">
        <v>258</v>
      </c>
      <c r="B1260" s="7" t="s">
        <v>17</v>
      </c>
      <c r="C1260" s="7">
        <v>1.0</v>
      </c>
      <c r="D1260" s="7">
        <v>1.0</v>
      </c>
      <c r="E1260" s="7">
        <v>2.0</v>
      </c>
      <c r="F1260" s="7">
        <v>373.623945236206</v>
      </c>
      <c r="G1260" s="7">
        <v>580.591511011123</v>
      </c>
      <c r="H1260" s="7">
        <v>3.0</v>
      </c>
      <c r="I1260" s="15">
        <v>0.464036003792298</v>
      </c>
      <c r="J1260" s="15">
        <v>0.139943826639955</v>
      </c>
      <c r="K1260" s="12">
        <f>AVERAGE(I1257:I1261)</f>
        <v>0.4752743601</v>
      </c>
      <c r="L1260" s="18">
        <v>16398.0</v>
      </c>
      <c r="M1260" s="14">
        <f>STDEV(L1257:L1261)</f>
        <v>38301.40861</v>
      </c>
      <c r="N1260" s="15" t="b">
        <f t="shared" si="1"/>
        <v>0</v>
      </c>
    </row>
    <row r="1261" hidden="1">
      <c r="A1261" s="7" t="s">
        <v>258</v>
      </c>
      <c r="B1261" s="7" t="s">
        <v>17</v>
      </c>
      <c r="C1261" s="7">
        <v>1.0</v>
      </c>
      <c r="D1261" s="7">
        <v>1.0</v>
      </c>
      <c r="E1261" s="7">
        <v>2.0</v>
      </c>
      <c r="F1261" s="7">
        <v>373.623945236206</v>
      </c>
      <c r="G1261" s="7">
        <v>580.591511011123</v>
      </c>
      <c r="H1261" s="7">
        <v>4.0</v>
      </c>
      <c r="I1261" s="15">
        <v>-0.070445595456867</v>
      </c>
      <c r="J1261" s="15">
        <v>0.221180842963198</v>
      </c>
      <c r="K1261" s="12">
        <f>AVERAGE(I1257:I1261)</f>
        <v>0.4752743601</v>
      </c>
      <c r="L1261" s="18">
        <v>95467.0</v>
      </c>
      <c r="M1261" s="14">
        <f>STDEV(L1257:L1261)</f>
        <v>38301.40861</v>
      </c>
      <c r="N1261" s="15" t="b">
        <f t="shared" si="1"/>
        <v>0</v>
      </c>
    </row>
    <row r="1262" hidden="1">
      <c r="A1262" s="7" t="s">
        <v>259</v>
      </c>
      <c r="B1262" s="24" t="s">
        <v>17</v>
      </c>
      <c r="C1262" s="24">
        <v>1.0</v>
      </c>
      <c r="D1262" s="24">
        <v>1.0</v>
      </c>
      <c r="E1262" s="24">
        <v>3.0</v>
      </c>
      <c r="F1262" s="7">
        <v>499.874012708664</v>
      </c>
      <c r="G1262" s="7">
        <v>672.00045132637</v>
      </c>
      <c r="H1262" s="7">
        <v>0.0</v>
      </c>
      <c r="I1262" s="15">
        <v>0.818794317201299</v>
      </c>
      <c r="J1262" s="15">
        <v>0.10042753731618</v>
      </c>
      <c r="K1262" s="12">
        <f>AVERAGE(I1262:I1266)</f>
        <v>0.5616227659</v>
      </c>
      <c r="L1262" s="18">
        <v>11722.0</v>
      </c>
      <c r="M1262" s="14">
        <f>STDEV(L1262:L1266)</f>
        <v>39970.87066</v>
      </c>
      <c r="N1262" s="15" t="b">
        <f t="shared" si="1"/>
        <v>0</v>
      </c>
    </row>
    <row r="1263" hidden="1">
      <c r="A1263" s="7" t="s">
        <v>259</v>
      </c>
      <c r="B1263" s="24" t="s">
        <v>17</v>
      </c>
      <c r="C1263" s="24">
        <v>1.0</v>
      </c>
      <c r="D1263" s="24">
        <v>1.0</v>
      </c>
      <c r="E1263" s="24">
        <v>3.0</v>
      </c>
      <c r="F1263" s="7">
        <v>499.874012708664</v>
      </c>
      <c r="G1263" s="7">
        <v>672.00045132637</v>
      </c>
      <c r="H1263" s="7">
        <v>1.0</v>
      </c>
      <c r="I1263" s="15">
        <v>0.786637424594931</v>
      </c>
      <c r="J1263" s="15">
        <v>0.132420336954009</v>
      </c>
      <c r="K1263" s="12">
        <f>AVERAGE(I1262:I1266)</f>
        <v>0.5616227659</v>
      </c>
      <c r="L1263" s="18">
        <v>12046.0</v>
      </c>
      <c r="M1263" s="14">
        <f>STDEV(L1262:L1266)</f>
        <v>39970.87066</v>
      </c>
      <c r="N1263" s="15" t="b">
        <f t="shared" si="1"/>
        <v>0</v>
      </c>
    </row>
    <row r="1264" hidden="1">
      <c r="A1264" s="7" t="s">
        <v>259</v>
      </c>
      <c r="B1264" s="24" t="s">
        <v>17</v>
      </c>
      <c r="C1264" s="24">
        <v>1.0</v>
      </c>
      <c r="D1264" s="24">
        <v>1.0</v>
      </c>
      <c r="E1264" s="24">
        <v>3.0</v>
      </c>
      <c r="F1264" s="7">
        <v>499.874012708664</v>
      </c>
      <c r="G1264" s="7">
        <v>672.00045132637</v>
      </c>
      <c r="H1264" s="7">
        <v>2.0</v>
      </c>
      <c r="I1264" s="15">
        <v>0.462784551404416</v>
      </c>
      <c r="J1264" s="15">
        <v>0.151334958627875</v>
      </c>
      <c r="K1264" s="12">
        <f>AVERAGE(I1262:I1266)</f>
        <v>0.5616227659</v>
      </c>
      <c r="L1264" s="18">
        <v>8437.0</v>
      </c>
      <c r="M1264" s="14">
        <f>STDEV(L1262:L1266)</f>
        <v>39970.87066</v>
      </c>
      <c r="N1264" s="15" t="b">
        <f t="shared" si="1"/>
        <v>0</v>
      </c>
    </row>
    <row r="1265" hidden="1">
      <c r="A1265" s="7" t="s">
        <v>259</v>
      </c>
      <c r="B1265" s="24" t="s">
        <v>17</v>
      </c>
      <c r="C1265" s="24">
        <v>1.0</v>
      </c>
      <c r="D1265" s="24">
        <v>1.0</v>
      </c>
      <c r="E1265" s="24">
        <v>3.0</v>
      </c>
      <c r="F1265" s="7">
        <v>499.874012708664</v>
      </c>
      <c r="G1265" s="7">
        <v>672.00045132637</v>
      </c>
      <c r="H1265" s="7">
        <v>3.0</v>
      </c>
      <c r="I1265" s="15">
        <v>0.804899505922651</v>
      </c>
      <c r="J1265" s="15">
        <v>0.119613992045753</v>
      </c>
      <c r="K1265" s="12">
        <f>AVERAGE(I1262:I1266)</f>
        <v>0.5616227659</v>
      </c>
      <c r="L1265" s="18">
        <v>9683.0</v>
      </c>
      <c r="M1265" s="14">
        <f>STDEV(L1262:L1266)</f>
        <v>39970.87066</v>
      </c>
      <c r="N1265" s="15" t="b">
        <f t="shared" si="1"/>
        <v>0</v>
      </c>
    </row>
    <row r="1266" hidden="1">
      <c r="A1266" s="7" t="s">
        <v>259</v>
      </c>
      <c r="B1266" s="24" t="s">
        <v>17</v>
      </c>
      <c r="C1266" s="24">
        <v>1.0</v>
      </c>
      <c r="D1266" s="24">
        <v>1.0</v>
      </c>
      <c r="E1266" s="24">
        <v>3.0</v>
      </c>
      <c r="F1266" s="7">
        <v>499.874012708664</v>
      </c>
      <c r="G1266" s="7">
        <v>672.00045132637</v>
      </c>
      <c r="H1266" s="7">
        <v>4.0</v>
      </c>
      <c r="I1266" s="15">
        <v>-0.0650019696094682</v>
      </c>
      <c r="J1266" s="15">
        <v>0.254595872289165</v>
      </c>
      <c r="K1266" s="12">
        <f>AVERAGE(I1262:I1266)</f>
        <v>0.5616227659</v>
      </c>
      <c r="L1266" s="18">
        <v>99788.0</v>
      </c>
      <c r="M1266" s="14">
        <f>STDEV(L1262:L1266)</f>
        <v>39970.87066</v>
      </c>
      <c r="N1266" s="15" t="b">
        <f t="shared" si="1"/>
        <v>0</v>
      </c>
    </row>
    <row r="1267" hidden="1">
      <c r="A1267" s="7" t="s">
        <v>260</v>
      </c>
      <c r="B1267" s="24" t="s">
        <v>17</v>
      </c>
      <c r="C1267" s="24">
        <v>1.0</v>
      </c>
      <c r="D1267" s="24">
        <v>1.0</v>
      </c>
      <c r="E1267" s="24">
        <v>4.0</v>
      </c>
      <c r="F1267" s="7">
        <v>167.524534702301</v>
      </c>
      <c r="G1267" s="7">
        <v>221.957741498947</v>
      </c>
      <c r="H1267" s="7">
        <v>0.0</v>
      </c>
      <c r="I1267" s="15">
        <v>0.898509415297103</v>
      </c>
      <c r="J1267" s="15">
        <v>0.117061941006183</v>
      </c>
      <c r="K1267" s="12">
        <f>AVERAGE(I1267:I1271)</f>
        <v>0.524737559</v>
      </c>
      <c r="L1267" s="18">
        <v>1956.0</v>
      </c>
      <c r="M1267" s="14">
        <f>STDEV(L1267:L1271)</f>
        <v>31986.02107</v>
      </c>
      <c r="N1267" s="15" t="b">
        <f t="shared" si="1"/>
        <v>0</v>
      </c>
    </row>
    <row r="1268" hidden="1">
      <c r="A1268" s="7" t="s">
        <v>260</v>
      </c>
      <c r="B1268" s="24" t="s">
        <v>17</v>
      </c>
      <c r="C1268" s="24">
        <v>1.0</v>
      </c>
      <c r="D1268" s="24">
        <v>1.0</v>
      </c>
      <c r="E1268" s="24">
        <v>4.0</v>
      </c>
      <c r="F1268" s="7">
        <v>167.524534702301</v>
      </c>
      <c r="G1268" s="7">
        <v>221.957741498947</v>
      </c>
      <c r="H1268" s="7">
        <v>1.0</v>
      </c>
      <c r="I1268" s="15">
        <v>0.822690992604861</v>
      </c>
      <c r="J1268" s="15">
        <v>0.117886961336561</v>
      </c>
      <c r="K1268" s="12">
        <f>AVERAGE(I1267:I1271)</f>
        <v>0.524737559</v>
      </c>
      <c r="L1268" s="18">
        <v>5120.0</v>
      </c>
      <c r="M1268" s="14">
        <f>STDEV(L1267:L1271)</f>
        <v>31986.02107</v>
      </c>
      <c r="N1268" s="15" t="b">
        <f t="shared" si="1"/>
        <v>0</v>
      </c>
    </row>
    <row r="1269" hidden="1">
      <c r="A1269" s="7" t="s">
        <v>260</v>
      </c>
      <c r="B1269" s="24" t="s">
        <v>17</v>
      </c>
      <c r="C1269" s="24">
        <v>1.0</v>
      </c>
      <c r="D1269" s="24">
        <v>1.0</v>
      </c>
      <c r="E1269" s="24">
        <v>4.0</v>
      </c>
      <c r="F1269" s="7">
        <v>167.524534702301</v>
      </c>
      <c r="G1269" s="7">
        <v>221.957741498947</v>
      </c>
      <c r="H1269" s="7">
        <v>2.0</v>
      </c>
      <c r="I1269" s="15">
        <v>0.814593063800259</v>
      </c>
      <c r="J1269" s="15">
        <v>0.10109668577375</v>
      </c>
      <c r="K1269" s="12">
        <f>AVERAGE(I1267:I1271)</f>
        <v>0.524737559</v>
      </c>
      <c r="L1269" s="18">
        <v>11728.0</v>
      </c>
      <c r="M1269" s="14">
        <f>STDEV(L1267:L1271)</f>
        <v>31986.02107</v>
      </c>
      <c r="N1269" s="15" t="b">
        <f t="shared" si="1"/>
        <v>0</v>
      </c>
    </row>
    <row r="1270" hidden="1">
      <c r="A1270" s="7" t="s">
        <v>260</v>
      </c>
      <c r="B1270" s="24" t="s">
        <v>17</v>
      </c>
      <c r="C1270" s="24">
        <v>1.0</v>
      </c>
      <c r="D1270" s="24">
        <v>1.0</v>
      </c>
      <c r="E1270" s="24">
        <v>4.0</v>
      </c>
      <c r="F1270" s="7">
        <v>167.524534702301</v>
      </c>
      <c r="G1270" s="7">
        <v>221.957741498947</v>
      </c>
      <c r="H1270" s="7">
        <v>3.0</v>
      </c>
      <c r="I1270" s="15">
        <v>0.0507646585008345</v>
      </c>
      <c r="J1270" s="15">
        <v>0.269733363644254</v>
      </c>
      <c r="K1270" s="12">
        <f>AVERAGE(I1267:I1271)</f>
        <v>0.524737559</v>
      </c>
      <c r="L1270" s="18">
        <v>75409.0</v>
      </c>
      <c r="M1270" s="14">
        <f>STDEV(L1267:L1271)</f>
        <v>31986.02107</v>
      </c>
      <c r="N1270" s="15" t="b">
        <f t="shared" si="1"/>
        <v>0</v>
      </c>
    </row>
    <row r="1271" hidden="1">
      <c r="A1271" s="7" t="s">
        <v>260</v>
      </c>
      <c r="B1271" s="24" t="s">
        <v>17</v>
      </c>
      <c r="C1271" s="24">
        <v>1.0</v>
      </c>
      <c r="D1271" s="24">
        <v>1.0</v>
      </c>
      <c r="E1271" s="24">
        <v>4.0</v>
      </c>
      <c r="F1271" s="7">
        <v>167.524534702301</v>
      </c>
      <c r="G1271" s="7">
        <v>221.957741498947</v>
      </c>
      <c r="H1271" s="7">
        <v>4.0</v>
      </c>
      <c r="I1271" s="15">
        <v>0.0371296646119408</v>
      </c>
      <c r="J1271" s="15">
        <v>0.0240004387226192</v>
      </c>
      <c r="K1271" s="12">
        <f>AVERAGE(I1267:I1271)</f>
        <v>0.524737559</v>
      </c>
      <c r="L1271" s="18">
        <v>47463.0</v>
      </c>
      <c r="M1271" s="14">
        <f>STDEV(L1267:L1271)</f>
        <v>31986.02107</v>
      </c>
      <c r="N1271" s="15" t="b">
        <f t="shared" si="1"/>
        <v>0</v>
      </c>
    </row>
    <row r="1272" hidden="1">
      <c r="A1272" s="7" t="s">
        <v>261</v>
      </c>
      <c r="B1272" s="22" t="s">
        <v>17</v>
      </c>
      <c r="C1272" s="22">
        <v>1.0</v>
      </c>
      <c r="D1272" s="22">
        <v>1.0</v>
      </c>
      <c r="E1272" s="22">
        <v>5.0</v>
      </c>
      <c r="F1272" s="7">
        <v>174.456167697906</v>
      </c>
      <c r="G1272" s="7">
        <v>300.919146299362</v>
      </c>
      <c r="H1272" s="7">
        <v>0.0</v>
      </c>
      <c r="I1272" s="15">
        <v>0.829947864980709</v>
      </c>
      <c r="J1272" s="15">
        <v>0.0928649536876806</v>
      </c>
      <c r="K1272" s="12">
        <f>AVERAGE(I1272:I1276)</f>
        <v>0.4627924625</v>
      </c>
      <c r="L1272" s="18">
        <v>9435.0</v>
      </c>
      <c r="M1272" s="14">
        <f>STDEV(L1272:L1276)</f>
        <v>40443.44432</v>
      </c>
      <c r="N1272" s="15" t="b">
        <f t="shared" si="1"/>
        <v>0</v>
      </c>
    </row>
    <row r="1273" hidden="1">
      <c r="A1273" s="7" t="s">
        <v>261</v>
      </c>
      <c r="B1273" s="22" t="s">
        <v>17</v>
      </c>
      <c r="C1273" s="22">
        <v>1.0</v>
      </c>
      <c r="D1273" s="22">
        <v>1.0</v>
      </c>
      <c r="E1273" s="22">
        <v>5.0</v>
      </c>
      <c r="F1273" s="7">
        <v>174.456167697906</v>
      </c>
      <c r="G1273" s="7">
        <v>300.919146299362</v>
      </c>
      <c r="H1273" s="7">
        <v>1.0</v>
      </c>
      <c r="I1273" s="15">
        <v>0.306358823987854</v>
      </c>
      <c r="J1273" s="15">
        <v>0.0797533808847753</v>
      </c>
      <c r="K1273" s="12">
        <f>AVERAGE(I1272:I1276)</f>
        <v>0.4627924625</v>
      </c>
      <c r="L1273" s="18">
        <v>27685.0</v>
      </c>
      <c r="M1273" s="14">
        <f>STDEV(L1272:L1276)</f>
        <v>40443.44432</v>
      </c>
      <c r="N1273" s="15" t="b">
        <f t="shared" si="1"/>
        <v>0</v>
      </c>
    </row>
    <row r="1274" hidden="1">
      <c r="A1274" s="7" t="s">
        <v>261</v>
      </c>
      <c r="B1274" s="22" t="s">
        <v>17</v>
      </c>
      <c r="C1274" s="22">
        <v>1.0</v>
      </c>
      <c r="D1274" s="22">
        <v>1.0</v>
      </c>
      <c r="E1274" s="22">
        <v>5.0</v>
      </c>
      <c r="F1274" s="7">
        <v>174.456167697906</v>
      </c>
      <c r="G1274" s="7">
        <v>300.919146299362</v>
      </c>
      <c r="H1274" s="7">
        <v>2.0</v>
      </c>
      <c r="I1274" s="15">
        <v>-0.0453264054241486</v>
      </c>
      <c r="J1274" s="15">
        <v>0.22248284839687</v>
      </c>
      <c r="K1274" s="12">
        <f>AVERAGE(I1272:I1276)</f>
        <v>0.4627924625</v>
      </c>
      <c r="L1274" s="18">
        <v>98395.0</v>
      </c>
      <c r="M1274" s="14">
        <f>STDEV(L1272:L1276)</f>
        <v>40443.44432</v>
      </c>
      <c r="N1274" s="15" t="b">
        <f t="shared" si="1"/>
        <v>0</v>
      </c>
    </row>
    <row r="1275" hidden="1">
      <c r="A1275" s="7" t="s">
        <v>261</v>
      </c>
      <c r="B1275" s="22" t="s">
        <v>17</v>
      </c>
      <c r="C1275" s="22">
        <v>1.0</v>
      </c>
      <c r="D1275" s="22">
        <v>1.0</v>
      </c>
      <c r="E1275" s="22">
        <v>5.0</v>
      </c>
      <c r="F1275" s="7">
        <v>174.456167697906</v>
      </c>
      <c r="G1275" s="7">
        <v>300.919146299362</v>
      </c>
      <c r="H1275" s="7">
        <v>3.0</v>
      </c>
      <c r="I1275" s="15">
        <v>0.885541860960893</v>
      </c>
      <c r="J1275" s="15">
        <v>0.0641685847481852</v>
      </c>
      <c r="K1275" s="12">
        <f>AVERAGE(I1272:I1276)</f>
        <v>0.4627924625</v>
      </c>
      <c r="L1275" s="18">
        <v>3813.0</v>
      </c>
      <c r="M1275" s="14">
        <f>STDEV(L1272:L1276)</f>
        <v>40443.44432</v>
      </c>
      <c r="N1275" s="15" t="b">
        <f t="shared" si="1"/>
        <v>0</v>
      </c>
    </row>
    <row r="1276" hidden="1">
      <c r="A1276" s="7" t="s">
        <v>261</v>
      </c>
      <c r="B1276" s="22" t="s">
        <v>17</v>
      </c>
      <c r="C1276" s="22">
        <v>1.0</v>
      </c>
      <c r="D1276" s="22">
        <v>1.0</v>
      </c>
      <c r="E1276" s="22">
        <v>5.0</v>
      </c>
      <c r="F1276" s="7">
        <v>174.456167697906</v>
      </c>
      <c r="G1276" s="7">
        <v>300.919146299362</v>
      </c>
      <c r="H1276" s="7">
        <v>4.0</v>
      </c>
      <c r="I1276" s="15">
        <v>0.337440167948611</v>
      </c>
      <c r="J1276" s="15">
        <v>0.116986196830537</v>
      </c>
      <c r="K1276" s="12">
        <f>AVERAGE(I1272:I1276)</f>
        <v>0.4627924625</v>
      </c>
      <c r="L1276" s="18">
        <v>2348.0</v>
      </c>
      <c r="M1276" s="14">
        <f>STDEV(L1272:L1276)</f>
        <v>40443.44432</v>
      </c>
      <c r="N1276" s="15" t="b">
        <f t="shared" si="1"/>
        <v>0</v>
      </c>
    </row>
    <row r="1277" hidden="1">
      <c r="A1277" s="7" t="s">
        <v>262</v>
      </c>
      <c r="B1277" s="7" t="s">
        <v>17</v>
      </c>
      <c r="C1277" s="7">
        <v>1.0</v>
      </c>
      <c r="D1277" s="7">
        <v>1.0</v>
      </c>
      <c r="E1277" s="7">
        <v>6.0</v>
      </c>
      <c r="F1277" s="7">
        <v>135.813204288482</v>
      </c>
      <c r="G1277" s="7">
        <v>211.318702220916</v>
      </c>
      <c r="H1277" s="7">
        <v>0.0</v>
      </c>
      <c r="I1277" s="15">
        <v>0.860202540140367</v>
      </c>
      <c r="J1277" s="15">
        <v>0.096298949103272</v>
      </c>
      <c r="K1277" s="12">
        <f>AVERAGE(I1277:I1281)</f>
        <v>0.5168077947</v>
      </c>
      <c r="L1277" s="18">
        <v>2019.0</v>
      </c>
      <c r="M1277" s="14">
        <f>STDEV(L1277:L1281)</f>
        <v>46844.36608</v>
      </c>
      <c r="N1277" s="15" t="b">
        <f t="shared" si="1"/>
        <v>0</v>
      </c>
    </row>
    <row r="1278" hidden="1">
      <c r="A1278" s="7" t="s">
        <v>262</v>
      </c>
      <c r="B1278" s="7" t="s">
        <v>17</v>
      </c>
      <c r="C1278" s="7">
        <v>1.0</v>
      </c>
      <c r="D1278" s="7">
        <v>1.0</v>
      </c>
      <c r="E1278" s="7">
        <v>6.0</v>
      </c>
      <c r="F1278" s="7">
        <v>135.813204288482</v>
      </c>
      <c r="G1278" s="7">
        <v>211.318702220916</v>
      </c>
      <c r="H1278" s="7">
        <v>1.0</v>
      </c>
      <c r="I1278" s="15">
        <v>0.0161744356728032</v>
      </c>
      <c r="J1278" s="15">
        <v>0.208165359227238</v>
      </c>
      <c r="K1278" s="12">
        <f>AVERAGE(I1277:I1281)</f>
        <v>0.5168077947</v>
      </c>
      <c r="L1278" s="18">
        <v>111270.0</v>
      </c>
      <c r="M1278" s="14">
        <f>STDEV(L1277:L1281)</f>
        <v>46844.36608</v>
      </c>
      <c r="N1278" s="15" t="b">
        <f t="shared" si="1"/>
        <v>0</v>
      </c>
    </row>
    <row r="1279" hidden="1">
      <c r="A1279" s="7" t="s">
        <v>262</v>
      </c>
      <c r="B1279" s="7" t="s">
        <v>17</v>
      </c>
      <c r="C1279" s="7">
        <v>1.0</v>
      </c>
      <c r="D1279" s="7">
        <v>1.0</v>
      </c>
      <c r="E1279" s="7">
        <v>6.0</v>
      </c>
      <c r="F1279" s="7">
        <v>135.813204288482</v>
      </c>
      <c r="G1279" s="7">
        <v>211.318702220916</v>
      </c>
      <c r="H1279" s="7">
        <v>2.0</v>
      </c>
      <c r="I1279" s="15">
        <v>0.20980493387913</v>
      </c>
      <c r="J1279" s="15">
        <v>0.0670101231414211</v>
      </c>
      <c r="K1279" s="12">
        <f>AVERAGE(I1277:I1281)</f>
        <v>0.5168077947</v>
      </c>
      <c r="L1279" s="18">
        <v>18541.0</v>
      </c>
      <c r="M1279" s="14">
        <f>STDEV(L1277:L1281)</f>
        <v>46844.36608</v>
      </c>
      <c r="N1279" s="15" t="b">
        <f t="shared" si="1"/>
        <v>0</v>
      </c>
    </row>
    <row r="1280" hidden="1">
      <c r="A1280" s="7" t="s">
        <v>262</v>
      </c>
      <c r="B1280" s="7" t="s">
        <v>17</v>
      </c>
      <c r="C1280" s="7">
        <v>1.0</v>
      </c>
      <c r="D1280" s="7">
        <v>1.0</v>
      </c>
      <c r="E1280" s="7">
        <v>6.0</v>
      </c>
      <c r="F1280" s="7">
        <v>135.813204288482</v>
      </c>
      <c r="G1280" s="7">
        <v>211.318702220916</v>
      </c>
      <c r="H1280" s="7">
        <v>3.0</v>
      </c>
      <c r="I1280" s="15">
        <v>0.750684960775389</v>
      </c>
      <c r="J1280" s="15">
        <v>0.16400923828044</v>
      </c>
      <c r="K1280" s="12">
        <f>AVERAGE(I1277:I1281)</f>
        <v>0.5168077947</v>
      </c>
      <c r="L1280" s="18">
        <v>2215.0</v>
      </c>
      <c r="M1280" s="14">
        <f>STDEV(L1277:L1281)</f>
        <v>46844.36608</v>
      </c>
      <c r="N1280" s="15" t="b">
        <f t="shared" si="1"/>
        <v>0</v>
      </c>
    </row>
    <row r="1281" hidden="1">
      <c r="A1281" s="7" t="s">
        <v>262</v>
      </c>
      <c r="B1281" s="7" t="s">
        <v>17</v>
      </c>
      <c r="C1281" s="7">
        <v>1.0</v>
      </c>
      <c r="D1281" s="7">
        <v>1.0</v>
      </c>
      <c r="E1281" s="7">
        <v>6.0</v>
      </c>
      <c r="F1281" s="7">
        <v>135.813204288482</v>
      </c>
      <c r="G1281" s="7">
        <v>211.318702220916</v>
      </c>
      <c r="H1281" s="7">
        <v>4.0</v>
      </c>
      <c r="I1281" s="15">
        <v>0.747172103042575</v>
      </c>
      <c r="J1281" s="15">
        <v>0.149700261395702</v>
      </c>
      <c r="K1281" s="12">
        <f>AVERAGE(I1277:I1281)</f>
        <v>0.5168077947</v>
      </c>
      <c r="L1281" s="18">
        <v>7631.0</v>
      </c>
      <c r="M1281" s="14">
        <f>STDEV(L1277:L1281)</f>
        <v>46844.36608</v>
      </c>
      <c r="N1281" s="15" t="b">
        <f t="shared" si="1"/>
        <v>0</v>
      </c>
    </row>
    <row r="1282" hidden="1">
      <c r="A1282" s="7" t="s">
        <v>263</v>
      </c>
      <c r="B1282" s="7" t="s">
        <v>17</v>
      </c>
      <c r="C1282" s="7">
        <v>1.0</v>
      </c>
      <c r="D1282" s="7">
        <v>1.0</v>
      </c>
      <c r="E1282" s="7">
        <v>7.0</v>
      </c>
      <c r="F1282" s="7">
        <v>208.228002548217</v>
      </c>
      <c r="G1282" s="7">
        <v>355.895695447921</v>
      </c>
      <c r="H1282" s="7">
        <v>0.0</v>
      </c>
      <c r="I1282" s="15">
        <v>-0.0519211273495542</v>
      </c>
      <c r="J1282" s="15">
        <v>0.239599018207312</v>
      </c>
      <c r="K1282" s="12">
        <f>AVERAGE(I1282:I1286)</f>
        <v>0.5441762091</v>
      </c>
      <c r="L1282" s="18">
        <v>101551.0</v>
      </c>
      <c r="M1282" s="14">
        <f>STDEV(L1282:L1286)</f>
        <v>41694.08914</v>
      </c>
      <c r="N1282" s="15" t="b">
        <f t="shared" si="1"/>
        <v>0</v>
      </c>
    </row>
    <row r="1283" hidden="1">
      <c r="A1283" s="7" t="s">
        <v>263</v>
      </c>
      <c r="B1283" s="7" t="s">
        <v>17</v>
      </c>
      <c r="C1283" s="7">
        <v>1.0</v>
      </c>
      <c r="D1283" s="7">
        <v>1.0</v>
      </c>
      <c r="E1283" s="7">
        <v>7.0</v>
      </c>
      <c r="F1283" s="7">
        <v>208.228002548217</v>
      </c>
      <c r="G1283" s="7">
        <v>355.895695447921</v>
      </c>
      <c r="H1283" s="7">
        <v>1.0</v>
      </c>
      <c r="I1283" s="15">
        <v>0.822956163440959</v>
      </c>
      <c r="J1283" s="15">
        <v>0.119439527176891</v>
      </c>
      <c r="K1283" s="12">
        <f>AVERAGE(I1282:I1286)</f>
        <v>0.5441762091</v>
      </c>
      <c r="L1283" s="18">
        <v>5131.0</v>
      </c>
      <c r="M1283" s="14">
        <f>STDEV(L1282:L1286)</f>
        <v>41694.08914</v>
      </c>
      <c r="N1283" s="15" t="b">
        <f t="shared" si="1"/>
        <v>0</v>
      </c>
    </row>
    <row r="1284" hidden="1">
      <c r="A1284" s="7" t="s">
        <v>263</v>
      </c>
      <c r="B1284" s="7" t="s">
        <v>17</v>
      </c>
      <c r="C1284" s="7">
        <v>1.0</v>
      </c>
      <c r="D1284" s="7">
        <v>1.0</v>
      </c>
      <c r="E1284" s="7">
        <v>7.0</v>
      </c>
      <c r="F1284" s="7">
        <v>208.228002548217</v>
      </c>
      <c r="G1284" s="7">
        <v>355.895695447921</v>
      </c>
      <c r="H1284" s="7">
        <v>2.0</v>
      </c>
      <c r="I1284" s="15">
        <v>0.399831680581718</v>
      </c>
      <c r="J1284" s="15">
        <v>0.0702127585547624</v>
      </c>
      <c r="K1284" s="12">
        <f>AVERAGE(I1282:I1286)</f>
        <v>0.5441762091</v>
      </c>
      <c r="L1284" s="18">
        <v>23598.0</v>
      </c>
      <c r="M1284" s="14">
        <f>STDEV(L1282:L1286)</f>
        <v>41694.08914</v>
      </c>
      <c r="N1284" s="15" t="b">
        <f t="shared" si="1"/>
        <v>0</v>
      </c>
    </row>
    <row r="1285" hidden="1">
      <c r="A1285" s="7" t="s">
        <v>263</v>
      </c>
      <c r="B1285" s="7" t="s">
        <v>17</v>
      </c>
      <c r="C1285" s="7">
        <v>1.0</v>
      </c>
      <c r="D1285" s="7">
        <v>1.0</v>
      </c>
      <c r="E1285" s="7">
        <v>7.0</v>
      </c>
      <c r="F1285" s="7">
        <v>208.228002548217</v>
      </c>
      <c r="G1285" s="7">
        <v>355.895695447921</v>
      </c>
      <c r="H1285" s="7">
        <v>3.0</v>
      </c>
      <c r="I1285" s="15">
        <v>0.80352857958024</v>
      </c>
      <c r="J1285" s="15">
        <v>0.129213346692624</v>
      </c>
      <c r="K1285" s="12">
        <f>AVERAGE(I1282:I1286)</f>
        <v>0.5441762091</v>
      </c>
      <c r="L1285" s="18">
        <v>3791.0</v>
      </c>
      <c r="M1285" s="14">
        <f>STDEV(L1282:L1286)</f>
        <v>41694.08914</v>
      </c>
      <c r="N1285" s="15" t="b">
        <f t="shared" si="1"/>
        <v>0</v>
      </c>
    </row>
    <row r="1286" hidden="1">
      <c r="A1286" s="7" t="s">
        <v>263</v>
      </c>
      <c r="B1286" s="7" t="s">
        <v>17</v>
      </c>
      <c r="C1286" s="7">
        <v>1.0</v>
      </c>
      <c r="D1286" s="7">
        <v>1.0</v>
      </c>
      <c r="E1286" s="7">
        <v>7.0</v>
      </c>
      <c r="F1286" s="7">
        <v>208.228002548217</v>
      </c>
      <c r="G1286" s="7">
        <v>355.895695447921</v>
      </c>
      <c r="H1286" s="7">
        <v>4.0</v>
      </c>
      <c r="I1286" s="15">
        <v>0.746485749320176</v>
      </c>
      <c r="J1286" s="15">
        <v>0.154079999602352</v>
      </c>
      <c r="K1286" s="12">
        <f>AVERAGE(I1282:I1286)</f>
        <v>0.5441762091</v>
      </c>
      <c r="L1286" s="18">
        <v>7605.0</v>
      </c>
      <c r="M1286" s="14">
        <f>STDEV(L1282:L1286)</f>
        <v>41694.08914</v>
      </c>
      <c r="N1286" s="15" t="b">
        <f t="shared" si="1"/>
        <v>0</v>
      </c>
    </row>
    <row r="1287" hidden="1">
      <c r="A1287" s="7" t="s">
        <v>264</v>
      </c>
      <c r="B1287" s="7" t="s">
        <v>17</v>
      </c>
      <c r="C1287" s="7">
        <v>1.0</v>
      </c>
      <c r="D1287" s="7">
        <v>1.0</v>
      </c>
      <c r="E1287" s="7">
        <v>8.0</v>
      </c>
      <c r="F1287" s="7">
        <v>143.577247619628</v>
      </c>
      <c r="G1287" s="7">
        <v>425.0778195858</v>
      </c>
      <c r="H1287" s="7">
        <v>0.0</v>
      </c>
      <c r="I1287" s="15">
        <v>0.419047160117618</v>
      </c>
      <c r="J1287" s="15">
        <v>0.108734653566135</v>
      </c>
      <c r="K1287" s="12">
        <f>AVERAGE(I1287:I1291)</f>
        <v>0.5341325752</v>
      </c>
      <c r="L1287" s="18">
        <v>21152.0</v>
      </c>
      <c r="M1287" s="14">
        <f>STDEV(L1287:L1291)</f>
        <v>47534.53276</v>
      </c>
      <c r="N1287" s="15" t="b">
        <f t="shared" si="1"/>
        <v>0</v>
      </c>
    </row>
    <row r="1288" hidden="1">
      <c r="A1288" s="7" t="s">
        <v>264</v>
      </c>
      <c r="B1288" s="7" t="s">
        <v>17</v>
      </c>
      <c r="C1288" s="7">
        <v>1.0</v>
      </c>
      <c r="D1288" s="7">
        <v>1.0</v>
      </c>
      <c r="E1288" s="7">
        <v>8.0</v>
      </c>
      <c r="F1288" s="7">
        <v>143.577247619628</v>
      </c>
      <c r="G1288" s="7">
        <v>425.0778195858</v>
      </c>
      <c r="H1288" s="7">
        <v>1.0</v>
      </c>
      <c r="I1288" s="15">
        <v>0.644756378147894</v>
      </c>
      <c r="J1288" s="15">
        <v>0.124412688564546</v>
      </c>
      <c r="K1288" s="12">
        <f>AVERAGE(I1287:I1291)</f>
        <v>0.5341325752</v>
      </c>
      <c r="L1288" s="18">
        <v>1938.0</v>
      </c>
      <c r="M1288" s="14">
        <f>STDEV(L1287:L1291)</f>
        <v>47534.53276</v>
      </c>
      <c r="N1288" s="15" t="b">
        <f t="shared" si="1"/>
        <v>0</v>
      </c>
    </row>
    <row r="1289" hidden="1">
      <c r="A1289" s="7" t="s">
        <v>264</v>
      </c>
      <c r="B1289" s="7" t="s">
        <v>17</v>
      </c>
      <c r="C1289" s="7">
        <v>1.0</v>
      </c>
      <c r="D1289" s="7">
        <v>1.0</v>
      </c>
      <c r="E1289" s="7">
        <v>8.0</v>
      </c>
      <c r="F1289" s="7">
        <v>143.577247619628</v>
      </c>
      <c r="G1289" s="7">
        <v>425.0778195858</v>
      </c>
      <c r="H1289" s="7">
        <v>2.0</v>
      </c>
      <c r="I1289" s="15">
        <v>0.77522988705744</v>
      </c>
      <c r="J1289" s="15">
        <v>0.142496844962801</v>
      </c>
      <c r="K1289" s="12">
        <f>AVERAGE(I1287:I1291)</f>
        <v>0.5341325752</v>
      </c>
      <c r="L1289" s="18">
        <v>5209.0</v>
      </c>
      <c r="M1289" s="14">
        <f>STDEV(L1287:L1291)</f>
        <v>47534.53276</v>
      </c>
      <c r="N1289" s="15" t="b">
        <f t="shared" si="1"/>
        <v>0</v>
      </c>
    </row>
    <row r="1290" hidden="1">
      <c r="A1290" s="7" t="s">
        <v>264</v>
      </c>
      <c r="B1290" s="7" t="s">
        <v>17</v>
      </c>
      <c r="C1290" s="7">
        <v>1.0</v>
      </c>
      <c r="D1290" s="7">
        <v>1.0</v>
      </c>
      <c r="E1290" s="7">
        <v>8.0</v>
      </c>
      <c r="F1290" s="7">
        <v>143.577247619628</v>
      </c>
      <c r="G1290" s="7">
        <v>425.0778195858</v>
      </c>
      <c r="H1290" s="7">
        <v>3.0</v>
      </c>
      <c r="I1290" s="15">
        <v>0.815028937406256</v>
      </c>
      <c r="J1290" s="15">
        <v>0.131666295478123</v>
      </c>
      <c r="K1290" s="12">
        <f>AVERAGE(I1287:I1291)</f>
        <v>0.5341325752</v>
      </c>
      <c r="L1290" s="18">
        <v>1249.0</v>
      </c>
      <c r="M1290" s="14">
        <f>STDEV(L1287:L1291)</f>
        <v>47534.53276</v>
      </c>
      <c r="N1290" s="15" t="b">
        <f t="shared" si="1"/>
        <v>0</v>
      </c>
    </row>
    <row r="1291" hidden="1">
      <c r="A1291" s="7" t="s">
        <v>264</v>
      </c>
      <c r="B1291" s="7" t="s">
        <v>17</v>
      </c>
      <c r="C1291" s="7">
        <v>1.0</v>
      </c>
      <c r="D1291" s="7">
        <v>1.0</v>
      </c>
      <c r="E1291" s="7">
        <v>8.0</v>
      </c>
      <c r="F1291" s="7">
        <v>143.577247619628</v>
      </c>
      <c r="G1291" s="7">
        <v>425.0778195858</v>
      </c>
      <c r="H1291" s="7">
        <v>4.0</v>
      </c>
      <c r="I1291" s="15">
        <v>0.0166005134681025</v>
      </c>
      <c r="J1291" s="15">
        <v>0.150078114023213</v>
      </c>
      <c r="K1291" s="12">
        <f>AVERAGE(I1287:I1291)</f>
        <v>0.5341325752</v>
      </c>
      <c r="L1291" s="18">
        <v>112128.0</v>
      </c>
      <c r="M1291" s="14">
        <f>STDEV(L1287:L1291)</f>
        <v>47534.53276</v>
      </c>
      <c r="N1291" s="15" t="b">
        <f t="shared" si="1"/>
        <v>0</v>
      </c>
    </row>
    <row r="1292" hidden="1">
      <c r="A1292" s="7" t="s">
        <v>265</v>
      </c>
      <c r="B1292" s="7" t="s">
        <v>17</v>
      </c>
      <c r="C1292" s="7">
        <v>1.0</v>
      </c>
      <c r="D1292" s="7">
        <v>1.0</v>
      </c>
      <c r="E1292" s="7">
        <v>9.0</v>
      </c>
      <c r="F1292" s="7">
        <v>193.436180353164</v>
      </c>
      <c r="G1292" s="7">
        <v>473.813758611679</v>
      </c>
      <c r="H1292" s="7">
        <v>0.0</v>
      </c>
      <c r="I1292" s="15">
        <v>0.261058384057513</v>
      </c>
      <c r="J1292" s="15">
        <v>0.0777324007032197</v>
      </c>
      <c r="K1292" s="12">
        <f>AVERAGE(I1292:I1296)</f>
        <v>0.513675391</v>
      </c>
      <c r="L1292" s="18">
        <v>17754.0</v>
      </c>
      <c r="M1292" s="14">
        <f>STDEV(L1292:L1296)</f>
        <v>41027.10906</v>
      </c>
      <c r="N1292" s="15" t="b">
        <f t="shared" si="1"/>
        <v>0</v>
      </c>
    </row>
    <row r="1293" hidden="1">
      <c r="A1293" s="7" t="s">
        <v>265</v>
      </c>
      <c r="B1293" s="7" t="s">
        <v>17</v>
      </c>
      <c r="C1293" s="7">
        <v>1.0</v>
      </c>
      <c r="D1293" s="7">
        <v>1.0</v>
      </c>
      <c r="E1293" s="7">
        <v>9.0</v>
      </c>
      <c r="F1293" s="7">
        <v>193.436180353164</v>
      </c>
      <c r="G1293" s="7">
        <v>473.813758611679</v>
      </c>
      <c r="H1293" s="7">
        <v>1.0</v>
      </c>
      <c r="I1293" s="15">
        <v>0.785275137302555</v>
      </c>
      <c r="J1293" s="15">
        <v>0.134844470353827</v>
      </c>
      <c r="K1293" s="12">
        <f>AVERAGE(I1292:I1296)</f>
        <v>0.513675391</v>
      </c>
      <c r="L1293" s="18">
        <v>12058.0</v>
      </c>
      <c r="M1293" s="14">
        <f>STDEV(L1292:L1296)</f>
        <v>41027.10906</v>
      </c>
      <c r="N1293" s="15" t="b">
        <f t="shared" si="1"/>
        <v>0</v>
      </c>
    </row>
    <row r="1294" hidden="1">
      <c r="A1294" s="7" t="s">
        <v>265</v>
      </c>
      <c r="B1294" s="7" t="s">
        <v>17</v>
      </c>
      <c r="C1294" s="7">
        <v>1.0</v>
      </c>
      <c r="D1294" s="7">
        <v>1.0</v>
      </c>
      <c r="E1294" s="7">
        <v>9.0</v>
      </c>
      <c r="F1294" s="7">
        <v>193.436180353164</v>
      </c>
      <c r="G1294" s="7">
        <v>473.813758611679</v>
      </c>
      <c r="H1294" s="7">
        <v>2.0</v>
      </c>
      <c r="I1294" s="15">
        <v>-0.0202064832097924</v>
      </c>
      <c r="J1294" s="15">
        <v>0.217181108077096</v>
      </c>
      <c r="K1294" s="12">
        <f>AVERAGE(I1292:I1296)</f>
        <v>0.513675391</v>
      </c>
      <c r="L1294" s="18">
        <v>100952.0</v>
      </c>
      <c r="M1294" s="14">
        <f>STDEV(L1292:L1296)</f>
        <v>41027.10906</v>
      </c>
      <c r="N1294" s="15" t="b">
        <f t="shared" si="1"/>
        <v>0</v>
      </c>
    </row>
    <row r="1295" hidden="1">
      <c r="A1295" s="7" t="s">
        <v>265</v>
      </c>
      <c r="B1295" s="7" t="s">
        <v>17</v>
      </c>
      <c r="C1295" s="7">
        <v>1.0</v>
      </c>
      <c r="D1295" s="7">
        <v>1.0</v>
      </c>
      <c r="E1295" s="7">
        <v>9.0</v>
      </c>
      <c r="F1295" s="7">
        <v>193.436180353164</v>
      </c>
      <c r="G1295" s="7">
        <v>473.813758611679</v>
      </c>
      <c r="H1295" s="7">
        <v>3.0</v>
      </c>
      <c r="I1295" s="15">
        <v>0.804554691755091</v>
      </c>
      <c r="J1295" s="15">
        <v>0.118971177040876</v>
      </c>
      <c r="K1295" s="12">
        <f>AVERAGE(I1292:I1296)</f>
        <v>0.513675391</v>
      </c>
      <c r="L1295" s="18">
        <v>9691.0</v>
      </c>
      <c r="M1295" s="14">
        <f>STDEV(L1292:L1296)</f>
        <v>41027.10906</v>
      </c>
      <c r="N1295" s="15" t="b">
        <f t="shared" si="1"/>
        <v>0</v>
      </c>
    </row>
    <row r="1296" hidden="1">
      <c r="A1296" s="7" t="s">
        <v>265</v>
      </c>
      <c r="B1296" s="7" t="s">
        <v>17</v>
      </c>
      <c r="C1296" s="7">
        <v>1.0</v>
      </c>
      <c r="D1296" s="7">
        <v>1.0</v>
      </c>
      <c r="E1296" s="7">
        <v>9.0</v>
      </c>
      <c r="F1296" s="7">
        <v>193.436180353164</v>
      </c>
      <c r="G1296" s="7">
        <v>473.813758611679</v>
      </c>
      <c r="H1296" s="7">
        <v>4.0</v>
      </c>
      <c r="I1296" s="15">
        <v>0.737695225071522</v>
      </c>
      <c r="J1296" s="15">
        <v>0.160094853804812</v>
      </c>
      <c r="K1296" s="12">
        <f>AVERAGE(I1292:I1296)</f>
        <v>0.513675391</v>
      </c>
      <c r="L1296" s="18">
        <v>1221.0</v>
      </c>
      <c r="M1296" s="14">
        <f>STDEV(L1292:L1296)</f>
        <v>41027.10906</v>
      </c>
      <c r="N1296" s="15" t="b">
        <f t="shared" si="1"/>
        <v>0</v>
      </c>
    </row>
    <row r="1297" hidden="1">
      <c r="A1297" s="7" t="s">
        <v>266</v>
      </c>
      <c r="B1297" s="7" t="s">
        <v>17</v>
      </c>
      <c r="C1297" s="7">
        <v>1.0</v>
      </c>
      <c r="D1297" s="7">
        <v>1.0</v>
      </c>
      <c r="E1297" s="7">
        <v>10.0</v>
      </c>
      <c r="F1297" s="7">
        <v>371.709399223327</v>
      </c>
      <c r="G1297" s="7">
        <v>568.431106090545</v>
      </c>
      <c r="H1297" s="7">
        <v>0.0</v>
      </c>
      <c r="I1297" s="15">
        <v>0.492901084295841</v>
      </c>
      <c r="J1297" s="15">
        <v>0.16436424262408</v>
      </c>
      <c r="K1297" s="12">
        <f>AVERAGE(I1297:I1301)</f>
        <v>0.4139458197</v>
      </c>
      <c r="L1297" s="18">
        <v>5456.0</v>
      </c>
      <c r="M1297" s="14">
        <f>STDEV(L1297:L1301)</f>
        <v>35979.41023</v>
      </c>
      <c r="N1297" s="15" t="b">
        <f t="shared" si="1"/>
        <v>0</v>
      </c>
    </row>
    <row r="1298" hidden="1">
      <c r="A1298" s="7" t="s">
        <v>266</v>
      </c>
      <c r="B1298" s="7" t="s">
        <v>17</v>
      </c>
      <c r="C1298" s="7">
        <v>1.0</v>
      </c>
      <c r="D1298" s="7">
        <v>1.0</v>
      </c>
      <c r="E1298" s="7">
        <v>10.0</v>
      </c>
      <c r="F1298" s="7">
        <v>371.709399223327</v>
      </c>
      <c r="G1298" s="7">
        <v>568.431106090545</v>
      </c>
      <c r="H1298" s="7">
        <v>1.0</v>
      </c>
      <c r="I1298" s="15">
        <v>0.43980606454219</v>
      </c>
      <c r="J1298" s="15">
        <v>0.132398617475734</v>
      </c>
      <c r="K1298" s="12">
        <f>AVERAGE(I1297:I1301)</f>
        <v>0.4139458197</v>
      </c>
      <c r="L1298" s="18">
        <v>17985.0</v>
      </c>
      <c r="M1298" s="14">
        <f>STDEV(L1297:L1301)</f>
        <v>35979.41023</v>
      </c>
      <c r="N1298" s="15" t="b">
        <f t="shared" si="1"/>
        <v>0</v>
      </c>
    </row>
    <row r="1299" hidden="1">
      <c r="A1299" s="7" t="s">
        <v>266</v>
      </c>
      <c r="B1299" s="7" t="s">
        <v>17</v>
      </c>
      <c r="C1299" s="7">
        <v>1.0</v>
      </c>
      <c r="D1299" s="7">
        <v>1.0</v>
      </c>
      <c r="E1299" s="7">
        <v>10.0</v>
      </c>
      <c r="F1299" s="7">
        <v>371.709399223327</v>
      </c>
      <c r="G1299" s="7">
        <v>568.431106090545</v>
      </c>
      <c r="H1299" s="7">
        <v>2.0</v>
      </c>
      <c r="I1299" s="15">
        <v>0.299721033195179</v>
      </c>
      <c r="J1299" s="15">
        <v>0.103789640885098</v>
      </c>
      <c r="K1299" s="12">
        <f>AVERAGE(I1297:I1301)</f>
        <v>0.4139458197</v>
      </c>
      <c r="L1299" s="18">
        <v>25929.0</v>
      </c>
      <c r="M1299" s="14">
        <f>STDEV(L1297:L1301)</f>
        <v>35979.41023</v>
      </c>
      <c r="N1299" s="15" t="b">
        <f t="shared" si="1"/>
        <v>0</v>
      </c>
    </row>
    <row r="1300" hidden="1">
      <c r="A1300" s="7" t="s">
        <v>266</v>
      </c>
      <c r="B1300" s="7" t="s">
        <v>17</v>
      </c>
      <c r="C1300" s="7">
        <v>1.0</v>
      </c>
      <c r="D1300" s="7">
        <v>1.0</v>
      </c>
      <c r="E1300" s="7">
        <v>10.0</v>
      </c>
      <c r="F1300" s="7">
        <v>371.709399223327</v>
      </c>
      <c r="G1300" s="7">
        <v>568.431106090545</v>
      </c>
      <c r="H1300" s="7">
        <v>3.0</v>
      </c>
      <c r="I1300" s="15">
        <v>0.898561109944779</v>
      </c>
      <c r="J1300" s="15">
        <v>0.117103368272182</v>
      </c>
      <c r="K1300" s="12">
        <f>AVERAGE(I1297:I1301)</f>
        <v>0.4139458197</v>
      </c>
      <c r="L1300" s="18">
        <v>1956.0</v>
      </c>
      <c r="M1300" s="14">
        <f>STDEV(L1297:L1301)</f>
        <v>35979.41023</v>
      </c>
      <c r="N1300" s="15" t="b">
        <f t="shared" si="1"/>
        <v>0</v>
      </c>
    </row>
    <row r="1301" hidden="1">
      <c r="A1301" s="7" t="s">
        <v>266</v>
      </c>
      <c r="B1301" s="7" t="s">
        <v>17</v>
      </c>
      <c r="C1301" s="7">
        <v>1.0</v>
      </c>
      <c r="D1301" s="7">
        <v>1.0</v>
      </c>
      <c r="E1301" s="7">
        <v>10.0</v>
      </c>
      <c r="F1301" s="7">
        <v>371.709399223327</v>
      </c>
      <c r="G1301" s="7">
        <v>568.431106090545</v>
      </c>
      <c r="H1301" s="7">
        <v>4.0</v>
      </c>
      <c r="I1301" s="15">
        <v>-0.061260193305198</v>
      </c>
      <c r="J1301" s="15">
        <v>0.176080569300929</v>
      </c>
      <c r="K1301" s="12">
        <f>AVERAGE(I1297:I1301)</f>
        <v>0.4139458197</v>
      </c>
      <c r="L1301" s="18">
        <v>90350.0</v>
      </c>
      <c r="M1301" s="14">
        <f>STDEV(L1297:L1301)</f>
        <v>35979.41023</v>
      </c>
      <c r="N1301" s="15" t="b">
        <f t="shared" si="1"/>
        <v>0</v>
      </c>
    </row>
    <row r="1302" hidden="1">
      <c r="A1302" s="7" t="s">
        <v>267</v>
      </c>
      <c r="B1302" s="7" t="s">
        <v>268</v>
      </c>
      <c r="C1302" s="7">
        <v>0.1</v>
      </c>
      <c r="D1302" s="7">
        <v>0.1</v>
      </c>
      <c r="E1302" s="7">
        <v>1.0</v>
      </c>
      <c r="F1302" s="7">
        <v>152.326256990432</v>
      </c>
      <c r="G1302" s="7">
        <v>397.304580211639</v>
      </c>
      <c r="H1302" s="7">
        <v>0.0</v>
      </c>
      <c r="I1302" s="15">
        <v>0.718481002801356</v>
      </c>
      <c r="J1302" s="15">
        <v>0.144841122161294</v>
      </c>
      <c r="K1302" s="12">
        <f>AVERAGE(I1302:I1306)</f>
        <v>0.5904878773</v>
      </c>
      <c r="L1302" s="18">
        <v>13563.0</v>
      </c>
      <c r="M1302" s="14">
        <f>STDEV(L1302:L1306)</f>
        <v>35931.84418</v>
      </c>
      <c r="N1302" s="15" t="b">
        <f t="shared" si="1"/>
        <v>0</v>
      </c>
    </row>
    <row r="1303" hidden="1">
      <c r="A1303" s="7" t="s">
        <v>267</v>
      </c>
      <c r="B1303" s="7" t="s">
        <v>268</v>
      </c>
      <c r="C1303" s="7">
        <v>0.1</v>
      </c>
      <c r="D1303" s="7">
        <v>0.1</v>
      </c>
      <c r="E1303" s="7">
        <v>1.0</v>
      </c>
      <c r="F1303" s="7">
        <v>152.326256990432</v>
      </c>
      <c r="G1303" s="7">
        <v>397.304580211639</v>
      </c>
      <c r="H1303" s="7">
        <v>1.0</v>
      </c>
      <c r="I1303" s="15">
        <v>0.809039765155728</v>
      </c>
      <c r="J1303" s="15">
        <v>0.114117079370171</v>
      </c>
      <c r="K1303" s="12">
        <f>AVERAGE(I1302:I1306)</f>
        <v>0.5904878773</v>
      </c>
      <c r="L1303" s="18">
        <v>5685.0</v>
      </c>
      <c r="M1303" s="14">
        <f>STDEV(L1302:L1306)</f>
        <v>35931.84418</v>
      </c>
      <c r="N1303" s="15" t="b">
        <f t="shared" si="1"/>
        <v>0</v>
      </c>
    </row>
    <row r="1304" hidden="1">
      <c r="A1304" s="7" t="s">
        <v>267</v>
      </c>
      <c r="B1304" s="7" t="s">
        <v>268</v>
      </c>
      <c r="C1304" s="7">
        <v>0.1</v>
      </c>
      <c r="D1304" s="7">
        <v>0.1</v>
      </c>
      <c r="E1304" s="7">
        <v>1.0</v>
      </c>
      <c r="F1304" s="7">
        <v>152.326256990432</v>
      </c>
      <c r="G1304" s="7">
        <v>397.304580211639</v>
      </c>
      <c r="H1304" s="7">
        <v>2.0</v>
      </c>
      <c r="I1304" s="15">
        <v>0.389315289540655</v>
      </c>
      <c r="J1304" s="15">
        <v>0.0627683536629373</v>
      </c>
      <c r="K1304" s="12">
        <f>AVERAGE(I1302:I1306)</f>
        <v>0.5904878773</v>
      </c>
      <c r="L1304" s="18">
        <v>34069.0</v>
      </c>
      <c r="M1304" s="14">
        <f>STDEV(L1302:L1306)</f>
        <v>35931.84418</v>
      </c>
      <c r="N1304" s="15" t="b">
        <f t="shared" si="1"/>
        <v>0</v>
      </c>
    </row>
    <row r="1305" hidden="1">
      <c r="A1305" s="7" t="s">
        <v>267</v>
      </c>
      <c r="B1305" s="7" t="s">
        <v>268</v>
      </c>
      <c r="C1305" s="7">
        <v>0.1</v>
      </c>
      <c r="D1305" s="7">
        <v>0.1</v>
      </c>
      <c r="E1305" s="7">
        <v>1.0</v>
      </c>
      <c r="F1305" s="7">
        <v>152.326256990432</v>
      </c>
      <c r="G1305" s="7">
        <v>397.304580211639</v>
      </c>
      <c r="H1305" s="7">
        <v>3.0</v>
      </c>
      <c r="I1305" s="15">
        <v>0.984393049726752</v>
      </c>
      <c r="J1305" s="15">
        <v>0.015266941201576</v>
      </c>
      <c r="K1305" s="12">
        <f>AVERAGE(I1302:I1306)</f>
        <v>0.5904878773</v>
      </c>
      <c r="L1305" s="18">
        <v>31.0</v>
      </c>
      <c r="M1305" s="14">
        <f>STDEV(L1302:L1306)</f>
        <v>35931.84418</v>
      </c>
      <c r="N1305" s="15" t="b">
        <f t="shared" si="1"/>
        <v>0</v>
      </c>
    </row>
    <row r="1306" hidden="1">
      <c r="A1306" s="7" t="s">
        <v>267</v>
      </c>
      <c r="B1306" s="7" t="s">
        <v>268</v>
      </c>
      <c r="C1306" s="7">
        <v>0.1</v>
      </c>
      <c r="D1306" s="7">
        <v>0.1</v>
      </c>
      <c r="E1306" s="7">
        <v>1.0</v>
      </c>
      <c r="F1306" s="7">
        <v>152.326256990432</v>
      </c>
      <c r="G1306" s="7">
        <v>397.304580211639</v>
      </c>
      <c r="H1306" s="7">
        <v>4.0</v>
      </c>
      <c r="I1306" s="15">
        <v>0.05121027948309</v>
      </c>
      <c r="J1306" s="15">
        <v>0.0499850991462134</v>
      </c>
      <c r="K1306" s="12">
        <f>AVERAGE(I1302:I1306)</f>
        <v>0.5904878773</v>
      </c>
      <c r="L1306" s="18">
        <v>88328.0</v>
      </c>
      <c r="M1306" s="14">
        <f>STDEV(L1302:L1306)</f>
        <v>35931.84418</v>
      </c>
      <c r="N1306" s="15" t="b">
        <f t="shared" si="1"/>
        <v>0</v>
      </c>
    </row>
    <row r="1307" hidden="1">
      <c r="A1307" s="7" t="s">
        <v>269</v>
      </c>
      <c r="B1307" s="7" t="s">
        <v>268</v>
      </c>
      <c r="C1307" s="7">
        <v>0.1</v>
      </c>
      <c r="D1307" s="7">
        <v>0.1</v>
      </c>
      <c r="E1307" s="7">
        <v>2.0</v>
      </c>
      <c r="F1307" s="7">
        <v>145.271872282028</v>
      </c>
      <c r="G1307" s="7">
        <v>355.35575556755</v>
      </c>
      <c r="H1307" s="7">
        <v>0.0</v>
      </c>
      <c r="I1307" s="15">
        <v>0.772994101317923</v>
      </c>
      <c r="J1307" s="15">
        <v>0.139905904259702</v>
      </c>
      <c r="K1307" s="12">
        <f>AVERAGE(I1307:I1311)</f>
        <v>0.5355324428</v>
      </c>
      <c r="L1307" s="18">
        <v>1767.0</v>
      </c>
      <c r="M1307" s="14">
        <f>STDEV(L1307:L1311)</f>
        <v>51353.39409</v>
      </c>
      <c r="N1307" s="15" t="b">
        <f t="shared" si="1"/>
        <v>0</v>
      </c>
    </row>
    <row r="1308" hidden="1">
      <c r="A1308" s="7" t="s">
        <v>269</v>
      </c>
      <c r="B1308" s="7" t="s">
        <v>268</v>
      </c>
      <c r="C1308" s="7">
        <v>0.1</v>
      </c>
      <c r="D1308" s="7">
        <v>0.1</v>
      </c>
      <c r="E1308" s="7">
        <v>2.0</v>
      </c>
      <c r="F1308" s="7">
        <v>145.271872282028</v>
      </c>
      <c r="G1308" s="7">
        <v>355.35575556755</v>
      </c>
      <c r="H1308" s="7">
        <v>1.0</v>
      </c>
      <c r="I1308" s="15">
        <v>0.85544041141155</v>
      </c>
      <c r="J1308" s="15">
        <v>0.0583429487147734</v>
      </c>
      <c r="K1308" s="12">
        <f>AVERAGE(I1307:I1311)</f>
        <v>0.5355324428</v>
      </c>
      <c r="L1308" s="18">
        <v>6873.0</v>
      </c>
      <c r="M1308" s="14">
        <f>STDEV(L1307:L1311)</f>
        <v>51353.39409</v>
      </c>
      <c r="N1308" s="15" t="b">
        <f t="shared" si="1"/>
        <v>0</v>
      </c>
    </row>
    <row r="1309" hidden="1">
      <c r="A1309" s="7" t="s">
        <v>269</v>
      </c>
      <c r="B1309" s="7" t="s">
        <v>268</v>
      </c>
      <c r="C1309" s="7">
        <v>0.1</v>
      </c>
      <c r="D1309" s="7">
        <v>0.1</v>
      </c>
      <c r="E1309" s="7">
        <v>2.0</v>
      </c>
      <c r="F1309" s="7">
        <v>145.271872282028</v>
      </c>
      <c r="G1309" s="7">
        <v>355.35575556755</v>
      </c>
      <c r="H1309" s="7">
        <v>2.0</v>
      </c>
      <c r="I1309" s="15">
        <v>0.105342577978474</v>
      </c>
      <c r="J1309" s="15">
        <v>0.0698592818578291</v>
      </c>
      <c r="K1309" s="12">
        <f>AVERAGE(I1307:I1311)</f>
        <v>0.5355324428</v>
      </c>
      <c r="L1309" s="18">
        <v>10677.0</v>
      </c>
      <c r="M1309" s="14">
        <f>STDEV(L1307:L1311)</f>
        <v>51353.39409</v>
      </c>
      <c r="N1309" s="15" t="b">
        <f t="shared" si="1"/>
        <v>0</v>
      </c>
    </row>
    <row r="1310" hidden="1">
      <c r="A1310" s="7" t="s">
        <v>269</v>
      </c>
      <c r="B1310" s="7" t="s">
        <v>268</v>
      </c>
      <c r="C1310" s="7">
        <v>0.1</v>
      </c>
      <c r="D1310" s="7">
        <v>0.1</v>
      </c>
      <c r="E1310" s="7">
        <v>2.0</v>
      </c>
      <c r="F1310" s="7">
        <v>145.271872282028</v>
      </c>
      <c r="G1310" s="7">
        <v>355.35575556755</v>
      </c>
      <c r="H1310" s="7">
        <v>3.0</v>
      </c>
      <c r="I1310" s="15">
        <v>0.0642826011360915</v>
      </c>
      <c r="J1310" s="15">
        <v>0.0967518341349444</v>
      </c>
      <c r="K1310" s="12">
        <f>AVERAGE(I1307:I1311)</f>
        <v>0.5355324428</v>
      </c>
      <c r="L1310" s="18">
        <v>119971.0</v>
      </c>
      <c r="M1310" s="14">
        <f>STDEV(L1307:L1311)</f>
        <v>51353.39409</v>
      </c>
      <c r="N1310" s="15" t="b">
        <f t="shared" si="1"/>
        <v>0</v>
      </c>
    </row>
    <row r="1311" hidden="1">
      <c r="A1311" s="7" t="s">
        <v>269</v>
      </c>
      <c r="B1311" s="7" t="s">
        <v>268</v>
      </c>
      <c r="C1311" s="7">
        <v>0.1</v>
      </c>
      <c r="D1311" s="7">
        <v>0.1</v>
      </c>
      <c r="E1311" s="7">
        <v>2.0</v>
      </c>
      <c r="F1311" s="7">
        <v>145.271872282028</v>
      </c>
      <c r="G1311" s="7">
        <v>355.35575556755</v>
      </c>
      <c r="H1311" s="7">
        <v>4.0</v>
      </c>
      <c r="I1311" s="15">
        <v>0.879602522018356</v>
      </c>
      <c r="J1311" s="15">
        <v>0.129615320798071</v>
      </c>
      <c r="K1311" s="12">
        <f>AVERAGE(I1307:I1311)</f>
        <v>0.5355324428</v>
      </c>
      <c r="L1311" s="18">
        <v>2388.0</v>
      </c>
      <c r="M1311" s="14">
        <f>STDEV(L1307:L1311)</f>
        <v>51353.39409</v>
      </c>
      <c r="N1311" s="15" t="b">
        <f t="shared" si="1"/>
        <v>0</v>
      </c>
    </row>
    <row r="1312" hidden="1">
      <c r="A1312" s="7" t="s">
        <v>270</v>
      </c>
      <c r="B1312" s="7" t="s">
        <v>268</v>
      </c>
      <c r="C1312" s="7">
        <v>0.1</v>
      </c>
      <c r="D1312" s="7">
        <v>0.1</v>
      </c>
      <c r="E1312" s="7">
        <v>3.0</v>
      </c>
      <c r="F1312" s="7">
        <v>528.75382900238</v>
      </c>
      <c r="G1312" s="7">
        <v>639.038811445236</v>
      </c>
      <c r="H1312" s="7">
        <v>0.0</v>
      </c>
      <c r="I1312" s="15">
        <v>0.825990757551239</v>
      </c>
      <c r="J1312" s="15">
        <v>0.111938993225349</v>
      </c>
      <c r="K1312" s="12">
        <f>AVERAGE(I1312:I1316)</f>
        <v>0.4522557762</v>
      </c>
      <c r="L1312" s="18">
        <v>7447.0</v>
      </c>
      <c r="M1312" s="14">
        <f>STDEV(L1312:L1316)</f>
        <v>43309.70192</v>
      </c>
      <c r="N1312" s="15" t="b">
        <f t="shared" si="1"/>
        <v>0</v>
      </c>
    </row>
    <row r="1313" hidden="1">
      <c r="A1313" s="7" t="s">
        <v>270</v>
      </c>
      <c r="B1313" s="7" t="s">
        <v>268</v>
      </c>
      <c r="C1313" s="7">
        <v>0.1</v>
      </c>
      <c r="D1313" s="7">
        <v>0.1</v>
      </c>
      <c r="E1313" s="7">
        <v>3.0</v>
      </c>
      <c r="F1313" s="7">
        <v>528.75382900238</v>
      </c>
      <c r="G1313" s="7">
        <v>639.038811445236</v>
      </c>
      <c r="H1313" s="7">
        <v>1.0</v>
      </c>
      <c r="I1313" s="15">
        <v>0.0827168153171706</v>
      </c>
      <c r="J1313" s="15">
        <v>0.0469217589965803</v>
      </c>
      <c r="K1313" s="12">
        <f>AVERAGE(I1312:I1316)</f>
        <v>0.4522557762</v>
      </c>
      <c r="L1313" s="18">
        <v>105744.0</v>
      </c>
      <c r="M1313" s="14">
        <f>STDEV(L1312:L1316)</f>
        <v>43309.70192</v>
      </c>
      <c r="N1313" s="15" t="b">
        <f t="shared" si="1"/>
        <v>0</v>
      </c>
    </row>
    <row r="1314" hidden="1">
      <c r="A1314" s="7" t="s">
        <v>270</v>
      </c>
      <c r="B1314" s="7" t="s">
        <v>268</v>
      </c>
      <c r="C1314" s="7">
        <v>0.1</v>
      </c>
      <c r="D1314" s="7">
        <v>0.1</v>
      </c>
      <c r="E1314" s="7">
        <v>3.0</v>
      </c>
      <c r="F1314" s="7">
        <v>528.75382900238</v>
      </c>
      <c r="G1314" s="7">
        <v>639.038811445236</v>
      </c>
      <c r="H1314" s="7">
        <v>2.0</v>
      </c>
      <c r="I1314" s="15">
        <v>0.429269550004232</v>
      </c>
      <c r="J1314" s="15">
        <v>0.146052265399963</v>
      </c>
      <c r="K1314" s="12">
        <f>AVERAGE(I1312:I1316)</f>
        <v>0.4522557762</v>
      </c>
      <c r="L1314" s="18">
        <v>11903.0</v>
      </c>
      <c r="M1314" s="14">
        <f>STDEV(L1312:L1316)</f>
        <v>43309.70192</v>
      </c>
      <c r="N1314" s="15" t="b">
        <f t="shared" si="1"/>
        <v>0</v>
      </c>
    </row>
    <row r="1315" hidden="1">
      <c r="A1315" s="7" t="s">
        <v>270</v>
      </c>
      <c r="B1315" s="7" t="s">
        <v>268</v>
      </c>
      <c r="C1315" s="7">
        <v>0.1</v>
      </c>
      <c r="D1315" s="7">
        <v>0.1</v>
      </c>
      <c r="E1315" s="7">
        <v>3.0</v>
      </c>
      <c r="F1315" s="7">
        <v>528.75382900238</v>
      </c>
      <c r="G1315" s="7">
        <v>639.038811445236</v>
      </c>
      <c r="H1315" s="7">
        <v>3.0</v>
      </c>
      <c r="I1315" s="15">
        <v>0.749637402471435</v>
      </c>
      <c r="J1315" s="15">
        <v>0.142287588054325</v>
      </c>
      <c r="K1315" s="12">
        <f>AVERAGE(I1312:I1316)</f>
        <v>0.4522557762</v>
      </c>
      <c r="L1315" s="18">
        <v>7611.0</v>
      </c>
      <c r="M1315" s="14">
        <f>STDEV(L1312:L1316)</f>
        <v>43309.70192</v>
      </c>
      <c r="N1315" s="15" t="b">
        <f t="shared" si="1"/>
        <v>0</v>
      </c>
    </row>
    <row r="1316" hidden="1">
      <c r="A1316" s="7" t="s">
        <v>270</v>
      </c>
      <c r="B1316" s="7" t="s">
        <v>268</v>
      </c>
      <c r="C1316" s="7">
        <v>0.1</v>
      </c>
      <c r="D1316" s="7">
        <v>0.1</v>
      </c>
      <c r="E1316" s="7">
        <v>3.0</v>
      </c>
      <c r="F1316" s="7">
        <v>528.75382900238</v>
      </c>
      <c r="G1316" s="7">
        <v>639.038811445236</v>
      </c>
      <c r="H1316" s="7">
        <v>4.0</v>
      </c>
      <c r="I1316" s="15">
        <v>0.173664355903362</v>
      </c>
      <c r="J1316" s="15">
        <v>0.143076373833837</v>
      </c>
      <c r="K1316" s="12">
        <f>AVERAGE(I1312:I1316)</f>
        <v>0.4522557762</v>
      </c>
      <c r="L1316" s="18">
        <v>8971.0</v>
      </c>
      <c r="M1316" s="14">
        <f>STDEV(L1312:L1316)</f>
        <v>43309.70192</v>
      </c>
      <c r="N1316" s="15" t="b">
        <f t="shared" si="1"/>
        <v>0</v>
      </c>
    </row>
    <row r="1317" hidden="1">
      <c r="A1317" s="7" t="s">
        <v>271</v>
      </c>
      <c r="B1317" s="7" t="s">
        <v>268</v>
      </c>
      <c r="C1317" s="7">
        <v>0.1</v>
      </c>
      <c r="D1317" s="7">
        <v>0.1</v>
      </c>
      <c r="E1317" s="7">
        <v>4.0</v>
      </c>
      <c r="F1317" s="7">
        <v>135.278363704681</v>
      </c>
      <c r="G1317" s="7">
        <v>257.856883049011</v>
      </c>
      <c r="H1317" s="7">
        <v>0.0</v>
      </c>
      <c r="I1317" s="15">
        <v>0.91315182797376</v>
      </c>
      <c r="J1317" s="15">
        <v>0.0342398591818178</v>
      </c>
      <c r="K1317" s="12">
        <f>AVERAGE(I1317:I1321)</f>
        <v>0.606350518</v>
      </c>
      <c r="L1317" s="18">
        <v>2043.0</v>
      </c>
      <c r="M1317" s="14">
        <f>STDEV(L1317:L1321)</f>
        <v>48944.49865</v>
      </c>
      <c r="N1317" s="15" t="b">
        <f t="shared" si="1"/>
        <v>0</v>
      </c>
    </row>
    <row r="1318" hidden="1">
      <c r="A1318" s="7" t="s">
        <v>271</v>
      </c>
      <c r="B1318" s="7" t="s">
        <v>268</v>
      </c>
      <c r="C1318" s="7">
        <v>0.1</v>
      </c>
      <c r="D1318" s="7">
        <v>0.1</v>
      </c>
      <c r="E1318" s="7">
        <v>4.0</v>
      </c>
      <c r="F1318" s="7">
        <v>135.278363704681</v>
      </c>
      <c r="G1318" s="7">
        <v>257.856883049011</v>
      </c>
      <c r="H1318" s="7">
        <v>1.0</v>
      </c>
      <c r="I1318" s="15">
        <v>0.0814320826643218</v>
      </c>
      <c r="J1318" s="15">
        <v>0.0586570002055228</v>
      </c>
      <c r="K1318" s="12">
        <f>AVERAGE(I1317:I1321)</f>
        <v>0.606350518</v>
      </c>
      <c r="L1318" s="18">
        <v>115692.0</v>
      </c>
      <c r="M1318" s="14">
        <f>STDEV(L1317:L1321)</f>
        <v>48944.49865</v>
      </c>
      <c r="N1318" s="15" t="b">
        <f t="shared" si="1"/>
        <v>0</v>
      </c>
    </row>
    <row r="1319" hidden="1">
      <c r="A1319" s="7" t="s">
        <v>271</v>
      </c>
      <c r="B1319" s="7" t="s">
        <v>268</v>
      </c>
      <c r="C1319" s="7">
        <v>0.1</v>
      </c>
      <c r="D1319" s="7">
        <v>0.1</v>
      </c>
      <c r="E1319" s="7">
        <v>4.0</v>
      </c>
      <c r="F1319" s="7">
        <v>135.278363704681</v>
      </c>
      <c r="G1319" s="7">
        <v>257.856883049011</v>
      </c>
      <c r="H1319" s="7">
        <v>2.0</v>
      </c>
      <c r="I1319" s="15">
        <v>0.831291314823059</v>
      </c>
      <c r="J1319" s="15">
        <v>0.0925044021278073</v>
      </c>
      <c r="K1319" s="12">
        <f>AVERAGE(I1317:I1321)</f>
        <v>0.606350518</v>
      </c>
      <c r="L1319" s="18">
        <v>6987.0</v>
      </c>
      <c r="M1319" s="14">
        <f>STDEV(L1317:L1321)</f>
        <v>48944.49865</v>
      </c>
      <c r="N1319" s="15" t="b">
        <f t="shared" si="1"/>
        <v>0</v>
      </c>
    </row>
    <row r="1320" hidden="1">
      <c r="A1320" s="7" t="s">
        <v>271</v>
      </c>
      <c r="B1320" s="7" t="s">
        <v>268</v>
      </c>
      <c r="C1320" s="7">
        <v>0.1</v>
      </c>
      <c r="D1320" s="7">
        <v>0.1</v>
      </c>
      <c r="E1320" s="7">
        <v>4.0</v>
      </c>
      <c r="F1320" s="7">
        <v>135.278363704681</v>
      </c>
      <c r="G1320" s="7">
        <v>257.856883049011</v>
      </c>
      <c r="H1320" s="7">
        <v>3.0</v>
      </c>
      <c r="I1320" s="15">
        <v>0.398557875410423</v>
      </c>
      <c r="J1320" s="15">
        <v>0.12721624475895</v>
      </c>
      <c r="K1320" s="12">
        <f>AVERAGE(I1317:I1321)</f>
        <v>0.606350518</v>
      </c>
      <c r="L1320" s="18">
        <v>11245.0</v>
      </c>
      <c r="M1320" s="14">
        <f>STDEV(L1317:L1321)</f>
        <v>48944.49865</v>
      </c>
      <c r="N1320" s="15" t="b">
        <f t="shared" si="1"/>
        <v>0</v>
      </c>
    </row>
    <row r="1321" hidden="1">
      <c r="A1321" s="7" t="s">
        <v>271</v>
      </c>
      <c r="B1321" s="7" t="s">
        <v>268</v>
      </c>
      <c r="C1321" s="7">
        <v>0.1</v>
      </c>
      <c r="D1321" s="7">
        <v>0.1</v>
      </c>
      <c r="E1321" s="7">
        <v>4.0</v>
      </c>
      <c r="F1321" s="7">
        <v>135.278363704681</v>
      </c>
      <c r="G1321" s="7">
        <v>257.856883049011</v>
      </c>
      <c r="H1321" s="7">
        <v>4.0</v>
      </c>
      <c r="I1321" s="15">
        <v>0.807319489258816</v>
      </c>
      <c r="J1321" s="15">
        <v>0.117429613422229</v>
      </c>
      <c r="K1321" s="12">
        <f>AVERAGE(I1317:I1321)</f>
        <v>0.606350518</v>
      </c>
      <c r="L1321" s="18">
        <v>5709.0</v>
      </c>
      <c r="M1321" s="14">
        <f>STDEV(L1317:L1321)</f>
        <v>48944.49865</v>
      </c>
      <c r="N1321" s="15" t="b">
        <f t="shared" si="1"/>
        <v>0</v>
      </c>
    </row>
    <row r="1322" hidden="1">
      <c r="A1322" s="7" t="s">
        <v>272</v>
      </c>
      <c r="B1322" s="7" t="s">
        <v>268</v>
      </c>
      <c r="C1322" s="7">
        <v>0.1</v>
      </c>
      <c r="D1322" s="7">
        <v>0.1</v>
      </c>
      <c r="E1322" s="7">
        <v>5.0</v>
      </c>
      <c r="F1322" s="7">
        <v>125.539006471633</v>
      </c>
      <c r="G1322" s="7">
        <v>366.48908495903</v>
      </c>
      <c r="H1322" s="7">
        <v>0.0</v>
      </c>
      <c r="I1322" s="15">
        <v>0.0605742293150929</v>
      </c>
      <c r="J1322" s="15">
        <v>0.0765462376602942</v>
      </c>
      <c r="K1322" s="12">
        <f>AVERAGE(I1322:I1326)</f>
        <v>0.3528402028</v>
      </c>
      <c r="L1322" s="18">
        <v>48547.0</v>
      </c>
      <c r="M1322" s="14">
        <f>STDEV(L1322:L1326)</f>
        <v>13802.75625</v>
      </c>
      <c r="N1322" s="15" t="b">
        <f t="shared" si="1"/>
        <v>0</v>
      </c>
    </row>
    <row r="1323" hidden="1">
      <c r="A1323" s="7" t="s">
        <v>272</v>
      </c>
      <c r="B1323" s="7" t="s">
        <v>268</v>
      </c>
      <c r="C1323" s="7">
        <v>0.1</v>
      </c>
      <c r="D1323" s="7">
        <v>0.1</v>
      </c>
      <c r="E1323" s="7">
        <v>5.0</v>
      </c>
      <c r="F1323" s="7">
        <v>125.539006471633</v>
      </c>
      <c r="G1323" s="7">
        <v>366.48908495903</v>
      </c>
      <c r="H1323" s="7">
        <v>1.0</v>
      </c>
      <c r="I1323" s="15">
        <v>0.771437827701225</v>
      </c>
      <c r="J1323" s="15">
        <v>0.120197621203368</v>
      </c>
      <c r="K1323" s="12">
        <f>AVERAGE(I1322:I1326)</f>
        <v>0.3528402028</v>
      </c>
      <c r="L1323" s="18">
        <v>15663.0</v>
      </c>
      <c r="M1323" s="14">
        <f>STDEV(L1322:L1326)</f>
        <v>13802.75625</v>
      </c>
      <c r="N1323" s="15" t="b">
        <f t="shared" si="1"/>
        <v>0</v>
      </c>
    </row>
    <row r="1324" hidden="1">
      <c r="A1324" s="7" t="s">
        <v>272</v>
      </c>
      <c r="B1324" s="7" t="s">
        <v>268</v>
      </c>
      <c r="C1324" s="7">
        <v>0.1</v>
      </c>
      <c r="D1324" s="7">
        <v>0.1</v>
      </c>
      <c r="E1324" s="7">
        <v>5.0</v>
      </c>
      <c r="F1324" s="7">
        <v>125.539006471633</v>
      </c>
      <c r="G1324" s="7">
        <v>366.48908495903</v>
      </c>
      <c r="H1324" s="7">
        <v>2.0</v>
      </c>
      <c r="I1324" s="15">
        <v>0.263730779194149</v>
      </c>
      <c r="J1324" s="15">
        <v>0.0886689766829485</v>
      </c>
      <c r="K1324" s="12">
        <f>AVERAGE(I1322:I1326)</f>
        <v>0.3528402028</v>
      </c>
      <c r="L1324" s="18">
        <v>15671.0</v>
      </c>
      <c r="M1324" s="14">
        <f>STDEV(L1322:L1326)</f>
        <v>13802.75625</v>
      </c>
      <c r="N1324" s="15" t="b">
        <f t="shared" si="1"/>
        <v>0</v>
      </c>
    </row>
    <row r="1325" hidden="1">
      <c r="A1325" s="7" t="s">
        <v>272</v>
      </c>
      <c r="B1325" s="7" t="s">
        <v>268</v>
      </c>
      <c r="C1325" s="7">
        <v>0.1</v>
      </c>
      <c r="D1325" s="7">
        <v>0.1</v>
      </c>
      <c r="E1325" s="7">
        <v>5.0</v>
      </c>
      <c r="F1325" s="7">
        <v>125.539006471633</v>
      </c>
      <c r="G1325" s="7">
        <v>366.48908495903</v>
      </c>
      <c r="H1325" s="7">
        <v>3.0</v>
      </c>
      <c r="I1325" s="15">
        <v>0.391473125251986</v>
      </c>
      <c r="J1325" s="15">
        <v>0.0611452764397643</v>
      </c>
      <c r="K1325" s="12">
        <f>AVERAGE(I1322:I1326)</f>
        <v>0.3528402028</v>
      </c>
      <c r="L1325" s="18">
        <v>34016.0</v>
      </c>
      <c r="M1325" s="14">
        <f>STDEV(L1322:L1326)</f>
        <v>13802.75625</v>
      </c>
      <c r="N1325" s="15" t="b">
        <f t="shared" si="1"/>
        <v>0</v>
      </c>
    </row>
    <row r="1326" hidden="1">
      <c r="A1326" s="7" t="s">
        <v>272</v>
      </c>
      <c r="B1326" s="7" t="s">
        <v>268</v>
      </c>
      <c r="C1326" s="7">
        <v>0.1</v>
      </c>
      <c r="D1326" s="7">
        <v>0.1</v>
      </c>
      <c r="E1326" s="7">
        <v>5.0</v>
      </c>
      <c r="F1326" s="7">
        <v>125.539006471633</v>
      </c>
      <c r="G1326" s="7">
        <v>366.48908495903</v>
      </c>
      <c r="H1326" s="7">
        <v>4.0</v>
      </c>
      <c r="I1326" s="15">
        <v>0.27698505277261</v>
      </c>
      <c r="J1326" s="15">
        <v>0.110408948976918</v>
      </c>
      <c r="K1326" s="12">
        <f>AVERAGE(I1322:I1326)</f>
        <v>0.3528402028</v>
      </c>
      <c r="L1326" s="18">
        <v>27779.0</v>
      </c>
      <c r="M1326" s="14">
        <f>STDEV(L1322:L1326)</f>
        <v>13802.75625</v>
      </c>
      <c r="N1326" s="15" t="b">
        <f t="shared" si="1"/>
        <v>0</v>
      </c>
    </row>
    <row r="1327" hidden="1">
      <c r="A1327" s="7" t="s">
        <v>273</v>
      </c>
      <c r="B1327" s="7" t="s">
        <v>268</v>
      </c>
      <c r="C1327" s="7">
        <v>0.1</v>
      </c>
      <c r="D1327" s="7">
        <v>0.1</v>
      </c>
      <c r="E1327" s="7">
        <v>6.0</v>
      </c>
      <c r="F1327" s="7">
        <v>177.63978600502</v>
      </c>
      <c r="G1327" s="7">
        <v>370.870884180068</v>
      </c>
      <c r="H1327" s="7">
        <v>0.0</v>
      </c>
      <c r="I1327" s="15">
        <v>0.0571179646494982</v>
      </c>
      <c r="J1327" s="15">
        <v>0.0748199715148913</v>
      </c>
      <c r="K1327" s="12">
        <f>AVERAGE(I1327:I1331)</f>
        <v>0.6483797093</v>
      </c>
      <c r="L1327" s="18">
        <v>96373.0</v>
      </c>
      <c r="M1327" s="14">
        <f>STDEV(L1327:L1331)</f>
        <v>38286.87999</v>
      </c>
      <c r="N1327" s="15" t="b">
        <f t="shared" si="1"/>
        <v>0</v>
      </c>
    </row>
    <row r="1328" hidden="1">
      <c r="A1328" s="7" t="s">
        <v>273</v>
      </c>
      <c r="B1328" s="7" t="s">
        <v>268</v>
      </c>
      <c r="C1328" s="7">
        <v>0.1</v>
      </c>
      <c r="D1328" s="7">
        <v>0.1</v>
      </c>
      <c r="E1328" s="7">
        <v>6.0</v>
      </c>
      <c r="F1328" s="7">
        <v>177.63978600502</v>
      </c>
      <c r="G1328" s="7">
        <v>370.870884180068</v>
      </c>
      <c r="H1328" s="7">
        <v>1.0</v>
      </c>
      <c r="I1328" s="15">
        <v>0.822206873525544</v>
      </c>
      <c r="J1328" s="15">
        <v>0.100773971483246</v>
      </c>
      <c r="K1328" s="12">
        <f>AVERAGE(I1327:I1331)</f>
        <v>0.6483797093</v>
      </c>
      <c r="L1328" s="18">
        <v>6463.0</v>
      </c>
      <c r="M1328" s="14">
        <f>STDEV(L1327:L1331)</f>
        <v>38286.87999</v>
      </c>
      <c r="N1328" s="15" t="b">
        <f t="shared" si="1"/>
        <v>0</v>
      </c>
    </row>
    <row r="1329" hidden="1">
      <c r="A1329" s="7" t="s">
        <v>273</v>
      </c>
      <c r="B1329" s="7" t="s">
        <v>268</v>
      </c>
      <c r="C1329" s="7">
        <v>0.1</v>
      </c>
      <c r="D1329" s="7">
        <v>0.1</v>
      </c>
      <c r="E1329" s="7">
        <v>6.0</v>
      </c>
      <c r="F1329" s="7">
        <v>177.63978600502</v>
      </c>
      <c r="G1329" s="7">
        <v>370.870884180068</v>
      </c>
      <c r="H1329" s="7">
        <v>2.0</v>
      </c>
      <c r="I1329" s="15">
        <v>0.769504532537424</v>
      </c>
      <c r="J1329" s="15">
        <v>0.121734997978153</v>
      </c>
      <c r="K1329" s="12">
        <f>AVERAGE(I1327:I1331)</f>
        <v>0.6483797093</v>
      </c>
      <c r="L1329" s="18">
        <v>15714.0</v>
      </c>
      <c r="M1329" s="14">
        <f>STDEV(L1327:L1331)</f>
        <v>38286.87999</v>
      </c>
      <c r="N1329" s="15" t="b">
        <f t="shared" si="1"/>
        <v>0</v>
      </c>
    </row>
    <row r="1330" hidden="1">
      <c r="A1330" s="7" t="s">
        <v>273</v>
      </c>
      <c r="B1330" s="7" t="s">
        <v>268</v>
      </c>
      <c r="C1330" s="7">
        <v>0.1</v>
      </c>
      <c r="D1330" s="7">
        <v>0.1</v>
      </c>
      <c r="E1330" s="7">
        <v>6.0</v>
      </c>
      <c r="F1330" s="7">
        <v>177.63978600502</v>
      </c>
      <c r="G1330" s="7">
        <v>370.870884180068</v>
      </c>
      <c r="H1330" s="7">
        <v>3.0</v>
      </c>
      <c r="I1330" s="15">
        <v>0.763369127777421</v>
      </c>
      <c r="J1330" s="15">
        <v>0.132950302546373</v>
      </c>
      <c r="K1330" s="12">
        <f>AVERAGE(I1327:I1331)</f>
        <v>0.6483797093</v>
      </c>
      <c r="L1330" s="18">
        <v>15692.0</v>
      </c>
      <c r="M1330" s="14">
        <f>STDEV(L1327:L1331)</f>
        <v>38286.87999</v>
      </c>
      <c r="N1330" s="15" t="b">
        <f t="shared" si="1"/>
        <v>0</v>
      </c>
    </row>
    <row r="1331" hidden="1">
      <c r="A1331" s="7" t="s">
        <v>273</v>
      </c>
      <c r="B1331" s="7" t="s">
        <v>268</v>
      </c>
      <c r="C1331" s="7">
        <v>0.1</v>
      </c>
      <c r="D1331" s="7">
        <v>0.1</v>
      </c>
      <c r="E1331" s="7">
        <v>6.0</v>
      </c>
      <c r="F1331" s="7">
        <v>177.63978600502</v>
      </c>
      <c r="G1331" s="7">
        <v>370.870884180068</v>
      </c>
      <c r="H1331" s="7">
        <v>4.0</v>
      </c>
      <c r="I1331" s="15">
        <v>0.829700047908551</v>
      </c>
      <c r="J1331" s="15">
        <v>0.0966258747453107</v>
      </c>
      <c r="K1331" s="12">
        <f>AVERAGE(I1327:I1331)</f>
        <v>0.6483797093</v>
      </c>
      <c r="L1331" s="18">
        <v>7434.0</v>
      </c>
      <c r="M1331" s="14">
        <f>STDEV(L1327:L1331)</f>
        <v>38286.87999</v>
      </c>
      <c r="N1331" s="15" t="b">
        <f t="shared" si="1"/>
        <v>0</v>
      </c>
    </row>
    <row r="1332" hidden="1">
      <c r="A1332" s="7" t="s">
        <v>274</v>
      </c>
      <c r="B1332" s="7" t="s">
        <v>268</v>
      </c>
      <c r="C1332" s="7">
        <v>0.1</v>
      </c>
      <c r="D1332" s="7">
        <v>0.1</v>
      </c>
      <c r="E1332" s="7">
        <v>7.0</v>
      </c>
      <c r="F1332" s="7">
        <v>124.166567325592</v>
      </c>
      <c r="G1332" s="7">
        <v>381.767779827117</v>
      </c>
      <c r="H1332" s="7">
        <v>0.0</v>
      </c>
      <c r="I1332" s="15">
        <v>0.859979443191165</v>
      </c>
      <c r="J1332" s="15">
        <v>0.0979074329893277</v>
      </c>
      <c r="K1332" s="12">
        <f>AVERAGE(I1332:I1336)</f>
        <v>0.5849697255</v>
      </c>
      <c r="L1332" s="18">
        <v>5166.0</v>
      </c>
      <c r="M1332" s="14">
        <f>STDEV(L1332:L1336)</f>
        <v>33111.30923</v>
      </c>
      <c r="N1332" s="15" t="b">
        <f t="shared" si="1"/>
        <v>0</v>
      </c>
    </row>
    <row r="1333" hidden="1">
      <c r="A1333" s="7" t="s">
        <v>274</v>
      </c>
      <c r="B1333" s="7" t="s">
        <v>268</v>
      </c>
      <c r="C1333" s="7">
        <v>0.1</v>
      </c>
      <c r="D1333" s="7">
        <v>0.1</v>
      </c>
      <c r="E1333" s="7">
        <v>7.0</v>
      </c>
      <c r="F1333" s="7">
        <v>124.166567325592</v>
      </c>
      <c r="G1333" s="7">
        <v>381.767779827117</v>
      </c>
      <c r="H1333" s="7">
        <v>1.0</v>
      </c>
      <c r="I1333" s="15">
        <v>0.0619398248724609</v>
      </c>
      <c r="J1333" s="15">
        <v>0.0861083725378371</v>
      </c>
      <c r="K1333" s="12">
        <f>AVERAGE(I1332:I1336)</f>
        <v>0.5849697255</v>
      </c>
      <c r="L1333" s="18">
        <v>85196.0</v>
      </c>
      <c r="M1333" s="14">
        <f>STDEV(L1332:L1336)</f>
        <v>33111.30923</v>
      </c>
      <c r="N1333" s="15" t="b">
        <f t="shared" si="1"/>
        <v>0</v>
      </c>
    </row>
    <row r="1334" hidden="1">
      <c r="A1334" s="7" t="s">
        <v>274</v>
      </c>
      <c r="B1334" s="7" t="s">
        <v>268</v>
      </c>
      <c r="C1334" s="7">
        <v>0.1</v>
      </c>
      <c r="D1334" s="7">
        <v>0.1</v>
      </c>
      <c r="E1334" s="7">
        <v>7.0</v>
      </c>
      <c r="F1334" s="7">
        <v>124.166567325592</v>
      </c>
      <c r="G1334" s="7">
        <v>381.767779827117</v>
      </c>
      <c r="H1334" s="7">
        <v>2.0</v>
      </c>
      <c r="I1334" s="15">
        <v>0.831144672089956</v>
      </c>
      <c r="J1334" s="15">
        <v>0.0915210187361964</v>
      </c>
      <c r="K1334" s="12">
        <f>AVERAGE(I1332:I1336)</f>
        <v>0.5849697255</v>
      </c>
      <c r="L1334" s="18">
        <v>6977.0</v>
      </c>
      <c r="M1334" s="14">
        <f>STDEV(L1332:L1336)</f>
        <v>33111.30923</v>
      </c>
      <c r="N1334" s="15" t="b">
        <f t="shared" si="1"/>
        <v>0</v>
      </c>
    </row>
    <row r="1335" hidden="1">
      <c r="A1335" s="7" t="s">
        <v>274</v>
      </c>
      <c r="B1335" s="7" t="s">
        <v>268</v>
      </c>
      <c r="C1335" s="7">
        <v>0.1</v>
      </c>
      <c r="D1335" s="7">
        <v>0.1</v>
      </c>
      <c r="E1335" s="7">
        <v>7.0</v>
      </c>
      <c r="F1335" s="7">
        <v>124.166567325592</v>
      </c>
      <c r="G1335" s="7">
        <v>381.767779827117</v>
      </c>
      <c r="H1335" s="7">
        <v>3.0</v>
      </c>
      <c r="I1335" s="15">
        <v>0.401574277233003</v>
      </c>
      <c r="J1335" s="15">
        <v>0.104637321513793</v>
      </c>
      <c r="K1335" s="12">
        <f>AVERAGE(I1332:I1336)</f>
        <v>0.5849697255</v>
      </c>
      <c r="L1335" s="18">
        <v>28620.0</v>
      </c>
      <c r="M1335" s="14">
        <f>STDEV(L1332:L1336)</f>
        <v>33111.30923</v>
      </c>
      <c r="N1335" s="15" t="b">
        <f t="shared" si="1"/>
        <v>0</v>
      </c>
    </row>
    <row r="1336" hidden="1">
      <c r="A1336" s="7" t="s">
        <v>274</v>
      </c>
      <c r="B1336" s="7" t="s">
        <v>268</v>
      </c>
      <c r="C1336" s="7">
        <v>0.1</v>
      </c>
      <c r="D1336" s="7">
        <v>0.1</v>
      </c>
      <c r="E1336" s="7">
        <v>7.0</v>
      </c>
      <c r="F1336" s="7">
        <v>124.166567325592</v>
      </c>
      <c r="G1336" s="7">
        <v>381.767779827117</v>
      </c>
      <c r="H1336" s="7">
        <v>4.0</v>
      </c>
      <c r="I1336" s="15">
        <v>0.770210410096756</v>
      </c>
      <c r="J1336" s="15">
        <v>0.12065236588591</v>
      </c>
      <c r="K1336" s="12">
        <f>AVERAGE(I1332:I1336)</f>
        <v>0.5849697255</v>
      </c>
      <c r="L1336" s="18">
        <v>15717.0</v>
      </c>
      <c r="M1336" s="14">
        <f>STDEV(L1332:L1336)</f>
        <v>33111.30923</v>
      </c>
      <c r="N1336" s="15" t="b">
        <f t="shared" si="1"/>
        <v>0</v>
      </c>
    </row>
    <row r="1337" hidden="1">
      <c r="A1337" s="7" t="s">
        <v>275</v>
      </c>
      <c r="B1337" s="7" t="s">
        <v>268</v>
      </c>
      <c r="C1337" s="7">
        <v>0.1</v>
      </c>
      <c r="D1337" s="7">
        <v>0.1</v>
      </c>
      <c r="E1337" s="7">
        <v>8.0</v>
      </c>
      <c r="F1337" s="7">
        <v>150.432349681854</v>
      </c>
      <c r="G1337" s="7">
        <v>446.043233633041</v>
      </c>
      <c r="H1337" s="7">
        <v>0.0</v>
      </c>
      <c r="I1337" s="15">
        <v>0.0917089957168123</v>
      </c>
      <c r="J1337" s="15">
        <v>0.0582964842618292</v>
      </c>
      <c r="K1337" s="12">
        <f>AVERAGE(I1337:I1341)</f>
        <v>0.4560534499</v>
      </c>
      <c r="L1337" s="18">
        <v>87262.0</v>
      </c>
      <c r="M1337" s="14">
        <f>STDEV(L1337:L1341)</f>
        <v>35738.97986</v>
      </c>
      <c r="N1337" s="15" t="b">
        <f t="shared" si="1"/>
        <v>0</v>
      </c>
    </row>
    <row r="1338" hidden="1">
      <c r="A1338" s="7" t="s">
        <v>275</v>
      </c>
      <c r="B1338" s="7" t="s">
        <v>268</v>
      </c>
      <c r="C1338" s="7">
        <v>0.1</v>
      </c>
      <c r="D1338" s="7">
        <v>0.1</v>
      </c>
      <c r="E1338" s="7">
        <v>8.0</v>
      </c>
      <c r="F1338" s="7">
        <v>150.432349681854</v>
      </c>
      <c r="G1338" s="7">
        <v>446.043233633041</v>
      </c>
      <c r="H1338" s="7">
        <v>1.0</v>
      </c>
      <c r="I1338" s="15">
        <v>0.824639443512473</v>
      </c>
      <c r="J1338" s="15">
        <v>0.0958237270774287</v>
      </c>
      <c r="K1338" s="12">
        <f>AVERAGE(I1337:I1341)</f>
        <v>0.4560534499</v>
      </c>
      <c r="L1338" s="18">
        <v>6987.0</v>
      </c>
      <c r="M1338" s="14">
        <f>STDEV(L1337:L1341)</f>
        <v>35738.97986</v>
      </c>
      <c r="N1338" s="15" t="b">
        <f t="shared" si="1"/>
        <v>0</v>
      </c>
    </row>
    <row r="1339" hidden="1">
      <c r="A1339" s="7" t="s">
        <v>275</v>
      </c>
      <c r="B1339" s="7" t="s">
        <v>268</v>
      </c>
      <c r="C1339" s="7">
        <v>0.1</v>
      </c>
      <c r="D1339" s="7">
        <v>0.1</v>
      </c>
      <c r="E1339" s="7">
        <v>8.0</v>
      </c>
      <c r="F1339" s="7">
        <v>150.432349681854</v>
      </c>
      <c r="G1339" s="7">
        <v>446.043233633041</v>
      </c>
      <c r="H1339" s="7">
        <v>2.0</v>
      </c>
      <c r="I1339" s="15">
        <v>0.21603385771699</v>
      </c>
      <c r="J1339" s="15">
        <v>0.0979800256603627</v>
      </c>
      <c r="K1339" s="12">
        <f>AVERAGE(I1337:I1341)</f>
        <v>0.4560534499</v>
      </c>
      <c r="L1339" s="18">
        <v>37546.0</v>
      </c>
      <c r="M1339" s="14">
        <f>STDEV(L1337:L1341)</f>
        <v>35738.97986</v>
      </c>
      <c r="N1339" s="15" t="b">
        <f t="shared" si="1"/>
        <v>0</v>
      </c>
    </row>
    <row r="1340" hidden="1">
      <c r="A1340" s="7" t="s">
        <v>275</v>
      </c>
      <c r="B1340" s="7" t="s">
        <v>268</v>
      </c>
      <c r="C1340" s="7">
        <v>0.1</v>
      </c>
      <c r="D1340" s="7">
        <v>0.1</v>
      </c>
      <c r="E1340" s="7">
        <v>8.0</v>
      </c>
      <c r="F1340" s="7">
        <v>150.432349681854</v>
      </c>
      <c r="G1340" s="7">
        <v>446.043233633041</v>
      </c>
      <c r="H1340" s="7">
        <v>3.0</v>
      </c>
      <c r="I1340" s="15">
        <v>0.811305254992411</v>
      </c>
      <c r="J1340" s="15">
        <v>0.0795686685881201</v>
      </c>
      <c r="K1340" s="12">
        <f>AVERAGE(I1337:I1341)</f>
        <v>0.4560534499</v>
      </c>
      <c r="L1340" s="18">
        <v>4068.0</v>
      </c>
      <c r="M1340" s="14">
        <f>STDEV(L1337:L1341)</f>
        <v>35738.97986</v>
      </c>
      <c r="N1340" s="15" t="b">
        <f t="shared" si="1"/>
        <v>0</v>
      </c>
    </row>
    <row r="1341" hidden="1">
      <c r="A1341" s="7" t="s">
        <v>275</v>
      </c>
      <c r="B1341" s="7" t="s">
        <v>268</v>
      </c>
      <c r="C1341" s="7">
        <v>0.1</v>
      </c>
      <c r="D1341" s="7">
        <v>0.1</v>
      </c>
      <c r="E1341" s="7">
        <v>8.0</v>
      </c>
      <c r="F1341" s="7">
        <v>150.432349681854</v>
      </c>
      <c r="G1341" s="7">
        <v>446.043233633041</v>
      </c>
      <c r="H1341" s="7">
        <v>4.0</v>
      </c>
      <c r="I1341" s="15">
        <v>0.336579697551963</v>
      </c>
      <c r="J1341" s="15">
        <v>0.355599934801988</v>
      </c>
      <c r="K1341" s="12">
        <f>AVERAGE(I1337:I1341)</f>
        <v>0.4560534499</v>
      </c>
      <c r="L1341" s="18">
        <v>5813.0</v>
      </c>
      <c r="M1341" s="14">
        <f>STDEV(L1337:L1341)</f>
        <v>35738.97986</v>
      </c>
      <c r="N1341" s="15" t="b">
        <f t="shared" si="1"/>
        <v>0</v>
      </c>
    </row>
    <row r="1342" hidden="1">
      <c r="A1342" s="7" t="s">
        <v>276</v>
      </c>
      <c r="B1342" s="7" t="s">
        <v>268</v>
      </c>
      <c r="C1342" s="7">
        <v>0.1</v>
      </c>
      <c r="D1342" s="7">
        <v>0.1</v>
      </c>
      <c r="E1342" s="7">
        <v>9.0</v>
      </c>
      <c r="F1342" s="7">
        <v>110.914915561676</v>
      </c>
      <c r="G1342" s="7">
        <v>353.369481563568</v>
      </c>
      <c r="H1342" s="7">
        <v>0.0</v>
      </c>
      <c r="I1342" s="15">
        <v>0.0639205396993567</v>
      </c>
      <c r="J1342" s="15">
        <v>0.0531774063280922</v>
      </c>
      <c r="K1342" s="12">
        <f>AVERAGE(I1342:I1346)</f>
        <v>0.6107018855</v>
      </c>
      <c r="L1342" s="18">
        <v>96581.0</v>
      </c>
      <c r="M1342" s="14">
        <f>STDEV(L1342:L1346)</f>
        <v>38579.03117</v>
      </c>
      <c r="N1342" s="15" t="b">
        <f t="shared" si="1"/>
        <v>0</v>
      </c>
    </row>
    <row r="1343" hidden="1">
      <c r="A1343" s="7" t="s">
        <v>276</v>
      </c>
      <c r="B1343" s="7" t="s">
        <v>268</v>
      </c>
      <c r="C1343" s="7">
        <v>0.1</v>
      </c>
      <c r="D1343" s="7">
        <v>0.1</v>
      </c>
      <c r="E1343" s="7">
        <v>9.0</v>
      </c>
      <c r="F1343" s="7">
        <v>110.914915561676</v>
      </c>
      <c r="G1343" s="7">
        <v>353.369481563568</v>
      </c>
      <c r="H1343" s="7">
        <v>1.0</v>
      </c>
      <c r="I1343" s="15">
        <v>0.825608934051912</v>
      </c>
      <c r="J1343" s="15">
        <v>0.0933820431030063</v>
      </c>
      <c r="K1343" s="12">
        <f>AVERAGE(I1342:I1346)</f>
        <v>0.6107018855</v>
      </c>
      <c r="L1343" s="18">
        <v>4613.0</v>
      </c>
      <c r="M1343" s="14">
        <f>STDEV(L1342:L1346)</f>
        <v>38579.03117</v>
      </c>
      <c r="N1343" s="15" t="b">
        <f t="shared" si="1"/>
        <v>0</v>
      </c>
    </row>
    <row r="1344" hidden="1">
      <c r="A1344" s="7" t="s">
        <v>276</v>
      </c>
      <c r="B1344" s="7" t="s">
        <v>268</v>
      </c>
      <c r="C1344" s="7">
        <v>0.1</v>
      </c>
      <c r="D1344" s="7">
        <v>0.1</v>
      </c>
      <c r="E1344" s="7">
        <v>9.0</v>
      </c>
      <c r="F1344" s="7">
        <v>110.914915561676</v>
      </c>
      <c r="G1344" s="7">
        <v>353.369481563568</v>
      </c>
      <c r="H1344" s="7">
        <v>2.0</v>
      </c>
      <c r="I1344" s="15">
        <v>0.82847699556964</v>
      </c>
      <c r="J1344" s="15">
        <v>0.0976292020811919</v>
      </c>
      <c r="K1344" s="12">
        <f>AVERAGE(I1342:I1346)</f>
        <v>0.6107018855</v>
      </c>
      <c r="L1344" s="18">
        <v>7459.0</v>
      </c>
      <c r="M1344" s="14">
        <f>STDEV(L1342:L1346)</f>
        <v>38579.03117</v>
      </c>
      <c r="N1344" s="15" t="b">
        <f t="shared" si="1"/>
        <v>0</v>
      </c>
    </row>
    <row r="1345" hidden="1">
      <c r="A1345" s="7" t="s">
        <v>276</v>
      </c>
      <c r="B1345" s="7" t="s">
        <v>268</v>
      </c>
      <c r="C1345" s="7">
        <v>0.1</v>
      </c>
      <c r="D1345" s="7">
        <v>0.1</v>
      </c>
      <c r="E1345" s="7">
        <v>9.0</v>
      </c>
      <c r="F1345" s="7">
        <v>110.914915561676</v>
      </c>
      <c r="G1345" s="7">
        <v>353.369481563568</v>
      </c>
      <c r="H1345" s="7">
        <v>3.0</v>
      </c>
      <c r="I1345" s="15">
        <v>0.715940372072002</v>
      </c>
      <c r="J1345" s="15">
        <v>0.150886459784378</v>
      </c>
      <c r="K1345" s="12">
        <f>AVERAGE(I1342:I1346)</f>
        <v>0.6107018855</v>
      </c>
      <c r="L1345" s="18">
        <v>13535.0</v>
      </c>
      <c r="M1345" s="14">
        <f>STDEV(L1342:L1346)</f>
        <v>38579.03117</v>
      </c>
      <c r="N1345" s="15" t="b">
        <f t="shared" si="1"/>
        <v>0</v>
      </c>
    </row>
    <row r="1346" hidden="1">
      <c r="A1346" s="7" t="s">
        <v>276</v>
      </c>
      <c r="B1346" s="7" t="s">
        <v>268</v>
      </c>
      <c r="C1346" s="7">
        <v>0.1</v>
      </c>
      <c r="D1346" s="7">
        <v>0.1</v>
      </c>
      <c r="E1346" s="7">
        <v>9.0</v>
      </c>
      <c r="F1346" s="7">
        <v>110.914915561676</v>
      </c>
      <c r="G1346" s="7">
        <v>353.369481563568</v>
      </c>
      <c r="H1346" s="7">
        <v>4.0</v>
      </c>
      <c r="I1346" s="15">
        <v>0.619562586047798</v>
      </c>
      <c r="J1346" s="15">
        <v>0.239625484029334</v>
      </c>
      <c r="K1346" s="12">
        <f>AVERAGE(I1342:I1346)</f>
        <v>0.6107018855</v>
      </c>
      <c r="L1346" s="18">
        <v>19488.0</v>
      </c>
      <c r="M1346" s="14">
        <f>STDEV(L1342:L1346)</f>
        <v>38579.03117</v>
      </c>
      <c r="N1346" s="15" t="b">
        <f t="shared" si="1"/>
        <v>0</v>
      </c>
    </row>
    <row r="1347" hidden="1">
      <c r="A1347" s="7" t="s">
        <v>277</v>
      </c>
      <c r="B1347" s="7" t="s">
        <v>268</v>
      </c>
      <c r="C1347" s="7">
        <v>0.1</v>
      </c>
      <c r="D1347" s="7">
        <v>0.1</v>
      </c>
      <c r="E1347" s="7">
        <v>10.0</v>
      </c>
      <c r="F1347" s="7">
        <v>129.307094573974</v>
      </c>
      <c r="G1347" s="7">
        <v>396.643463373184</v>
      </c>
      <c r="H1347" s="7">
        <v>0.0</v>
      </c>
      <c r="I1347" s="15">
        <v>0.722570917991482</v>
      </c>
      <c r="J1347" s="15">
        <v>0.141079691097169</v>
      </c>
      <c r="K1347" s="12">
        <f>AVERAGE(I1347:I1351)</f>
        <v>0.5359595262</v>
      </c>
      <c r="L1347" s="18">
        <v>13488.0</v>
      </c>
      <c r="M1347" s="14">
        <f>STDEV(L1347:L1351)</f>
        <v>27339.10837</v>
      </c>
      <c r="N1347" s="15" t="b">
        <f t="shared" si="1"/>
        <v>0</v>
      </c>
    </row>
    <row r="1348" hidden="1">
      <c r="A1348" s="7" t="s">
        <v>277</v>
      </c>
      <c r="B1348" s="7" t="s">
        <v>268</v>
      </c>
      <c r="C1348" s="7">
        <v>0.1</v>
      </c>
      <c r="D1348" s="7">
        <v>0.1</v>
      </c>
      <c r="E1348" s="7">
        <v>10.0</v>
      </c>
      <c r="F1348" s="7">
        <v>129.307094573974</v>
      </c>
      <c r="G1348" s="7">
        <v>396.643463373184</v>
      </c>
      <c r="H1348" s="7">
        <v>1.0</v>
      </c>
      <c r="I1348" s="15">
        <v>0.831595129033699</v>
      </c>
      <c r="J1348" s="15">
        <v>0.0907681083395654</v>
      </c>
      <c r="K1348" s="12">
        <f>AVERAGE(I1347:I1351)</f>
        <v>0.5359595262</v>
      </c>
      <c r="L1348" s="18">
        <v>6963.0</v>
      </c>
      <c r="M1348" s="14">
        <f>STDEV(L1347:L1351)</f>
        <v>27339.10837</v>
      </c>
      <c r="N1348" s="15" t="b">
        <f t="shared" si="1"/>
        <v>0</v>
      </c>
    </row>
    <row r="1349" hidden="1">
      <c r="A1349" s="7" t="s">
        <v>277</v>
      </c>
      <c r="B1349" s="7" t="s">
        <v>268</v>
      </c>
      <c r="C1349" s="7">
        <v>0.1</v>
      </c>
      <c r="D1349" s="7">
        <v>0.1</v>
      </c>
      <c r="E1349" s="7">
        <v>10.0</v>
      </c>
      <c r="F1349" s="7">
        <v>129.307094573974</v>
      </c>
      <c r="G1349" s="7">
        <v>396.643463373184</v>
      </c>
      <c r="H1349" s="7">
        <v>2.0</v>
      </c>
      <c r="I1349" s="15">
        <v>0.821717581506826</v>
      </c>
      <c r="J1349" s="15">
        <v>0.103251495579421</v>
      </c>
      <c r="K1349" s="12">
        <f>AVERAGE(I1347:I1351)</f>
        <v>0.5359595262</v>
      </c>
      <c r="L1349" s="18">
        <v>6463.0</v>
      </c>
      <c r="M1349" s="14">
        <f>STDEV(L1347:L1351)</f>
        <v>27339.10837</v>
      </c>
      <c r="N1349" s="15" t="b">
        <f t="shared" si="1"/>
        <v>0</v>
      </c>
    </row>
    <row r="1350" hidden="1">
      <c r="A1350" s="7" t="s">
        <v>277</v>
      </c>
      <c r="B1350" s="7" t="s">
        <v>268</v>
      </c>
      <c r="C1350" s="7">
        <v>0.1</v>
      </c>
      <c r="D1350" s="7">
        <v>0.1</v>
      </c>
      <c r="E1350" s="7">
        <v>10.0</v>
      </c>
      <c r="F1350" s="7">
        <v>129.307094573974</v>
      </c>
      <c r="G1350" s="7">
        <v>396.643463373184</v>
      </c>
      <c r="H1350" s="7">
        <v>3.0</v>
      </c>
      <c r="I1350" s="15">
        <v>0.0362611130229696</v>
      </c>
      <c r="J1350" s="15">
        <v>0.0625806847988097</v>
      </c>
      <c r="K1350" s="12">
        <f>AVERAGE(I1347:I1351)</f>
        <v>0.5359595262</v>
      </c>
      <c r="L1350" s="18">
        <v>65948.0</v>
      </c>
      <c r="M1350" s="14">
        <f>STDEV(L1347:L1351)</f>
        <v>27339.10837</v>
      </c>
      <c r="N1350" s="15" t="b">
        <f t="shared" si="1"/>
        <v>0</v>
      </c>
    </row>
    <row r="1351" hidden="1">
      <c r="A1351" s="7" t="s">
        <v>277</v>
      </c>
      <c r="B1351" s="7" t="s">
        <v>268</v>
      </c>
      <c r="C1351" s="7">
        <v>0.1</v>
      </c>
      <c r="D1351" s="7">
        <v>0.1</v>
      </c>
      <c r="E1351" s="7">
        <v>10.0</v>
      </c>
      <c r="F1351" s="7">
        <v>129.307094573974</v>
      </c>
      <c r="G1351" s="7">
        <v>396.643463373184</v>
      </c>
      <c r="H1351" s="7">
        <v>4.0</v>
      </c>
      <c r="I1351" s="15">
        <v>0.267652889572655</v>
      </c>
      <c r="J1351" s="15">
        <v>0.0512334973564762</v>
      </c>
      <c r="K1351" s="12">
        <f>AVERAGE(I1347:I1351)</f>
        <v>0.5359595262</v>
      </c>
      <c r="L1351" s="18">
        <v>48814.0</v>
      </c>
      <c r="M1351" s="14">
        <f>STDEV(L1347:L1351)</f>
        <v>27339.10837</v>
      </c>
      <c r="N1351" s="15" t="b">
        <f t="shared" si="1"/>
        <v>0</v>
      </c>
    </row>
    <row r="1352" hidden="1">
      <c r="A1352" s="7" t="s">
        <v>278</v>
      </c>
      <c r="B1352" s="7" t="s">
        <v>268</v>
      </c>
      <c r="C1352" s="7">
        <v>0.1</v>
      </c>
      <c r="D1352" s="7">
        <v>0.25</v>
      </c>
      <c r="E1352" s="7">
        <v>1.0</v>
      </c>
      <c r="F1352" s="7">
        <v>137.829583883285</v>
      </c>
      <c r="G1352" s="7">
        <v>339.552884578704</v>
      </c>
      <c r="H1352" s="7">
        <v>0.0</v>
      </c>
      <c r="I1352" s="15">
        <v>0.751415624169234</v>
      </c>
      <c r="J1352" s="15">
        <v>0.134258277145203</v>
      </c>
      <c r="K1352" s="12">
        <f>AVERAGE(I1352:I1356)</f>
        <v>0.6272102252</v>
      </c>
      <c r="L1352" s="18">
        <v>7609.0</v>
      </c>
      <c r="M1352" s="14">
        <f>STDEV(L1352:L1356)</f>
        <v>43638.94129</v>
      </c>
      <c r="N1352" s="15" t="b">
        <f t="shared" si="1"/>
        <v>0</v>
      </c>
    </row>
    <row r="1353" hidden="1">
      <c r="A1353" s="7" t="s">
        <v>278</v>
      </c>
      <c r="B1353" s="7" t="s">
        <v>268</v>
      </c>
      <c r="C1353" s="7">
        <v>0.1</v>
      </c>
      <c r="D1353" s="7">
        <v>0.25</v>
      </c>
      <c r="E1353" s="7">
        <v>1.0</v>
      </c>
      <c r="F1353" s="7">
        <v>137.829583883285</v>
      </c>
      <c r="G1353" s="7">
        <v>339.552884578704</v>
      </c>
      <c r="H1353" s="7">
        <v>1.0</v>
      </c>
      <c r="I1353" s="15">
        <v>0.72225363833804</v>
      </c>
      <c r="J1353" s="15">
        <v>0.142881493627711</v>
      </c>
      <c r="K1353" s="12">
        <f>AVERAGE(I1352:I1356)</f>
        <v>0.6272102252</v>
      </c>
      <c r="L1353" s="18">
        <v>13547.0</v>
      </c>
      <c r="M1353" s="14">
        <f>STDEV(L1352:L1356)</f>
        <v>43638.94129</v>
      </c>
      <c r="N1353" s="15" t="b">
        <f t="shared" si="1"/>
        <v>0</v>
      </c>
    </row>
    <row r="1354" hidden="1">
      <c r="A1354" s="7" t="s">
        <v>278</v>
      </c>
      <c r="B1354" s="7" t="s">
        <v>268</v>
      </c>
      <c r="C1354" s="7">
        <v>0.1</v>
      </c>
      <c r="D1354" s="7">
        <v>0.25</v>
      </c>
      <c r="E1354" s="7">
        <v>1.0</v>
      </c>
      <c r="F1354" s="7">
        <v>137.829583883285</v>
      </c>
      <c r="G1354" s="7">
        <v>339.552884578704</v>
      </c>
      <c r="H1354" s="7">
        <v>2.0</v>
      </c>
      <c r="I1354" s="15">
        <v>0.0738046744908747</v>
      </c>
      <c r="J1354" s="15">
        <v>0.0636971607581257</v>
      </c>
      <c r="K1354" s="12">
        <f>AVERAGE(I1352:I1356)</f>
        <v>0.6272102252</v>
      </c>
      <c r="L1354" s="18">
        <v>106243.0</v>
      </c>
      <c r="M1354" s="14">
        <f>STDEV(L1352:L1356)</f>
        <v>43638.94129</v>
      </c>
      <c r="N1354" s="15" t="b">
        <f t="shared" si="1"/>
        <v>0</v>
      </c>
    </row>
    <row r="1355" hidden="1">
      <c r="A1355" s="7" t="s">
        <v>278</v>
      </c>
      <c r="B1355" s="7" t="s">
        <v>268</v>
      </c>
      <c r="C1355" s="7">
        <v>0.1</v>
      </c>
      <c r="D1355" s="7">
        <v>0.25</v>
      </c>
      <c r="E1355" s="7">
        <v>1.0</v>
      </c>
      <c r="F1355" s="7">
        <v>137.829583883285</v>
      </c>
      <c r="G1355" s="7">
        <v>339.552884578704</v>
      </c>
      <c r="H1355" s="7">
        <v>3.0</v>
      </c>
      <c r="I1355" s="15">
        <v>0.76552822016922</v>
      </c>
      <c r="J1355" s="15">
        <v>0.133630129744553</v>
      </c>
      <c r="K1355" s="12">
        <f>AVERAGE(I1352:I1356)</f>
        <v>0.6272102252</v>
      </c>
      <c r="L1355" s="18">
        <v>7823.0</v>
      </c>
      <c r="M1355" s="14">
        <f>STDEV(L1352:L1356)</f>
        <v>43638.94129</v>
      </c>
      <c r="N1355" s="15" t="b">
        <f t="shared" si="1"/>
        <v>0</v>
      </c>
    </row>
    <row r="1356" hidden="1">
      <c r="A1356" s="7" t="s">
        <v>278</v>
      </c>
      <c r="B1356" s="7" t="s">
        <v>268</v>
      </c>
      <c r="C1356" s="7">
        <v>0.1</v>
      </c>
      <c r="D1356" s="7">
        <v>0.25</v>
      </c>
      <c r="E1356" s="7">
        <v>1.0</v>
      </c>
      <c r="F1356" s="7">
        <v>137.829583883285</v>
      </c>
      <c r="G1356" s="7">
        <v>339.552884578704</v>
      </c>
      <c r="H1356" s="7">
        <v>4.0</v>
      </c>
      <c r="I1356" s="15">
        <v>0.823048969055102</v>
      </c>
      <c r="J1356" s="15">
        <v>0.102946133784757</v>
      </c>
      <c r="K1356" s="12">
        <f>AVERAGE(I1352:I1356)</f>
        <v>0.6272102252</v>
      </c>
      <c r="L1356" s="18">
        <v>6454.0</v>
      </c>
      <c r="M1356" s="14">
        <f>STDEV(L1352:L1356)</f>
        <v>43638.94129</v>
      </c>
      <c r="N1356" s="15" t="b">
        <f t="shared" si="1"/>
        <v>0</v>
      </c>
    </row>
    <row r="1357" hidden="1">
      <c r="A1357" s="7" t="s">
        <v>279</v>
      </c>
      <c r="B1357" s="7" t="s">
        <v>268</v>
      </c>
      <c r="C1357" s="7">
        <v>0.1</v>
      </c>
      <c r="D1357" s="7">
        <v>0.25</v>
      </c>
      <c r="E1357" s="7">
        <v>2.0</v>
      </c>
      <c r="F1357" s="7">
        <v>148.30413031578</v>
      </c>
      <c r="G1357" s="7">
        <v>317.315042972564</v>
      </c>
      <c r="H1357" s="7">
        <v>0.0</v>
      </c>
      <c r="I1357" s="15">
        <v>0.0563766858049047</v>
      </c>
      <c r="J1357" s="15">
        <v>0.0811774610029339</v>
      </c>
      <c r="K1357" s="12">
        <f>AVERAGE(I1357:I1361)</f>
        <v>0.6345416955</v>
      </c>
      <c r="L1357" s="18">
        <v>86839.0</v>
      </c>
      <c r="M1357" s="14">
        <f>STDEV(L1357:L1361)</f>
        <v>32986.16716</v>
      </c>
      <c r="N1357" s="15" t="b">
        <f t="shared" si="1"/>
        <v>0</v>
      </c>
    </row>
    <row r="1358" hidden="1">
      <c r="A1358" s="7" t="s">
        <v>279</v>
      </c>
      <c r="B1358" s="7" t="s">
        <v>268</v>
      </c>
      <c r="C1358" s="7">
        <v>0.1</v>
      </c>
      <c r="D1358" s="7">
        <v>0.25</v>
      </c>
      <c r="E1358" s="7">
        <v>2.0</v>
      </c>
      <c r="F1358" s="7">
        <v>148.30413031578</v>
      </c>
      <c r="G1358" s="7">
        <v>317.315042972564</v>
      </c>
      <c r="H1358" s="7">
        <v>1.0</v>
      </c>
      <c r="I1358" s="15">
        <v>0.721193826851142</v>
      </c>
      <c r="J1358" s="15">
        <v>0.141508555266211</v>
      </c>
      <c r="K1358" s="12">
        <f>AVERAGE(I1357:I1361)</f>
        <v>0.6345416955</v>
      </c>
      <c r="L1358" s="18">
        <v>13541.0</v>
      </c>
      <c r="M1358" s="14">
        <f>STDEV(L1357:L1361)</f>
        <v>32986.16716</v>
      </c>
      <c r="N1358" s="15" t="b">
        <f t="shared" si="1"/>
        <v>0</v>
      </c>
    </row>
    <row r="1359" hidden="1">
      <c r="A1359" s="7" t="s">
        <v>279</v>
      </c>
      <c r="B1359" s="7" t="s">
        <v>268</v>
      </c>
      <c r="C1359" s="7">
        <v>0.1</v>
      </c>
      <c r="D1359" s="7">
        <v>0.25</v>
      </c>
      <c r="E1359" s="7">
        <v>2.0</v>
      </c>
      <c r="F1359" s="7">
        <v>148.30413031578</v>
      </c>
      <c r="G1359" s="7">
        <v>317.315042972564</v>
      </c>
      <c r="H1359" s="7">
        <v>2.0</v>
      </c>
      <c r="I1359" s="15">
        <v>0.770446467278473</v>
      </c>
      <c r="J1359" s="15">
        <v>0.120842189694507</v>
      </c>
      <c r="K1359" s="12">
        <f>AVERAGE(I1357:I1361)</f>
        <v>0.6345416955</v>
      </c>
      <c r="L1359" s="18">
        <v>15692.0</v>
      </c>
      <c r="M1359" s="14">
        <f>STDEV(L1357:L1361)</f>
        <v>32986.16716</v>
      </c>
      <c r="N1359" s="15" t="b">
        <f t="shared" si="1"/>
        <v>0</v>
      </c>
    </row>
    <row r="1360" hidden="1">
      <c r="A1360" s="7" t="s">
        <v>279</v>
      </c>
      <c r="B1360" s="7" t="s">
        <v>268</v>
      </c>
      <c r="C1360" s="7">
        <v>0.1</v>
      </c>
      <c r="D1360" s="7">
        <v>0.25</v>
      </c>
      <c r="E1360" s="7">
        <v>2.0</v>
      </c>
      <c r="F1360" s="7">
        <v>148.30413031578</v>
      </c>
      <c r="G1360" s="7">
        <v>317.315042972564</v>
      </c>
      <c r="H1360" s="7">
        <v>3.0</v>
      </c>
      <c r="I1360" s="15">
        <v>0.835184272071352</v>
      </c>
      <c r="J1360" s="15">
        <v>0.0867619443119684</v>
      </c>
      <c r="K1360" s="12">
        <f>AVERAGE(I1357:I1361)</f>
        <v>0.6345416955</v>
      </c>
      <c r="L1360" s="18">
        <v>6955.0</v>
      </c>
      <c r="M1360" s="14">
        <f>STDEV(L1357:L1361)</f>
        <v>32986.16716</v>
      </c>
      <c r="N1360" s="15" t="b">
        <f t="shared" si="1"/>
        <v>0</v>
      </c>
    </row>
    <row r="1361" hidden="1">
      <c r="A1361" s="7" t="s">
        <v>279</v>
      </c>
      <c r="B1361" s="7" t="s">
        <v>268</v>
      </c>
      <c r="C1361" s="7">
        <v>0.1</v>
      </c>
      <c r="D1361" s="7">
        <v>0.25</v>
      </c>
      <c r="E1361" s="7">
        <v>2.0</v>
      </c>
      <c r="F1361" s="7">
        <v>148.30413031578</v>
      </c>
      <c r="G1361" s="7">
        <v>317.315042972564</v>
      </c>
      <c r="H1361" s="7">
        <v>4.0</v>
      </c>
      <c r="I1361" s="15">
        <v>0.789507225524301</v>
      </c>
      <c r="J1361" s="15">
        <v>0.100537427601821</v>
      </c>
      <c r="K1361" s="12">
        <f>AVERAGE(I1357:I1361)</f>
        <v>0.6345416955</v>
      </c>
      <c r="L1361" s="18">
        <v>18649.0</v>
      </c>
      <c r="M1361" s="14">
        <f>STDEV(L1357:L1361)</f>
        <v>32986.16716</v>
      </c>
      <c r="N1361" s="15" t="b">
        <f t="shared" si="1"/>
        <v>0</v>
      </c>
    </row>
    <row r="1362" hidden="1">
      <c r="A1362" s="7" t="s">
        <v>280</v>
      </c>
      <c r="B1362" s="7" t="s">
        <v>268</v>
      </c>
      <c r="C1362" s="7">
        <v>0.1</v>
      </c>
      <c r="D1362" s="7">
        <v>0.25</v>
      </c>
      <c r="E1362" s="7">
        <v>3.0</v>
      </c>
      <c r="F1362" s="7">
        <v>155.672586679458</v>
      </c>
      <c r="G1362" s="7">
        <v>459.483391761779</v>
      </c>
      <c r="H1362" s="7">
        <v>0.0</v>
      </c>
      <c r="I1362" s="15">
        <v>0.775986209452524</v>
      </c>
      <c r="J1362" s="15">
        <v>0.129335178810335</v>
      </c>
      <c r="K1362" s="12">
        <f>AVERAGE(I1362:I1366)</f>
        <v>0.4636818828</v>
      </c>
      <c r="L1362" s="18">
        <v>7703.0</v>
      </c>
      <c r="M1362" s="14">
        <f>STDEV(L1362:L1366)</f>
        <v>39415.51008</v>
      </c>
      <c r="N1362" s="15" t="b">
        <f t="shared" si="1"/>
        <v>0</v>
      </c>
    </row>
    <row r="1363" hidden="1">
      <c r="A1363" s="7" t="s">
        <v>280</v>
      </c>
      <c r="B1363" s="7" t="s">
        <v>268</v>
      </c>
      <c r="C1363" s="7">
        <v>0.1</v>
      </c>
      <c r="D1363" s="7">
        <v>0.25</v>
      </c>
      <c r="E1363" s="7">
        <v>3.0</v>
      </c>
      <c r="F1363" s="7">
        <v>155.672586679458</v>
      </c>
      <c r="G1363" s="7">
        <v>459.483391761779</v>
      </c>
      <c r="H1363" s="7">
        <v>1.0</v>
      </c>
      <c r="I1363" s="15">
        <v>0.410817901925452</v>
      </c>
      <c r="J1363" s="15">
        <v>0.0479273314317642</v>
      </c>
      <c r="K1363" s="12">
        <f>AVERAGE(I1362:I1366)</f>
        <v>0.4636818828</v>
      </c>
      <c r="L1363" s="18">
        <v>33476.0</v>
      </c>
      <c r="M1363" s="14">
        <f>STDEV(L1362:L1366)</f>
        <v>39415.51008</v>
      </c>
      <c r="N1363" s="15" t="b">
        <f t="shared" si="1"/>
        <v>0</v>
      </c>
    </row>
    <row r="1364" hidden="1">
      <c r="A1364" s="7" t="s">
        <v>280</v>
      </c>
      <c r="B1364" s="7" t="s">
        <v>268</v>
      </c>
      <c r="C1364" s="7">
        <v>0.1</v>
      </c>
      <c r="D1364" s="7">
        <v>0.25</v>
      </c>
      <c r="E1364" s="7">
        <v>3.0</v>
      </c>
      <c r="F1364" s="7">
        <v>155.672586679458</v>
      </c>
      <c r="G1364" s="7">
        <v>459.483391761779</v>
      </c>
      <c r="H1364" s="7">
        <v>2.0</v>
      </c>
      <c r="I1364" s="15">
        <v>0.736125182059701</v>
      </c>
      <c r="J1364" s="15">
        <v>0.170258244361571</v>
      </c>
      <c r="K1364" s="12">
        <f>AVERAGE(I1362:I1366)</f>
        <v>0.4636818828</v>
      </c>
      <c r="L1364" s="18">
        <v>1682.0</v>
      </c>
      <c r="M1364" s="14">
        <f>STDEV(L1362:L1366)</f>
        <v>39415.51008</v>
      </c>
      <c r="N1364" s="15" t="b">
        <f t="shared" si="1"/>
        <v>0</v>
      </c>
    </row>
    <row r="1365" hidden="1">
      <c r="A1365" s="7" t="s">
        <v>280</v>
      </c>
      <c r="B1365" s="7" t="s">
        <v>268</v>
      </c>
      <c r="C1365" s="7">
        <v>0.1</v>
      </c>
      <c r="D1365" s="7">
        <v>0.25</v>
      </c>
      <c r="E1365" s="7">
        <v>3.0</v>
      </c>
      <c r="F1365" s="7">
        <v>155.672586679458</v>
      </c>
      <c r="G1365" s="7">
        <v>459.483391761779</v>
      </c>
      <c r="H1365" s="7">
        <v>3.0</v>
      </c>
      <c r="I1365" s="15">
        <v>0.344001195184859</v>
      </c>
      <c r="J1365" s="15">
        <v>0.0742098972726694</v>
      </c>
      <c r="K1365" s="12">
        <f>AVERAGE(I1362:I1366)</f>
        <v>0.4636818828</v>
      </c>
      <c r="L1365" s="18">
        <v>3780.0</v>
      </c>
      <c r="M1365" s="14">
        <f>STDEV(L1362:L1366)</f>
        <v>39415.51008</v>
      </c>
      <c r="N1365" s="15" t="b">
        <f t="shared" si="1"/>
        <v>0</v>
      </c>
    </row>
    <row r="1366" hidden="1">
      <c r="A1366" s="7" t="s">
        <v>280</v>
      </c>
      <c r="B1366" s="7" t="s">
        <v>268</v>
      </c>
      <c r="C1366" s="7">
        <v>0.1</v>
      </c>
      <c r="D1366" s="7">
        <v>0.25</v>
      </c>
      <c r="E1366" s="7">
        <v>3.0</v>
      </c>
      <c r="F1366" s="7">
        <v>155.672586679458</v>
      </c>
      <c r="G1366" s="7">
        <v>459.483391761779</v>
      </c>
      <c r="H1366" s="7">
        <v>4.0</v>
      </c>
      <c r="I1366" s="15">
        <v>0.0514789256040886</v>
      </c>
      <c r="J1366" s="15">
        <v>0.0480983317297994</v>
      </c>
      <c r="K1366" s="12">
        <f>AVERAGE(I1362:I1366)</f>
        <v>0.4636818828</v>
      </c>
      <c r="L1366" s="18">
        <v>95035.0</v>
      </c>
      <c r="M1366" s="14">
        <f>STDEV(L1362:L1366)</f>
        <v>39415.51008</v>
      </c>
      <c r="N1366" s="15" t="b">
        <f t="shared" si="1"/>
        <v>0</v>
      </c>
    </row>
    <row r="1367" hidden="1">
      <c r="A1367" s="7" t="s">
        <v>281</v>
      </c>
      <c r="B1367" s="21" t="s">
        <v>268</v>
      </c>
      <c r="C1367" s="21">
        <v>0.1</v>
      </c>
      <c r="D1367" s="21">
        <v>0.25</v>
      </c>
      <c r="E1367" s="21">
        <v>4.0</v>
      </c>
      <c r="F1367" s="7">
        <v>105.197637319564</v>
      </c>
      <c r="G1367" s="7">
        <v>323.036212205886</v>
      </c>
      <c r="H1367" s="7">
        <v>0.0</v>
      </c>
      <c r="I1367" s="15">
        <v>0.813220544152522</v>
      </c>
      <c r="J1367" s="15">
        <v>0.0807340851515325</v>
      </c>
      <c r="K1367" s="12">
        <f>AVERAGE(I1367:I1371)</f>
        <v>0.6625356049</v>
      </c>
      <c r="L1367" s="18">
        <v>4055.0</v>
      </c>
      <c r="M1367" s="14">
        <f>STDEV(L1367:L1371)</f>
        <v>49783.4925</v>
      </c>
      <c r="N1367" s="15" t="b">
        <f t="shared" si="1"/>
        <v>1</v>
      </c>
    </row>
    <row r="1368" hidden="1">
      <c r="A1368" s="7" t="s">
        <v>281</v>
      </c>
      <c r="B1368" s="21" t="s">
        <v>268</v>
      </c>
      <c r="C1368" s="21">
        <v>0.1</v>
      </c>
      <c r="D1368" s="21">
        <v>0.25</v>
      </c>
      <c r="E1368" s="21">
        <v>4.0</v>
      </c>
      <c r="F1368" s="7">
        <v>105.197637319564</v>
      </c>
      <c r="G1368" s="7">
        <v>323.036212205886</v>
      </c>
      <c r="H1368" s="7">
        <v>1.0</v>
      </c>
      <c r="I1368" s="15">
        <v>0.827688808528685</v>
      </c>
      <c r="J1368" s="15">
        <v>0.090807549943901</v>
      </c>
      <c r="K1368" s="12">
        <f>AVERAGE(I1367:I1371)</f>
        <v>0.6625356049</v>
      </c>
      <c r="L1368" s="18">
        <v>4605.0</v>
      </c>
      <c r="M1368" s="14">
        <f>STDEV(L1367:L1371)</f>
        <v>49783.4925</v>
      </c>
      <c r="N1368" s="15" t="b">
        <f t="shared" si="1"/>
        <v>1</v>
      </c>
    </row>
    <row r="1369" hidden="1">
      <c r="A1369" s="7" t="s">
        <v>281</v>
      </c>
      <c r="B1369" s="21" t="s">
        <v>268</v>
      </c>
      <c r="C1369" s="21">
        <v>0.1</v>
      </c>
      <c r="D1369" s="21">
        <v>0.25</v>
      </c>
      <c r="E1369" s="21">
        <v>4.0</v>
      </c>
      <c r="F1369" s="7">
        <v>105.197637319564</v>
      </c>
      <c r="G1369" s="7">
        <v>323.036212205886</v>
      </c>
      <c r="H1369" s="7">
        <v>2.0</v>
      </c>
      <c r="I1369" s="15">
        <v>0.0678997179512542</v>
      </c>
      <c r="J1369" s="15">
        <v>0.051837465249274</v>
      </c>
      <c r="K1369" s="12">
        <f>AVERAGE(I1367:I1371)</f>
        <v>0.6625356049</v>
      </c>
      <c r="L1369" s="18">
        <v>117048.0</v>
      </c>
      <c r="M1369" s="14">
        <f>STDEV(L1367:L1371)</f>
        <v>49783.4925</v>
      </c>
      <c r="N1369" s="15" t="b">
        <f t="shared" si="1"/>
        <v>1</v>
      </c>
    </row>
    <row r="1370" hidden="1">
      <c r="A1370" s="7" t="s">
        <v>281</v>
      </c>
      <c r="B1370" s="21" t="s">
        <v>268</v>
      </c>
      <c r="C1370" s="21">
        <v>0.1</v>
      </c>
      <c r="D1370" s="21">
        <v>0.25</v>
      </c>
      <c r="E1370" s="21">
        <v>4.0</v>
      </c>
      <c r="F1370" s="7">
        <v>105.197637319564</v>
      </c>
      <c r="G1370" s="7">
        <v>323.036212205886</v>
      </c>
      <c r="H1370" s="7">
        <v>3.0</v>
      </c>
      <c r="I1370" s="15">
        <v>0.721780002123158</v>
      </c>
      <c r="J1370" s="15">
        <v>0.141220107468805</v>
      </c>
      <c r="K1370" s="12">
        <f>AVERAGE(I1367:I1371)</f>
        <v>0.6625356049</v>
      </c>
      <c r="L1370" s="18">
        <v>13580.0</v>
      </c>
      <c r="M1370" s="14">
        <f>STDEV(L1367:L1371)</f>
        <v>49783.4925</v>
      </c>
      <c r="N1370" s="15" t="b">
        <f t="shared" si="1"/>
        <v>1</v>
      </c>
    </row>
    <row r="1371" hidden="1">
      <c r="A1371" s="7" t="s">
        <v>281</v>
      </c>
      <c r="B1371" s="21" t="s">
        <v>268</v>
      </c>
      <c r="C1371" s="21">
        <v>0.1</v>
      </c>
      <c r="D1371" s="21">
        <v>0.25</v>
      </c>
      <c r="E1371" s="21">
        <v>4.0</v>
      </c>
      <c r="F1371" s="7">
        <v>105.197637319564</v>
      </c>
      <c r="G1371" s="7">
        <v>323.036212205886</v>
      </c>
      <c r="H1371" s="7">
        <v>4.0</v>
      </c>
      <c r="I1371" s="15">
        <v>0.882088951813851</v>
      </c>
      <c r="J1371" s="15">
        <v>0.120097451282442</v>
      </c>
      <c r="K1371" s="12">
        <f>AVERAGE(I1367:I1371)</f>
        <v>0.6625356049</v>
      </c>
      <c r="L1371" s="18">
        <v>2388.0</v>
      </c>
      <c r="M1371" s="14">
        <f>STDEV(L1367:L1371)</f>
        <v>49783.4925</v>
      </c>
      <c r="N1371" s="15" t="b">
        <f t="shared" si="1"/>
        <v>1</v>
      </c>
    </row>
    <row r="1372" hidden="1">
      <c r="A1372" s="7" t="s">
        <v>282</v>
      </c>
      <c r="B1372" s="7" t="s">
        <v>268</v>
      </c>
      <c r="C1372" s="7">
        <v>0.1</v>
      </c>
      <c r="D1372" s="7">
        <v>0.25</v>
      </c>
      <c r="E1372" s="7">
        <v>5.0</v>
      </c>
      <c r="F1372" s="7">
        <v>131.205567121505</v>
      </c>
      <c r="G1372" s="7">
        <v>304.650032043457</v>
      </c>
      <c r="H1372" s="7">
        <v>0.0</v>
      </c>
      <c r="I1372" s="15">
        <v>0.0623089502305979</v>
      </c>
      <c r="J1372" s="15">
        <v>0.0702520328243581</v>
      </c>
      <c r="K1372" s="12">
        <f>AVERAGE(I1372:I1376)</f>
        <v>0.6371117855</v>
      </c>
      <c r="L1372" s="18">
        <v>94228.0</v>
      </c>
      <c r="M1372" s="14">
        <f>STDEV(L1372:L1376)</f>
        <v>37227.9789</v>
      </c>
      <c r="N1372" s="15" t="b">
        <f t="shared" si="1"/>
        <v>0</v>
      </c>
    </row>
    <row r="1373" hidden="1">
      <c r="A1373" s="7" t="s">
        <v>282</v>
      </c>
      <c r="B1373" s="7" t="s">
        <v>268</v>
      </c>
      <c r="C1373" s="7">
        <v>0.1</v>
      </c>
      <c r="D1373" s="7">
        <v>0.25</v>
      </c>
      <c r="E1373" s="7">
        <v>5.0</v>
      </c>
      <c r="F1373" s="7">
        <v>131.205567121505</v>
      </c>
      <c r="G1373" s="7">
        <v>304.650032043457</v>
      </c>
      <c r="H1373" s="7">
        <v>1.0</v>
      </c>
      <c r="I1373" s="15">
        <v>0.808420383900435</v>
      </c>
      <c r="J1373" s="15">
        <v>0.124119130240761</v>
      </c>
      <c r="K1373" s="12">
        <f>AVERAGE(I1372:I1376)</f>
        <v>0.6371117855</v>
      </c>
      <c r="L1373" s="18">
        <v>5660.0</v>
      </c>
      <c r="M1373" s="14">
        <f>STDEV(L1372:L1376)</f>
        <v>37227.9789</v>
      </c>
      <c r="N1373" s="15" t="b">
        <f t="shared" si="1"/>
        <v>0</v>
      </c>
    </row>
    <row r="1374" hidden="1">
      <c r="A1374" s="7" t="s">
        <v>282</v>
      </c>
      <c r="B1374" s="7" t="s">
        <v>268</v>
      </c>
      <c r="C1374" s="7">
        <v>0.1</v>
      </c>
      <c r="D1374" s="7">
        <v>0.25</v>
      </c>
      <c r="E1374" s="7">
        <v>5.0</v>
      </c>
      <c r="F1374" s="7">
        <v>131.205567121505</v>
      </c>
      <c r="G1374" s="7">
        <v>304.650032043457</v>
      </c>
      <c r="H1374" s="7">
        <v>2.0</v>
      </c>
      <c r="I1374" s="15">
        <v>0.773548733283967</v>
      </c>
      <c r="J1374" s="15">
        <v>0.121857239739659</v>
      </c>
      <c r="K1374" s="12">
        <f>AVERAGE(I1372:I1376)</f>
        <v>0.6371117855</v>
      </c>
      <c r="L1374" s="18">
        <v>15554.0</v>
      </c>
      <c r="M1374" s="14">
        <f>STDEV(L1372:L1376)</f>
        <v>37227.9789</v>
      </c>
      <c r="N1374" s="15" t="b">
        <f t="shared" si="1"/>
        <v>0</v>
      </c>
    </row>
    <row r="1375" hidden="1">
      <c r="A1375" s="7" t="s">
        <v>282</v>
      </c>
      <c r="B1375" s="7" t="s">
        <v>268</v>
      </c>
      <c r="C1375" s="7">
        <v>0.1</v>
      </c>
      <c r="D1375" s="7">
        <v>0.25</v>
      </c>
      <c r="E1375" s="7">
        <v>5.0</v>
      </c>
      <c r="F1375" s="7">
        <v>131.205567121505</v>
      </c>
      <c r="G1375" s="7">
        <v>304.650032043457</v>
      </c>
      <c r="H1375" s="7">
        <v>3.0</v>
      </c>
      <c r="I1375" s="15">
        <v>0.789980991408507</v>
      </c>
      <c r="J1375" s="15">
        <v>0.0994414862981508</v>
      </c>
      <c r="K1375" s="12">
        <f>AVERAGE(I1372:I1376)</f>
        <v>0.6371117855</v>
      </c>
      <c r="L1375" s="18">
        <v>18645.0</v>
      </c>
      <c r="M1375" s="14">
        <f>STDEV(L1372:L1376)</f>
        <v>37227.9789</v>
      </c>
      <c r="N1375" s="15" t="b">
        <f t="shared" si="1"/>
        <v>0</v>
      </c>
    </row>
    <row r="1376" hidden="1">
      <c r="A1376" s="7" t="s">
        <v>282</v>
      </c>
      <c r="B1376" s="7" t="s">
        <v>268</v>
      </c>
      <c r="C1376" s="7">
        <v>0.1</v>
      </c>
      <c r="D1376" s="7">
        <v>0.25</v>
      </c>
      <c r="E1376" s="7">
        <v>5.0</v>
      </c>
      <c r="F1376" s="7">
        <v>131.205567121505</v>
      </c>
      <c r="G1376" s="7">
        <v>304.650032043457</v>
      </c>
      <c r="H1376" s="7">
        <v>4.0</v>
      </c>
      <c r="I1376" s="15">
        <v>0.751299868899684</v>
      </c>
      <c r="J1376" s="15">
        <v>0.135836641856478</v>
      </c>
      <c r="K1376" s="12">
        <f>AVERAGE(I1372:I1376)</f>
        <v>0.6371117855</v>
      </c>
      <c r="L1376" s="18">
        <v>7589.0</v>
      </c>
      <c r="M1376" s="14">
        <f>STDEV(L1372:L1376)</f>
        <v>37227.9789</v>
      </c>
      <c r="N1376" s="15" t="b">
        <f t="shared" si="1"/>
        <v>0</v>
      </c>
    </row>
    <row r="1377" hidden="1">
      <c r="A1377" s="7" t="s">
        <v>283</v>
      </c>
      <c r="B1377" s="7" t="s">
        <v>268</v>
      </c>
      <c r="C1377" s="7">
        <v>0.1</v>
      </c>
      <c r="D1377" s="7">
        <v>0.25</v>
      </c>
      <c r="E1377" s="7">
        <v>6.0</v>
      </c>
      <c r="F1377" s="7">
        <v>115.979237318038</v>
      </c>
      <c r="G1377" s="7">
        <v>373.543918609619</v>
      </c>
      <c r="H1377" s="7">
        <v>0.0</v>
      </c>
      <c r="I1377" s="15">
        <v>0.763180738750472</v>
      </c>
      <c r="J1377" s="15">
        <v>0.133738354448081</v>
      </c>
      <c r="K1377" s="12">
        <f>AVERAGE(I1377:I1381)</f>
        <v>0.6333276622</v>
      </c>
      <c r="L1377" s="18">
        <v>15692.0</v>
      </c>
      <c r="M1377" s="14">
        <f>STDEV(L1377:L1381)</f>
        <v>39321.37114</v>
      </c>
      <c r="N1377" s="15" t="b">
        <f t="shared" si="1"/>
        <v>0</v>
      </c>
    </row>
    <row r="1378" hidden="1">
      <c r="A1378" s="7" t="s">
        <v>283</v>
      </c>
      <c r="B1378" s="7" t="s">
        <v>268</v>
      </c>
      <c r="C1378" s="7">
        <v>0.1</v>
      </c>
      <c r="D1378" s="7">
        <v>0.25</v>
      </c>
      <c r="E1378" s="7">
        <v>6.0</v>
      </c>
      <c r="F1378" s="7">
        <v>115.979237318038</v>
      </c>
      <c r="G1378" s="7">
        <v>373.543918609619</v>
      </c>
      <c r="H1378" s="7">
        <v>1.0</v>
      </c>
      <c r="I1378" s="15">
        <v>0.825681887657164</v>
      </c>
      <c r="J1378" s="15">
        <v>0.0924423290588797</v>
      </c>
      <c r="K1378" s="12">
        <f>AVERAGE(I1377:I1381)</f>
        <v>0.6333276622</v>
      </c>
      <c r="L1378" s="18">
        <v>4613.0</v>
      </c>
      <c r="M1378" s="14">
        <f>STDEV(L1377:L1381)</f>
        <v>39321.37114</v>
      </c>
      <c r="N1378" s="15" t="b">
        <f t="shared" si="1"/>
        <v>0</v>
      </c>
    </row>
    <row r="1379" hidden="1">
      <c r="A1379" s="7" t="s">
        <v>283</v>
      </c>
      <c r="B1379" s="7" t="s">
        <v>268</v>
      </c>
      <c r="C1379" s="7">
        <v>0.1</v>
      </c>
      <c r="D1379" s="7">
        <v>0.25</v>
      </c>
      <c r="E1379" s="7">
        <v>6.0</v>
      </c>
      <c r="F1379" s="7">
        <v>115.979237318038</v>
      </c>
      <c r="G1379" s="7">
        <v>373.543918609619</v>
      </c>
      <c r="H1379" s="7">
        <v>2.0</v>
      </c>
      <c r="I1379" s="15">
        <v>0.751193083549927</v>
      </c>
      <c r="J1379" s="15">
        <v>0.136132768892473</v>
      </c>
      <c r="K1379" s="12">
        <f>AVERAGE(I1377:I1381)</f>
        <v>0.6333276622</v>
      </c>
      <c r="L1379" s="18">
        <v>7589.0</v>
      </c>
      <c r="M1379" s="14">
        <f>STDEV(L1377:L1381)</f>
        <v>39321.37114</v>
      </c>
      <c r="N1379" s="15" t="b">
        <f t="shared" si="1"/>
        <v>0</v>
      </c>
    </row>
    <row r="1380" hidden="1">
      <c r="A1380" s="7" t="s">
        <v>283</v>
      </c>
      <c r="B1380" s="7" t="s">
        <v>268</v>
      </c>
      <c r="C1380" s="7">
        <v>0.1</v>
      </c>
      <c r="D1380" s="7">
        <v>0.25</v>
      </c>
      <c r="E1380" s="7">
        <v>6.0</v>
      </c>
      <c r="F1380" s="7">
        <v>115.979237318038</v>
      </c>
      <c r="G1380" s="7">
        <v>373.543918609619</v>
      </c>
      <c r="H1380" s="7">
        <v>3.0</v>
      </c>
      <c r="I1380" s="15">
        <v>0.0556365830015822</v>
      </c>
      <c r="J1380" s="15">
        <v>0.0724699051527271</v>
      </c>
      <c r="K1380" s="12">
        <f>AVERAGE(I1377:I1381)</f>
        <v>0.6333276622</v>
      </c>
      <c r="L1380" s="18">
        <v>98127.0</v>
      </c>
      <c r="M1380" s="14">
        <f>STDEV(L1377:L1381)</f>
        <v>39321.37114</v>
      </c>
      <c r="N1380" s="15" t="b">
        <f t="shared" si="1"/>
        <v>0</v>
      </c>
    </row>
    <row r="1381" hidden="1">
      <c r="A1381" s="7" t="s">
        <v>283</v>
      </c>
      <c r="B1381" s="7" t="s">
        <v>268</v>
      </c>
      <c r="C1381" s="7">
        <v>0.1</v>
      </c>
      <c r="D1381" s="7">
        <v>0.25</v>
      </c>
      <c r="E1381" s="7">
        <v>6.0</v>
      </c>
      <c r="F1381" s="7">
        <v>115.979237318038</v>
      </c>
      <c r="G1381" s="7">
        <v>373.543918609619</v>
      </c>
      <c r="H1381" s="7">
        <v>4.0</v>
      </c>
      <c r="I1381" s="15">
        <v>0.770946017998028</v>
      </c>
      <c r="J1381" s="15">
        <v>0.120929023722714</v>
      </c>
      <c r="K1381" s="12">
        <f>AVERAGE(I1377:I1381)</f>
        <v>0.6333276622</v>
      </c>
      <c r="L1381" s="18">
        <v>15655.0</v>
      </c>
      <c r="M1381" s="14">
        <f>STDEV(L1377:L1381)</f>
        <v>39321.37114</v>
      </c>
      <c r="N1381" s="15" t="b">
        <f t="shared" si="1"/>
        <v>0</v>
      </c>
    </row>
    <row r="1382" hidden="1">
      <c r="A1382" s="7" t="s">
        <v>284</v>
      </c>
      <c r="B1382" s="7" t="s">
        <v>268</v>
      </c>
      <c r="C1382" s="7">
        <v>0.1</v>
      </c>
      <c r="D1382" s="7">
        <v>0.25</v>
      </c>
      <c r="E1382" s="7">
        <v>7.0</v>
      </c>
      <c r="F1382" s="7">
        <v>114.286093473434</v>
      </c>
      <c r="G1382" s="7">
        <v>385.286484479904</v>
      </c>
      <c r="H1382" s="7">
        <v>0.0</v>
      </c>
      <c r="I1382" s="15">
        <v>0.789719655734115</v>
      </c>
      <c r="J1382" s="15">
        <v>0.0995821981518152</v>
      </c>
      <c r="K1382" s="12">
        <f>AVERAGE(I1382:I1386)</f>
        <v>0.6497033603</v>
      </c>
      <c r="L1382" s="18">
        <v>18649.0</v>
      </c>
      <c r="M1382" s="14">
        <f>STDEV(L1382:L1386)</f>
        <v>41184.74952</v>
      </c>
      <c r="N1382" s="15" t="b">
        <f t="shared" si="1"/>
        <v>0</v>
      </c>
    </row>
    <row r="1383" hidden="1">
      <c r="A1383" s="7" t="s">
        <v>284</v>
      </c>
      <c r="B1383" s="7" t="s">
        <v>268</v>
      </c>
      <c r="C1383" s="7">
        <v>0.1</v>
      </c>
      <c r="D1383" s="7">
        <v>0.25</v>
      </c>
      <c r="E1383" s="7">
        <v>7.0</v>
      </c>
      <c r="F1383" s="7">
        <v>114.286093473434</v>
      </c>
      <c r="G1383" s="7">
        <v>385.286484479904</v>
      </c>
      <c r="H1383" s="7">
        <v>1.0</v>
      </c>
      <c r="I1383" s="15">
        <v>0.0573290404845909</v>
      </c>
      <c r="J1383" s="15">
        <v>0.0618773504329104</v>
      </c>
      <c r="K1383" s="12">
        <f>AVERAGE(I1382:I1386)</f>
        <v>0.6497033603</v>
      </c>
      <c r="L1383" s="18">
        <v>100899.0</v>
      </c>
      <c r="M1383" s="14">
        <f>STDEV(L1382:L1386)</f>
        <v>41184.74952</v>
      </c>
      <c r="N1383" s="15" t="b">
        <f t="shared" si="1"/>
        <v>0</v>
      </c>
    </row>
    <row r="1384" hidden="1">
      <c r="A1384" s="7" t="s">
        <v>284</v>
      </c>
      <c r="B1384" s="7" t="s">
        <v>268</v>
      </c>
      <c r="C1384" s="7">
        <v>0.1</v>
      </c>
      <c r="D1384" s="7">
        <v>0.25</v>
      </c>
      <c r="E1384" s="7">
        <v>7.0</v>
      </c>
      <c r="F1384" s="7">
        <v>114.286093473434</v>
      </c>
      <c r="G1384" s="7">
        <v>385.286484479904</v>
      </c>
      <c r="H1384" s="7">
        <v>2.0</v>
      </c>
      <c r="I1384" s="15">
        <v>0.770501292383617</v>
      </c>
      <c r="J1384" s="15">
        <v>0.120249230609757</v>
      </c>
      <c r="K1384" s="12">
        <f>AVERAGE(I1382:I1386)</f>
        <v>0.6497033603</v>
      </c>
      <c r="L1384" s="18">
        <v>15689.0</v>
      </c>
      <c r="M1384" s="14">
        <f>STDEV(L1382:L1386)</f>
        <v>41184.74952</v>
      </c>
      <c r="N1384" s="15" t="b">
        <f t="shared" si="1"/>
        <v>0</v>
      </c>
    </row>
    <row r="1385" hidden="1">
      <c r="A1385" s="7" t="s">
        <v>284</v>
      </c>
      <c r="B1385" s="7" t="s">
        <v>268</v>
      </c>
      <c r="C1385" s="7">
        <v>0.1</v>
      </c>
      <c r="D1385" s="7">
        <v>0.25</v>
      </c>
      <c r="E1385" s="7">
        <v>7.0</v>
      </c>
      <c r="F1385" s="7">
        <v>114.286093473434</v>
      </c>
      <c r="G1385" s="7">
        <v>385.286484479904</v>
      </c>
      <c r="H1385" s="7">
        <v>3.0</v>
      </c>
      <c r="I1385" s="15">
        <v>0.805292480445407</v>
      </c>
      <c r="J1385" s="15">
        <v>0.132619168289078</v>
      </c>
      <c r="K1385" s="12">
        <f>AVERAGE(I1382:I1386)</f>
        <v>0.6497033603</v>
      </c>
      <c r="L1385" s="18">
        <v>1826.0</v>
      </c>
      <c r="M1385" s="14">
        <f>STDEV(L1382:L1386)</f>
        <v>41184.74952</v>
      </c>
      <c r="N1385" s="15" t="b">
        <f t="shared" si="1"/>
        <v>0</v>
      </c>
    </row>
    <row r="1386" hidden="1">
      <c r="A1386" s="7" t="s">
        <v>284</v>
      </c>
      <c r="B1386" s="7" t="s">
        <v>268</v>
      </c>
      <c r="C1386" s="7">
        <v>0.1</v>
      </c>
      <c r="D1386" s="7">
        <v>0.25</v>
      </c>
      <c r="E1386" s="7">
        <v>7.0</v>
      </c>
      <c r="F1386" s="7">
        <v>114.286093473434</v>
      </c>
      <c r="G1386" s="7">
        <v>385.286484479904</v>
      </c>
      <c r="H1386" s="7">
        <v>4.0</v>
      </c>
      <c r="I1386" s="15">
        <v>0.825674332412821</v>
      </c>
      <c r="J1386" s="15">
        <v>0.0922176344461619</v>
      </c>
      <c r="K1386" s="12">
        <f>AVERAGE(I1382:I1386)</f>
        <v>0.6497033603</v>
      </c>
      <c r="L1386" s="18">
        <v>4613.0</v>
      </c>
      <c r="M1386" s="14">
        <f>STDEV(L1382:L1386)</f>
        <v>41184.74952</v>
      </c>
      <c r="N1386" s="15" t="b">
        <f t="shared" si="1"/>
        <v>0</v>
      </c>
    </row>
    <row r="1387" hidden="1">
      <c r="A1387" s="7" t="s">
        <v>285</v>
      </c>
      <c r="B1387" s="7" t="s">
        <v>268</v>
      </c>
      <c r="C1387" s="7">
        <v>0.1</v>
      </c>
      <c r="D1387" s="7">
        <v>0.25</v>
      </c>
      <c r="E1387" s="7">
        <v>8.0</v>
      </c>
      <c r="F1387" s="7">
        <v>200.674906253814</v>
      </c>
      <c r="G1387" s="7">
        <v>393.529262542724</v>
      </c>
      <c r="H1387" s="7">
        <v>0.0</v>
      </c>
      <c r="I1387" s="15">
        <v>0.270893661995341</v>
      </c>
      <c r="J1387" s="15">
        <v>0.121381621961685</v>
      </c>
      <c r="K1387" s="12">
        <f>AVERAGE(I1387:I1391)</f>
        <v>0.3934008173</v>
      </c>
      <c r="L1387" s="18">
        <v>28972.0</v>
      </c>
      <c r="M1387" s="14">
        <f>STDEV(L1387:L1391)</f>
        <v>19755.62446</v>
      </c>
      <c r="N1387" s="15" t="b">
        <f t="shared" si="1"/>
        <v>0</v>
      </c>
    </row>
    <row r="1388" hidden="1">
      <c r="A1388" s="7" t="s">
        <v>285</v>
      </c>
      <c r="B1388" s="7" t="s">
        <v>268</v>
      </c>
      <c r="C1388" s="7">
        <v>0.1</v>
      </c>
      <c r="D1388" s="7">
        <v>0.25</v>
      </c>
      <c r="E1388" s="7">
        <v>8.0</v>
      </c>
      <c r="F1388" s="7">
        <v>200.674906253814</v>
      </c>
      <c r="G1388" s="7">
        <v>393.529262542724</v>
      </c>
      <c r="H1388" s="7">
        <v>1.0</v>
      </c>
      <c r="I1388" s="15">
        <v>0.768887580851569</v>
      </c>
      <c r="J1388" s="15">
        <v>0.130992682418814</v>
      </c>
      <c r="K1388" s="12">
        <f>AVERAGE(I1387:I1391)</f>
        <v>0.3934008173</v>
      </c>
      <c r="L1388" s="18">
        <v>15466.0</v>
      </c>
      <c r="M1388" s="14">
        <f>STDEV(L1387:L1391)</f>
        <v>19755.62446</v>
      </c>
      <c r="N1388" s="15" t="b">
        <f t="shared" si="1"/>
        <v>0</v>
      </c>
    </row>
    <row r="1389" hidden="1">
      <c r="A1389" s="7" t="s">
        <v>285</v>
      </c>
      <c r="B1389" s="7" t="s">
        <v>268</v>
      </c>
      <c r="C1389" s="7">
        <v>0.1</v>
      </c>
      <c r="D1389" s="7">
        <v>0.25</v>
      </c>
      <c r="E1389" s="7">
        <v>8.0</v>
      </c>
      <c r="F1389" s="7">
        <v>200.674906253814</v>
      </c>
      <c r="G1389" s="7">
        <v>393.529262542724</v>
      </c>
      <c r="H1389" s="7">
        <v>2.0</v>
      </c>
      <c r="I1389" s="15">
        <v>0.514289431242019</v>
      </c>
      <c r="J1389" s="15">
        <v>0.174824850305195</v>
      </c>
      <c r="K1389" s="12">
        <f>AVERAGE(I1387:I1391)</f>
        <v>0.3934008173</v>
      </c>
      <c r="L1389" s="18">
        <v>9126.0</v>
      </c>
      <c r="M1389" s="14">
        <f>STDEV(L1387:L1391)</f>
        <v>19755.62446</v>
      </c>
      <c r="N1389" s="15" t="b">
        <f t="shared" si="1"/>
        <v>0</v>
      </c>
    </row>
    <row r="1390" hidden="1">
      <c r="A1390" s="7" t="s">
        <v>285</v>
      </c>
      <c r="B1390" s="7" t="s">
        <v>268</v>
      </c>
      <c r="C1390" s="7">
        <v>0.1</v>
      </c>
      <c r="D1390" s="7">
        <v>0.25</v>
      </c>
      <c r="E1390" s="7">
        <v>8.0</v>
      </c>
      <c r="F1390" s="7">
        <v>200.674906253814</v>
      </c>
      <c r="G1390" s="7">
        <v>393.529262542724</v>
      </c>
      <c r="H1390" s="7">
        <v>3.0</v>
      </c>
      <c r="I1390" s="15">
        <v>0.308830377746293</v>
      </c>
      <c r="J1390" s="15">
        <v>0.127401339906405</v>
      </c>
      <c r="K1390" s="12">
        <f>AVERAGE(I1387:I1391)</f>
        <v>0.3934008173</v>
      </c>
      <c r="L1390" s="18">
        <v>27749.0</v>
      </c>
      <c r="M1390" s="14">
        <f>STDEV(L1387:L1391)</f>
        <v>19755.62446</v>
      </c>
      <c r="N1390" s="15" t="b">
        <f t="shared" si="1"/>
        <v>0</v>
      </c>
    </row>
    <row r="1391" hidden="1">
      <c r="A1391" s="7" t="s">
        <v>285</v>
      </c>
      <c r="B1391" s="7" t="s">
        <v>268</v>
      </c>
      <c r="C1391" s="7">
        <v>0.1</v>
      </c>
      <c r="D1391" s="7">
        <v>0.25</v>
      </c>
      <c r="E1391" s="7">
        <v>8.0</v>
      </c>
      <c r="F1391" s="7">
        <v>200.674906253814</v>
      </c>
      <c r="G1391" s="7">
        <v>393.529262542724</v>
      </c>
      <c r="H1391" s="7">
        <v>4.0</v>
      </c>
      <c r="I1391" s="15">
        <v>0.104103034697409</v>
      </c>
      <c r="J1391" s="15">
        <v>0.120219377192975</v>
      </c>
      <c r="K1391" s="12">
        <f>AVERAGE(I1387:I1391)</f>
        <v>0.3934008173</v>
      </c>
      <c r="L1391" s="18">
        <v>60363.0</v>
      </c>
      <c r="M1391" s="14">
        <f>STDEV(L1387:L1391)</f>
        <v>19755.62446</v>
      </c>
      <c r="N1391" s="15" t="b">
        <f t="shared" si="1"/>
        <v>0</v>
      </c>
    </row>
    <row r="1392" hidden="1">
      <c r="A1392" s="7" t="s">
        <v>286</v>
      </c>
      <c r="B1392" s="7" t="s">
        <v>268</v>
      </c>
      <c r="C1392" s="7">
        <v>0.1</v>
      </c>
      <c r="D1392" s="7">
        <v>0.25</v>
      </c>
      <c r="E1392" s="7">
        <v>9.0</v>
      </c>
      <c r="F1392" s="7">
        <v>180.149859905242</v>
      </c>
      <c r="G1392" s="7">
        <v>463.083832740783</v>
      </c>
      <c r="H1392" s="7">
        <v>0.0</v>
      </c>
      <c r="I1392" s="15">
        <v>0.721600197909957</v>
      </c>
      <c r="J1392" s="15">
        <v>0.139756778749361</v>
      </c>
      <c r="K1392" s="12">
        <f>AVERAGE(I1392:I1396)</f>
        <v>0.4537828539</v>
      </c>
      <c r="L1392" s="18">
        <v>3706.0</v>
      </c>
      <c r="M1392" s="14">
        <f>STDEV(L1392:L1396)</f>
        <v>30927.9153</v>
      </c>
      <c r="N1392" s="15" t="b">
        <f t="shared" si="1"/>
        <v>0</v>
      </c>
    </row>
    <row r="1393" hidden="1">
      <c r="A1393" s="7" t="s">
        <v>286</v>
      </c>
      <c r="B1393" s="7" t="s">
        <v>268</v>
      </c>
      <c r="C1393" s="7">
        <v>0.1</v>
      </c>
      <c r="D1393" s="7">
        <v>0.25</v>
      </c>
      <c r="E1393" s="7">
        <v>9.0</v>
      </c>
      <c r="F1393" s="7">
        <v>180.149859905242</v>
      </c>
      <c r="G1393" s="7">
        <v>463.083832740783</v>
      </c>
      <c r="H1393" s="7">
        <v>1.0</v>
      </c>
      <c r="I1393" s="15">
        <v>0.834921728668228</v>
      </c>
      <c r="J1393" s="15">
        <v>0.0906837833478207</v>
      </c>
      <c r="K1393" s="12">
        <f>AVERAGE(I1392:I1396)</f>
        <v>0.4537828539</v>
      </c>
      <c r="L1393" s="18">
        <v>6958.0</v>
      </c>
      <c r="M1393" s="14">
        <f>STDEV(L1392:L1396)</f>
        <v>30927.9153</v>
      </c>
      <c r="N1393" s="15" t="b">
        <f t="shared" si="1"/>
        <v>0</v>
      </c>
    </row>
    <row r="1394" hidden="1">
      <c r="A1394" s="7" t="s">
        <v>286</v>
      </c>
      <c r="B1394" s="7" t="s">
        <v>268</v>
      </c>
      <c r="C1394" s="7">
        <v>0.1</v>
      </c>
      <c r="D1394" s="7">
        <v>0.25</v>
      </c>
      <c r="E1394" s="7">
        <v>9.0</v>
      </c>
      <c r="F1394" s="7">
        <v>180.149859905242</v>
      </c>
      <c r="G1394" s="7">
        <v>463.083832740783</v>
      </c>
      <c r="H1394" s="7">
        <v>2.0</v>
      </c>
      <c r="I1394" s="15">
        <v>0.113554779868564</v>
      </c>
      <c r="J1394" s="15">
        <v>0.0849773689780585</v>
      </c>
      <c r="K1394" s="12">
        <f>AVERAGE(I1392:I1396)</f>
        <v>0.4537828539</v>
      </c>
      <c r="L1394" s="18">
        <v>78557.0</v>
      </c>
      <c r="M1394" s="14">
        <f>STDEV(L1392:L1396)</f>
        <v>30927.9153</v>
      </c>
      <c r="N1394" s="15" t="b">
        <f t="shared" si="1"/>
        <v>0</v>
      </c>
    </row>
    <row r="1395" hidden="1">
      <c r="A1395" s="7" t="s">
        <v>286</v>
      </c>
      <c r="B1395" s="7" t="s">
        <v>268</v>
      </c>
      <c r="C1395" s="7">
        <v>0.1</v>
      </c>
      <c r="D1395" s="7">
        <v>0.25</v>
      </c>
      <c r="E1395" s="7">
        <v>9.0</v>
      </c>
      <c r="F1395" s="7">
        <v>180.149859905242</v>
      </c>
      <c r="G1395" s="7">
        <v>463.083832740783</v>
      </c>
      <c r="H1395" s="7">
        <v>3.0</v>
      </c>
      <c r="I1395" s="15">
        <v>0.373480033220221</v>
      </c>
      <c r="J1395" s="15">
        <v>0.0710134576657421</v>
      </c>
      <c r="K1395" s="12">
        <f>AVERAGE(I1392:I1396)</f>
        <v>0.4537828539</v>
      </c>
      <c r="L1395" s="18">
        <v>15470.0</v>
      </c>
      <c r="M1395" s="14">
        <f>STDEV(L1392:L1396)</f>
        <v>30927.9153</v>
      </c>
      <c r="N1395" s="15" t="b">
        <f t="shared" si="1"/>
        <v>0</v>
      </c>
    </row>
    <row r="1396" hidden="1">
      <c r="A1396" s="7" t="s">
        <v>286</v>
      </c>
      <c r="B1396" s="7" t="s">
        <v>268</v>
      </c>
      <c r="C1396" s="7">
        <v>0.1</v>
      </c>
      <c r="D1396" s="7">
        <v>0.25</v>
      </c>
      <c r="E1396" s="7">
        <v>9.0</v>
      </c>
      <c r="F1396" s="7">
        <v>180.149859905242</v>
      </c>
      <c r="G1396" s="7">
        <v>463.083832740783</v>
      </c>
      <c r="H1396" s="7">
        <v>4.0</v>
      </c>
      <c r="I1396" s="15">
        <v>0.22535752978434</v>
      </c>
      <c r="J1396" s="15">
        <v>0.122526719120184</v>
      </c>
      <c r="K1396" s="12">
        <f>AVERAGE(I1392:I1396)</f>
        <v>0.4537828539</v>
      </c>
      <c r="L1396" s="18">
        <v>36985.0</v>
      </c>
      <c r="M1396" s="14">
        <f>STDEV(L1392:L1396)</f>
        <v>30927.9153</v>
      </c>
      <c r="N1396" s="15" t="b">
        <f t="shared" si="1"/>
        <v>0</v>
      </c>
    </row>
    <row r="1397" hidden="1">
      <c r="A1397" s="7" t="s">
        <v>287</v>
      </c>
      <c r="B1397" s="7" t="s">
        <v>268</v>
      </c>
      <c r="C1397" s="7">
        <v>0.1</v>
      </c>
      <c r="D1397" s="7">
        <v>0.25</v>
      </c>
      <c r="E1397" s="7">
        <v>10.0</v>
      </c>
      <c r="F1397" s="7">
        <v>119.446316480636</v>
      </c>
      <c r="G1397" s="7">
        <v>264.374727487564</v>
      </c>
      <c r="H1397" s="7">
        <v>0.0</v>
      </c>
      <c r="I1397" s="15">
        <v>0.738183885504333</v>
      </c>
      <c r="J1397" s="15">
        <v>0.153891687859148</v>
      </c>
      <c r="K1397" s="12">
        <f>AVERAGE(I1397:I1401)</f>
        <v>0.5249150409</v>
      </c>
      <c r="L1397" s="18">
        <v>1699.0</v>
      </c>
      <c r="M1397" s="14">
        <f>STDEV(L1397:L1401)</f>
        <v>31217.50376</v>
      </c>
      <c r="N1397" s="15" t="b">
        <f t="shared" si="1"/>
        <v>0</v>
      </c>
    </row>
    <row r="1398" hidden="1">
      <c r="A1398" s="7" t="s">
        <v>287</v>
      </c>
      <c r="B1398" s="7" t="s">
        <v>268</v>
      </c>
      <c r="C1398" s="7">
        <v>0.1</v>
      </c>
      <c r="D1398" s="7">
        <v>0.25</v>
      </c>
      <c r="E1398" s="7">
        <v>10.0</v>
      </c>
      <c r="F1398" s="7">
        <v>119.446316480636</v>
      </c>
      <c r="G1398" s="7">
        <v>264.374727487564</v>
      </c>
      <c r="H1398" s="7">
        <v>1.0</v>
      </c>
      <c r="I1398" s="15">
        <v>0.858407465161574</v>
      </c>
      <c r="J1398" s="15">
        <v>0.100877754636509</v>
      </c>
      <c r="K1398" s="12">
        <f>AVERAGE(I1397:I1401)</f>
        <v>0.5249150409</v>
      </c>
      <c r="L1398" s="18">
        <v>5173.0</v>
      </c>
      <c r="M1398" s="14">
        <f>STDEV(L1397:L1401)</f>
        <v>31217.50376</v>
      </c>
      <c r="N1398" s="15" t="b">
        <f t="shared" si="1"/>
        <v>0</v>
      </c>
    </row>
    <row r="1399" hidden="1">
      <c r="A1399" s="7" t="s">
        <v>287</v>
      </c>
      <c r="B1399" s="7" t="s">
        <v>268</v>
      </c>
      <c r="C1399" s="7">
        <v>0.1</v>
      </c>
      <c r="D1399" s="7">
        <v>0.25</v>
      </c>
      <c r="E1399" s="7">
        <v>10.0</v>
      </c>
      <c r="F1399" s="7">
        <v>119.446316480636</v>
      </c>
      <c r="G1399" s="7">
        <v>264.374727487564</v>
      </c>
      <c r="H1399" s="7">
        <v>2.0</v>
      </c>
      <c r="I1399" s="15">
        <v>0.770899086078419</v>
      </c>
      <c r="J1399" s="15">
        <v>0.121606892297699</v>
      </c>
      <c r="K1399" s="12">
        <f>AVERAGE(I1397:I1401)</f>
        <v>0.5249150409</v>
      </c>
      <c r="L1399" s="18">
        <v>15725.0</v>
      </c>
      <c r="M1399" s="14">
        <f>STDEV(L1397:L1401)</f>
        <v>31217.50376</v>
      </c>
      <c r="N1399" s="15" t="b">
        <f t="shared" si="1"/>
        <v>0</v>
      </c>
    </row>
    <row r="1400" hidden="1">
      <c r="A1400" s="7" t="s">
        <v>287</v>
      </c>
      <c r="B1400" s="7" t="s">
        <v>268</v>
      </c>
      <c r="C1400" s="7">
        <v>0.1</v>
      </c>
      <c r="D1400" s="7">
        <v>0.25</v>
      </c>
      <c r="E1400" s="7">
        <v>10.0</v>
      </c>
      <c r="F1400" s="7">
        <v>119.446316480636</v>
      </c>
      <c r="G1400" s="7">
        <v>264.374727487564</v>
      </c>
      <c r="H1400" s="7">
        <v>3.0</v>
      </c>
      <c r="I1400" s="15">
        <v>0.105803858404982</v>
      </c>
      <c r="J1400" s="15">
        <v>0.0870377375851476</v>
      </c>
      <c r="K1400" s="12">
        <f>AVERAGE(I1397:I1401)</f>
        <v>0.5249150409</v>
      </c>
      <c r="L1400" s="18">
        <v>76058.0</v>
      </c>
      <c r="M1400" s="14">
        <f>STDEV(L1397:L1401)</f>
        <v>31217.50376</v>
      </c>
      <c r="N1400" s="15" t="b">
        <f t="shared" si="1"/>
        <v>0</v>
      </c>
    </row>
    <row r="1401" hidden="1">
      <c r="A1401" s="7" t="s">
        <v>287</v>
      </c>
      <c r="B1401" s="7" t="s">
        <v>268</v>
      </c>
      <c r="C1401" s="7">
        <v>0.1</v>
      </c>
      <c r="D1401" s="7">
        <v>0.25</v>
      </c>
      <c r="E1401" s="7">
        <v>10.0</v>
      </c>
      <c r="F1401" s="7">
        <v>119.446316480636</v>
      </c>
      <c r="G1401" s="7">
        <v>264.374727487564</v>
      </c>
      <c r="H1401" s="7">
        <v>4.0</v>
      </c>
      <c r="I1401" s="15">
        <v>0.151280909246903</v>
      </c>
      <c r="J1401" s="15">
        <v>0.0795073822328309</v>
      </c>
      <c r="K1401" s="12">
        <f>AVERAGE(I1397:I1401)</f>
        <v>0.5249150409</v>
      </c>
      <c r="L1401" s="18">
        <v>43021.0</v>
      </c>
      <c r="M1401" s="14">
        <f>STDEV(L1397:L1401)</f>
        <v>31217.50376</v>
      </c>
      <c r="N1401" s="15" t="b">
        <f t="shared" si="1"/>
        <v>0</v>
      </c>
    </row>
    <row r="1402" hidden="1">
      <c r="A1402" s="7" t="s">
        <v>288</v>
      </c>
      <c r="B1402" s="7" t="s">
        <v>268</v>
      </c>
      <c r="C1402" s="7">
        <v>0.1</v>
      </c>
      <c r="D1402" s="7">
        <v>0.5</v>
      </c>
      <c r="E1402" s="7">
        <v>1.0</v>
      </c>
      <c r="F1402" s="7">
        <v>222.307966709136</v>
      </c>
      <c r="G1402" s="7">
        <v>467.339594841003</v>
      </c>
      <c r="H1402" s="7">
        <v>0.0</v>
      </c>
      <c r="I1402" s="15">
        <v>0.48438989010005</v>
      </c>
      <c r="J1402" s="15">
        <v>0.164279032514209</v>
      </c>
      <c r="K1402" s="12">
        <f>AVERAGE(I1402:I1406)</f>
        <v>0.4573557883</v>
      </c>
      <c r="L1402" s="18">
        <v>21788.0</v>
      </c>
      <c r="M1402" s="14">
        <f>STDEV(L1402:L1406)</f>
        <v>37225.37885</v>
      </c>
      <c r="N1402" s="15" t="b">
        <f t="shared" si="1"/>
        <v>0</v>
      </c>
    </row>
    <row r="1403" hidden="1">
      <c r="A1403" s="7" t="s">
        <v>288</v>
      </c>
      <c r="B1403" s="7" t="s">
        <v>268</v>
      </c>
      <c r="C1403" s="7">
        <v>0.1</v>
      </c>
      <c r="D1403" s="7">
        <v>0.5</v>
      </c>
      <c r="E1403" s="7">
        <v>1.0</v>
      </c>
      <c r="F1403" s="7">
        <v>222.307966709136</v>
      </c>
      <c r="G1403" s="7">
        <v>467.339594841003</v>
      </c>
      <c r="H1403" s="7">
        <v>1.0</v>
      </c>
      <c r="I1403" s="15">
        <v>0.088389928975135</v>
      </c>
      <c r="J1403" s="15">
        <v>0.0593237920718217</v>
      </c>
      <c r="K1403" s="12">
        <f>AVERAGE(I1402:I1406)</f>
        <v>0.4573557883</v>
      </c>
      <c r="L1403" s="18">
        <v>94055.0</v>
      </c>
      <c r="M1403" s="14">
        <f>STDEV(L1402:L1406)</f>
        <v>37225.37885</v>
      </c>
      <c r="N1403" s="15" t="b">
        <f t="shared" si="1"/>
        <v>0</v>
      </c>
    </row>
    <row r="1404" hidden="1">
      <c r="A1404" s="7" t="s">
        <v>288</v>
      </c>
      <c r="B1404" s="7" t="s">
        <v>268</v>
      </c>
      <c r="C1404" s="7">
        <v>0.1</v>
      </c>
      <c r="D1404" s="7">
        <v>0.5</v>
      </c>
      <c r="E1404" s="7">
        <v>1.0</v>
      </c>
      <c r="F1404" s="7">
        <v>222.307966709136</v>
      </c>
      <c r="G1404" s="7">
        <v>467.339594841003</v>
      </c>
      <c r="H1404" s="7">
        <v>2.0</v>
      </c>
      <c r="I1404" s="15">
        <v>0.763811780906271</v>
      </c>
      <c r="J1404" s="15">
        <v>0.136561536927473</v>
      </c>
      <c r="K1404" s="12">
        <f>AVERAGE(I1402:I1406)</f>
        <v>0.4573557883</v>
      </c>
      <c r="L1404" s="18">
        <v>7827.0</v>
      </c>
      <c r="M1404" s="14">
        <f>STDEV(L1402:L1406)</f>
        <v>37225.37885</v>
      </c>
      <c r="N1404" s="15" t="b">
        <f t="shared" si="1"/>
        <v>0</v>
      </c>
    </row>
    <row r="1405" hidden="1">
      <c r="A1405" s="7" t="s">
        <v>288</v>
      </c>
      <c r="B1405" s="7" t="s">
        <v>268</v>
      </c>
      <c r="C1405" s="7">
        <v>0.1</v>
      </c>
      <c r="D1405" s="7">
        <v>0.5</v>
      </c>
      <c r="E1405" s="7">
        <v>1.0</v>
      </c>
      <c r="F1405" s="7">
        <v>222.307966709136</v>
      </c>
      <c r="G1405" s="7">
        <v>467.339594841003</v>
      </c>
      <c r="H1405" s="7">
        <v>3.0</v>
      </c>
      <c r="I1405" s="15">
        <v>0.128950392335093</v>
      </c>
      <c r="J1405" s="15">
        <v>0.15482507434202</v>
      </c>
      <c r="K1405" s="12">
        <f>AVERAGE(I1402:I1406)</f>
        <v>0.4573557883</v>
      </c>
      <c r="L1405" s="18">
        <v>11543.0</v>
      </c>
      <c r="M1405" s="14">
        <f>STDEV(L1402:L1406)</f>
        <v>37225.37885</v>
      </c>
      <c r="N1405" s="15" t="b">
        <f t="shared" si="1"/>
        <v>0</v>
      </c>
    </row>
    <row r="1406" hidden="1">
      <c r="A1406" s="7" t="s">
        <v>288</v>
      </c>
      <c r="B1406" s="7" t="s">
        <v>268</v>
      </c>
      <c r="C1406" s="7">
        <v>0.1</v>
      </c>
      <c r="D1406" s="7">
        <v>0.5</v>
      </c>
      <c r="E1406" s="7">
        <v>1.0</v>
      </c>
      <c r="F1406" s="7">
        <v>222.307966709136</v>
      </c>
      <c r="G1406" s="7">
        <v>467.339594841003</v>
      </c>
      <c r="H1406" s="7">
        <v>4.0</v>
      </c>
      <c r="I1406" s="15">
        <v>0.821236949140458</v>
      </c>
      <c r="J1406" s="15">
        <v>0.107768811426067</v>
      </c>
      <c r="K1406" s="12">
        <f>AVERAGE(I1402:I1406)</f>
        <v>0.4573557883</v>
      </c>
      <c r="L1406" s="18">
        <v>6463.0</v>
      </c>
      <c r="M1406" s="14">
        <f>STDEV(L1402:L1406)</f>
        <v>37225.37885</v>
      </c>
      <c r="N1406" s="15" t="b">
        <f t="shared" si="1"/>
        <v>0</v>
      </c>
    </row>
    <row r="1407" hidden="1">
      <c r="A1407" s="7" t="s">
        <v>289</v>
      </c>
      <c r="B1407" s="7" t="s">
        <v>268</v>
      </c>
      <c r="C1407" s="7">
        <v>0.1</v>
      </c>
      <c r="D1407" s="7">
        <v>0.5</v>
      </c>
      <c r="E1407" s="7">
        <v>2.0</v>
      </c>
      <c r="F1407" s="7">
        <v>119.828891038894</v>
      </c>
      <c r="G1407" s="7">
        <v>279.843010425567</v>
      </c>
      <c r="H1407" s="7">
        <v>0.0</v>
      </c>
      <c r="I1407" s="15">
        <v>0.748864533782487</v>
      </c>
      <c r="J1407" s="15">
        <v>0.141454002045009</v>
      </c>
      <c r="K1407" s="12">
        <f>AVERAGE(I1407:I1411)</f>
        <v>0.5383556797</v>
      </c>
      <c r="L1407" s="18">
        <v>7594.0</v>
      </c>
      <c r="M1407" s="14">
        <f>STDEV(L1407:L1411)</f>
        <v>43461.64563</v>
      </c>
      <c r="N1407" s="15" t="b">
        <f t="shared" si="1"/>
        <v>0</v>
      </c>
    </row>
    <row r="1408" hidden="1">
      <c r="A1408" s="7" t="s">
        <v>289</v>
      </c>
      <c r="B1408" s="7" t="s">
        <v>268</v>
      </c>
      <c r="C1408" s="7">
        <v>0.1</v>
      </c>
      <c r="D1408" s="7">
        <v>0.5</v>
      </c>
      <c r="E1408" s="7">
        <v>2.0</v>
      </c>
      <c r="F1408" s="7">
        <v>119.828891038894</v>
      </c>
      <c r="G1408" s="7">
        <v>279.843010425567</v>
      </c>
      <c r="H1408" s="7">
        <v>1.0</v>
      </c>
      <c r="I1408" s="15">
        <v>0.82481329397833</v>
      </c>
      <c r="J1408" s="15">
        <v>0.112289508494504</v>
      </c>
      <c r="K1408" s="12">
        <f>AVERAGE(I1407:I1411)</f>
        <v>0.5383556797</v>
      </c>
      <c r="L1408" s="18">
        <v>7437.0</v>
      </c>
      <c r="M1408" s="14">
        <f>STDEV(L1407:L1411)</f>
        <v>43461.64563</v>
      </c>
      <c r="N1408" s="15" t="b">
        <f t="shared" si="1"/>
        <v>0</v>
      </c>
    </row>
    <row r="1409" hidden="1">
      <c r="A1409" s="7" t="s">
        <v>289</v>
      </c>
      <c r="B1409" s="7" t="s">
        <v>268</v>
      </c>
      <c r="C1409" s="7">
        <v>0.1</v>
      </c>
      <c r="D1409" s="7">
        <v>0.5</v>
      </c>
      <c r="E1409" s="7">
        <v>2.0</v>
      </c>
      <c r="F1409" s="7">
        <v>119.828891038894</v>
      </c>
      <c r="G1409" s="7">
        <v>279.843010425567</v>
      </c>
      <c r="H1409" s="7">
        <v>2.0</v>
      </c>
      <c r="I1409" s="15">
        <v>0.799581093210295</v>
      </c>
      <c r="J1409" s="15">
        <v>0.106100350580483</v>
      </c>
      <c r="K1409" s="12">
        <f>AVERAGE(I1407:I1411)</f>
        <v>0.5383556797</v>
      </c>
      <c r="L1409" s="18">
        <v>15260.0</v>
      </c>
      <c r="M1409" s="14">
        <f>STDEV(L1407:L1411)</f>
        <v>43461.64563</v>
      </c>
      <c r="N1409" s="15" t="b">
        <f t="shared" si="1"/>
        <v>0</v>
      </c>
    </row>
    <row r="1410" hidden="1">
      <c r="A1410" s="7" t="s">
        <v>289</v>
      </c>
      <c r="B1410" s="7" t="s">
        <v>268</v>
      </c>
      <c r="C1410" s="7">
        <v>0.1</v>
      </c>
      <c r="D1410" s="7">
        <v>0.5</v>
      </c>
      <c r="E1410" s="7">
        <v>2.0</v>
      </c>
      <c r="F1410" s="7">
        <v>119.828891038894</v>
      </c>
      <c r="G1410" s="7">
        <v>279.843010425567</v>
      </c>
      <c r="H1410" s="7">
        <v>3.0</v>
      </c>
      <c r="I1410" s="15">
        <v>0.257303924266794</v>
      </c>
      <c r="J1410" s="15">
        <v>0.146381865916179</v>
      </c>
      <c r="K1410" s="12">
        <f>AVERAGE(I1407:I1411)</f>
        <v>0.5383556797</v>
      </c>
      <c r="L1410" s="18">
        <v>5588.0</v>
      </c>
      <c r="M1410" s="14">
        <f>STDEV(L1407:L1411)</f>
        <v>43461.64563</v>
      </c>
      <c r="N1410" s="15" t="b">
        <f t="shared" si="1"/>
        <v>0</v>
      </c>
    </row>
    <row r="1411" hidden="1">
      <c r="A1411" s="7" t="s">
        <v>289</v>
      </c>
      <c r="B1411" s="7" t="s">
        <v>268</v>
      </c>
      <c r="C1411" s="7">
        <v>0.1</v>
      </c>
      <c r="D1411" s="7">
        <v>0.5</v>
      </c>
      <c r="E1411" s="7">
        <v>2.0</v>
      </c>
      <c r="F1411" s="7">
        <v>119.828891038894</v>
      </c>
      <c r="G1411" s="7">
        <v>279.843010425567</v>
      </c>
      <c r="H1411" s="7">
        <v>4.0</v>
      </c>
      <c r="I1411" s="15">
        <v>0.0612155533277567</v>
      </c>
      <c r="J1411" s="15">
        <v>0.0623454343277741</v>
      </c>
      <c r="K1411" s="12">
        <f>AVERAGE(I1407:I1411)</f>
        <v>0.5383556797</v>
      </c>
      <c r="L1411" s="18">
        <v>105797.0</v>
      </c>
      <c r="M1411" s="14">
        <f>STDEV(L1407:L1411)</f>
        <v>43461.64563</v>
      </c>
      <c r="N1411" s="15" t="b">
        <f t="shared" si="1"/>
        <v>0</v>
      </c>
    </row>
    <row r="1412" hidden="1">
      <c r="A1412" s="7" t="s">
        <v>290</v>
      </c>
      <c r="B1412" s="7" t="s">
        <v>268</v>
      </c>
      <c r="C1412" s="7">
        <v>0.1</v>
      </c>
      <c r="D1412" s="7">
        <v>0.5</v>
      </c>
      <c r="E1412" s="7">
        <v>3.0</v>
      </c>
      <c r="F1412" s="7">
        <v>189.064239263534</v>
      </c>
      <c r="G1412" s="7">
        <v>473.996476411819</v>
      </c>
      <c r="H1412" s="7">
        <v>0.0</v>
      </c>
      <c r="I1412" s="15">
        <v>0.765540405429146</v>
      </c>
      <c r="J1412" s="15">
        <v>0.134559795535702</v>
      </c>
      <c r="K1412" s="12">
        <f>AVERAGE(I1412:I1416)</f>
        <v>0.6416167705</v>
      </c>
      <c r="L1412" s="18">
        <v>15486.0</v>
      </c>
      <c r="M1412" s="14">
        <f>STDEV(L1412:L1416)</f>
        <v>41312.37719</v>
      </c>
      <c r="N1412" s="15" t="b">
        <f t="shared" si="1"/>
        <v>0</v>
      </c>
    </row>
    <row r="1413" hidden="1">
      <c r="A1413" s="7" t="s">
        <v>290</v>
      </c>
      <c r="B1413" s="7" t="s">
        <v>268</v>
      </c>
      <c r="C1413" s="7">
        <v>0.1</v>
      </c>
      <c r="D1413" s="7">
        <v>0.5</v>
      </c>
      <c r="E1413" s="7">
        <v>3.0</v>
      </c>
      <c r="F1413" s="7">
        <v>189.064239263534</v>
      </c>
      <c r="G1413" s="7">
        <v>473.996476411819</v>
      </c>
      <c r="H1413" s="7">
        <v>1.0</v>
      </c>
      <c r="I1413" s="15">
        <v>0.858493096604415</v>
      </c>
      <c r="J1413" s="15">
        <v>0.10011485600046</v>
      </c>
      <c r="K1413" s="12">
        <f>AVERAGE(I1412:I1416)</f>
        <v>0.6416167705</v>
      </c>
      <c r="L1413" s="18">
        <v>5167.0</v>
      </c>
      <c r="M1413" s="14">
        <f>STDEV(L1412:L1416)</f>
        <v>41312.37719</v>
      </c>
      <c r="N1413" s="15" t="b">
        <f t="shared" si="1"/>
        <v>0</v>
      </c>
    </row>
    <row r="1414" hidden="1">
      <c r="A1414" s="7" t="s">
        <v>290</v>
      </c>
      <c r="B1414" s="7" t="s">
        <v>268</v>
      </c>
      <c r="C1414" s="7">
        <v>0.1</v>
      </c>
      <c r="D1414" s="7">
        <v>0.5</v>
      </c>
      <c r="E1414" s="7">
        <v>3.0</v>
      </c>
      <c r="F1414" s="7">
        <v>189.064239263534</v>
      </c>
      <c r="G1414" s="7">
        <v>473.996476411819</v>
      </c>
      <c r="H1414" s="7">
        <v>2.0</v>
      </c>
      <c r="I1414" s="15">
        <v>0.715258837696213</v>
      </c>
      <c r="J1414" s="15">
        <v>0.153125178450604</v>
      </c>
      <c r="K1414" s="12">
        <f>AVERAGE(I1412:I1416)</f>
        <v>0.6416167705</v>
      </c>
      <c r="L1414" s="18">
        <v>13535.0</v>
      </c>
      <c r="M1414" s="14">
        <f>STDEV(L1412:L1416)</f>
        <v>41312.37719</v>
      </c>
      <c r="N1414" s="15" t="b">
        <f t="shared" si="1"/>
        <v>0</v>
      </c>
    </row>
    <row r="1415" hidden="1">
      <c r="A1415" s="7" t="s">
        <v>290</v>
      </c>
      <c r="B1415" s="7" t="s">
        <v>268</v>
      </c>
      <c r="C1415" s="7">
        <v>0.1</v>
      </c>
      <c r="D1415" s="7">
        <v>0.5</v>
      </c>
      <c r="E1415" s="7">
        <v>3.0</v>
      </c>
      <c r="F1415" s="7">
        <v>189.064239263534</v>
      </c>
      <c r="G1415" s="7">
        <v>473.996476411819</v>
      </c>
      <c r="H1415" s="7">
        <v>3.0</v>
      </c>
      <c r="I1415" s="15">
        <v>0.806435996527053</v>
      </c>
      <c r="J1415" s="15">
        <v>0.11656680383325</v>
      </c>
      <c r="K1415" s="12">
        <f>AVERAGE(I1412:I1416)</f>
        <v>0.6416167705</v>
      </c>
      <c r="L1415" s="18">
        <v>5709.0</v>
      </c>
      <c r="M1415" s="14">
        <f>STDEV(L1412:L1416)</f>
        <v>41312.37719</v>
      </c>
      <c r="N1415" s="15" t="b">
        <f t="shared" si="1"/>
        <v>0</v>
      </c>
    </row>
    <row r="1416" hidden="1">
      <c r="A1416" s="7" t="s">
        <v>290</v>
      </c>
      <c r="B1416" s="7" t="s">
        <v>268</v>
      </c>
      <c r="C1416" s="7">
        <v>0.1</v>
      </c>
      <c r="D1416" s="7">
        <v>0.5</v>
      </c>
      <c r="E1416" s="7">
        <v>3.0</v>
      </c>
      <c r="F1416" s="7">
        <v>189.064239263534</v>
      </c>
      <c r="G1416" s="7">
        <v>473.996476411819</v>
      </c>
      <c r="H1416" s="7">
        <v>4.0</v>
      </c>
      <c r="I1416" s="15">
        <v>0.0623555161278702</v>
      </c>
      <c r="J1416" s="15">
        <v>0.0633094755485826</v>
      </c>
      <c r="K1416" s="12">
        <f>AVERAGE(I1412:I1416)</f>
        <v>0.6416167705</v>
      </c>
      <c r="L1416" s="18">
        <v>101779.0</v>
      </c>
      <c r="M1416" s="14">
        <f>STDEV(L1412:L1416)</f>
        <v>41312.37719</v>
      </c>
      <c r="N1416" s="15" t="b">
        <f t="shared" si="1"/>
        <v>0</v>
      </c>
    </row>
    <row r="1417" hidden="1">
      <c r="A1417" s="7" t="s">
        <v>291</v>
      </c>
      <c r="B1417" s="21" t="s">
        <v>268</v>
      </c>
      <c r="C1417" s="21">
        <v>0.1</v>
      </c>
      <c r="D1417" s="21">
        <v>0.5</v>
      </c>
      <c r="E1417" s="21">
        <v>4.0</v>
      </c>
      <c r="F1417" s="7">
        <v>149.667080640792</v>
      </c>
      <c r="G1417" s="7">
        <v>391.762522220611</v>
      </c>
      <c r="H1417" s="7">
        <v>0.0</v>
      </c>
      <c r="I1417" s="15">
        <v>0.807521760521027</v>
      </c>
      <c r="J1417" s="15">
        <v>0.116904961055792</v>
      </c>
      <c r="K1417" s="12">
        <f>AVERAGE(I1417:I1421)</f>
        <v>0.6902618422</v>
      </c>
      <c r="L1417" s="18">
        <v>5709.0</v>
      </c>
      <c r="M1417" s="14">
        <f>STDEV(L1417:L1421)</f>
        <v>52910.3734</v>
      </c>
      <c r="N1417" s="15" t="b">
        <f t="shared" si="1"/>
        <v>1</v>
      </c>
    </row>
    <row r="1418" hidden="1">
      <c r="A1418" s="7" t="s">
        <v>291</v>
      </c>
      <c r="B1418" s="21" t="s">
        <v>268</v>
      </c>
      <c r="C1418" s="21">
        <v>0.1</v>
      </c>
      <c r="D1418" s="21">
        <v>0.5</v>
      </c>
      <c r="E1418" s="21">
        <v>4.0</v>
      </c>
      <c r="F1418" s="7">
        <v>149.667080640792</v>
      </c>
      <c r="G1418" s="7">
        <v>391.762522220611</v>
      </c>
      <c r="H1418" s="7">
        <v>1.0</v>
      </c>
      <c r="I1418" s="15">
        <v>0.841556796318667</v>
      </c>
      <c r="J1418" s="15">
        <v>0.0808696602859886</v>
      </c>
      <c r="K1418" s="12">
        <f>AVERAGE(I1417:I1421)</f>
        <v>0.6902618422</v>
      </c>
      <c r="L1418" s="18">
        <v>6942.0</v>
      </c>
      <c r="M1418" s="14">
        <f>STDEV(L1417:L1421)</f>
        <v>52910.3734</v>
      </c>
      <c r="N1418" s="15" t="b">
        <f t="shared" si="1"/>
        <v>1</v>
      </c>
    </row>
    <row r="1419" hidden="1">
      <c r="A1419" s="7" t="s">
        <v>291</v>
      </c>
      <c r="B1419" s="21" t="s">
        <v>268</v>
      </c>
      <c r="C1419" s="21">
        <v>0.1</v>
      </c>
      <c r="D1419" s="21">
        <v>0.5</v>
      </c>
      <c r="E1419" s="21">
        <v>4.0</v>
      </c>
      <c r="F1419" s="7">
        <v>149.667080640792</v>
      </c>
      <c r="G1419" s="7">
        <v>391.762522220611</v>
      </c>
      <c r="H1419" s="7">
        <v>2.0</v>
      </c>
      <c r="I1419" s="15">
        <v>0.0746371420339422</v>
      </c>
      <c r="J1419" s="15">
        <v>0.0555168113381487</v>
      </c>
      <c r="K1419" s="12">
        <f>AVERAGE(I1417:I1421)</f>
        <v>0.6902618422</v>
      </c>
      <c r="L1419" s="18">
        <v>122927.0</v>
      </c>
      <c r="M1419" s="14">
        <f>STDEV(L1417:L1421)</f>
        <v>52910.3734</v>
      </c>
      <c r="N1419" s="15" t="b">
        <f t="shared" si="1"/>
        <v>1</v>
      </c>
    </row>
    <row r="1420" hidden="1">
      <c r="A1420" s="7" t="s">
        <v>291</v>
      </c>
      <c r="B1420" s="21" t="s">
        <v>268</v>
      </c>
      <c r="C1420" s="21">
        <v>0.1</v>
      </c>
      <c r="D1420" s="21">
        <v>0.5</v>
      </c>
      <c r="E1420" s="21">
        <v>4.0</v>
      </c>
      <c r="F1420" s="7">
        <v>149.667080640792</v>
      </c>
      <c r="G1420" s="7">
        <v>391.762522220611</v>
      </c>
      <c r="H1420" s="7">
        <v>3.0</v>
      </c>
      <c r="I1420" s="15">
        <v>0.913179316740548</v>
      </c>
      <c r="J1420" s="15">
        <v>0.0342081659292451</v>
      </c>
      <c r="K1420" s="12">
        <f>AVERAGE(I1417:I1421)</f>
        <v>0.6902618422</v>
      </c>
      <c r="L1420" s="18">
        <v>2043.0</v>
      </c>
      <c r="M1420" s="14">
        <f>STDEV(L1417:L1421)</f>
        <v>52910.3734</v>
      </c>
      <c r="N1420" s="15" t="b">
        <f t="shared" si="1"/>
        <v>1</v>
      </c>
    </row>
    <row r="1421" hidden="1">
      <c r="A1421" s="7" t="s">
        <v>291</v>
      </c>
      <c r="B1421" s="21" t="s">
        <v>268</v>
      </c>
      <c r="C1421" s="21">
        <v>0.1</v>
      </c>
      <c r="D1421" s="21">
        <v>0.5</v>
      </c>
      <c r="E1421" s="21">
        <v>4.0</v>
      </c>
      <c r="F1421" s="7">
        <v>149.667080640792</v>
      </c>
      <c r="G1421" s="7">
        <v>391.762522220611</v>
      </c>
      <c r="H1421" s="7">
        <v>4.0</v>
      </c>
      <c r="I1421" s="15">
        <v>0.814414195177318</v>
      </c>
      <c r="J1421" s="15">
        <v>0.0751530670392171</v>
      </c>
      <c r="K1421" s="12">
        <f>AVERAGE(I1417:I1421)</f>
        <v>0.6902618422</v>
      </c>
      <c r="L1421" s="18">
        <v>4055.0</v>
      </c>
      <c r="M1421" s="14">
        <f>STDEV(L1417:L1421)</f>
        <v>52910.3734</v>
      </c>
      <c r="N1421" s="15" t="b">
        <f t="shared" si="1"/>
        <v>1</v>
      </c>
    </row>
    <row r="1422" hidden="1">
      <c r="A1422" s="7" t="s">
        <v>292</v>
      </c>
      <c r="B1422" s="7" t="s">
        <v>268</v>
      </c>
      <c r="C1422" s="7">
        <v>0.1</v>
      </c>
      <c r="D1422" s="7">
        <v>0.5</v>
      </c>
      <c r="E1422" s="7">
        <v>5.0</v>
      </c>
      <c r="F1422" s="7">
        <v>141.127646684646</v>
      </c>
      <c r="G1422" s="7">
        <v>426.610791444778</v>
      </c>
      <c r="H1422" s="7">
        <v>0.0</v>
      </c>
      <c r="I1422" s="15">
        <v>0.0492065927623146</v>
      </c>
      <c r="J1422" s="15">
        <v>0.0570769877563959</v>
      </c>
      <c r="K1422" s="12">
        <f>AVERAGE(I1422:I1426)</f>
        <v>0.5992403801</v>
      </c>
      <c r="L1422" s="18">
        <v>97405.0</v>
      </c>
      <c r="M1422" s="14">
        <f>STDEV(L1422:L1426)</f>
        <v>39147.97547</v>
      </c>
      <c r="N1422" s="15" t="b">
        <f t="shared" si="1"/>
        <v>0</v>
      </c>
    </row>
    <row r="1423" hidden="1">
      <c r="A1423" s="7" t="s">
        <v>292</v>
      </c>
      <c r="B1423" s="7" t="s">
        <v>268</v>
      </c>
      <c r="C1423" s="7">
        <v>0.1</v>
      </c>
      <c r="D1423" s="7">
        <v>0.5</v>
      </c>
      <c r="E1423" s="7">
        <v>5.0</v>
      </c>
      <c r="F1423" s="7">
        <v>141.127646684646</v>
      </c>
      <c r="G1423" s="7">
        <v>426.610791444778</v>
      </c>
      <c r="H1423" s="7">
        <v>1.0</v>
      </c>
      <c r="I1423" s="15">
        <v>0.761490923479996</v>
      </c>
      <c r="J1423" s="15">
        <v>0.138452765409138</v>
      </c>
      <c r="K1423" s="12">
        <f>AVERAGE(I1422:I1426)</f>
        <v>0.5992403801</v>
      </c>
      <c r="L1423" s="18">
        <v>15667.0</v>
      </c>
      <c r="M1423" s="14">
        <f>STDEV(L1422:L1426)</f>
        <v>39147.97547</v>
      </c>
      <c r="N1423" s="15" t="b">
        <f t="shared" si="1"/>
        <v>0</v>
      </c>
    </row>
    <row r="1424" hidden="1">
      <c r="A1424" s="7" t="s">
        <v>292</v>
      </c>
      <c r="B1424" s="7" t="s">
        <v>268</v>
      </c>
      <c r="C1424" s="7">
        <v>0.1</v>
      </c>
      <c r="D1424" s="7">
        <v>0.5</v>
      </c>
      <c r="E1424" s="7">
        <v>5.0</v>
      </c>
      <c r="F1424" s="7">
        <v>141.127646684646</v>
      </c>
      <c r="G1424" s="7">
        <v>426.610791444778</v>
      </c>
      <c r="H1424" s="7">
        <v>2.0</v>
      </c>
      <c r="I1424" s="15">
        <v>0.751565300338236</v>
      </c>
      <c r="J1424" s="15">
        <v>0.133378726543709</v>
      </c>
      <c r="K1424" s="12">
        <f>AVERAGE(I1422:I1426)</f>
        <v>0.5992403801</v>
      </c>
      <c r="L1424" s="18">
        <v>7594.0</v>
      </c>
      <c r="M1424" s="14">
        <f>STDEV(L1422:L1426)</f>
        <v>39147.97547</v>
      </c>
      <c r="N1424" s="15" t="b">
        <f t="shared" si="1"/>
        <v>0</v>
      </c>
    </row>
    <row r="1425" hidden="1">
      <c r="A1425" s="7" t="s">
        <v>292</v>
      </c>
      <c r="B1425" s="7" t="s">
        <v>268</v>
      </c>
      <c r="C1425" s="7">
        <v>0.1</v>
      </c>
      <c r="D1425" s="7">
        <v>0.5</v>
      </c>
      <c r="E1425" s="7">
        <v>5.0</v>
      </c>
      <c r="F1425" s="7">
        <v>141.127646684646</v>
      </c>
      <c r="G1425" s="7">
        <v>426.610791444778</v>
      </c>
      <c r="H1425" s="7">
        <v>3.0</v>
      </c>
      <c r="I1425" s="15">
        <v>0.645911169310116</v>
      </c>
      <c r="J1425" s="15">
        <v>0.126028358545424</v>
      </c>
      <c r="K1425" s="12">
        <f>AVERAGE(I1422:I1426)</f>
        <v>0.5992403801</v>
      </c>
      <c r="L1425" s="18">
        <v>2347.0</v>
      </c>
      <c r="M1425" s="14">
        <f>STDEV(L1422:L1426)</f>
        <v>39147.97547</v>
      </c>
      <c r="N1425" s="15" t="b">
        <f t="shared" si="1"/>
        <v>0</v>
      </c>
    </row>
    <row r="1426" hidden="1">
      <c r="A1426" s="7" t="s">
        <v>292</v>
      </c>
      <c r="B1426" s="7" t="s">
        <v>268</v>
      </c>
      <c r="C1426" s="7">
        <v>0.1</v>
      </c>
      <c r="D1426" s="7">
        <v>0.5</v>
      </c>
      <c r="E1426" s="7">
        <v>5.0</v>
      </c>
      <c r="F1426" s="7">
        <v>141.127646684646</v>
      </c>
      <c r="G1426" s="7">
        <v>426.610791444778</v>
      </c>
      <c r="H1426" s="7">
        <v>4.0</v>
      </c>
      <c r="I1426" s="15">
        <v>0.788027914852244</v>
      </c>
      <c r="J1426" s="15">
        <v>0.103806875768026</v>
      </c>
      <c r="K1426" s="12">
        <f>AVERAGE(I1422:I1426)</f>
        <v>0.5992403801</v>
      </c>
      <c r="L1426" s="18">
        <v>18663.0</v>
      </c>
      <c r="M1426" s="14">
        <f>STDEV(L1422:L1426)</f>
        <v>39147.97547</v>
      </c>
      <c r="N1426" s="15" t="b">
        <f t="shared" si="1"/>
        <v>0</v>
      </c>
    </row>
    <row r="1427" hidden="1">
      <c r="A1427" s="7" t="s">
        <v>293</v>
      </c>
      <c r="B1427" s="21" t="s">
        <v>268</v>
      </c>
      <c r="C1427" s="21">
        <v>0.1</v>
      </c>
      <c r="D1427" s="21">
        <v>0.5</v>
      </c>
      <c r="E1427" s="21">
        <v>6.0</v>
      </c>
      <c r="F1427" s="7">
        <v>99.8776252269744</v>
      </c>
      <c r="G1427" s="7">
        <v>264.100385189056</v>
      </c>
      <c r="H1427" s="7">
        <v>0.0</v>
      </c>
      <c r="I1427" s="15">
        <v>0.912917376155169</v>
      </c>
      <c r="J1427" s="15">
        <v>0.0346318198914354</v>
      </c>
      <c r="K1427" s="12">
        <f>AVERAGE(I1427:I1431)</f>
        <v>0.6687688325</v>
      </c>
      <c r="L1427" s="18">
        <v>2043.0</v>
      </c>
      <c r="M1427" s="14">
        <f>STDEV(L1427:L1431)</f>
        <v>50129.23878</v>
      </c>
      <c r="N1427" s="15" t="b">
        <f t="shared" si="1"/>
        <v>1</v>
      </c>
    </row>
    <row r="1428" hidden="1">
      <c r="A1428" s="7" t="s">
        <v>293</v>
      </c>
      <c r="B1428" s="21" t="s">
        <v>268</v>
      </c>
      <c r="C1428" s="21">
        <v>0.1</v>
      </c>
      <c r="D1428" s="21">
        <v>0.5</v>
      </c>
      <c r="E1428" s="21">
        <v>6.0</v>
      </c>
      <c r="F1428" s="7">
        <v>99.8776252269744</v>
      </c>
      <c r="G1428" s="7">
        <v>264.100385189056</v>
      </c>
      <c r="H1428" s="7">
        <v>1.0</v>
      </c>
      <c r="I1428" s="15">
        <v>0.828213199396444</v>
      </c>
      <c r="J1428" s="15">
        <v>0.098429098812719</v>
      </c>
      <c r="K1428" s="12">
        <f>AVERAGE(I1427:I1431)</f>
        <v>0.6687688325</v>
      </c>
      <c r="L1428" s="18">
        <v>7464.0</v>
      </c>
      <c r="M1428" s="14">
        <f>STDEV(L1427:L1431)</f>
        <v>50129.23878</v>
      </c>
      <c r="N1428" s="15" t="b">
        <f t="shared" si="1"/>
        <v>1</v>
      </c>
    </row>
    <row r="1429" hidden="1">
      <c r="A1429" s="7" t="s">
        <v>293</v>
      </c>
      <c r="B1429" s="21" t="s">
        <v>268</v>
      </c>
      <c r="C1429" s="21">
        <v>0.1</v>
      </c>
      <c r="D1429" s="21">
        <v>0.5</v>
      </c>
      <c r="E1429" s="21">
        <v>6.0</v>
      </c>
      <c r="F1429" s="7">
        <v>99.8776252269744</v>
      </c>
      <c r="G1429" s="7">
        <v>264.100385189056</v>
      </c>
      <c r="H1429" s="7">
        <v>2.0</v>
      </c>
      <c r="I1429" s="15">
        <v>0.721938251028851</v>
      </c>
      <c r="J1429" s="15">
        <v>0.141042014898258</v>
      </c>
      <c r="K1429" s="12">
        <f>AVERAGE(I1427:I1431)</f>
        <v>0.6687688325</v>
      </c>
      <c r="L1429" s="18">
        <v>13580.0</v>
      </c>
      <c r="M1429" s="14">
        <f>STDEV(L1427:L1431)</f>
        <v>50129.23878</v>
      </c>
      <c r="N1429" s="15" t="b">
        <f t="shared" si="1"/>
        <v>1</v>
      </c>
    </row>
    <row r="1430" hidden="1">
      <c r="A1430" s="7" t="s">
        <v>293</v>
      </c>
      <c r="B1430" s="21" t="s">
        <v>268</v>
      </c>
      <c r="C1430" s="21">
        <v>0.1</v>
      </c>
      <c r="D1430" s="21">
        <v>0.5</v>
      </c>
      <c r="E1430" s="21">
        <v>6.0</v>
      </c>
      <c r="F1430" s="7">
        <v>99.8776252269744</v>
      </c>
      <c r="G1430" s="7">
        <v>264.100385189056</v>
      </c>
      <c r="H1430" s="7">
        <v>3.0</v>
      </c>
      <c r="I1430" s="15">
        <v>0.813344323215311</v>
      </c>
      <c r="J1430" s="15">
        <v>0.121981231572427</v>
      </c>
      <c r="K1430" s="12">
        <f>AVERAGE(I1427:I1431)</f>
        <v>0.6687688325</v>
      </c>
      <c r="L1430" s="18">
        <v>1027.0</v>
      </c>
      <c r="M1430" s="14">
        <f>STDEV(L1427:L1431)</f>
        <v>50129.23878</v>
      </c>
      <c r="N1430" s="15" t="b">
        <f t="shared" si="1"/>
        <v>1</v>
      </c>
    </row>
    <row r="1431" hidden="1">
      <c r="A1431" s="7" t="s">
        <v>293</v>
      </c>
      <c r="B1431" s="21" t="s">
        <v>268</v>
      </c>
      <c r="C1431" s="21">
        <v>0.1</v>
      </c>
      <c r="D1431" s="21">
        <v>0.5</v>
      </c>
      <c r="E1431" s="21">
        <v>6.0</v>
      </c>
      <c r="F1431" s="7">
        <v>99.8776252269744</v>
      </c>
      <c r="G1431" s="7">
        <v>264.100385189056</v>
      </c>
      <c r="H1431" s="7">
        <v>4.0</v>
      </c>
      <c r="I1431" s="15">
        <v>0.0674310125916454</v>
      </c>
      <c r="J1431" s="15">
        <v>0.0493333629368066</v>
      </c>
      <c r="K1431" s="12">
        <f>AVERAGE(I1427:I1431)</f>
        <v>0.6687688325</v>
      </c>
      <c r="L1431" s="18">
        <v>117562.0</v>
      </c>
      <c r="M1431" s="14">
        <f>STDEV(L1427:L1431)</f>
        <v>50129.23878</v>
      </c>
      <c r="N1431" s="15" t="b">
        <f t="shared" si="1"/>
        <v>1</v>
      </c>
    </row>
    <row r="1432" hidden="1">
      <c r="A1432" s="7" t="s">
        <v>294</v>
      </c>
      <c r="B1432" s="7" t="s">
        <v>268</v>
      </c>
      <c r="C1432" s="7">
        <v>0.1</v>
      </c>
      <c r="D1432" s="7">
        <v>0.5</v>
      </c>
      <c r="E1432" s="7">
        <v>7.0</v>
      </c>
      <c r="F1432" s="7">
        <v>110.709074020385</v>
      </c>
      <c r="G1432" s="7">
        <v>334.006987571716</v>
      </c>
      <c r="H1432" s="7">
        <v>0.0</v>
      </c>
      <c r="I1432" s="15">
        <v>0.721062185873972</v>
      </c>
      <c r="J1432" s="15">
        <v>0.143221456075736</v>
      </c>
      <c r="K1432" s="12">
        <f>AVERAGE(I1432:I1436)</f>
        <v>0.6459138075</v>
      </c>
      <c r="L1432" s="18">
        <v>13580.0</v>
      </c>
      <c r="M1432" s="14">
        <f>STDEV(L1432:L1436)</f>
        <v>46184.17747</v>
      </c>
      <c r="N1432" s="15" t="b">
        <f t="shared" si="1"/>
        <v>0</v>
      </c>
    </row>
    <row r="1433" hidden="1">
      <c r="A1433" s="7" t="s">
        <v>294</v>
      </c>
      <c r="B1433" s="7" t="s">
        <v>268</v>
      </c>
      <c r="C1433" s="7">
        <v>0.1</v>
      </c>
      <c r="D1433" s="7">
        <v>0.5</v>
      </c>
      <c r="E1433" s="7">
        <v>7.0</v>
      </c>
      <c r="F1433" s="7">
        <v>110.709074020385</v>
      </c>
      <c r="G1433" s="7">
        <v>334.006987571716</v>
      </c>
      <c r="H1433" s="7">
        <v>1.0</v>
      </c>
      <c r="I1433" s="15">
        <v>0.826445988785211</v>
      </c>
      <c r="J1433" s="15">
        <v>0.0921194301252837</v>
      </c>
      <c r="K1433" s="12">
        <f>AVERAGE(I1432:I1436)</f>
        <v>0.6459138075</v>
      </c>
      <c r="L1433" s="18">
        <v>4613.0</v>
      </c>
      <c r="M1433" s="14">
        <f>STDEV(L1432:L1436)</f>
        <v>46184.17747</v>
      </c>
      <c r="N1433" s="15" t="b">
        <f t="shared" si="1"/>
        <v>0</v>
      </c>
    </row>
    <row r="1434" hidden="1">
      <c r="A1434" s="7" t="s">
        <v>294</v>
      </c>
      <c r="B1434" s="7" t="s">
        <v>268</v>
      </c>
      <c r="C1434" s="7">
        <v>0.1</v>
      </c>
      <c r="D1434" s="7">
        <v>0.5</v>
      </c>
      <c r="E1434" s="7">
        <v>7.0</v>
      </c>
      <c r="F1434" s="7">
        <v>110.709074020385</v>
      </c>
      <c r="G1434" s="7">
        <v>334.006987571716</v>
      </c>
      <c r="H1434" s="7">
        <v>2.0</v>
      </c>
      <c r="I1434" s="15">
        <v>0.752166941390628</v>
      </c>
      <c r="J1434" s="15">
        <v>0.132314645841858</v>
      </c>
      <c r="K1434" s="12">
        <f>AVERAGE(I1432:I1436)</f>
        <v>0.6459138075</v>
      </c>
      <c r="L1434" s="18">
        <v>7609.0</v>
      </c>
      <c r="M1434" s="14">
        <f>STDEV(L1432:L1436)</f>
        <v>46184.17747</v>
      </c>
      <c r="N1434" s="15" t="b">
        <f t="shared" si="1"/>
        <v>0</v>
      </c>
    </row>
    <row r="1435" hidden="1">
      <c r="A1435" s="7" t="s">
        <v>294</v>
      </c>
      <c r="B1435" s="7" t="s">
        <v>268</v>
      </c>
      <c r="C1435" s="7">
        <v>0.1</v>
      </c>
      <c r="D1435" s="7">
        <v>0.5</v>
      </c>
      <c r="E1435" s="7">
        <v>7.0</v>
      </c>
      <c r="F1435" s="7">
        <v>110.709074020385</v>
      </c>
      <c r="G1435" s="7">
        <v>334.006987571716</v>
      </c>
      <c r="H1435" s="7">
        <v>3.0</v>
      </c>
      <c r="I1435" s="15">
        <v>0.858917324884259</v>
      </c>
      <c r="J1435" s="15">
        <v>0.10036995219221</v>
      </c>
      <c r="K1435" s="12">
        <f>AVERAGE(I1432:I1436)</f>
        <v>0.6459138075</v>
      </c>
      <c r="L1435" s="18">
        <v>5167.0</v>
      </c>
      <c r="M1435" s="14">
        <f>STDEV(L1432:L1436)</f>
        <v>46184.17747</v>
      </c>
      <c r="N1435" s="15" t="b">
        <f t="shared" si="1"/>
        <v>0</v>
      </c>
    </row>
    <row r="1436" hidden="1">
      <c r="A1436" s="7" t="s">
        <v>294</v>
      </c>
      <c r="B1436" s="7" t="s">
        <v>268</v>
      </c>
      <c r="C1436" s="7">
        <v>0.1</v>
      </c>
      <c r="D1436" s="7">
        <v>0.5</v>
      </c>
      <c r="E1436" s="7">
        <v>7.0</v>
      </c>
      <c r="F1436" s="7">
        <v>110.709074020385</v>
      </c>
      <c r="G1436" s="7">
        <v>334.006987571716</v>
      </c>
      <c r="H1436" s="7">
        <v>4.0</v>
      </c>
      <c r="I1436" s="15">
        <v>0.0709765965189082</v>
      </c>
      <c r="J1436" s="15">
        <v>0.0582094094543647</v>
      </c>
      <c r="K1436" s="12">
        <f>AVERAGE(I1432:I1436)</f>
        <v>0.6459138075</v>
      </c>
      <c r="L1436" s="18">
        <v>110707.0</v>
      </c>
      <c r="M1436" s="14">
        <f>STDEV(L1432:L1436)</f>
        <v>46184.17747</v>
      </c>
      <c r="N1436" s="15" t="b">
        <f t="shared" si="1"/>
        <v>0</v>
      </c>
    </row>
    <row r="1437" hidden="1">
      <c r="A1437" s="7" t="s">
        <v>295</v>
      </c>
      <c r="B1437" s="7" t="s">
        <v>268</v>
      </c>
      <c r="C1437" s="7">
        <v>0.1</v>
      </c>
      <c r="D1437" s="7">
        <v>0.5</v>
      </c>
      <c r="E1437" s="7">
        <v>8.0</v>
      </c>
      <c r="F1437" s="7">
        <v>158.811091423034</v>
      </c>
      <c r="G1437" s="7">
        <v>381.866522312164</v>
      </c>
      <c r="H1437" s="7">
        <v>0.0</v>
      </c>
      <c r="I1437" s="15">
        <v>0.828236040135852</v>
      </c>
      <c r="J1437" s="15">
        <v>0.0975061308668048</v>
      </c>
      <c r="K1437" s="12">
        <f>AVERAGE(I1437:I1441)</f>
        <v>0.6519663136</v>
      </c>
      <c r="L1437" s="18">
        <v>7459.0</v>
      </c>
      <c r="M1437" s="14">
        <f>STDEV(L1437:L1441)</f>
        <v>41183.02973</v>
      </c>
      <c r="N1437" s="15" t="b">
        <f t="shared" si="1"/>
        <v>0</v>
      </c>
    </row>
    <row r="1438" hidden="1">
      <c r="A1438" s="7" t="s">
        <v>295</v>
      </c>
      <c r="B1438" s="7" t="s">
        <v>268</v>
      </c>
      <c r="C1438" s="7">
        <v>0.1</v>
      </c>
      <c r="D1438" s="7">
        <v>0.5</v>
      </c>
      <c r="E1438" s="7">
        <v>8.0</v>
      </c>
      <c r="F1438" s="7">
        <v>158.811091423034</v>
      </c>
      <c r="G1438" s="7">
        <v>381.866522312164</v>
      </c>
      <c r="H1438" s="7">
        <v>1.0</v>
      </c>
      <c r="I1438" s="15">
        <v>0.0665744000713997</v>
      </c>
      <c r="J1438" s="15">
        <v>0.0598147277460812</v>
      </c>
      <c r="K1438" s="12">
        <f>AVERAGE(I1437:I1441)</f>
        <v>0.6519663136</v>
      </c>
      <c r="L1438" s="18">
        <v>101460.0</v>
      </c>
      <c r="M1438" s="14">
        <f>STDEV(L1437:L1441)</f>
        <v>41183.02973</v>
      </c>
      <c r="N1438" s="15" t="b">
        <f t="shared" si="1"/>
        <v>0</v>
      </c>
    </row>
    <row r="1439" hidden="1">
      <c r="A1439" s="7" t="s">
        <v>295</v>
      </c>
      <c r="B1439" s="7" t="s">
        <v>268</v>
      </c>
      <c r="C1439" s="7">
        <v>0.1</v>
      </c>
      <c r="D1439" s="7">
        <v>0.5</v>
      </c>
      <c r="E1439" s="7">
        <v>8.0</v>
      </c>
      <c r="F1439" s="7">
        <v>158.811091423034</v>
      </c>
      <c r="G1439" s="7">
        <v>381.866522312164</v>
      </c>
      <c r="H1439" s="7">
        <v>2.0</v>
      </c>
      <c r="I1439" s="15">
        <v>0.751109203963464</v>
      </c>
      <c r="J1439" s="15">
        <v>0.131964173600944</v>
      </c>
      <c r="K1439" s="12">
        <f>AVERAGE(I1437:I1441)</f>
        <v>0.6519663136</v>
      </c>
      <c r="L1439" s="18">
        <v>7618.0</v>
      </c>
      <c r="M1439" s="14">
        <f>STDEV(L1437:L1441)</f>
        <v>41183.02973</v>
      </c>
      <c r="N1439" s="15" t="b">
        <f t="shared" si="1"/>
        <v>0</v>
      </c>
    </row>
    <row r="1440" hidden="1">
      <c r="A1440" s="7" t="s">
        <v>295</v>
      </c>
      <c r="B1440" s="7" t="s">
        <v>268</v>
      </c>
      <c r="C1440" s="7">
        <v>0.1</v>
      </c>
      <c r="D1440" s="7">
        <v>0.5</v>
      </c>
      <c r="E1440" s="7">
        <v>8.0</v>
      </c>
      <c r="F1440" s="7">
        <v>158.811091423034</v>
      </c>
      <c r="G1440" s="7">
        <v>381.866522312164</v>
      </c>
      <c r="H1440" s="7">
        <v>3.0</v>
      </c>
      <c r="I1440" s="15">
        <v>0.823141899098654</v>
      </c>
      <c r="J1440" s="15">
        <v>0.0995443207929096</v>
      </c>
      <c r="K1440" s="12">
        <f>AVERAGE(I1437:I1441)</f>
        <v>0.6519663136</v>
      </c>
      <c r="L1440" s="18">
        <v>6454.0</v>
      </c>
      <c r="M1440" s="14">
        <f>STDEV(L1437:L1441)</f>
        <v>41183.02973</v>
      </c>
      <c r="N1440" s="15" t="b">
        <f t="shared" si="1"/>
        <v>0</v>
      </c>
    </row>
    <row r="1441" hidden="1">
      <c r="A1441" s="7" t="s">
        <v>295</v>
      </c>
      <c r="B1441" s="7" t="s">
        <v>268</v>
      </c>
      <c r="C1441" s="7">
        <v>0.1</v>
      </c>
      <c r="D1441" s="7">
        <v>0.5</v>
      </c>
      <c r="E1441" s="7">
        <v>8.0</v>
      </c>
      <c r="F1441" s="7">
        <v>158.811091423034</v>
      </c>
      <c r="G1441" s="7">
        <v>381.866522312164</v>
      </c>
      <c r="H1441" s="7">
        <v>4.0</v>
      </c>
      <c r="I1441" s="15">
        <v>0.79077002490047</v>
      </c>
      <c r="J1441" s="15">
        <v>0.100483040962518</v>
      </c>
      <c r="K1441" s="12">
        <f>AVERAGE(I1437:I1441)</f>
        <v>0.6519663136</v>
      </c>
      <c r="L1441" s="18">
        <v>18685.0</v>
      </c>
      <c r="M1441" s="14">
        <f>STDEV(L1437:L1441)</f>
        <v>41183.02973</v>
      </c>
      <c r="N1441" s="15" t="b">
        <f t="shared" si="1"/>
        <v>0</v>
      </c>
    </row>
    <row r="1442" hidden="1">
      <c r="A1442" s="7" t="s">
        <v>296</v>
      </c>
      <c r="B1442" s="21" t="s">
        <v>268</v>
      </c>
      <c r="C1442" s="21">
        <v>0.1</v>
      </c>
      <c r="D1442" s="21">
        <v>0.5</v>
      </c>
      <c r="E1442" s="21">
        <v>9.0</v>
      </c>
      <c r="F1442" s="7">
        <v>164.913174629211</v>
      </c>
      <c r="G1442" s="7">
        <v>437.37230849266</v>
      </c>
      <c r="H1442" s="7">
        <v>0.0</v>
      </c>
      <c r="I1442" s="15">
        <v>0.829627459977929</v>
      </c>
      <c r="J1442" s="15">
        <v>0.097244647372179</v>
      </c>
      <c r="K1442" s="12">
        <f>AVERAGE(I1442:I1446)</f>
        <v>0.685074728</v>
      </c>
      <c r="L1442" s="18">
        <v>7459.0</v>
      </c>
      <c r="M1442" s="14">
        <f>STDEV(L1442:L1446)</f>
        <v>52117.04359</v>
      </c>
      <c r="N1442" s="15" t="b">
        <f t="shared" si="1"/>
        <v>1</v>
      </c>
    </row>
    <row r="1443" hidden="1">
      <c r="A1443" s="7" t="s">
        <v>296</v>
      </c>
      <c r="B1443" s="21" t="s">
        <v>268</v>
      </c>
      <c r="C1443" s="21">
        <v>0.1</v>
      </c>
      <c r="D1443" s="21">
        <v>0.5</v>
      </c>
      <c r="E1443" s="21">
        <v>9.0</v>
      </c>
      <c r="F1443" s="7">
        <v>164.913174629211</v>
      </c>
      <c r="G1443" s="7">
        <v>437.37230849266</v>
      </c>
      <c r="H1443" s="7">
        <v>1.0</v>
      </c>
      <c r="I1443" s="15">
        <v>0.882224351339637</v>
      </c>
      <c r="J1443" s="15">
        <v>0.120080624246984</v>
      </c>
      <c r="K1443" s="12">
        <f>AVERAGE(I1442:I1446)</f>
        <v>0.685074728</v>
      </c>
      <c r="L1443" s="18">
        <v>2388.0</v>
      </c>
      <c r="M1443" s="14">
        <f>STDEV(L1442:L1446)</f>
        <v>52117.04359</v>
      </c>
      <c r="N1443" s="15" t="b">
        <f t="shared" si="1"/>
        <v>1</v>
      </c>
    </row>
    <row r="1444" hidden="1">
      <c r="A1444" s="7" t="s">
        <v>296</v>
      </c>
      <c r="B1444" s="21" t="s">
        <v>268</v>
      </c>
      <c r="C1444" s="21">
        <v>0.1</v>
      </c>
      <c r="D1444" s="21">
        <v>0.5</v>
      </c>
      <c r="E1444" s="21">
        <v>9.0</v>
      </c>
      <c r="F1444" s="7">
        <v>164.913174629211</v>
      </c>
      <c r="G1444" s="7">
        <v>437.37230849266</v>
      </c>
      <c r="H1444" s="7">
        <v>2.0</v>
      </c>
      <c r="I1444" s="15">
        <v>0.0793333244748138</v>
      </c>
      <c r="J1444" s="15">
        <v>0.0469149480631009</v>
      </c>
      <c r="K1444" s="12">
        <f>AVERAGE(I1442:I1446)</f>
        <v>0.685074728</v>
      </c>
      <c r="L1444" s="18">
        <v>121507.0</v>
      </c>
      <c r="M1444" s="14">
        <f>STDEV(L1442:L1446)</f>
        <v>52117.04359</v>
      </c>
      <c r="N1444" s="15" t="b">
        <f t="shared" si="1"/>
        <v>1</v>
      </c>
    </row>
    <row r="1445" hidden="1">
      <c r="A1445" s="7" t="s">
        <v>296</v>
      </c>
      <c r="B1445" s="21" t="s">
        <v>268</v>
      </c>
      <c r="C1445" s="21">
        <v>0.1</v>
      </c>
      <c r="D1445" s="21">
        <v>0.5</v>
      </c>
      <c r="E1445" s="21">
        <v>9.0</v>
      </c>
      <c r="F1445" s="7">
        <v>164.913174629211</v>
      </c>
      <c r="G1445" s="7">
        <v>437.37230849266</v>
      </c>
      <c r="H1445" s="7">
        <v>3.0</v>
      </c>
      <c r="I1445" s="15">
        <v>0.807709439189678</v>
      </c>
      <c r="J1445" s="15">
        <v>0.116465692262383</v>
      </c>
      <c r="K1445" s="12">
        <f>AVERAGE(I1442:I1446)</f>
        <v>0.685074728</v>
      </c>
      <c r="L1445" s="18">
        <v>5709.0</v>
      </c>
      <c r="M1445" s="14">
        <f>STDEV(L1442:L1446)</f>
        <v>52117.04359</v>
      </c>
      <c r="N1445" s="15" t="b">
        <f t="shared" si="1"/>
        <v>1</v>
      </c>
    </row>
    <row r="1446" hidden="1">
      <c r="A1446" s="7" t="s">
        <v>296</v>
      </c>
      <c r="B1446" s="21" t="s">
        <v>268</v>
      </c>
      <c r="C1446" s="21">
        <v>0.1</v>
      </c>
      <c r="D1446" s="21">
        <v>0.5</v>
      </c>
      <c r="E1446" s="21">
        <v>9.0</v>
      </c>
      <c r="F1446" s="7">
        <v>164.913174629211</v>
      </c>
      <c r="G1446" s="7">
        <v>437.37230849266</v>
      </c>
      <c r="H1446" s="7">
        <v>4.0</v>
      </c>
      <c r="I1446" s="15">
        <v>0.826479064908795</v>
      </c>
      <c r="J1446" s="15">
        <v>0.0937842626361685</v>
      </c>
      <c r="K1446" s="12">
        <f>AVERAGE(I1442:I1446)</f>
        <v>0.685074728</v>
      </c>
      <c r="L1446" s="18">
        <v>4613.0</v>
      </c>
      <c r="M1446" s="14">
        <f>STDEV(L1442:L1446)</f>
        <v>52117.04359</v>
      </c>
      <c r="N1446" s="15" t="b">
        <f t="shared" si="1"/>
        <v>1</v>
      </c>
    </row>
    <row r="1447" hidden="1">
      <c r="A1447" s="7" t="s">
        <v>297</v>
      </c>
      <c r="B1447" s="7" t="s">
        <v>268</v>
      </c>
      <c r="C1447" s="7">
        <v>0.1</v>
      </c>
      <c r="D1447" s="7">
        <v>0.5</v>
      </c>
      <c r="E1447" s="7">
        <v>10.0</v>
      </c>
      <c r="F1447" s="7">
        <v>154.634356021881</v>
      </c>
      <c r="G1447" s="7">
        <v>355.551992177963</v>
      </c>
      <c r="H1447" s="7">
        <v>0.0</v>
      </c>
      <c r="I1447" s="15">
        <v>0.751424232613822</v>
      </c>
      <c r="J1447" s="15">
        <v>0.136323111874495</v>
      </c>
      <c r="K1447" s="12">
        <f>AVERAGE(I1447:I1451)</f>
        <v>0.5188517805</v>
      </c>
      <c r="L1447" s="18">
        <v>7589.0</v>
      </c>
      <c r="M1447" s="14">
        <f>STDEV(L1447:L1451)</f>
        <v>26008.2816</v>
      </c>
      <c r="N1447" s="15" t="b">
        <f t="shared" si="1"/>
        <v>0</v>
      </c>
    </row>
    <row r="1448" hidden="1">
      <c r="A1448" s="7" t="s">
        <v>297</v>
      </c>
      <c r="B1448" s="7" t="s">
        <v>268</v>
      </c>
      <c r="C1448" s="7">
        <v>0.1</v>
      </c>
      <c r="D1448" s="7">
        <v>0.5</v>
      </c>
      <c r="E1448" s="7">
        <v>10.0</v>
      </c>
      <c r="F1448" s="7">
        <v>154.634356021881</v>
      </c>
      <c r="G1448" s="7">
        <v>355.551992177963</v>
      </c>
      <c r="H1448" s="7">
        <v>1.0</v>
      </c>
      <c r="I1448" s="15">
        <v>0.217289993281785</v>
      </c>
      <c r="J1448" s="15">
        <v>0.0631154055971571</v>
      </c>
      <c r="K1448" s="12">
        <f>AVERAGE(I1447:I1451)</f>
        <v>0.5188517805</v>
      </c>
      <c r="L1448" s="18">
        <v>53566.0</v>
      </c>
      <c r="M1448" s="14">
        <f>STDEV(L1447:L1451)</f>
        <v>26008.2816</v>
      </c>
      <c r="N1448" s="15" t="b">
        <f t="shared" si="1"/>
        <v>0</v>
      </c>
    </row>
    <row r="1449" hidden="1">
      <c r="A1449" s="7" t="s">
        <v>297</v>
      </c>
      <c r="B1449" s="7" t="s">
        <v>268</v>
      </c>
      <c r="C1449" s="7">
        <v>0.1</v>
      </c>
      <c r="D1449" s="7">
        <v>0.5</v>
      </c>
      <c r="E1449" s="7">
        <v>10.0</v>
      </c>
      <c r="F1449" s="7">
        <v>154.634356021881</v>
      </c>
      <c r="G1449" s="7">
        <v>355.551992177963</v>
      </c>
      <c r="H1449" s="7">
        <v>2.0</v>
      </c>
      <c r="I1449" s="15">
        <v>0.0415056418306274</v>
      </c>
      <c r="J1449" s="15">
        <v>0.0702135019431293</v>
      </c>
      <c r="K1449" s="12">
        <f>AVERAGE(I1447:I1451)</f>
        <v>0.5188517805</v>
      </c>
      <c r="L1449" s="18">
        <v>59327.0</v>
      </c>
      <c r="M1449" s="14">
        <f>STDEV(L1447:L1451)</f>
        <v>26008.2816</v>
      </c>
      <c r="N1449" s="15" t="b">
        <f t="shared" si="1"/>
        <v>0</v>
      </c>
    </row>
    <row r="1450" hidden="1">
      <c r="A1450" s="7" t="s">
        <v>297</v>
      </c>
      <c r="B1450" s="7" t="s">
        <v>268</v>
      </c>
      <c r="C1450" s="7">
        <v>0.1</v>
      </c>
      <c r="D1450" s="7">
        <v>0.5</v>
      </c>
      <c r="E1450" s="7">
        <v>10.0</v>
      </c>
      <c r="F1450" s="7">
        <v>154.634356021881</v>
      </c>
      <c r="G1450" s="7">
        <v>355.551992177963</v>
      </c>
      <c r="H1450" s="7">
        <v>3.0</v>
      </c>
      <c r="I1450" s="15">
        <v>0.809743708946575</v>
      </c>
      <c r="J1450" s="15">
        <v>0.122641201713506</v>
      </c>
      <c r="K1450" s="12">
        <f>AVERAGE(I1447:I1451)</f>
        <v>0.5188517805</v>
      </c>
      <c r="L1450" s="18">
        <v>5650.0</v>
      </c>
      <c r="M1450" s="14">
        <f>STDEV(L1447:L1451)</f>
        <v>26008.2816</v>
      </c>
      <c r="N1450" s="15" t="b">
        <f t="shared" si="1"/>
        <v>0</v>
      </c>
    </row>
    <row r="1451" hidden="1">
      <c r="A1451" s="7" t="s">
        <v>297</v>
      </c>
      <c r="B1451" s="7" t="s">
        <v>268</v>
      </c>
      <c r="C1451" s="7">
        <v>0.1</v>
      </c>
      <c r="D1451" s="7">
        <v>0.5</v>
      </c>
      <c r="E1451" s="7">
        <v>10.0</v>
      </c>
      <c r="F1451" s="7">
        <v>154.634356021881</v>
      </c>
      <c r="G1451" s="7">
        <v>355.551992177963</v>
      </c>
      <c r="H1451" s="7">
        <v>4.0</v>
      </c>
      <c r="I1451" s="15">
        <v>0.77429532601651</v>
      </c>
      <c r="J1451" s="15">
        <v>0.121287084582859</v>
      </c>
      <c r="K1451" s="12">
        <f>AVERAGE(I1447:I1451)</f>
        <v>0.5188517805</v>
      </c>
      <c r="L1451" s="18">
        <v>15544.0</v>
      </c>
      <c r="M1451" s="14">
        <f>STDEV(L1447:L1451)</f>
        <v>26008.2816</v>
      </c>
      <c r="N1451" s="15" t="b">
        <f t="shared" si="1"/>
        <v>0</v>
      </c>
    </row>
    <row r="1452" hidden="1">
      <c r="A1452" s="7" t="s">
        <v>298</v>
      </c>
      <c r="B1452" s="7" t="s">
        <v>268</v>
      </c>
      <c r="C1452" s="7">
        <v>0.1</v>
      </c>
      <c r="D1452" s="7">
        <v>0.75</v>
      </c>
      <c r="E1452" s="7">
        <v>1.0</v>
      </c>
      <c r="F1452" s="7">
        <v>170.339427232742</v>
      </c>
      <c r="G1452" s="7">
        <v>388.372352361679</v>
      </c>
      <c r="H1452" s="7">
        <v>0.0</v>
      </c>
      <c r="I1452" s="15">
        <v>0.81088934035187</v>
      </c>
      <c r="J1452" s="15">
        <v>0.0851414236807404</v>
      </c>
      <c r="K1452" s="12">
        <f>AVERAGE(I1452:I1456)</f>
        <v>0.5276955124</v>
      </c>
      <c r="L1452" s="18">
        <v>4053.0</v>
      </c>
      <c r="M1452" s="14">
        <f>STDEV(L1452:L1456)</f>
        <v>51128.48031</v>
      </c>
      <c r="N1452" s="15" t="b">
        <f t="shared" si="1"/>
        <v>0</v>
      </c>
    </row>
    <row r="1453" hidden="1">
      <c r="A1453" s="7" t="s">
        <v>298</v>
      </c>
      <c r="B1453" s="7" t="s">
        <v>268</v>
      </c>
      <c r="C1453" s="7">
        <v>0.1</v>
      </c>
      <c r="D1453" s="7">
        <v>0.75</v>
      </c>
      <c r="E1453" s="7">
        <v>1.0</v>
      </c>
      <c r="F1453" s="7">
        <v>170.339427232742</v>
      </c>
      <c r="G1453" s="7">
        <v>388.372352361679</v>
      </c>
      <c r="H1453" s="7">
        <v>1.0</v>
      </c>
      <c r="I1453" s="15">
        <v>0.0792765217131639</v>
      </c>
      <c r="J1453" s="15">
        <v>0.0552613598953575</v>
      </c>
      <c r="K1453" s="12">
        <f>AVERAGE(I1452:I1456)</f>
        <v>0.5276955124</v>
      </c>
      <c r="L1453" s="18">
        <v>119647.0</v>
      </c>
      <c r="M1453" s="14">
        <f>STDEV(L1452:L1456)</f>
        <v>51128.48031</v>
      </c>
      <c r="N1453" s="15" t="b">
        <f t="shared" si="1"/>
        <v>0</v>
      </c>
    </row>
    <row r="1454" hidden="1">
      <c r="A1454" s="7" t="s">
        <v>298</v>
      </c>
      <c r="B1454" s="7" t="s">
        <v>268</v>
      </c>
      <c r="C1454" s="7">
        <v>0.1</v>
      </c>
      <c r="D1454" s="7">
        <v>0.75</v>
      </c>
      <c r="E1454" s="7">
        <v>1.0</v>
      </c>
      <c r="F1454" s="7">
        <v>170.339427232742</v>
      </c>
      <c r="G1454" s="7">
        <v>388.372352361679</v>
      </c>
      <c r="H1454" s="7">
        <v>2.0</v>
      </c>
      <c r="I1454" s="15">
        <v>0.821629499447338</v>
      </c>
      <c r="J1454" s="15">
        <v>0.111681300200883</v>
      </c>
      <c r="K1454" s="12">
        <f>AVERAGE(I1452:I1456)</f>
        <v>0.5276955124</v>
      </c>
      <c r="L1454" s="18">
        <v>6443.0</v>
      </c>
      <c r="M1454" s="14">
        <f>STDEV(L1452:L1456)</f>
        <v>51128.48031</v>
      </c>
      <c r="N1454" s="15" t="b">
        <f t="shared" si="1"/>
        <v>0</v>
      </c>
    </row>
    <row r="1455" hidden="1">
      <c r="A1455" s="7" t="s">
        <v>298</v>
      </c>
      <c r="B1455" s="7" t="s">
        <v>268</v>
      </c>
      <c r="C1455" s="7">
        <v>0.1</v>
      </c>
      <c r="D1455" s="7">
        <v>0.75</v>
      </c>
      <c r="E1455" s="7">
        <v>1.0</v>
      </c>
      <c r="F1455" s="7">
        <v>170.339427232742</v>
      </c>
      <c r="G1455" s="7">
        <v>388.372352361679</v>
      </c>
      <c r="H1455" s="7">
        <v>3.0</v>
      </c>
      <c r="I1455" s="15">
        <v>0.119969914335282</v>
      </c>
      <c r="J1455" s="15">
        <v>0.0548214858093734</v>
      </c>
      <c r="K1455" s="12">
        <f>AVERAGE(I1452:I1456)</f>
        <v>0.5276955124</v>
      </c>
      <c r="L1455" s="18">
        <v>9707.0</v>
      </c>
      <c r="M1455" s="14">
        <f>STDEV(L1452:L1456)</f>
        <v>51128.48031</v>
      </c>
      <c r="N1455" s="15" t="b">
        <f t="shared" si="1"/>
        <v>0</v>
      </c>
    </row>
    <row r="1456" hidden="1">
      <c r="A1456" s="7" t="s">
        <v>298</v>
      </c>
      <c r="B1456" s="7" t="s">
        <v>268</v>
      </c>
      <c r="C1456" s="7">
        <v>0.1</v>
      </c>
      <c r="D1456" s="7">
        <v>0.75</v>
      </c>
      <c r="E1456" s="7">
        <v>1.0</v>
      </c>
      <c r="F1456" s="7">
        <v>170.339427232742</v>
      </c>
      <c r="G1456" s="7">
        <v>388.372352361679</v>
      </c>
      <c r="H1456" s="7">
        <v>4.0</v>
      </c>
      <c r="I1456" s="15">
        <v>0.806712286221866</v>
      </c>
      <c r="J1456" s="15">
        <v>0.128923035977004</v>
      </c>
      <c r="K1456" s="12">
        <f>AVERAGE(I1452:I1456)</f>
        <v>0.5276955124</v>
      </c>
      <c r="L1456" s="18">
        <v>1826.0</v>
      </c>
      <c r="M1456" s="14">
        <f>STDEV(L1452:L1456)</f>
        <v>51128.48031</v>
      </c>
      <c r="N1456" s="15" t="b">
        <f t="shared" si="1"/>
        <v>0</v>
      </c>
    </row>
    <row r="1457" hidden="1">
      <c r="A1457" s="7" t="s">
        <v>299</v>
      </c>
      <c r="B1457" s="7" t="s">
        <v>268</v>
      </c>
      <c r="C1457" s="7">
        <v>0.1</v>
      </c>
      <c r="D1457" s="7">
        <v>0.75</v>
      </c>
      <c r="E1457" s="7">
        <v>2.0</v>
      </c>
      <c r="F1457" s="7">
        <v>183.847893953323</v>
      </c>
      <c r="G1457" s="7">
        <v>473.225168466568</v>
      </c>
      <c r="H1457" s="7">
        <v>0.0</v>
      </c>
      <c r="I1457" s="15">
        <v>0.770467844417434</v>
      </c>
      <c r="J1457" s="15">
        <v>0.12243859853106</v>
      </c>
      <c r="K1457" s="12">
        <f>AVERAGE(I1457:I1461)</f>
        <v>0.6116489941</v>
      </c>
      <c r="L1457" s="18">
        <v>15663.0</v>
      </c>
      <c r="M1457" s="14">
        <f>STDEV(L1457:L1461)</f>
        <v>35079.37675</v>
      </c>
      <c r="N1457" s="15" t="b">
        <f t="shared" si="1"/>
        <v>0</v>
      </c>
    </row>
    <row r="1458" hidden="1">
      <c r="A1458" s="7" t="s">
        <v>299</v>
      </c>
      <c r="B1458" s="7" t="s">
        <v>268</v>
      </c>
      <c r="C1458" s="7">
        <v>0.1</v>
      </c>
      <c r="D1458" s="7">
        <v>0.75</v>
      </c>
      <c r="E1458" s="7">
        <v>2.0</v>
      </c>
      <c r="F1458" s="7">
        <v>183.847893953323</v>
      </c>
      <c r="G1458" s="7">
        <v>473.225168466568</v>
      </c>
      <c r="H1458" s="7">
        <v>1.0</v>
      </c>
      <c r="I1458" s="15">
        <v>0.789404198914051</v>
      </c>
      <c r="J1458" s="15">
        <v>0.101129851740385</v>
      </c>
      <c r="K1458" s="12">
        <f>AVERAGE(I1457:I1461)</f>
        <v>0.6116489941</v>
      </c>
      <c r="L1458" s="18">
        <v>18649.0</v>
      </c>
      <c r="M1458" s="14">
        <f>STDEV(L1457:L1461)</f>
        <v>35079.37675</v>
      </c>
      <c r="N1458" s="15" t="b">
        <f t="shared" si="1"/>
        <v>0</v>
      </c>
    </row>
    <row r="1459" hidden="1">
      <c r="A1459" s="7" t="s">
        <v>299</v>
      </c>
      <c r="B1459" s="7" t="s">
        <v>268</v>
      </c>
      <c r="C1459" s="7">
        <v>0.1</v>
      </c>
      <c r="D1459" s="7">
        <v>0.75</v>
      </c>
      <c r="E1459" s="7">
        <v>2.0</v>
      </c>
      <c r="F1459" s="7">
        <v>183.847893953323</v>
      </c>
      <c r="G1459" s="7">
        <v>473.225168466568</v>
      </c>
      <c r="H1459" s="7">
        <v>2.0</v>
      </c>
      <c r="I1459" s="15">
        <v>0.71793364036829</v>
      </c>
      <c r="J1459" s="15">
        <v>0.153192242859306</v>
      </c>
      <c r="K1459" s="12">
        <f>AVERAGE(I1457:I1461)</f>
        <v>0.6116489941</v>
      </c>
      <c r="L1459" s="18">
        <v>3679.0</v>
      </c>
      <c r="M1459" s="14">
        <f>STDEV(L1457:L1461)</f>
        <v>35079.37675</v>
      </c>
      <c r="N1459" s="15" t="b">
        <f t="shared" si="1"/>
        <v>0</v>
      </c>
    </row>
    <row r="1460" hidden="1">
      <c r="A1460" s="7" t="s">
        <v>299</v>
      </c>
      <c r="B1460" s="7" t="s">
        <v>268</v>
      </c>
      <c r="C1460" s="7">
        <v>0.1</v>
      </c>
      <c r="D1460" s="7">
        <v>0.75</v>
      </c>
      <c r="E1460" s="7">
        <v>2.0</v>
      </c>
      <c r="F1460" s="7">
        <v>183.847893953323</v>
      </c>
      <c r="G1460" s="7">
        <v>473.225168466568</v>
      </c>
      <c r="H1460" s="7">
        <v>3.0</v>
      </c>
      <c r="I1460" s="15">
        <v>0.724150243428998</v>
      </c>
      <c r="J1460" s="15">
        <v>0.14312505556843</v>
      </c>
      <c r="K1460" s="12">
        <f>AVERAGE(I1457:I1461)</f>
        <v>0.6116489941</v>
      </c>
      <c r="L1460" s="18">
        <v>13406.0</v>
      </c>
      <c r="M1460" s="14">
        <f>STDEV(L1457:L1461)</f>
        <v>35079.37675</v>
      </c>
      <c r="N1460" s="15" t="b">
        <f t="shared" si="1"/>
        <v>0</v>
      </c>
    </row>
    <row r="1461" hidden="1">
      <c r="A1461" s="7" t="s">
        <v>299</v>
      </c>
      <c r="B1461" s="7" t="s">
        <v>268</v>
      </c>
      <c r="C1461" s="7">
        <v>0.1</v>
      </c>
      <c r="D1461" s="7">
        <v>0.75</v>
      </c>
      <c r="E1461" s="7">
        <v>2.0</v>
      </c>
      <c r="F1461" s="7">
        <v>183.847893953323</v>
      </c>
      <c r="G1461" s="7">
        <v>473.225168466568</v>
      </c>
      <c r="H1461" s="7">
        <v>4.0</v>
      </c>
      <c r="I1461" s="15">
        <v>0.0562890436148963</v>
      </c>
      <c r="J1461" s="15">
        <v>0.0727635013456589</v>
      </c>
      <c r="K1461" s="12">
        <f>AVERAGE(I1457:I1461)</f>
        <v>0.6116489941</v>
      </c>
      <c r="L1461" s="18">
        <v>90279.0</v>
      </c>
      <c r="M1461" s="14">
        <f>STDEV(L1457:L1461)</f>
        <v>35079.37675</v>
      </c>
      <c r="N1461" s="15" t="b">
        <f t="shared" si="1"/>
        <v>0</v>
      </c>
    </row>
    <row r="1462" hidden="1">
      <c r="A1462" s="7" t="s">
        <v>300</v>
      </c>
      <c r="B1462" s="20" t="s">
        <v>268</v>
      </c>
      <c r="C1462" s="20">
        <v>0.1</v>
      </c>
      <c r="D1462" s="20">
        <v>0.75</v>
      </c>
      <c r="E1462" s="20">
        <v>3.0</v>
      </c>
      <c r="F1462" s="7">
        <v>176.449681997299</v>
      </c>
      <c r="G1462" s="7">
        <v>428.490764379501</v>
      </c>
      <c r="H1462" s="7">
        <v>0.0</v>
      </c>
      <c r="I1462" s="15">
        <v>0.764280845725643</v>
      </c>
      <c r="J1462" s="15">
        <v>0.133005399510998</v>
      </c>
      <c r="K1462" s="12">
        <f>AVERAGE(I1462:I1466)</f>
        <v>0.6720183028</v>
      </c>
      <c r="L1462" s="18">
        <v>7830.0</v>
      </c>
      <c r="M1462" s="14">
        <f>STDEV(L1462:L1466)</f>
        <v>43642.50563</v>
      </c>
      <c r="N1462" s="15" t="b">
        <f t="shared" si="1"/>
        <v>1</v>
      </c>
    </row>
    <row r="1463" hidden="1">
      <c r="A1463" s="7" t="s">
        <v>300</v>
      </c>
      <c r="B1463" s="20" t="s">
        <v>268</v>
      </c>
      <c r="C1463" s="20">
        <v>0.1</v>
      </c>
      <c r="D1463" s="20">
        <v>0.75</v>
      </c>
      <c r="E1463" s="20">
        <v>3.0</v>
      </c>
      <c r="F1463" s="7">
        <v>176.449681997299</v>
      </c>
      <c r="G1463" s="7">
        <v>428.490764379501</v>
      </c>
      <c r="H1463" s="7">
        <v>1.0</v>
      </c>
      <c r="I1463" s="15">
        <v>0.827266120132843</v>
      </c>
      <c r="J1463" s="15">
        <v>0.0988093538028083</v>
      </c>
      <c r="K1463" s="12">
        <f>AVERAGE(I1462:I1466)</f>
        <v>0.6720183028</v>
      </c>
      <c r="L1463" s="18">
        <v>7464.0</v>
      </c>
      <c r="M1463" s="14">
        <f>STDEV(L1462:L1466)</f>
        <v>43642.50563</v>
      </c>
      <c r="N1463" s="15" t="b">
        <f t="shared" si="1"/>
        <v>1</v>
      </c>
    </row>
    <row r="1464" hidden="1">
      <c r="A1464" s="7" t="s">
        <v>300</v>
      </c>
      <c r="B1464" s="20" t="s">
        <v>268</v>
      </c>
      <c r="C1464" s="20">
        <v>0.1</v>
      </c>
      <c r="D1464" s="20">
        <v>0.75</v>
      </c>
      <c r="E1464" s="20">
        <v>3.0</v>
      </c>
      <c r="F1464" s="7">
        <v>176.449681997299</v>
      </c>
      <c r="G1464" s="7">
        <v>428.490764379501</v>
      </c>
      <c r="H1464" s="7">
        <v>2.0</v>
      </c>
      <c r="I1464" s="15">
        <v>0.912595475300721</v>
      </c>
      <c r="J1464" s="15">
        <v>0.0342897284997079</v>
      </c>
      <c r="K1464" s="12">
        <f>AVERAGE(I1462:I1466)</f>
        <v>0.6720183028</v>
      </c>
      <c r="L1464" s="18">
        <v>2043.0</v>
      </c>
      <c r="M1464" s="14">
        <f>STDEV(L1462:L1466)</f>
        <v>43642.50563</v>
      </c>
      <c r="N1464" s="15" t="b">
        <f t="shared" si="1"/>
        <v>1</v>
      </c>
    </row>
    <row r="1465" hidden="1">
      <c r="A1465" s="7" t="s">
        <v>300</v>
      </c>
      <c r="B1465" s="20" t="s">
        <v>268</v>
      </c>
      <c r="C1465" s="20">
        <v>0.1</v>
      </c>
      <c r="D1465" s="20">
        <v>0.75</v>
      </c>
      <c r="E1465" s="20">
        <v>3.0</v>
      </c>
      <c r="F1465" s="7">
        <v>176.449681997299</v>
      </c>
      <c r="G1465" s="7">
        <v>428.490764379501</v>
      </c>
      <c r="H1465" s="7">
        <v>3.0</v>
      </c>
      <c r="I1465" s="15">
        <v>0.0651927238008011</v>
      </c>
      <c r="J1465" s="15">
        <v>0.0480413026335168</v>
      </c>
      <c r="K1465" s="12">
        <f>AVERAGE(I1462:I1466)</f>
        <v>0.6720183028</v>
      </c>
      <c r="L1465" s="18">
        <v>105654.0</v>
      </c>
      <c r="M1465" s="14">
        <f>STDEV(L1462:L1466)</f>
        <v>43642.50563</v>
      </c>
      <c r="N1465" s="15" t="b">
        <f t="shared" si="1"/>
        <v>1</v>
      </c>
    </row>
    <row r="1466" hidden="1">
      <c r="A1466" s="7" t="s">
        <v>300</v>
      </c>
      <c r="B1466" s="20" t="s">
        <v>268</v>
      </c>
      <c r="C1466" s="20">
        <v>0.1</v>
      </c>
      <c r="D1466" s="20">
        <v>0.75</v>
      </c>
      <c r="E1466" s="20">
        <v>3.0</v>
      </c>
      <c r="F1466" s="7">
        <v>176.449681997299</v>
      </c>
      <c r="G1466" s="7">
        <v>428.490764379501</v>
      </c>
      <c r="H1466" s="7">
        <v>4.0</v>
      </c>
      <c r="I1466" s="15">
        <v>0.790756349188281</v>
      </c>
      <c r="J1466" s="15">
        <v>0.100571261680562</v>
      </c>
      <c r="K1466" s="12">
        <f>AVERAGE(I1462:I1466)</f>
        <v>0.6720183028</v>
      </c>
      <c r="L1466" s="18">
        <v>18685.0</v>
      </c>
      <c r="M1466" s="14">
        <f>STDEV(L1462:L1466)</f>
        <v>43642.50563</v>
      </c>
      <c r="N1466" s="15" t="b">
        <f t="shared" si="1"/>
        <v>1</v>
      </c>
    </row>
    <row r="1467" hidden="1">
      <c r="A1467" s="7" t="s">
        <v>301</v>
      </c>
      <c r="B1467" s="21" t="s">
        <v>268</v>
      </c>
      <c r="C1467" s="21">
        <v>0.1</v>
      </c>
      <c r="D1467" s="21">
        <v>0.75</v>
      </c>
      <c r="E1467" s="21">
        <v>4.0</v>
      </c>
      <c r="F1467" s="7">
        <v>214.184986114501</v>
      </c>
      <c r="G1467" s="7">
        <v>464.110828876495</v>
      </c>
      <c r="H1467" s="7">
        <v>0.0</v>
      </c>
      <c r="I1467" s="15">
        <v>0.0776529984813215</v>
      </c>
      <c r="J1467" s="15">
        <v>0.0493810365762995</v>
      </c>
      <c r="K1467" s="12">
        <f>AVERAGE(I1467:I1471)</f>
        <v>0.6687019661</v>
      </c>
      <c r="L1467" s="18">
        <v>122276.0</v>
      </c>
      <c r="M1467" s="14">
        <f>STDEV(L1467:L1471)</f>
        <v>52557.65066</v>
      </c>
      <c r="N1467" s="15" t="b">
        <f t="shared" si="1"/>
        <v>1</v>
      </c>
    </row>
    <row r="1468" hidden="1">
      <c r="A1468" s="7" t="s">
        <v>301</v>
      </c>
      <c r="B1468" s="21" t="s">
        <v>268</v>
      </c>
      <c r="C1468" s="21">
        <v>0.1</v>
      </c>
      <c r="D1468" s="21">
        <v>0.75</v>
      </c>
      <c r="E1468" s="21">
        <v>4.0</v>
      </c>
      <c r="F1468" s="7">
        <v>214.184986114501</v>
      </c>
      <c r="G1468" s="7">
        <v>464.110828876495</v>
      </c>
      <c r="H1468" s="7">
        <v>1.0</v>
      </c>
      <c r="I1468" s="15">
        <v>0.811683464844971</v>
      </c>
      <c r="J1468" s="15">
        <v>0.121242096732282</v>
      </c>
      <c r="K1468" s="12">
        <f>AVERAGE(I1467:I1471)</f>
        <v>0.6687019661</v>
      </c>
      <c r="L1468" s="18">
        <v>1817.0</v>
      </c>
      <c r="M1468" s="14">
        <f>STDEV(L1467:L1471)</f>
        <v>52557.65066</v>
      </c>
      <c r="N1468" s="15" t="b">
        <f t="shared" si="1"/>
        <v>1</v>
      </c>
    </row>
    <row r="1469" hidden="1">
      <c r="A1469" s="7" t="s">
        <v>301</v>
      </c>
      <c r="B1469" s="21" t="s">
        <v>268</v>
      </c>
      <c r="C1469" s="21">
        <v>0.1</v>
      </c>
      <c r="D1469" s="21">
        <v>0.75</v>
      </c>
      <c r="E1469" s="21">
        <v>4.0</v>
      </c>
      <c r="F1469" s="7">
        <v>214.184986114501</v>
      </c>
      <c r="G1469" s="7">
        <v>464.110828876495</v>
      </c>
      <c r="H1469" s="7">
        <v>2.0</v>
      </c>
      <c r="I1469" s="15">
        <v>0.860271171338652</v>
      </c>
      <c r="J1469" s="15">
        <v>0.101708986021191</v>
      </c>
      <c r="K1469" s="12">
        <f>AVERAGE(I1467:I1471)</f>
        <v>0.6687019661</v>
      </c>
      <c r="L1469" s="18">
        <v>5156.0</v>
      </c>
      <c r="M1469" s="14">
        <f>STDEV(L1467:L1471)</f>
        <v>52557.65066</v>
      </c>
      <c r="N1469" s="15" t="b">
        <f t="shared" si="1"/>
        <v>1</v>
      </c>
    </row>
    <row r="1470" hidden="1">
      <c r="A1470" s="7" t="s">
        <v>301</v>
      </c>
      <c r="B1470" s="21" t="s">
        <v>268</v>
      </c>
      <c r="C1470" s="21">
        <v>0.1</v>
      </c>
      <c r="D1470" s="21">
        <v>0.75</v>
      </c>
      <c r="E1470" s="21">
        <v>4.0</v>
      </c>
      <c r="F1470" s="7">
        <v>214.184986114501</v>
      </c>
      <c r="G1470" s="7">
        <v>464.110828876495</v>
      </c>
      <c r="H1470" s="7">
        <v>3.0</v>
      </c>
      <c r="I1470" s="15">
        <v>0.766996760308611</v>
      </c>
      <c r="J1470" s="15">
        <v>0.132990582330521</v>
      </c>
      <c r="K1470" s="12">
        <f>AVERAGE(I1467:I1471)</f>
        <v>0.6687019661</v>
      </c>
      <c r="L1470" s="18">
        <v>7814.0</v>
      </c>
      <c r="M1470" s="14">
        <f>STDEV(L1467:L1471)</f>
        <v>52557.65066</v>
      </c>
      <c r="N1470" s="15" t="b">
        <f t="shared" si="1"/>
        <v>1</v>
      </c>
    </row>
    <row r="1471" hidden="1">
      <c r="A1471" s="7" t="s">
        <v>301</v>
      </c>
      <c r="B1471" s="21" t="s">
        <v>268</v>
      </c>
      <c r="C1471" s="21">
        <v>0.1</v>
      </c>
      <c r="D1471" s="21">
        <v>0.75</v>
      </c>
      <c r="E1471" s="21">
        <v>4.0</v>
      </c>
      <c r="F1471" s="7">
        <v>214.184986114501</v>
      </c>
      <c r="G1471" s="7">
        <v>464.110828876495</v>
      </c>
      <c r="H1471" s="7">
        <v>4.0</v>
      </c>
      <c r="I1471" s="15">
        <v>0.826905435435571</v>
      </c>
      <c r="J1471" s="15">
        <v>0.0922050753928076</v>
      </c>
      <c r="K1471" s="12">
        <f>AVERAGE(I1467:I1471)</f>
        <v>0.6687019661</v>
      </c>
      <c r="L1471" s="18">
        <v>4613.0</v>
      </c>
      <c r="M1471" s="14">
        <f>STDEV(L1467:L1471)</f>
        <v>52557.65066</v>
      </c>
      <c r="N1471" s="15" t="b">
        <f t="shared" si="1"/>
        <v>1</v>
      </c>
    </row>
    <row r="1472" hidden="1">
      <c r="A1472" s="7" t="s">
        <v>302</v>
      </c>
      <c r="B1472" s="7" t="s">
        <v>268</v>
      </c>
      <c r="C1472" s="7">
        <v>0.1</v>
      </c>
      <c r="D1472" s="7">
        <v>0.75</v>
      </c>
      <c r="E1472" s="7">
        <v>5.0</v>
      </c>
      <c r="F1472" s="7">
        <v>220.56052160263</v>
      </c>
      <c r="G1472" s="7">
        <v>455.586959123611</v>
      </c>
      <c r="H1472" s="7">
        <v>0.0</v>
      </c>
      <c r="I1472" s="15">
        <v>0.719019854987777</v>
      </c>
      <c r="J1472" s="15">
        <v>0.145446253221985</v>
      </c>
      <c r="K1472" s="12">
        <f>AVERAGE(I1472:I1476)</f>
        <v>0.5085509281</v>
      </c>
      <c r="L1472" s="18">
        <v>13565.0</v>
      </c>
      <c r="M1472" s="14">
        <f>STDEV(L1472:L1476)</f>
        <v>26525.22598</v>
      </c>
      <c r="N1472" s="15" t="b">
        <f t="shared" si="1"/>
        <v>0</v>
      </c>
    </row>
    <row r="1473" hidden="1">
      <c r="A1473" s="7" t="s">
        <v>302</v>
      </c>
      <c r="B1473" s="7" t="s">
        <v>268</v>
      </c>
      <c r="C1473" s="7">
        <v>0.1</v>
      </c>
      <c r="D1473" s="7">
        <v>0.75</v>
      </c>
      <c r="E1473" s="7">
        <v>5.0</v>
      </c>
      <c r="F1473" s="7">
        <v>220.56052160263</v>
      </c>
      <c r="G1473" s="7">
        <v>455.586959123611</v>
      </c>
      <c r="H1473" s="7">
        <v>1.0</v>
      </c>
      <c r="I1473" s="15">
        <v>0.237511383533074</v>
      </c>
      <c r="J1473" s="15">
        <v>0.0838165204804204</v>
      </c>
      <c r="K1473" s="12">
        <f>AVERAGE(I1472:I1476)</f>
        <v>0.5085509281</v>
      </c>
      <c r="L1473" s="18">
        <v>46987.0</v>
      </c>
      <c r="M1473" s="14">
        <f>STDEV(L1472:L1476)</f>
        <v>26525.22598</v>
      </c>
      <c r="N1473" s="15" t="b">
        <f t="shared" si="1"/>
        <v>0</v>
      </c>
    </row>
    <row r="1474" hidden="1">
      <c r="A1474" s="7" t="s">
        <v>302</v>
      </c>
      <c r="B1474" s="7" t="s">
        <v>268</v>
      </c>
      <c r="C1474" s="7">
        <v>0.1</v>
      </c>
      <c r="D1474" s="7">
        <v>0.75</v>
      </c>
      <c r="E1474" s="7">
        <v>5.0</v>
      </c>
      <c r="F1474" s="7">
        <v>220.56052160263</v>
      </c>
      <c r="G1474" s="7">
        <v>455.586959123611</v>
      </c>
      <c r="H1474" s="7">
        <v>2.0</v>
      </c>
      <c r="I1474" s="15">
        <v>0.0691523226018719</v>
      </c>
      <c r="J1474" s="15">
        <v>0.0790844816349846</v>
      </c>
      <c r="K1474" s="12">
        <f>AVERAGE(I1472:I1476)</f>
        <v>0.5085509281</v>
      </c>
      <c r="L1474" s="18">
        <v>65713.0</v>
      </c>
      <c r="M1474" s="14">
        <f>STDEV(L1472:L1476)</f>
        <v>26525.22598</v>
      </c>
      <c r="N1474" s="15" t="b">
        <f t="shared" si="1"/>
        <v>0</v>
      </c>
    </row>
    <row r="1475" hidden="1">
      <c r="A1475" s="7" t="s">
        <v>302</v>
      </c>
      <c r="B1475" s="7" t="s">
        <v>268</v>
      </c>
      <c r="C1475" s="7">
        <v>0.1</v>
      </c>
      <c r="D1475" s="7">
        <v>0.75</v>
      </c>
      <c r="E1475" s="7">
        <v>5.0</v>
      </c>
      <c r="F1475" s="7">
        <v>220.56052160263</v>
      </c>
      <c r="G1475" s="7">
        <v>455.586959123611</v>
      </c>
      <c r="H1475" s="7">
        <v>3.0</v>
      </c>
      <c r="I1475" s="15">
        <v>0.753000919203061</v>
      </c>
      <c r="J1475" s="15">
        <v>0.132742093051513</v>
      </c>
      <c r="K1475" s="12">
        <f>AVERAGE(I1472:I1476)</f>
        <v>0.5085509281</v>
      </c>
      <c r="L1475" s="18">
        <v>7577.0</v>
      </c>
      <c r="M1475" s="14">
        <f>STDEV(L1472:L1476)</f>
        <v>26525.22598</v>
      </c>
      <c r="N1475" s="15" t="b">
        <f t="shared" si="1"/>
        <v>0</v>
      </c>
    </row>
    <row r="1476" hidden="1">
      <c r="A1476" s="7" t="s">
        <v>302</v>
      </c>
      <c r="B1476" s="7" t="s">
        <v>268</v>
      </c>
      <c r="C1476" s="7">
        <v>0.1</v>
      </c>
      <c r="D1476" s="7">
        <v>0.75</v>
      </c>
      <c r="E1476" s="7">
        <v>5.0</v>
      </c>
      <c r="F1476" s="7">
        <v>220.56052160263</v>
      </c>
      <c r="G1476" s="7">
        <v>455.586959123611</v>
      </c>
      <c r="H1476" s="7">
        <v>4.0</v>
      </c>
      <c r="I1476" s="15">
        <v>0.764070160187383</v>
      </c>
      <c r="J1476" s="15">
        <v>0.134837003109724</v>
      </c>
      <c r="K1476" s="12">
        <f>AVERAGE(I1472:I1476)</f>
        <v>0.5085509281</v>
      </c>
      <c r="L1476" s="18">
        <v>7834.0</v>
      </c>
      <c r="M1476" s="14">
        <f>STDEV(L1472:L1476)</f>
        <v>26525.22598</v>
      </c>
      <c r="N1476" s="15" t="b">
        <f t="shared" si="1"/>
        <v>0</v>
      </c>
    </row>
    <row r="1477" hidden="1">
      <c r="A1477" s="7" t="s">
        <v>303</v>
      </c>
      <c r="B1477" s="7" t="s">
        <v>268</v>
      </c>
      <c r="C1477" s="7">
        <v>0.1</v>
      </c>
      <c r="D1477" s="7">
        <v>0.75</v>
      </c>
      <c r="E1477" s="7">
        <v>6.0</v>
      </c>
      <c r="F1477" s="7">
        <v>227.348375082016</v>
      </c>
      <c r="G1477" s="7">
        <v>431.483221292495</v>
      </c>
      <c r="H1477" s="7">
        <v>0.0</v>
      </c>
      <c r="I1477" s="15">
        <v>0.765235897857569</v>
      </c>
      <c r="J1477" s="15">
        <v>0.134142810570577</v>
      </c>
      <c r="K1477" s="12">
        <f>AVERAGE(I1477:I1481)</f>
        <v>0.5791409254</v>
      </c>
      <c r="L1477" s="18">
        <v>7830.0</v>
      </c>
      <c r="M1477" s="14">
        <f>STDEV(L1477:L1481)</f>
        <v>45035.08028</v>
      </c>
      <c r="N1477" s="15" t="b">
        <f t="shared" si="1"/>
        <v>0</v>
      </c>
    </row>
    <row r="1478" hidden="1">
      <c r="A1478" s="7" t="s">
        <v>303</v>
      </c>
      <c r="B1478" s="7" t="s">
        <v>268</v>
      </c>
      <c r="C1478" s="7">
        <v>0.1</v>
      </c>
      <c r="D1478" s="7">
        <v>0.75</v>
      </c>
      <c r="E1478" s="7">
        <v>6.0</v>
      </c>
      <c r="F1478" s="7">
        <v>227.348375082016</v>
      </c>
      <c r="G1478" s="7">
        <v>431.483221292495</v>
      </c>
      <c r="H1478" s="7">
        <v>1.0</v>
      </c>
      <c r="I1478" s="15">
        <v>0.42704527211217</v>
      </c>
      <c r="J1478" s="15">
        <v>0.148770719456596</v>
      </c>
      <c r="K1478" s="12">
        <f>AVERAGE(I1477:I1481)</f>
        <v>0.5791409254</v>
      </c>
      <c r="L1478" s="18">
        <v>20542.0</v>
      </c>
      <c r="M1478" s="14">
        <f>STDEV(L1477:L1481)</f>
        <v>45035.08028</v>
      </c>
      <c r="N1478" s="15" t="b">
        <f t="shared" si="1"/>
        <v>0</v>
      </c>
    </row>
    <row r="1479" hidden="1">
      <c r="A1479" s="7" t="s">
        <v>303</v>
      </c>
      <c r="B1479" s="7" t="s">
        <v>268</v>
      </c>
      <c r="C1479" s="7">
        <v>0.1</v>
      </c>
      <c r="D1479" s="7">
        <v>0.75</v>
      </c>
      <c r="E1479" s="7">
        <v>6.0</v>
      </c>
      <c r="F1479" s="7">
        <v>227.348375082016</v>
      </c>
      <c r="G1479" s="7">
        <v>431.483221292495</v>
      </c>
      <c r="H1479" s="7">
        <v>2.0</v>
      </c>
      <c r="I1479" s="15">
        <v>0.826691989253157</v>
      </c>
      <c r="J1479" s="15">
        <v>0.0922795528476309</v>
      </c>
      <c r="K1479" s="12">
        <f>AVERAGE(I1477:I1481)</f>
        <v>0.5791409254</v>
      </c>
      <c r="L1479" s="18">
        <v>4613.0</v>
      </c>
      <c r="M1479" s="14">
        <f>STDEV(L1477:L1481)</f>
        <v>45035.08028</v>
      </c>
      <c r="N1479" s="15" t="b">
        <f t="shared" si="1"/>
        <v>0</v>
      </c>
    </row>
    <row r="1480" hidden="1">
      <c r="A1480" s="7" t="s">
        <v>303</v>
      </c>
      <c r="B1480" s="7" t="s">
        <v>268</v>
      </c>
      <c r="C1480" s="7">
        <v>0.1</v>
      </c>
      <c r="D1480" s="7">
        <v>0.75</v>
      </c>
      <c r="E1480" s="7">
        <v>6.0</v>
      </c>
      <c r="F1480" s="7">
        <v>227.348375082016</v>
      </c>
      <c r="G1480" s="7">
        <v>431.483221292495</v>
      </c>
      <c r="H1480" s="7">
        <v>3.0</v>
      </c>
      <c r="I1480" s="15">
        <v>0.800783902922371</v>
      </c>
      <c r="J1480" s="15">
        <v>0.142134489299316</v>
      </c>
      <c r="K1480" s="12">
        <f>AVERAGE(I1477:I1481)</f>
        <v>0.5791409254</v>
      </c>
      <c r="L1480" s="18">
        <v>887.0</v>
      </c>
      <c r="M1480" s="14">
        <f>STDEV(L1477:L1481)</f>
        <v>45035.08028</v>
      </c>
      <c r="N1480" s="15" t="b">
        <f t="shared" si="1"/>
        <v>0</v>
      </c>
    </row>
    <row r="1481" hidden="1">
      <c r="A1481" s="7" t="s">
        <v>303</v>
      </c>
      <c r="B1481" s="7" t="s">
        <v>268</v>
      </c>
      <c r="C1481" s="7">
        <v>0.1</v>
      </c>
      <c r="D1481" s="7">
        <v>0.75</v>
      </c>
      <c r="E1481" s="7">
        <v>6.0</v>
      </c>
      <c r="F1481" s="7">
        <v>227.348375082016</v>
      </c>
      <c r="G1481" s="7">
        <v>431.483221292495</v>
      </c>
      <c r="H1481" s="7">
        <v>4.0</v>
      </c>
      <c r="I1481" s="15">
        <v>0.0759475650755625</v>
      </c>
      <c r="J1481" s="15">
        <v>0.0541781487281841</v>
      </c>
      <c r="K1481" s="12">
        <f>AVERAGE(I1477:I1481)</f>
        <v>0.5791409254</v>
      </c>
      <c r="L1481" s="18">
        <v>107804.0</v>
      </c>
      <c r="M1481" s="14">
        <f>STDEV(L1477:L1481)</f>
        <v>45035.08028</v>
      </c>
      <c r="N1481" s="15" t="b">
        <f t="shared" si="1"/>
        <v>0</v>
      </c>
    </row>
    <row r="1482" hidden="1">
      <c r="A1482" s="7" t="s">
        <v>304</v>
      </c>
      <c r="B1482" s="7" t="s">
        <v>268</v>
      </c>
      <c r="C1482" s="7">
        <v>0.1</v>
      </c>
      <c r="D1482" s="7">
        <v>0.75</v>
      </c>
      <c r="E1482" s="7">
        <v>7.0</v>
      </c>
      <c r="F1482" s="7">
        <v>139.014425754547</v>
      </c>
      <c r="G1482" s="7">
        <v>344.659185886383</v>
      </c>
      <c r="H1482" s="7">
        <v>0.0</v>
      </c>
      <c r="I1482" s="15">
        <v>0.75075398522308</v>
      </c>
      <c r="J1482" s="15">
        <v>0.137219943006519</v>
      </c>
      <c r="K1482" s="12">
        <f>AVERAGE(I1482:I1486)</f>
        <v>0.6496338762</v>
      </c>
      <c r="L1482" s="18">
        <v>7600.0</v>
      </c>
      <c r="M1482" s="14">
        <f>STDEV(L1482:L1486)</f>
        <v>46842.28841</v>
      </c>
      <c r="N1482" s="15" t="b">
        <f t="shared" si="1"/>
        <v>0</v>
      </c>
    </row>
    <row r="1483" hidden="1">
      <c r="A1483" s="7" t="s">
        <v>304</v>
      </c>
      <c r="B1483" s="7" t="s">
        <v>268</v>
      </c>
      <c r="C1483" s="7">
        <v>0.1</v>
      </c>
      <c r="D1483" s="7">
        <v>0.75</v>
      </c>
      <c r="E1483" s="7">
        <v>7.0</v>
      </c>
      <c r="F1483" s="7">
        <v>139.014425754547</v>
      </c>
      <c r="G1483" s="7">
        <v>344.659185886383</v>
      </c>
      <c r="H1483" s="7">
        <v>1.0</v>
      </c>
      <c r="I1483" s="15">
        <v>0.0653276856176873</v>
      </c>
      <c r="J1483" s="15">
        <v>0.0688943786532889</v>
      </c>
      <c r="K1483" s="12">
        <f>AVERAGE(I1482:I1486)</f>
        <v>0.6496338762</v>
      </c>
      <c r="L1483" s="18">
        <v>111569.0</v>
      </c>
      <c r="M1483" s="14">
        <f>STDEV(L1482:L1486)</f>
        <v>46842.28841</v>
      </c>
      <c r="N1483" s="15" t="b">
        <f t="shared" si="1"/>
        <v>0</v>
      </c>
    </row>
    <row r="1484" hidden="1">
      <c r="A1484" s="7" t="s">
        <v>304</v>
      </c>
      <c r="B1484" s="7" t="s">
        <v>268</v>
      </c>
      <c r="C1484" s="7">
        <v>0.1</v>
      </c>
      <c r="D1484" s="7">
        <v>0.75</v>
      </c>
      <c r="E1484" s="7">
        <v>7.0</v>
      </c>
      <c r="F1484" s="7">
        <v>139.014425754547</v>
      </c>
      <c r="G1484" s="7">
        <v>344.659185886383</v>
      </c>
      <c r="H1484" s="7">
        <v>2.0</v>
      </c>
      <c r="I1484" s="15">
        <v>0.82387038806973</v>
      </c>
      <c r="J1484" s="15">
        <v>0.0993374133186947</v>
      </c>
      <c r="K1484" s="12">
        <f>AVERAGE(I1482:I1486)</f>
        <v>0.6496338762</v>
      </c>
      <c r="L1484" s="18">
        <v>6438.0</v>
      </c>
      <c r="M1484" s="14">
        <f>STDEV(L1482:L1486)</f>
        <v>46842.28841</v>
      </c>
      <c r="N1484" s="15" t="b">
        <f t="shared" si="1"/>
        <v>0</v>
      </c>
    </row>
    <row r="1485" hidden="1">
      <c r="A1485" s="7" t="s">
        <v>304</v>
      </c>
      <c r="B1485" s="7" t="s">
        <v>268</v>
      </c>
      <c r="C1485" s="7">
        <v>0.1</v>
      </c>
      <c r="D1485" s="7">
        <v>0.75</v>
      </c>
      <c r="E1485" s="7">
        <v>7.0</v>
      </c>
      <c r="F1485" s="7">
        <v>139.014425754547</v>
      </c>
      <c r="G1485" s="7">
        <v>344.659185886383</v>
      </c>
      <c r="H1485" s="7">
        <v>3.0</v>
      </c>
      <c r="I1485" s="15">
        <v>0.773601828305571</v>
      </c>
      <c r="J1485" s="15">
        <v>0.120327992131137</v>
      </c>
      <c r="K1485" s="12">
        <f>AVERAGE(I1482:I1486)</f>
        <v>0.6496338762</v>
      </c>
      <c r="L1485" s="18">
        <v>15626.0</v>
      </c>
      <c r="M1485" s="14">
        <f>STDEV(L1482:L1486)</f>
        <v>46842.28841</v>
      </c>
      <c r="N1485" s="15" t="b">
        <f t="shared" si="1"/>
        <v>0</v>
      </c>
    </row>
    <row r="1486" hidden="1">
      <c r="A1486" s="7" t="s">
        <v>304</v>
      </c>
      <c r="B1486" s="7" t="s">
        <v>268</v>
      </c>
      <c r="C1486" s="7">
        <v>0.1</v>
      </c>
      <c r="D1486" s="7">
        <v>0.75</v>
      </c>
      <c r="E1486" s="7">
        <v>7.0</v>
      </c>
      <c r="F1486" s="7">
        <v>139.014425754547</v>
      </c>
      <c r="G1486" s="7">
        <v>344.659185886383</v>
      </c>
      <c r="H1486" s="7">
        <v>4.0</v>
      </c>
      <c r="I1486" s="15">
        <v>0.834615493827247</v>
      </c>
      <c r="J1486" s="15">
        <v>0.0939505566896605</v>
      </c>
      <c r="K1486" s="12">
        <f>AVERAGE(I1482:I1486)</f>
        <v>0.6496338762</v>
      </c>
      <c r="L1486" s="18">
        <v>443.0</v>
      </c>
      <c r="M1486" s="14">
        <f>STDEV(L1482:L1486)</f>
        <v>46842.28841</v>
      </c>
      <c r="N1486" s="15" t="b">
        <f t="shared" si="1"/>
        <v>0</v>
      </c>
    </row>
    <row r="1487" hidden="1">
      <c r="A1487" s="7" t="s">
        <v>305</v>
      </c>
      <c r="B1487" s="7" t="s">
        <v>268</v>
      </c>
      <c r="C1487" s="7">
        <v>0.1</v>
      </c>
      <c r="D1487" s="7">
        <v>0.75</v>
      </c>
      <c r="E1487" s="7">
        <v>8.0</v>
      </c>
      <c r="F1487" s="7">
        <v>243.130690097808</v>
      </c>
      <c r="G1487" s="7">
        <v>474.778970479965</v>
      </c>
      <c r="H1487" s="7">
        <v>0.0</v>
      </c>
      <c r="I1487" s="15">
        <v>0.403269896809184</v>
      </c>
      <c r="J1487" s="15">
        <v>0.103370236114917</v>
      </c>
      <c r="K1487" s="12">
        <f>AVERAGE(I1487:I1491)</f>
        <v>0.5667474007</v>
      </c>
      <c r="L1487" s="18">
        <v>28354.0</v>
      </c>
      <c r="M1487" s="14">
        <f>STDEV(L1487:L1491)</f>
        <v>30427.01227</v>
      </c>
      <c r="N1487" s="15" t="b">
        <f t="shared" si="1"/>
        <v>0</v>
      </c>
    </row>
    <row r="1488" hidden="1">
      <c r="A1488" s="7" t="s">
        <v>305</v>
      </c>
      <c r="B1488" s="7" t="s">
        <v>268</v>
      </c>
      <c r="C1488" s="7">
        <v>0.1</v>
      </c>
      <c r="D1488" s="7">
        <v>0.75</v>
      </c>
      <c r="E1488" s="7">
        <v>8.0</v>
      </c>
      <c r="F1488" s="7">
        <v>243.130690097808</v>
      </c>
      <c r="G1488" s="7">
        <v>474.778970479965</v>
      </c>
      <c r="H1488" s="7">
        <v>1.0</v>
      </c>
      <c r="I1488" s="15">
        <v>0.822327913809828</v>
      </c>
      <c r="J1488" s="15">
        <v>0.101371718923595</v>
      </c>
      <c r="K1488" s="12">
        <f>AVERAGE(I1487:I1491)</f>
        <v>0.5667474007</v>
      </c>
      <c r="L1488" s="18">
        <v>6447.0</v>
      </c>
      <c r="M1488" s="14">
        <f>STDEV(L1487:L1491)</f>
        <v>30427.01227</v>
      </c>
      <c r="N1488" s="15" t="b">
        <f t="shared" si="1"/>
        <v>0</v>
      </c>
    </row>
    <row r="1489" hidden="1">
      <c r="A1489" s="7" t="s">
        <v>305</v>
      </c>
      <c r="B1489" s="7" t="s">
        <v>268</v>
      </c>
      <c r="C1489" s="7">
        <v>0.1</v>
      </c>
      <c r="D1489" s="7">
        <v>0.75</v>
      </c>
      <c r="E1489" s="7">
        <v>8.0</v>
      </c>
      <c r="F1489" s="7">
        <v>243.130690097808</v>
      </c>
      <c r="G1489" s="7">
        <v>474.778970479965</v>
      </c>
      <c r="H1489" s="7">
        <v>2.0</v>
      </c>
      <c r="I1489" s="15">
        <v>0.763973653908952</v>
      </c>
      <c r="J1489" s="15">
        <v>0.133707316321972</v>
      </c>
      <c r="K1489" s="12">
        <f>AVERAGE(I1487:I1491)</f>
        <v>0.5667474007</v>
      </c>
      <c r="L1489" s="18">
        <v>7830.0</v>
      </c>
      <c r="M1489" s="14">
        <f>STDEV(L1487:L1491)</f>
        <v>30427.01227</v>
      </c>
      <c r="N1489" s="15" t="b">
        <f t="shared" si="1"/>
        <v>0</v>
      </c>
    </row>
    <row r="1490" hidden="1">
      <c r="A1490" s="7" t="s">
        <v>305</v>
      </c>
      <c r="B1490" s="7" t="s">
        <v>268</v>
      </c>
      <c r="C1490" s="7">
        <v>0.1</v>
      </c>
      <c r="D1490" s="7">
        <v>0.75</v>
      </c>
      <c r="E1490" s="7">
        <v>8.0</v>
      </c>
      <c r="F1490" s="7">
        <v>243.130690097808</v>
      </c>
      <c r="G1490" s="7">
        <v>474.778970479965</v>
      </c>
      <c r="H1490" s="7">
        <v>3.0</v>
      </c>
      <c r="I1490" s="15">
        <v>0.0545133427016205</v>
      </c>
      <c r="J1490" s="15">
        <v>0.0615865704899056</v>
      </c>
      <c r="K1490" s="12">
        <f>AVERAGE(I1487:I1491)</f>
        <v>0.5667474007</v>
      </c>
      <c r="L1490" s="18">
        <v>80392.0</v>
      </c>
      <c r="M1490" s="14">
        <f>STDEV(L1487:L1491)</f>
        <v>30427.01227</v>
      </c>
      <c r="N1490" s="15" t="b">
        <f t="shared" si="1"/>
        <v>0</v>
      </c>
    </row>
    <row r="1491" hidden="1">
      <c r="A1491" s="7" t="s">
        <v>305</v>
      </c>
      <c r="B1491" s="7" t="s">
        <v>268</v>
      </c>
      <c r="C1491" s="7">
        <v>0.1</v>
      </c>
      <c r="D1491" s="7">
        <v>0.75</v>
      </c>
      <c r="E1491" s="7">
        <v>8.0</v>
      </c>
      <c r="F1491" s="7">
        <v>243.130690097808</v>
      </c>
      <c r="G1491" s="7">
        <v>474.778970479965</v>
      </c>
      <c r="H1491" s="7">
        <v>4.0</v>
      </c>
      <c r="I1491" s="15">
        <v>0.789652196114942</v>
      </c>
      <c r="J1491" s="15">
        <v>0.0992489959744494</v>
      </c>
      <c r="K1491" s="12">
        <f>AVERAGE(I1487:I1491)</f>
        <v>0.5667474007</v>
      </c>
      <c r="L1491" s="18">
        <v>18653.0</v>
      </c>
      <c r="M1491" s="14">
        <f>STDEV(L1487:L1491)</f>
        <v>30427.01227</v>
      </c>
      <c r="N1491" s="15" t="b">
        <f t="shared" si="1"/>
        <v>0</v>
      </c>
    </row>
    <row r="1492" hidden="1">
      <c r="A1492" s="7" t="s">
        <v>306</v>
      </c>
      <c r="B1492" s="7" t="s">
        <v>268</v>
      </c>
      <c r="C1492" s="7">
        <v>0.1</v>
      </c>
      <c r="D1492" s="7">
        <v>0.75</v>
      </c>
      <c r="E1492" s="7">
        <v>9.0</v>
      </c>
      <c r="F1492" s="7">
        <v>213.9486515522</v>
      </c>
      <c r="G1492" s="7">
        <v>448.371389389038</v>
      </c>
      <c r="H1492" s="7">
        <v>0.0</v>
      </c>
      <c r="I1492" s="15">
        <v>0.826143697839416</v>
      </c>
      <c r="J1492" s="15">
        <v>0.0933860721520474</v>
      </c>
      <c r="K1492" s="12">
        <f>AVERAGE(I1492:I1496)</f>
        <v>0.5575668882</v>
      </c>
      <c r="L1492" s="18">
        <v>4613.0</v>
      </c>
      <c r="M1492" s="14">
        <f>STDEV(L1492:L1496)</f>
        <v>34644.55203</v>
      </c>
      <c r="N1492" s="15" t="b">
        <f t="shared" si="1"/>
        <v>0</v>
      </c>
    </row>
    <row r="1493" hidden="1">
      <c r="A1493" s="7" t="s">
        <v>306</v>
      </c>
      <c r="B1493" s="7" t="s">
        <v>268</v>
      </c>
      <c r="C1493" s="7">
        <v>0.1</v>
      </c>
      <c r="D1493" s="7">
        <v>0.75</v>
      </c>
      <c r="E1493" s="7">
        <v>9.0</v>
      </c>
      <c r="F1493" s="7">
        <v>213.9486515522</v>
      </c>
      <c r="G1493" s="7">
        <v>448.371389389038</v>
      </c>
      <c r="H1493" s="7">
        <v>1.0</v>
      </c>
      <c r="I1493" s="15">
        <v>0.090184565773599</v>
      </c>
      <c r="J1493" s="15">
        <v>0.0707573594048612</v>
      </c>
      <c r="K1493" s="12">
        <f>AVERAGE(I1492:I1496)</f>
        <v>0.5575668882</v>
      </c>
      <c r="L1493" s="18">
        <v>86017.0</v>
      </c>
      <c r="M1493" s="14">
        <f>STDEV(L1492:L1496)</f>
        <v>34644.55203</v>
      </c>
      <c r="N1493" s="15" t="b">
        <f t="shared" si="1"/>
        <v>0</v>
      </c>
    </row>
    <row r="1494" hidden="1">
      <c r="A1494" s="7" t="s">
        <v>306</v>
      </c>
      <c r="B1494" s="7" t="s">
        <v>268</v>
      </c>
      <c r="C1494" s="7">
        <v>0.1</v>
      </c>
      <c r="D1494" s="7">
        <v>0.75</v>
      </c>
      <c r="E1494" s="7">
        <v>9.0</v>
      </c>
      <c r="F1494" s="7">
        <v>213.9486515522</v>
      </c>
      <c r="G1494" s="7">
        <v>448.371389389038</v>
      </c>
      <c r="H1494" s="7">
        <v>2.0</v>
      </c>
      <c r="I1494" s="15">
        <v>0.830567727703482</v>
      </c>
      <c r="J1494" s="15">
        <v>0.0961636627431407</v>
      </c>
      <c r="K1494" s="12">
        <f>AVERAGE(I1492:I1496)</f>
        <v>0.5575668882</v>
      </c>
      <c r="L1494" s="18">
        <v>7434.0</v>
      </c>
      <c r="M1494" s="14">
        <f>STDEV(L1492:L1496)</f>
        <v>34644.55203</v>
      </c>
      <c r="N1494" s="15" t="b">
        <f t="shared" si="1"/>
        <v>0</v>
      </c>
    </row>
    <row r="1495" hidden="1">
      <c r="A1495" s="7" t="s">
        <v>306</v>
      </c>
      <c r="B1495" s="7" t="s">
        <v>268</v>
      </c>
      <c r="C1495" s="7">
        <v>0.1</v>
      </c>
      <c r="D1495" s="7">
        <v>0.75</v>
      </c>
      <c r="E1495" s="7">
        <v>9.0</v>
      </c>
      <c r="F1495" s="7">
        <v>213.9486515522</v>
      </c>
      <c r="G1495" s="7">
        <v>448.371389389038</v>
      </c>
      <c r="H1495" s="7">
        <v>3.0</v>
      </c>
      <c r="I1495" s="15">
        <v>0.762071735686545</v>
      </c>
      <c r="J1495" s="15">
        <v>0.136477371841437</v>
      </c>
      <c r="K1495" s="12">
        <f>AVERAGE(I1492:I1496)</f>
        <v>0.5575668882</v>
      </c>
      <c r="L1495" s="18">
        <v>7861.0</v>
      </c>
      <c r="M1495" s="14">
        <f>STDEV(L1492:L1496)</f>
        <v>34644.55203</v>
      </c>
      <c r="N1495" s="15" t="b">
        <f t="shared" si="1"/>
        <v>0</v>
      </c>
    </row>
    <row r="1496" hidden="1">
      <c r="A1496" s="7" t="s">
        <v>306</v>
      </c>
      <c r="B1496" s="7" t="s">
        <v>268</v>
      </c>
      <c r="C1496" s="7">
        <v>0.1</v>
      </c>
      <c r="D1496" s="7">
        <v>0.75</v>
      </c>
      <c r="E1496" s="7">
        <v>9.0</v>
      </c>
      <c r="F1496" s="7">
        <v>213.9486515522</v>
      </c>
      <c r="G1496" s="7">
        <v>448.371389389038</v>
      </c>
      <c r="H1496" s="7">
        <v>4.0</v>
      </c>
      <c r="I1496" s="15">
        <v>0.278866713961675</v>
      </c>
      <c r="J1496" s="15">
        <v>0.082439883710251</v>
      </c>
      <c r="K1496" s="12">
        <f>AVERAGE(I1492:I1496)</f>
        <v>0.5575668882</v>
      </c>
      <c r="L1496" s="18">
        <v>35751.0</v>
      </c>
      <c r="M1496" s="14">
        <f>STDEV(L1492:L1496)</f>
        <v>34644.55203</v>
      </c>
      <c r="N1496" s="15" t="b">
        <f t="shared" si="1"/>
        <v>0</v>
      </c>
    </row>
    <row r="1497" hidden="1">
      <c r="A1497" s="7" t="s">
        <v>307</v>
      </c>
      <c r="B1497" s="7" t="s">
        <v>268</v>
      </c>
      <c r="C1497" s="7">
        <v>0.1</v>
      </c>
      <c r="D1497" s="7">
        <v>0.75</v>
      </c>
      <c r="E1497" s="7">
        <v>10.0</v>
      </c>
      <c r="F1497" s="7">
        <v>152.864111185073</v>
      </c>
      <c r="G1497" s="7">
        <v>381.210555553436</v>
      </c>
      <c r="H1497" s="7">
        <v>0.0</v>
      </c>
      <c r="I1497" s="15">
        <v>0.719954811164496</v>
      </c>
      <c r="J1497" s="15">
        <v>0.143301978819169</v>
      </c>
      <c r="K1497" s="12">
        <f>AVERAGE(I1497:I1501)</f>
        <v>0.6415295347</v>
      </c>
      <c r="L1497" s="18">
        <v>13570.0</v>
      </c>
      <c r="M1497" s="14">
        <f>STDEV(L1497:L1501)</f>
        <v>41635.32768</v>
      </c>
      <c r="N1497" s="15" t="b">
        <f t="shared" si="1"/>
        <v>0</v>
      </c>
    </row>
    <row r="1498" hidden="1">
      <c r="A1498" s="7" t="s">
        <v>307</v>
      </c>
      <c r="B1498" s="7" t="s">
        <v>268</v>
      </c>
      <c r="C1498" s="7">
        <v>0.1</v>
      </c>
      <c r="D1498" s="7">
        <v>0.75</v>
      </c>
      <c r="E1498" s="7">
        <v>10.0</v>
      </c>
      <c r="F1498" s="7">
        <v>152.864111185073</v>
      </c>
      <c r="G1498" s="7">
        <v>381.210555553436</v>
      </c>
      <c r="H1498" s="7">
        <v>1.0</v>
      </c>
      <c r="I1498" s="15">
        <v>0.0669992348249651</v>
      </c>
      <c r="J1498" s="15">
        <v>0.0712705833934877</v>
      </c>
      <c r="K1498" s="12">
        <f>AVERAGE(I1497:I1501)</f>
        <v>0.6415295347</v>
      </c>
      <c r="L1498" s="18">
        <v>102234.0</v>
      </c>
      <c r="M1498" s="14">
        <f>STDEV(L1497:L1501)</f>
        <v>41635.32768</v>
      </c>
      <c r="N1498" s="15" t="b">
        <f t="shared" si="1"/>
        <v>0</v>
      </c>
    </row>
    <row r="1499" hidden="1">
      <c r="A1499" s="7" t="s">
        <v>307</v>
      </c>
      <c r="B1499" s="7" t="s">
        <v>268</v>
      </c>
      <c r="C1499" s="7">
        <v>0.1</v>
      </c>
      <c r="D1499" s="7">
        <v>0.75</v>
      </c>
      <c r="E1499" s="7">
        <v>10.0</v>
      </c>
      <c r="F1499" s="7">
        <v>152.864111185073</v>
      </c>
      <c r="G1499" s="7">
        <v>381.210555553436</v>
      </c>
      <c r="H1499" s="7">
        <v>2.0</v>
      </c>
      <c r="I1499" s="15">
        <v>0.771740193066598</v>
      </c>
      <c r="J1499" s="15">
        <v>0.120881848548723</v>
      </c>
      <c r="K1499" s="12">
        <f>AVERAGE(I1497:I1501)</f>
        <v>0.6415295347</v>
      </c>
      <c r="L1499" s="18">
        <v>15670.0</v>
      </c>
      <c r="M1499" s="14">
        <f>STDEV(L1497:L1501)</f>
        <v>41635.32768</v>
      </c>
      <c r="N1499" s="15" t="b">
        <f t="shared" si="1"/>
        <v>0</v>
      </c>
    </row>
    <row r="1500" hidden="1">
      <c r="A1500" s="7" t="s">
        <v>307</v>
      </c>
      <c r="B1500" s="7" t="s">
        <v>268</v>
      </c>
      <c r="C1500" s="7">
        <v>0.1</v>
      </c>
      <c r="D1500" s="7">
        <v>0.75</v>
      </c>
      <c r="E1500" s="7">
        <v>10.0</v>
      </c>
      <c r="F1500" s="7">
        <v>152.864111185073</v>
      </c>
      <c r="G1500" s="7">
        <v>381.210555553436</v>
      </c>
      <c r="H1500" s="7">
        <v>3.0</v>
      </c>
      <c r="I1500" s="15">
        <v>0.76414049515059</v>
      </c>
      <c r="J1500" s="15">
        <v>0.1352282292352</v>
      </c>
      <c r="K1500" s="12">
        <f>AVERAGE(I1497:I1501)</f>
        <v>0.6415295347</v>
      </c>
      <c r="L1500" s="18">
        <v>7830.0</v>
      </c>
      <c r="M1500" s="14">
        <f>STDEV(L1497:L1501)</f>
        <v>41635.32768</v>
      </c>
      <c r="N1500" s="15" t="b">
        <f t="shared" si="1"/>
        <v>0</v>
      </c>
    </row>
    <row r="1501" hidden="1">
      <c r="A1501" s="7" t="s">
        <v>307</v>
      </c>
      <c r="B1501" s="7" t="s">
        <v>268</v>
      </c>
      <c r="C1501" s="7">
        <v>0.1</v>
      </c>
      <c r="D1501" s="7">
        <v>0.75</v>
      </c>
      <c r="E1501" s="7">
        <v>10.0</v>
      </c>
      <c r="F1501" s="7">
        <v>152.864111185073</v>
      </c>
      <c r="G1501" s="7">
        <v>381.210555553436</v>
      </c>
      <c r="H1501" s="7">
        <v>4.0</v>
      </c>
      <c r="I1501" s="15">
        <v>0.884812939398031</v>
      </c>
      <c r="J1501" s="15">
        <v>0.119489299201066</v>
      </c>
      <c r="K1501" s="12">
        <f>AVERAGE(I1497:I1501)</f>
        <v>0.6415295347</v>
      </c>
      <c r="L1501" s="18">
        <v>2372.0</v>
      </c>
      <c r="M1501" s="14">
        <f>STDEV(L1497:L1501)</f>
        <v>41635.32768</v>
      </c>
      <c r="N1501" s="15" t="b">
        <f t="shared" si="1"/>
        <v>0</v>
      </c>
    </row>
    <row r="1502" hidden="1">
      <c r="A1502" s="7" t="s">
        <v>308</v>
      </c>
      <c r="B1502" s="21" t="s">
        <v>268</v>
      </c>
      <c r="C1502" s="21">
        <v>0.1</v>
      </c>
      <c r="D1502" s="21">
        <v>1.0</v>
      </c>
      <c r="E1502" s="21">
        <v>1.0</v>
      </c>
      <c r="F1502" s="7">
        <v>235.911197423934</v>
      </c>
      <c r="G1502" s="7">
        <v>462.671827793121</v>
      </c>
      <c r="H1502" s="7">
        <v>0.0</v>
      </c>
      <c r="I1502" s="15">
        <v>0.774542994661828</v>
      </c>
      <c r="J1502" s="15">
        <v>0.121338933973049</v>
      </c>
      <c r="K1502" s="12">
        <f>AVERAGE(I1502:I1506)</f>
        <v>0.6696306477</v>
      </c>
      <c r="L1502" s="18">
        <v>15594.0</v>
      </c>
      <c r="M1502" s="14">
        <f>STDEV(L1502:L1506)</f>
        <v>48162.64873</v>
      </c>
      <c r="N1502" s="15" t="b">
        <f t="shared" si="1"/>
        <v>1</v>
      </c>
    </row>
    <row r="1503" hidden="1">
      <c r="A1503" s="7" t="s">
        <v>308</v>
      </c>
      <c r="B1503" s="21" t="s">
        <v>268</v>
      </c>
      <c r="C1503" s="21">
        <v>0.1</v>
      </c>
      <c r="D1503" s="21">
        <v>1.0</v>
      </c>
      <c r="E1503" s="21">
        <v>1.0</v>
      </c>
      <c r="F1503" s="7">
        <v>235.911197423934</v>
      </c>
      <c r="G1503" s="7">
        <v>462.671827793121</v>
      </c>
      <c r="H1503" s="7">
        <v>1.0</v>
      </c>
      <c r="I1503" s="15">
        <v>0.883738588246783</v>
      </c>
      <c r="J1503" s="15">
        <v>0.118271365233775</v>
      </c>
      <c r="K1503" s="12">
        <f>AVERAGE(I1502:I1506)</f>
        <v>0.6696306477</v>
      </c>
      <c r="L1503" s="18">
        <v>2383.0</v>
      </c>
      <c r="M1503" s="14">
        <f>STDEV(L1502:L1506)</f>
        <v>48162.64873</v>
      </c>
      <c r="N1503" s="15" t="b">
        <f t="shared" si="1"/>
        <v>1</v>
      </c>
    </row>
    <row r="1504" hidden="1">
      <c r="A1504" s="7" t="s">
        <v>308</v>
      </c>
      <c r="B1504" s="21" t="s">
        <v>268</v>
      </c>
      <c r="C1504" s="21">
        <v>0.1</v>
      </c>
      <c r="D1504" s="21">
        <v>1.0</v>
      </c>
      <c r="E1504" s="21">
        <v>1.0</v>
      </c>
      <c r="F1504" s="7">
        <v>235.911197423934</v>
      </c>
      <c r="G1504" s="7">
        <v>462.671827793121</v>
      </c>
      <c r="H1504" s="7">
        <v>2.0</v>
      </c>
      <c r="I1504" s="15">
        <v>0.813984143187016</v>
      </c>
      <c r="J1504" s="15">
        <v>0.0752648815608569</v>
      </c>
      <c r="K1504" s="12">
        <f>AVERAGE(I1502:I1506)</f>
        <v>0.6696306477</v>
      </c>
      <c r="L1504" s="18">
        <v>4040.0</v>
      </c>
      <c r="M1504" s="14">
        <f>STDEV(L1502:L1506)</f>
        <v>48162.64873</v>
      </c>
      <c r="N1504" s="15" t="b">
        <f t="shared" si="1"/>
        <v>1</v>
      </c>
    </row>
    <row r="1505" hidden="1">
      <c r="A1505" s="7" t="s">
        <v>308</v>
      </c>
      <c r="B1505" s="21" t="s">
        <v>268</v>
      </c>
      <c r="C1505" s="21">
        <v>0.1</v>
      </c>
      <c r="D1505" s="21">
        <v>1.0</v>
      </c>
      <c r="E1505" s="21">
        <v>1.0</v>
      </c>
      <c r="F1505" s="7">
        <v>235.911197423934</v>
      </c>
      <c r="G1505" s="7">
        <v>462.671827793121</v>
      </c>
      <c r="H1505" s="7">
        <v>3.0</v>
      </c>
      <c r="I1505" s="15">
        <v>0.80897918884859</v>
      </c>
      <c r="J1505" s="15">
        <v>0.123206419213895</v>
      </c>
      <c r="K1505" s="12">
        <f>AVERAGE(I1502:I1506)</f>
        <v>0.6696306477</v>
      </c>
      <c r="L1505" s="18">
        <v>5660.0</v>
      </c>
      <c r="M1505" s="14">
        <f>STDEV(L1502:L1506)</f>
        <v>48162.64873</v>
      </c>
      <c r="N1505" s="15" t="b">
        <f t="shared" si="1"/>
        <v>1</v>
      </c>
    </row>
    <row r="1506" hidden="1">
      <c r="A1506" s="7" t="s">
        <v>308</v>
      </c>
      <c r="B1506" s="21" t="s">
        <v>268</v>
      </c>
      <c r="C1506" s="21">
        <v>0.1</v>
      </c>
      <c r="D1506" s="21">
        <v>1.0</v>
      </c>
      <c r="E1506" s="21">
        <v>1.0</v>
      </c>
      <c r="F1506" s="7">
        <v>235.911197423934</v>
      </c>
      <c r="G1506" s="7">
        <v>462.671827793121</v>
      </c>
      <c r="H1506" s="7">
        <v>4.0</v>
      </c>
      <c r="I1506" s="15">
        <v>0.0669083235985675</v>
      </c>
      <c r="J1506" s="15">
        <v>0.063555459814274</v>
      </c>
      <c r="K1506" s="12">
        <f>AVERAGE(I1502:I1506)</f>
        <v>0.6696306477</v>
      </c>
      <c r="L1506" s="18">
        <v>113999.0</v>
      </c>
      <c r="M1506" s="14">
        <f>STDEV(L1502:L1506)</f>
        <v>48162.64873</v>
      </c>
      <c r="N1506" s="15" t="b">
        <f t="shared" si="1"/>
        <v>1</v>
      </c>
    </row>
    <row r="1507" hidden="1">
      <c r="A1507" s="7" t="s">
        <v>309</v>
      </c>
      <c r="B1507" s="7" t="s">
        <v>268</v>
      </c>
      <c r="C1507" s="7">
        <v>0.1</v>
      </c>
      <c r="D1507" s="7">
        <v>1.0</v>
      </c>
      <c r="E1507" s="7">
        <v>2.0</v>
      </c>
      <c r="F1507" s="7">
        <v>227.172108650207</v>
      </c>
      <c r="G1507" s="7">
        <v>453.529304742813</v>
      </c>
      <c r="H1507" s="7">
        <v>0.0</v>
      </c>
      <c r="I1507" s="15">
        <v>0.21875902943996</v>
      </c>
      <c r="J1507" s="15">
        <v>0.0725165514525453</v>
      </c>
      <c r="K1507" s="12">
        <f>AVERAGE(I1507:I1511)</f>
        <v>0.3044422354</v>
      </c>
      <c r="L1507" s="18">
        <v>21212.0</v>
      </c>
      <c r="M1507" s="14">
        <f>STDEV(L1507:L1511)</f>
        <v>19407.58904</v>
      </c>
      <c r="N1507" s="15" t="b">
        <f t="shared" si="1"/>
        <v>0</v>
      </c>
    </row>
    <row r="1508" hidden="1">
      <c r="A1508" s="7" t="s">
        <v>309</v>
      </c>
      <c r="B1508" s="7" t="s">
        <v>268</v>
      </c>
      <c r="C1508" s="7">
        <v>0.1</v>
      </c>
      <c r="D1508" s="7">
        <v>1.0</v>
      </c>
      <c r="E1508" s="7">
        <v>2.0</v>
      </c>
      <c r="F1508" s="7">
        <v>227.172108650207</v>
      </c>
      <c r="G1508" s="7">
        <v>453.529304742813</v>
      </c>
      <c r="H1508" s="7">
        <v>1.0</v>
      </c>
      <c r="I1508" s="15">
        <v>0.0840405453892907</v>
      </c>
      <c r="J1508" s="15">
        <v>0.0503972085339821</v>
      </c>
      <c r="K1508" s="12">
        <f>AVERAGE(I1507:I1511)</f>
        <v>0.3044422354</v>
      </c>
      <c r="L1508" s="18">
        <v>32159.0</v>
      </c>
      <c r="M1508" s="14">
        <f>STDEV(L1507:L1511)</f>
        <v>19407.58904</v>
      </c>
      <c r="N1508" s="15" t="b">
        <f t="shared" si="1"/>
        <v>0</v>
      </c>
    </row>
    <row r="1509" hidden="1">
      <c r="A1509" s="7" t="s">
        <v>309</v>
      </c>
      <c r="B1509" s="7" t="s">
        <v>268</v>
      </c>
      <c r="C1509" s="7">
        <v>0.1</v>
      </c>
      <c r="D1509" s="7">
        <v>1.0</v>
      </c>
      <c r="E1509" s="7">
        <v>2.0</v>
      </c>
      <c r="F1509" s="7">
        <v>227.172108650207</v>
      </c>
      <c r="G1509" s="7">
        <v>453.529304742813</v>
      </c>
      <c r="H1509" s="7">
        <v>2.0</v>
      </c>
      <c r="I1509" s="15">
        <v>0.67986940112241</v>
      </c>
      <c r="J1509" s="15">
        <v>0.144561243722735</v>
      </c>
      <c r="K1509" s="12">
        <f>AVERAGE(I1507:I1511)</f>
        <v>0.3044422354</v>
      </c>
      <c r="L1509" s="18">
        <v>577.0</v>
      </c>
      <c r="M1509" s="14">
        <f>STDEV(L1507:L1511)</f>
        <v>19407.58904</v>
      </c>
      <c r="N1509" s="15" t="b">
        <f t="shared" si="1"/>
        <v>0</v>
      </c>
    </row>
    <row r="1510" hidden="1">
      <c r="A1510" s="7" t="s">
        <v>309</v>
      </c>
      <c r="B1510" s="7" t="s">
        <v>268</v>
      </c>
      <c r="C1510" s="7">
        <v>0.1</v>
      </c>
      <c r="D1510" s="7">
        <v>1.0</v>
      </c>
      <c r="E1510" s="7">
        <v>2.0</v>
      </c>
      <c r="F1510" s="7">
        <v>227.172108650207</v>
      </c>
      <c r="G1510" s="7">
        <v>453.529304742813</v>
      </c>
      <c r="H1510" s="7">
        <v>3.0</v>
      </c>
      <c r="I1510" s="15">
        <v>0.146368298857314</v>
      </c>
      <c r="J1510" s="15">
        <v>0.070295391661843</v>
      </c>
      <c r="K1510" s="12">
        <f>AVERAGE(I1507:I1511)</f>
        <v>0.3044422354</v>
      </c>
      <c r="L1510" s="18">
        <v>53571.0</v>
      </c>
      <c r="M1510" s="14">
        <f>STDEV(L1507:L1511)</f>
        <v>19407.58904</v>
      </c>
      <c r="N1510" s="15" t="b">
        <f t="shared" si="1"/>
        <v>0</v>
      </c>
    </row>
    <row r="1511" hidden="1">
      <c r="A1511" s="7" t="s">
        <v>309</v>
      </c>
      <c r="B1511" s="7" t="s">
        <v>268</v>
      </c>
      <c r="C1511" s="7">
        <v>0.1</v>
      </c>
      <c r="D1511" s="7">
        <v>1.0</v>
      </c>
      <c r="E1511" s="7">
        <v>2.0</v>
      </c>
      <c r="F1511" s="7">
        <v>227.172108650207</v>
      </c>
      <c r="G1511" s="7">
        <v>453.529304742813</v>
      </c>
      <c r="H1511" s="7">
        <v>4.0</v>
      </c>
      <c r="I1511" s="15">
        <v>0.393173902224997</v>
      </c>
      <c r="J1511" s="15">
        <v>0.0615892233582607</v>
      </c>
      <c r="K1511" s="12">
        <f>AVERAGE(I1507:I1511)</f>
        <v>0.3044422354</v>
      </c>
      <c r="L1511" s="18">
        <v>34157.0</v>
      </c>
      <c r="M1511" s="14">
        <f>STDEV(L1507:L1511)</f>
        <v>19407.58904</v>
      </c>
      <c r="N1511" s="15" t="b">
        <f t="shared" si="1"/>
        <v>0</v>
      </c>
    </row>
    <row r="1512" hidden="1">
      <c r="A1512" s="7" t="s">
        <v>310</v>
      </c>
      <c r="B1512" s="7" t="s">
        <v>268</v>
      </c>
      <c r="C1512" s="7">
        <v>0.1</v>
      </c>
      <c r="D1512" s="7">
        <v>1.0</v>
      </c>
      <c r="E1512" s="7">
        <v>3.0</v>
      </c>
      <c r="F1512" s="7">
        <v>266.299456357956</v>
      </c>
      <c r="G1512" s="7">
        <v>481.855017900466</v>
      </c>
      <c r="H1512" s="7">
        <v>0.0</v>
      </c>
      <c r="I1512" s="15">
        <v>0.824915943647464</v>
      </c>
      <c r="J1512" s="15">
        <v>0.114959508418088</v>
      </c>
      <c r="K1512" s="12">
        <f>AVERAGE(I1512:I1516)</f>
        <v>0.544646612</v>
      </c>
      <c r="L1512" s="18">
        <v>7464.0</v>
      </c>
      <c r="M1512" s="14">
        <f>STDEV(L1512:L1516)</f>
        <v>51598.33278</v>
      </c>
      <c r="N1512" s="15" t="b">
        <f t="shared" si="1"/>
        <v>0</v>
      </c>
    </row>
    <row r="1513" hidden="1">
      <c r="A1513" s="7" t="s">
        <v>310</v>
      </c>
      <c r="B1513" s="7" t="s">
        <v>268</v>
      </c>
      <c r="C1513" s="7">
        <v>0.1</v>
      </c>
      <c r="D1513" s="7">
        <v>1.0</v>
      </c>
      <c r="E1513" s="7">
        <v>3.0</v>
      </c>
      <c r="F1513" s="7">
        <v>266.299456357956</v>
      </c>
      <c r="G1513" s="7">
        <v>481.855017900466</v>
      </c>
      <c r="H1513" s="7">
        <v>1.0</v>
      </c>
      <c r="I1513" s="15">
        <v>0.285352633001001</v>
      </c>
      <c r="J1513" s="15">
        <v>0.0941243925575445</v>
      </c>
      <c r="K1513" s="12">
        <f>AVERAGE(I1512:I1516)</f>
        <v>0.544646612</v>
      </c>
      <c r="L1513" s="18">
        <v>5181.0</v>
      </c>
      <c r="M1513" s="14">
        <f>STDEV(L1512:L1516)</f>
        <v>51598.33278</v>
      </c>
      <c r="N1513" s="15" t="b">
        <f t="shared" si="1"/>
        <v>0</v>
      </c>
    </row>
    <row r="1514" hidden="1">
      <c r="A1514" s="7" t="s">
        <v>310</v>
      </c>
      <c r="B1514" s="7" t="s">
        <v>268</v>
      </c>
      <c r="C1514" s="7">
        <v>0.1</v>
      </c>
      <c r="D1514" s="7">
        <v>1.0</v>
      </c>
      <c r="E1514" s="7">
        <v>3.0</v>
      </c>
      <c r="F1514" s="7">
        <v>266.299456357956</v>
      </c>
      <c r="G1514" s="7">
        <v>481.855017900466</v>
      </c>
      <c r="H1514" s="7">
        <v>2.0</v>
      </c>
      <c r="I1514" s="15">
        <v>0.0772436037986115</v>
      </c>
      <c r="J1514" s="15">
        <v>0.0524628670071424</v>
      </c>
      <c r="K1514" s="12">
        <f>AVERAGE(I1512:I1516)</f>
        <v>0.544646612</v>
      </c>
      <c r="L1514" s="18">
        <v>120510.0</v>
      </c>
      <c r="M1514" s="14">
        <f>STDEV(L1512:L1516)</f>
        <v>51598.33278</v>
      </c>
      <c r="N1514" s="15" t="b">
        <f t="shared" si="1"/>
        <v>0</v>
      </c>
    </row>
    <row r="1515" hidden="1">
      <c r="A1515" s="7" t="s">
        <v>310</v>
      </c>
      <c r="B1515" s="7" t="s">
        <v>268</v>
      </c>
      <c r="C1515" s="7">
        <v>0.1</v>
      </c>
      <c r="D1515" s="7">
        <v>1.0</v>
      </c>
      <c r="E1515" s="7">
        <v>3.0</v>
      </c>
      <c r="F1515" s="7">
        <v>266.299456357956</v>
      </c>
      <c r="G1515" s="7">
        <v>481.855017900466</v>
      </c>
      <c r="H1515" s="7">
        <v>3.0</v>
      </c>
      <c r="I1515" s="15">
        <v>0.749419644445253</v>
      </c>
      <c r="J1515" s="15">
        <v>0.143207387189166</v>
      </c>
      <c r="K1515" s="12">
        <f>AVERAGE(I1512:I1516)</f>
        <v>0.544646612</v>
      </c>
      <c r="L1515" s="18">
        <v>7611.0</v>
      </c>
      <c r="M1515" s="14">
        <f>STDEV(L1512:L1516)</f>
        <v>51598.33278</v>
      </c>
      <c r="N1515" s="15" t="b">
        <f t="shared" si="1"/>
        <v>0</v>
      </c>
    </row>
    <row r="1516" hidden="1">
      <c r="A1516" s="7" t="s">
        <v>310</v>
      </c>
      <c r="B1516" s="7" t="s">
        <v>268</v>
      </c>
      <c r="C1516" s="7">
        <v>0.1</v>
      </c>
      <c r="D1516" s="7">
        <v>1.0</v>
      </c>
      <c r="E1516" s="7">
        <v>3.0</v>
      </c>
      <c r="F1516" s="7">
        <v>266.299456357956</v>
      </c>
      <c r="G1516" s="7">
        <v>481.855017900466</v>
      </c>
      <c r="H1516" s="7">
        <v>4.0</v>
      </c>
      <c r="I1516" s="15">
        <v>0.786301235353697</v>
      </c>
      <c r="J1516" s="15">
        <v>0.148540199918431</v>
      </c>
      <c r="K1516" s="12">
        <f>AVERAGE(I1512:I1516)</f>
        <v>0.544646612</v>
      </c>
      <c r="L1516" s="18">
        <v>910.0</v>
      </c>
      <c r="M1516" s="14">
        <f>STDEV(L1512:L1516)</f>
        <v>51598.33278</v>
      </c>
      <c r="N1516" s="15" t="b">
        <f t="shared" si="1"/>
        <v>0</v>
      </c>
    </row>
    <row r="1517" hidden="1">
      <c r="A1517" s="7" t="s">
        <v>311</v>
      </c>
      <c r="B1517" s="7" t="s">
        <v>268</v>
      </c>
      <c r="C1517" s="7">
        <v>0.1</v>
      </c>
      <c r="D1517" s="7">
        <v>1.0</v>
      </c>
      <c r="E1517" s="7">
        <v>4.0</v>
      </c>
      <c r="F1517" s="7">
        <v>277.294998407363</v>
      </c>
      <c r="G1517" s="7">
        <v>480.877892971038</v>
      </c>
      <c r="H1517" s="7">
        <v>0.0</v>
      </c>
      <c r="I1517" s="15">
        <v>0.91274238398777</v>
      </c>
      <c r="J1517" s="15">
        <v>0.0345567999136266</v>
      </c>
      <c r="K1517" s="12">
        <f>AVERAGE(I1517:I1521)</f>
        <v>0.5454148425</v>
      </c>
      <c r="L1517" s="18">
        <v>2043.0</v>
      </c>
      <c r="M1517" s="14">
        <f>STDEV(L1517:L1521)</f>
        <v>31746.87516</v>
      </c>
      <c r="N1517" s="15" t="b">
        <f t="shared" si="1"/>
        <v>0</v>
      </c>
    </row>
    <row r="1518" hidden="1">
      <c r="A1518" s="7" t="s">
        <v>311</v>
      </c>
      <c r="B1518" s="7" t="s">
        <v>268</v>
      </c>
      <c r="C1518" s="7">
        <v>0.1</v>
      </c>
      <c r="D1518" s="7">
        <v>1.0</v>
      </c>
      <c r="E1518" s="7">
        <v>4.0</v>
      </c>
      <c r="F1518" s="7">
        <v>277.294998407363</v>
      </c>
      <c r="G1518" s="7">
        <v>480.877892971038</v>
      </c>
      <c r="H1518" s="7">
        <v>1.0</v>
      </c>
      <c r="I1518" s="15">
        <v>0.82384605895193</v>
      </c>
      <c r="J1518" s="15">
        <v>0.0993306914381671</v>
      </c>
      <c r="K1518" s="12">
        <f>AVERAGE(I1517:I1521)</f>
        <v>0.5454148425</v>
      </c>
      <c r="L1518" s="18">
        <v>6438.0</v>
      </c>
      <c r="M1518" s="14">
        <f>STDEV(L1517:L1521)</f>
        <v>31746.87516</v>
      </c>
      <c r="N1518" s="15" t="b">
        <f t="shared" si="1"/>
        <v>0</v>
      </c>
    </row>
    <row r="1519" hidden="1">
      <c r="A1519" s="7" t="s">
        <v>311</v>
      </c>
      <c r="B1519" s="7" t="s">
        <v>268</v>
      </c>
      <c r="C1519" s="7">
        <v>0.1</v>
      </c>
      <c r="D1519" s="7">
        <v>1.0</v>
      </c>
      <c r="E1519" s="7">
        <v>4.0</v>
      </c>
      <c r="F1519" s="7">
        <v>277.294998407363</v>
      </c>
      <c r="G1519" s="7">
        <v>480.877892971038</v>
      </c>
      <c r="H1519" s="7">
        <v>2.0</v>
      </c>
      <c r="I1519" s="15">
        <v>0.0555084233804258</v>
      </c>
      <c r="J1519" s="15">
        <v>0.0651543489809375</v>
      </c>
      <c r="K1519" s="12">
        <f>AVERAGE(I1517:I1521)</f>
        <v>0.5454148425</v>
      </c>
      <c r="L1519" s="18">
        <v>57430.0</v>
      </c>
      <c r="M1519" s="14">
        <f>STDEV(L1517:L1521)</f>
        <v>31746.87516</v>
      </c>
      <c r="N1519" s="15" t="b">
        <f t="shared" si="1"/>
        <v>0</v>
      </c>
    </row>
    <row r="1520" hidden="1">
      <c r="A1520" s="7" t="s">
        <v>311</v>
      </c>
      <c r="B1520" s="7" t="s">
        <v>268</v>
      </c>
      <c r="C1520" s="7">
        <v>0.1</v>
      </c>
      <c r="D1520" s="7">
        <v>1.0</v>
      </c>
      <c r="E1520" s="7">
        <v>4.0</v>
      </c>
      <c r="F1520" s="7">
        <v>277.294998407363</v>
      </c>
      <c r="G1520" s="7">
        <v>480.877892971038</v>
      </c>
      <c r="H1520" s="7">
        <v>3.0</v>
      </c>
      <c r="I1520" s="15">
        <v>0.183874009696553</v>
      </c>
      <c r="J1520" s="15">
        <v>0.0531371789940472</v>
      </c>
      <c r="K1520" s="12">
        <f>AVERAGE(I1517:I1521)</f>
        <v>0.5454148425</v>
      </c>
      <c r="L1520" s="18">
        <v>68147.0</v>
      </c>
      <c r="M1520" s="14">
        <f>STDEV(L1517:L1521)</f>
        <v>31746.87516</v>
      </c>
      <c r="N1520" s="15" t="b">
        <f t="shared" si="1"/>
        <v>0</v>
      </c>
    </row>
    <row r="1521" hidden="1">
      <c r="A1521" s="7" t="s">
        <v>311</v>
      </c>
      <c r="B1521" s="7" t="s">
        <v>268</v>
      </c>
      <c r="C1521" s="7">
        <v>0.1</v>
      </c>
      <c r="D1521" s="7">
        <v>1.0</v>
      </c>
      <c r="E1521" s="7">
        <v>4.0</v>
      </c>
      <c r="F1521" s="7">
        <v>277.294998407363</v>
      </c>
      <c r="G1521" s="7">
        <v>480.877892971038</v>
      </c>
      <c r="H1521" s="7">
        <v>4.0</v>
      </c>
      <c r="I1521" s="15">
        <v>0.751103336645348</v>
      </c>
      <c r="J1521" s="15">
        <v>0.1330787905724</v>
      </c>
      <c r="K1521" s="12">
        <f>AVERAGE(I1517:I1521)</f>
        <v>0.5454148425</v>
      </c>
      <c r="L1521" s="18">
        <v>7618.0</v>
      </c>
      <c r="M1521" s="14">
        <f>STDEV(L1517:L1521)</f>
        <v>31746.87516</v>
      </c>
      <c r="N1521" s="15" t="b">
        <f t="shared" si="1"/>
        <v>0</v>
      </c>
    </row>
    <row r="1522" hidden="1">
      <c r="A1522" s="7" t="s">
        <v>312</v>
      </c>
      <c r="B1522" s="19" t="s">
        <v>268</v>
      </c>
      <c r="C1522" s="19">
        <v>0.1</v>
      </c>
      <c r="D1522" s="19">
        <v>1.0</v>
      </c>
      <c r="E1522" s="19">
        <v>5.0</v>
      </c>
      <c r="F1522" s="7">
        <v>159.190403461456</v>
      </c>
      <c r="G1522" s="7">
        <v>359.908591747283</v>
      </c>
      <c r="H1522" s="7">
        <v>0.0</v>
      </c>
      <c r="I1522" s="15">
        <v>0.433120303570629</v>
      </c>
      <c r="J1522" s="15">
        <v>0.247469976032763</v>
      </c>
      <c r="K1522" s="12">
        <f>AVERAGE(I1522:I1526)</f>
        <v>0.3648364611</v>
      </c>
      <c r="L1522" s="18">
        <v>12461.0</v>
      </c>
      <c r="M1522" s="14">
        <f>STDEV(L1522:L1526)</f>
        <v>21350.36712</v>
      </c>
      <c r="N1522" s="15" t="b">
        <f t="shared" si="1"/>
        <v>0</v>
      </c>
    </row>
    <row r="1523" hidden="1">
      <c r="A1523" s="7" t="s">
        <v>312</v>
      </c>
      <c r="B1523" s="19" t="s">
        <v>268</v>
      </c>
      <c r="C1523" s="19">
        <v>0.1</v>
      </c>
      <c r="D1523" s="19">
        <v>1.0</v>
      </c>
      <c r="E1523" s="19">
        <v>5.0</v>
      </c>
      <c r="F1523" s="7">
        <v>159.190403461456</v>
      </c>
      <c r="G1523" s="7">
        <v>359.908591747283</v>
      </c>
      <c r="H1523" s="7">
        <v>1.0</v>
      </c>
      <c r="I1523" s="15">
        <v>0.192453643603167</v>
      </c>
      <c r="J1523" s="15">
        <v>0.0534574831251185</v>
      </c>
      <c r="K1523" s="12">
        <f>AVERAGE(I1522:I1526)</f>
        <v>0.3648364611</v>
      </c>
      <c r="L1523" s="18">
        <v>25588.0</v>
      </c>
      <c r="M1523" s="14">
        <f>STDEV(L1522:L1526)</f>
        <v>21350.36712</v>
      </c>
      <c r="N1523" s="15" t="b">
        <f t="shared" si="1"/>
        <v>0</v>
      </c>
    </row>
    <row r="1524" hidden="1">
      <c r="A1524" s="7" t="s">
        <v>312</v>
      </c>
      <c r="B1524" s="19" t="s">
        <v>268</v>
      </c>
      <c r="C1524" s="19">
        <v>0.1</v>
      </c>
      <c r="D1524" s="19">
        <v>1.0</v>
      </c>
      <c r="E1524" s="19">
        <v>5.0</v>
      </c>
      <c r="F1524" s="7">
        <v>159.190403461456</v>
      </c>
      <c r="G1524" s="7">
        <v>359.908591747283</v>
      </c>
      <c r="H1524" s="7">
        <v>2.0</v>
      </c>
      <c r="I1524" s="15">
        <v>0.811555335204366</v>
      </c>
      <c r="J1524" s="15">
        <v>0.079713565126355</v>
      </c>
      <c r="K1524" s="12">
        <f>AVERAGE(I1522:I1526)</f>
        <v>0.3648364611</v>
      </c>
      <c r="L1524" s="18">
        <v>4053.0</v>
      </c>
      <c r="M1524" s="14">
        <f>STDEV(L1522:L1526)</f>
        <v>21350.36712</v>
      </c>
      <c r="N1524" s="15" t="b">
        <f t="shared" si="1"/>
        <v>0</v>
      </c>
    </row>
    <row r="1525" hidden="1">
      <c r="A1525" s="7" t="s">
        <v>312</v>
      </c>
      <c r="B1525" s="19" t="s">
        <v>268</v>
      </c>
      <c r="C1525" s="19">
        <v>0.1</v>
      </c>
      <c r="D1525" s="19">
        <v>1.0</v>
      </c>
      <c r="E1525" s="19">
        <v>5.0</v>
      </c>
      <c r="F1525" s="7">
        <v>159.190403461456</v>
      </c>
      <c r="G1525" s="7">
        <v>359.908591747283</v>
      </c>
      <c r="H1525" s="7">
        <v>3.0</v>
      </c>
      <c r="I1525" s="15">
        <v>0.263549593204973</v>
      </c>
      <c r="J1525" s="15">
        <v>0.0664061050638465</v>
      </c>
      <c r="K1525" s="12">
        <f>AVERAGE(I1522:I1526)</f>
        <v>0.3648364611</v>
      </c>
      <c r="L1525" s="18">
        <v>44599.0</v>
      </c>
      <c r="M1525" s="14">
        <f>STDEV(L1522:L1526)</f>
        <v>21350.36712</v>
      </c>
      <c r="N1525" s="15" t="b">
        <f t="shared" si="1"/>
        <v>0</v>
      </c>
    </row>
    <row r="1526" hidden="1">
      <c r="A1526" s="7" t="s">
        <v>312</v>
      </c>
      <c r="B1526" s="19" t="s">
        <v>268</v>
      </c>
      <c r="C1526" s="19">
        <v>0.1</v>
      </c>
      <c r="D1526" s="19">
        <v>1.0</v>
      </c>
      <c r="E1526" s="19">
        <v>5.0</v>
      </c>
      <c r="F1526" s="7">
        <v>159.190403461456</v>
      </c>
      <c r="G1526" s="7">
        <v>359.908591747283</v>
      </c>
      <c r="H1526" s="7">
        <v>4.0</v>
      </c>
      <c r="I1526" s="15">
        <v>0.123503430028768</v>
      </c>
      <c r="J1526" s="15">
        <v>0.102413309576571</v>
      </c>
      <c r="K1526" s="12">
        <f>AVERAGE(I1522:I1526)</f>
        <v>0.3648364611</v>
      </c>
      <c r="L1526" s="18">
        <v>54975.0</v>
      </c>
      <c r="M1526" s="14">
        <f>STDEV(L1522:L1526)</f>
        <v>21350.36712</v>
      </c>
      <c r="N1526" s="15" t="b">
        <f t="shared" si="1"/>
        <v>0</v>
      </c>
    </row>
    <row r="1527" hidden="1">
      <c r="A1527" s="7" t="s">
        <v>313</v>
      </c>
      <c r="B1527" s="7" t="s">
        <v>268</v>
      </c>
      <c r="C1527" s="7">
        <v>0.1</v>
      </c>
      <c r="D1527" s="7">
        <v>1.0</v>
      </c>
      <c r="E1527" s="7">
        <v>6.0</v>
      </c>
      <c r="F1527" s="7">
        <v>280.709618806839</v>
      </c>
      <c r="G1527" s="7">
        <v>481.949177980423</v>
      </c>
      <c r="H1527" s="7">
        <v>0.0</v>
      </c>
      <c r="I1527" s="15">
        <v>0.192303847089051</v>
      </c>
      <c r="J1527" s="15">
        <v>0.0812562987123586</v>
      </c>
      <c r="K1527" s="12">
        <f>AVERAGE(I1527:I1531)</f>
        <v>0.5336985764</v>
      </c>
      <c r="L1527" s="18">
        <v>49176.0</v>
      </c>
      <c r="M1527" s="14">
        <f>STDEV(L1527:L1531)</f>
        <v>25213.49983</v>
      </c>
      <c r="N1527" s="15" t="b">
        <f t="shared" si="1"/>
        <v>0</v>
      </c>
    </row>
    <row r="1528" hidden="1">
      <c r="A1528" s="7" t="s">
        <v>313</v>
      </c>
      <c r="B1528" s="7" t="s">
        <v>268</v>
      </c>
      <c r="C1528" s="7">
        <v>0.1</v>
      </c>
      <c r="D1528" s="7">
        <v>1.0</v>
      </c>
      <c r="E1528" s="7">
        <v>6.0</v>
      </c>
      <c r="F1528" s="7">
        <v>280.709618806839</v>
      </c>
      <c r="G1528" s="7">
        <v>481.949177980423</v>
      </c>
      <c r="H1528" s="7">
        <v>1.0</v>
      </c>
      <c r="I1528" s="15">
        <v>0.789953906086156</v>
      </c>
      <c r="J1528" s="15">
        <v>0.1008433088745</v>
      </c>
      <c r="K1528" s="12">
        <f>AVERAGE(I1527:I1531)</f>
        <v>0.5336985764</v>
      </c>
      <c r="L1528" s="18">
        <v>18657.0</v>
      </c>
      <c r="M1528" s="14">
        <f>STDEV(L1527:L1531)</f>
        <v>25213.49983</v>
      </c>
      <c r="N1528" s="15" t="b">
        <f t="shared" si="1"/>
        <v>0</v>
      </c>
    </row>
    <row r="1529" hidden="1">
      <c r="A1529" s="7" t="s">
        <v>313</v>
      </c>
      <c r="B1529" s="7" t="s">
        <v>268</v>
      </c>
      <c r="C1529" s="7">
        <v>0.1</v>
      </c>
      <c r="D1529" s="7">
        <v>1.0</v>
      </c>
      <c r="E1529" s="7">
        <v>6.0</v>
      </c>
      <c r="F1529" s="7">
        <v>280.709618806839</v>
      </c>
      <c r="G1529" s="7">
        <v>481.949177980423</v>
      </c>
      <c r="H1529" s="7">
        <v>2.0</v>
      </c>
      <c r="I1529" s="15">
        <v>0.0644346847386601</v>
      </c>
      <c r="J1529" s="15">
        <v>0.0693493457370545</v>
      </c>
      <c r="K1529" s="12">
        <f>AVERAGE(I1527:I1531)</f>
        <v>0.5336985764</v>
      </c>
      <c r="L1529" s="18">
        <v>60852.0</v>
      </c>
      <c r="M1529" s="14">
        <f>STDEV(L1527:L1531)</f>
        <v>25213.49983</v>
      </c>
      <c r="N1529" s="15" t="b">
        <f t="shared" si="1"/>
        <v>0</v>
      </c>
    </row>
    <row r="1530" hidden="1">
      <c r="A1530" s="7" t="s">
        <v>313</v>
      </c>
      <c r="B1530" s="7" t="s">
        <v>268</v>
      </c>
      <c r="C1530" s="7">
        <v>0.1</v>
      </c>
      <c r="D1530" s="7">
        <v>1.0</v>
      </c>
      <c r="E1530" s="7">
        <v>6.0</v>
      </c>
      <c r="F1530" s="7">
        <v>280.709618806839</v>
      </c>
      <c r="G1530" s="7">
        <v>481.949177980423</v>
      </c>
      <c r="H1530" s="7">
        <v>3.0</v>
      </c>
      <c r="I1530" s="15">
        <v>0.763396873446731</v>
      </c>
      <c r="J1530" s="15">
        <v>0.135016328251052</v>
      </c>
      <c r="K1530" s="12">
        <f>AVERAGE(I1527:I1531)</f>
        <v>0.5336985764</v>
      </c>
      <c r="L1530" s="18">
        <v>7835.0</v>
      </c>
      <c r="M1530" s="14">
        <f>STDEV(L1527:L1531)</f>
        <v>25213.49983</v>
      </c>
      <c r="N1530" s="15" t="b">
        <f t="shared" si="1"/>
        <v>0</v>
      </c>
    </row>
    <row r="1531" hidden="1">
      <c r="A1531" s="7" t="s">
        <v>313</v>
      </c>
      <c r="B1531" s="7" t="s">
        <v>268</v>
      </c>
      <c r="C1531" s="7">
        <v>0.1</v>
      </c>
      <c r="D1531" s="7">
        <v>1.0</v>
      </c>
      <c r="E1531" s="7">
        <v>6.0</v>
      </c>
      <c r="F1531" s="7">
        <v>280.709618806839</v>
      </c>
      <c r="G1531" s="7">
        <v>481.949177980423</v>
      </c>
      <c r="H1531" s="7">
        <v>4.0</v>
      </c>
      <c r="I1531" s="15">
        <v>0.858403570522208</v>
      </c>
      <c r="J1531" s="15">
        <v>0.106352628433068</v>
      </c>
      <c r="K1531" s="12">
        <f>AVERAGE(I1527:I1531)</f>
        <v>0.5336985764</v>
      </c>
      <c r="L1531" s="18">
        <v>5156.0</v>
      </c>
      <c r="M1531" s="14">
        <f>STDEV(L1527:L1531)</f>
        <v>25213.49983</v>
      </c>
      <c r="N1531" s="15" t="b">
        <f t="shared" si="1"/>
        <v>0</v>
      </c>
    </row>
    <row r="1532" hidden="1">
      <c r="A1532" s="7" t="s">
        <v>314</v>
      </c>
      <c r="B1532" s="7" t="s">
        <v>268</v>
      </c>
      <c r="C1532" s="7">
        <v>0.1</v>
      </c>
      <c r="D1532" s="7">
        <v>1.0</v>
      </c>
      <c r="E1532" s="7">
        <v>7.0</v>
      </c>
      <c r="F1532" s="7">
        <v>361.880808353424</v>
      </c>
      <c r="G1532" s="7">
        <v>504.27281999588</v>
      </c>
      <c r="H1532" s="7">
        <v>0.0</v>
      </c>
      <c r="I1532" s="15">
        <v>0.720230138752036</v>
      </c>
      <c r="J1532" s="15">
        <v>0.143572554686801</v>
      </c>
      <c r="K1532" s="12">
        <f>AVERAGE(I1532:I1536)</f>
        <v>0.5418650339</v>
      </c>
      <c r="L1532" s="18">
        <v>13549.0</v>
      </c>
      <c r="M1532" s="14">
        <f>STDEV(L1532:L1536)</f>
        <v>29743.74426</v>
      </c>
      <c r="N1532" s="15" t="b">
        <f t="shared" si="1"/>
        <v>0</v>
      </c>
    </row>
    <row r="1533" hidden="1">
      <c r="A1533" s="7" t="s">
        <v>314</v>
      </c>
      <c r="B1533" s="7" t="s">
        <v>268</v>
      </c>
      <c r="C1533" s="7">
        <v>0.1</v>
      </c>
      <c r="D1533" s="7">
        <v>1.0</v>
      </c>
      <c r="E1533" s="7">
        <v>7.0</v>
      </c>
      <c r="F1533" s="7">
        <v>361.880808353424</v>
      </c>
      <c r="G1533" s="7">
        <v>504.27281999588</v>
      </c>
      <c r="H1533" s="7">
        <v>1.0</v>
      </c>
      <c r="I1533" s="15">
        <v>0.0766058872366585</v>
      </c>
      <c r="J1533" s="15">
        <v>0.0968116092803261</v>
      </c>
      <c r="K1533" s="12">
        <f>AVERAGE(I1532:I1536)</f>
        <v>0.5418650339</v>
      </c>
      <c r="L1533" s="18">
        <v>73380.0</v>
      </c>
      <c r="M1533" s="14">
        <f>STDEV(L1532:L1536)</f>
        <v>29743.74426</v>
      </c>
      <c r="N1533" s="15" t="b">
        <f t="shared" si="1"/>
        <v>0</v>
      </c>
    </row>
    <row r="1534" hidden="1">
      <c r="A1534" s="7" t="s">
        <v>314</v>
      </c>
      <c r="B1534" s="7" t="s">
        <v>268</v>
      </c>
      <c r="C1534" s="7">
        <v>0.1</v>
      </c>
      <c r="D1534" s="7">
        <v>1.0</v>
      </c>
      <c r="E1534" s="7">
        <v>7.0</v>
      </c>
      <c r="F1534" s="7">
        <v>361.880808353424</v>
      </c>
      <c r="G1534" s="7">
        <v>504.27281999588</v>
      </c>
      <c r="H1534" s="7">
        <v>2.0</v>
      </c>
      <c r="I1534" s="15">
        <v>0.814090292006702</v>
      </c>
      <c r="J1534" s="15">
        <v>0.0754185052689639</v>
      </c>
      <c r="K1534" s="12">
        <f>AVERAGE(I1532:I1536)</f>
        <v>0.5418650339</v>
      </c>
      <c r="L1534" s="18">
        <v>4040.0</v>
      </c>
      <c r="M1534" s="14">
        <f>STDEV(L1532:L1536)</f>
        <v>29743.74426</v>
      </c>
      <c r="N1534" s="15" t="b">
        <f t="shared" si="1"/>
        <v>0</v>
      </c>
    </row>
    <row r="1535" hidden="1">
      <c r="A1535" s="7" t="s">
        <v>314</v>
      </c>
      <c r="B1535" s="7" t="s">
        <v>268</v>
      </c>
      <c r="C1535" s="7">
        <v>0.1</v>
      </c>
      <c r="D1535" s="7">
        <v>1.0</v>
      </c>
      <c r="E1535" s="7">
        <v>7.0</v>
      </c>
      <c r="F1535" s="7">
        <v>361.880808353424</v>
      </c>
      <c r="G1535" s="7">
        <v>504.27281999588</v>
      </c>
      <c r="H1535" s="7">
        <v>3.0</v>
      </c>
      <c r="I1535" s="15">
        <v>0.855126856651767</v>
      </c>
      <c r="J1535" s="15">
        <v>0.0589243758592273</v>
      </c>
      <c r="K1535" s="12">
        <f>AVERAGE(I1532:I1536)</f>
        <v>0.5418650339</v>
      </c>
      <c r="L1535" s="18">
        <v>6873.0</v>
      </c>
      <c r="M1535" s="14">
        <f>STDEV(L1532:L1536)</f>
        <v>29743.74426</v>
      </c>
      <c r="N1535" s="15" t="b">
        <f t="shared" si="1"/>
        <v>0</v>
      </c>
    </row>
    <row r="1536" hidden="1">
      <c r="A1536" s="7" t="s">
        <v>314</v>
      </c>
      <c r="B1536" s="7" t="s">
        <v>268</v>
      </c>
      <c r="C1536" s="7">
        <v>0.1</v>
      </c>
      <c r="D1536" s="7">
        <v>1.0</v>
      </c>
      <c r="E1536" s="7">
        <v>7.0</v>
      </c>
      <c r="F1536" s="7">
        <v>361.880808353424</v>
      </c>
      <c r="G1536" s="7">
        <v>504.27281999588</v>
      </c>
      <c r="H1536" s="7">
        <v>4.0</v>
      </c>
      <c r="I1536" s="15">
        <v>0.243271994640831</v>
      </c>
      <c r="J1536" s="15">
        <v>0.0977231064934642</v>
      </c>
      <c r="K1536" s="12">
        <f>AVERAGE(I1532:I1536)</f>
        <v>0.5418650339</v>
      </c>
      <c r="L1536" s="18">
        <v>43834.0</v>
      </c>
      <c r="M1536" s="14">
        <f>STDEV(L1532:L1536)</f>
        <v>29743.74426</v>
      </c>
      <c r="N1536" s="15" t="b">
        <f t="shared" si="1"/>
        <v>0</v>
      </c>
    </row>
    <row r="1537" hidden="1">
      <c r="A1537" s="7" t="s">
        <v>315</v>
      </c>
      <c r="B1537" s="21" t="s">
        <v>268</v>
      </c>
      <c r="C1537" s="21">
        <v>0.1</v>
      </c>
      <c r="D1537" s="21">
        <v>1.0</v>
      </c>
      <c r="E1537" s="21">
        <v>8.0</v>
      </c>
      <c r="F1537" s="7">
        <v>260.250849485397</v>
      </c>
      <c r="G1537" s="7">
        <v>483.360709190368</v>
      </c>
      <c r="H1537" s="7">
        <v>0.0</v>
      </c>
      <c r="I1537" s="15">
        <v>0.828531757837297</v>
      </c>
      <c r="J1537" s="15">
        <v>0.0993082109740101</v>
      </c>
      <c r="K1537" s="12">
        <f>AVERAGE(I1537:I1541)</f>
        <v>0.6608227869</v>
      </c>
      <c r="L1537" s="18">
        <v>7439.0</v>
      </c>
      <c r="M1537" s="14">
        <f>STDEV(L1537:L1541)</f>
        <v>36539.39197</v>
      </c>
      <c r="N1537" s="15" t="b">
        <f t="shared" si="1"/>
        <v>1</v>
      </c>
    </row>
    <row r="1538" hidden="1">
      <c r="A1538" s="7" t="s">
        <v>315</v>
      </c>
      <c r="B1538" s="21" t="s">
        <v>268</v>
      </c>
      <c r="C1538" s="21">
        <v>0.1</v>
      </c>
      <c r="D1538" s="21">
        <v>1.0</v>
      </c>
      <c r="E1538" s="21">
        <v>8.0</v>
      </c>
      <c r="F1538" s="7">
        <v>260.250849485397</v>
      </c>
      <c r="G1538" s="7">
        <v>483.360709190368</v>
      </c>
      <c r="H1538" s="7">
        <v>1.0</v>
      </c>
      <c r="I1538" s="15">
        <v>0.769992082159773</v>
      </c>
      <c r="J1538" s="15">
        <v>0.121985616523981</v>
      </c>
      <c r="K1538" s="12">
        <f>AVERAGE(I1537:I1541)</f>
        <v>0.6608227869</v>
      </c>
      <c r="L1538" s="18">
        <v>15685.0</v>
      </c>
      <c r="M1538" s="14">
        <f>STDEV(L1537:L1541)</f>
        <v>36539.39197</v>
      </c>
      <c r="N1538" s="15" t="b">
        <f t="shared" si="1"/>
        <v>1</v>
      </c>
    </row>
    <row r="1539" hidden="1">
      <c r="A1539" s="7" t="s">
        <v>315</v>
      </c>
      <c r="B1539" s="21" t="s">
        <v>268</v>
      </c>
      <c r="C1539" s="21">
        <v>0.1</v>
      </c>
      <c r="D1539" s="21">
        <v>1.0</v>
      </c>
      <c r="E1539" s="21">
        <v>8.0</v>
      </c>
      <c r="F1539" s="7">
        <v>260.250849485397</v>
      </c>
      <c r="G1539" s="7">
        <v>483.360709190368</v>
      </c>
      <c r="H1539" s="7">
        <v>2.0</v>
      </c>
      <c r="I1539" s="15">
        <v>0.0602126668756366</v>
      </c>
      <c r="J1539" s="15">
        <v>0.0775600241876964</v>
      </c>
      <c r="K1539" s="12">
        <f>AVERAGE(I1537:I1541)</f>
        <v>0.6608227869</v>
      </c>
      <c r="L1539" s="18">
        <v>93053.0</v>
      </c>
      <c r="M1539" s="14">
        <f>STDEV(L1537:L1541)</f>
        <v>36539.39197</v>
      </c>
      <c r="N1539" s="15" t="b">
        <f t="shared" si="1"/>
        <v>1</v>
      </c>
    </row>
    <row r="1540" hidden="1">
      <c r="A1540" s="7" t="s">
        <v>315</v>
      </c>
      <c r="B1540" s="21" t="s">
        <v>268</v>
      </c>
      <c r="C1540" s="21">
        <v>0.1</v>
      </c>
      <c r="D1540" s="21">
        <v>1.0</v>
      </c>
      <c r="E1540" s="21">
        <v>8.0</v>
      </c>
      <c r="F1540" s="7">
        <v>260.250849485397</v>
      </c>
      <c r="G1540" s="7">
        <v>483.360709190368</v>
      </c>
      <c r="H1540" s="7">
        <v>3.0</v>
      </c>
      <c r="I1540" s="15">
        <v>0.855817307108572</v>
      </c>
      <c r="J1540" s="15">
        <v>0.0561854005017545</v>
      </c>
      <c r="K1540" s="12">
        <f>AVERAGE(I1537:I1541)</f>
        <v>0.6608227869</v>
      </c>
      <c r="L1540" s="18">
        <v>6850.0</v>
      </c>
      <c r="M1540" s="14">
        <f>STDEV(L1537:L1541)</f>
        <v>36539.39197</v>
      </c>
      <c r="N1540" s="15" t="b">
        <f t="shared" si="1"/>
        <v>1</v>
      </c>
    </row>
    <row r="1541" hidden="1">
      <c r="A1541" s="7" t="s">
        <v>315</v>
      </c>
      <c r="B1541" s="21" t="s">
        <v>268</v>
      </c>
      <c r="C1541" s="21">
        <v>0.1</v>
      </c>
      <c r="D1541" s="21">
        <v>1.0</v>
      </c>
      <c r="E1541" s="21">
        <v>8.0</v>
      </c>
      <c r="F1541" s="7">
        <v>260.250849485397</v>
      </c>
      <c r="G1541" s="7">
        <v>483.360709190368</v>
      </c>
      <c r="H1541" s="7">
        <v>4.0</v>
      </c>
      <c r="I1541" s="15">
        <v>0.78956012033318</v>
      </c>
      <c r="J1541" s="15">
        <v>0.100326886563744</v>
      </c>
      <c r="K1541" s="12">
        <f>AVERAGE(I1537:I1541)</f>
        <v>0.6608227869</v>
      </c>
      <c r="L1541" s="18">
        <v>18649.0</v>
      </c>
      <c r="M1541" s="14">
        <f>STDEV(L1537:L1541)</f>
        <v>36539.39197</v>
      </c>
      <c r="N1541" s="15" t="b">
        <f t="shared" si="1"/>
        <v>1</v>
      </c>
    </row>
    <row r="1542" hidden="1">
      <c r="A1542" s="7" t="s">
        <v>316</v>
      </c>
      <c r="B1542" s="23" t="s">
        <v>268</v>
      </c>
      <c r="C1542" s="23">
        <v>0.1</v>
      </c>
      <c r="D1542" s="23">
        <v>1.0</v>
      </c>
      <c r="E1542" s="23">
        <v>9.0</v>
      </c>
      <c r="F1542" s="7">
        <v>169.645334482193</v>
      </c>
      <c r="G1542" s="7">
        <v>393.288240432739</v>
      </c>
      <c r="H1542" s="7">
        <v>0.0</v>
      </c>
      <c r="I1542" s="15">
        <v>0.0585085014406281</v>
      </c>
      <c r="J1542" s="15">
        <v>0.0646252491277376</v>
      </c>
      <c r="K1542" s="12">
        <f>AVERAGE(I1542:I1546)</f>
        <v>0.6793206293</v>
      </c>
      <c r="L1542" s="18">
        <v>111364.0</v>
      </c>
      <c r="M1542" s="14">
        <f>STDEV(L1542:L1546)</f>
        <v>46684.06936</v>
      </c>
      <c r="N1542" s="15" t="b">
        <f t="shared" si="1"/>
        <v>1</v>
      </c>
    </row>
    <row r="1543" hidden="1">
      <c r="A1543" s="7" t="s">
        <v>316</v>
      </c>
      <c r="B1543" s="23" t="s">
        <v>268</v>
      </c>
      <c r="C1543" s="23">
        <v>0.1</v>
      </c>
      <c r="D1543" s="23">
        <v>1.0</v>
      </c>
      <c r="E1543" s="23">
        <v>9.0</v>
      </c>
      <c r="F1543" s="7">
        <v>169.645334482193</v>
      </c>
      <c r="G1543" s="7">
        <v>393.288240432739</v>
      </c>
      <c r="H1543" s="7">
        <v>1.0</v>
      </c>
      <c r="I1543" s="15">
        <v>0.854559018204709</v>
      </c>
      <c r="J1543" s="15">
        <v>0.0587200438498255</v>
      </c>
      <c r="K1543" s="12">
        <f>AVERAGE(I1542:I1546)</f>
        <v>0.6793206293</v>
      </c>
      <c r="L1543" s="18">
        <v>6873.0</v>
      </c>
      <c r="M1543" s="14">
        <f>STDEV(L1542:L1546)</f>
        <v>46684.06936</v>
      </c>
      <c r="N1543" s="15" t="b">
        <f t="shared" si="1"/>
        <v>1</v>
      </c>
    </row>
    <row r="1544" hidden="1">
      <c r="A1544" s="7" t="s">
        <v>316</v>
      </c>
      <c r="B1544" s="23" t="s">
        <v>268</v>
      </c>
      <c r="C1544" s="23">
        <v>0.1</v>
      </c>
      <c r="D1544" s="23">
        <v>1.0</v>
      </c>
      <c r="E1544" s="23">
        <v>9.0</v>
      </c>
      <c r="F1544" s="7">
        <v>169.645334482193</v>
      </c>
      <c r="G1544" s="7">
        <v>393.288240432739</v>
      </c>
      <c r="H1544" s="7">
        <v>2.0</v>
      </c>
      <c r="I1544" s="15">
        <v>0.764808517218085</v>
      </c>
      <c r="J1544" s="15">
        <v>0.132619307665374</v>
      </c>
      <c r="K1544" s="12">
        <f>AVERAGE(I1542:I1546)</f>
        <v>0.6793206293</v>
      </c>
      <c r="L1544" s="18">
        <v>15687.0</v>
      </c>
      <c r="M1544" s="14">
        <f>STDEV(L1542:L1546)</f>
        <v>46684.06936</v>
      </c>
      <c r="N1544" s="15" t="b">
        <f t="shared" si="1"/>
        <v>1</v>
      </c>
    </row>
    <row r="1545" hidden="1">
      <c r="A1545" s="7" t="s">
        <v>316</v>
      </c>
      <c r="B1545" s="23" t="s">
        <v>268</v>
      </c>
      <c r="C1545" s="23">
        <v>0.1</v>
      </c>
      <c r="D1545" s="23">
        <v>1.0</v>
      </c>
      <c r="E1545" s="23">
        <v>9.0</v>
      </c>
      <c r="F1545" s="7">
        <v>169.645334482193</v>
      </c>
      <c r="G1545" s="7">
        <v>393.288240432739</v>
      </c>
      <c r="H1545" s="7">
        <v>3.0</v>
      </c>
      <c r="I1545" s="15">
        <v>0.912559466260097</v>
      </c>
      <c r="J1545" s="15">
        <v>0.0342606768510661</v>
      </c>
      <c r="K1545" s="12">
        <f>AVERAGE(I1542:I1546)</f>
        <v>0.6793206293</v>
      </c>
      <c r="L1545" s="18">
        <v>2043.0</v>
      </c>
      <c r="M1545" s="14">
        <f>STDEV(L1542:L1546)</f>
        <v>46684.06936</v>
      </c>
      <c r="N1545" s="15" t="b">
        <f t="shared" si="1"/>
        <v>1</v>
      </c>
    </row>
    <row r="1546" hidden="1">
      <c r="A1546" s="7" t="s">
        <v>316</v>
      </c>
      <c r="B1546" s="23" t="s">
        <v>268</v>
      </c>
      <c r="C1546" s="23">
        <v>0.1</v>
      </c>
      <c r="D1546" s="23">
        <v>1.0</v>
      </c>
      <c r="E1546" s="23">
        <v>9.0</v>
      </c>
      <c r="F1546" s="7">
        <v>169.645334482193</v>
      </c>
      <c r="G1546" s="7">
        <v>393.288240432739</v>
      </c>
      <c r="H1546" s="7">
        <v>4.0</v>
      </c>
      <c r="I1546" s="15">
        <v>0.806167643291783</v>
      </c>
      <c r="J1546" s="15">
        <v>0.117025028402905</v>
      </c>
      <c r="K1546" s="12">
        <f>AVERAGE(I1542:I1546)</f>
        <v>0.6793206293</v>
      </c>
      <c r="L1546" s="18">
        <v>5709.0</v>
      </c>
      <c r="M1546" s="14">
        <f>STDEV(L1542:L1546)</f>
        <v>46684.06936</v>
      </c>
      <c r="N1546" s="15" t="b">
        <f t="shared" si="1"/>
        <v>1</v>
      </c>
    </row>
    <row r="1547" hidden="1">
      <c r="A1547" s="7" t="s">
        <v>317</v>
      </c>
      <c r="B1547" s="7" t="s">
        <v>268</v>
      </c>
      <c r="C1547" s="7">
        <v>0.1</v>
      </c>
      <c r="D1547" s="7">
        <v>1.0</v>
      </c>
      <c r="E1547" s="7">
        <v>10.0</v>
      </c>
      <c r="F1547" s="7">
        <v>257.427646160125</v>
      </c>
      <c r="G1547" s="7">
        <v>453.626081943511</v>
      </c>
      <c r="H1547" s="7">
        <v>0.0</v>
      </c>
      <c r="I1547" s="15">
        <v>0.0986946614979593</v>
      </c>
      <c r="J1547" s="15">
        <v>0.0832698383885397</v>
      </c>
      <c r="K1547" s="12">
        <f>AVERAGE(I1547:I1551)</f>
        <v>0.5327523083</v>
      </c>
      <c r="L1547" s="18">
        <v>67784.0</v>
      </c>
      <c r="M1547" s="14">
        <f>STDEV(L1547:L1551)</f>
        <v>32241.93536</v>
      </c>
      <c r="N1547" s="15" t="b">
        <f t="shared" si="1"/>
        <v>0</v>
      </c>
    </row>
    <row r="1548" hidden="1">
      <c r="A1548" s="7" t="s">
        <v>317</v>
      </c>
      <c r="B1548" s="7" t="s">
        <v>268</v>
      </c>
      <c r="C1548" s="7">
        <v>0.1</v>
      </c>
      <c r="D1548" s="7">
        <v>1.0</v>
      </c>
      <c r="E1548" s="7">
        <v>10.0</v>
      </c>
      <c r="F1548" s="7">
        <v>257.427646160125</v>
      </c>
      <c r="G1548" s="7">
        <v>453.626081943511</v>
      </c>
      <c r="H1548" s="7">
        <v>1.0</v>
      </c>
      <c r="I1548" s="15">
        <v>0.740869062167409</v>
      </c>
      <c r="J1548" s="15">
        <v>0.154481312671799</v>
      </c>
      <c r="K1548" s="12">
        <f>AVERAGE(I1547:I1551)</f>
        <v>0.5327523083</v>
      </c>
      <c r="L1548" s="18">
        <v>1689.0</v>
      </c>
      <c r="M1548" s="14">
        <f>STDEV(L1547:L1551)</f>
        <v>32241.93536</v>
      </c>
      <c r="N1548" s="15" t="b">
        <f t="shared" si="1"/>
        <v>0</v>
      </c>
    </row>
    <row r="1549" hidden="1">
      <c r="A1549" s="7" t="s">
        <v>317</v>
      </c>
      <c r="B1549" s="7" t="s">
        <v>268</v>
      </c>
      <c r="C1549" s="7">
        <v>0.1</v>
      </c>
      <c r="D1549" s="7">
        <v>1.0</v>
      </c>
      <c r="E1549" s="7">
        <v>10.0</v>
      </c>
      <c r="F1549" s="7">
        <v>257.427646160125</v>
      </c>
      <c r="G1549" s="7">
        <v>453.626081943511</v>
      </c>
      <c r="H1549" s="7">
        <v>2.0</v>
      </c>
      <c r="I1549" s="15">
        <v>0.187061284272697</v>
      </c>
      <c r="J1549" s="15">
        <v>0.0773201007658553</v>
      </c>
      <c r="K1549" s="12">
        <f>AVERAGE(I1547:I1551)</f>
        <v>0.5327523083</v>
      </c>
      <c r="L1549" s="18">
        <v>59051.0</v>
      </c>
      <c r="M1549" s="14">
        <f>STDEV(L1547:L1551)</f>
        <v>32241.93536</v>
      </c>
      <c r="N1549" s="15" t="b">
        <f t="shared" si="1"/>
        <v>0</v>
      </c>
    </row>
    <row r="1550" hidden="1">
      <c r="A1550" s="7" t="s">
        <v>317</v>
      </c>
      <c r="B1550" s="7" t="s">
        <v>268</v>
      </c>
      <c r="C1550" s="7">
        <v>0.1</v>
      </c>
      <c r="D1550" s="7">
        <v>1.0</v>
      </c>
      <c r="E1550" s="7">
        <v>10.0</v>
      </c>
      <c r="F1550" s="7">
        <v>257.427646160125</v>
      </c>
      <c r="G1550" s="7">
        <v>453.626081943511</v>
      </c>
      <c r="H1550" s="7">
        <v>3.0</v>
      </c>
      <c r="I1550" s="15">
        <v>0.82885472324869</v>
      </c>
      <c r="J1550" s="15">
        <v>0.0984378425078737</v>
      </c>
      <c r="K1550" s="12">
        <f>AVERAGE(I1547:I1551)</f>
        <v>0.5327523083</v>
      </c>
      <c r="L1550" s="18">
        <v>7458.0</v>
      </c>
      <c r="M1550" s="14">
        <f>STDEV(L1547:L1551)</f>
        <v>32241.93536</v>
      </c>
      <c r="N1550" s="15" t="b">
        <f t="shared" si="1"/>
        <v>0</v>
      </c>
    </row>
    <row r="1551" hidden="1">
      <c r="A1551" s="7" t="s">
        <v>317</v>
      </c>
      <c r="B1551" s="7" t="s">
        <v>268</v>
      </c>
      <c r="C1551" s="7">
        <v>0.1</v>
      </c>
      <c r="D1551" s="7">
        <v>1.0</v>
      </c>
      <c r="E1551" s="7">
        <v>10.0</v>
      </c>
      <c r="F1551" s="7">
        <v>257.427646160125</v>
      </c>
      <c r="G1551" s="7">
        <v>453.626081943511</v>
      </c>
      <c r="H1551" s="7">
        <v>4.0</v>
      </c>
      <c r="I1551" s="15">
        <v>0.808281810384241</v>
      </c>
      <c r="J1551" s="15">
        <v>0.117795800956794</v>
      </c>
      <c r="K1551" s="12">
        <f>AVERAGE(I1547:I1551)</f>
        <v>0.5327523083</v>
      </c>
      <c r="L1551" s="18">
        <v>5694.0</v>
      </c>
      <c r="M1551" s="14">
        <f>STDEV(L1547:L1551)</f>
        <v>32241.93536</v>
      </c>
      <c r="N1551" s="15" t="b">
        <f t="shared" si="1"/>
        <v>0</v>
      </c>
    </row>
    <row r="1552" hidden="1">
      <c r="A1552" s="7" t="s">
        <v>318</v>
      </c>
      <c r="B1552" s="7" t="s">
        <v>268</v>
      </c>
      <c r="C1552" s="7">
        <v>0.25</v>
      </c>
      <c r="D1552" s="7">
        <v>0.1</v>
      </c>
      <c r="E1552" s="7">
        <v>1.0</v>
      </c>
      <c r="F1552" s="7">
        <v>216.07446360588</v>
      </c>
      <c r="G1552" s="7">
        <v>430.193147659301</v>
      </c>
      <c r="H1552" s="7">
        <v>0.0</v>
      </c>
      <c r="I1552" s="15">
        <v>0.765286573392575</v>
      </c>
      <c r="J1552" s="15">
        <v>0.133237942302312</v>
      </c>
      <c r="K1552" s="12">
        <f>AVERAGE(I1552:I1556)</f>
        <v>0.6461203355</v>
      </c>
      <c r="L1552" s="18">
        <v>7817.0</v>
      </c>
      <c r="M1552" s="14">
        <f>STDEV(L1552:L1556)</f>
        <v>41734.40741</v>
      </c>
      <c r="N1552" s="15" t="b">
        <f t="shared" si="1"/>
        <v>0</v>
      </c>
    </row>
    <row r="1553" hidden="1">
      <c r="A1553" s="7" t="s">
        <v>318</v>
      </c>
      <c r="B1553" s="7" t="s">
        <v>268</v>
      </c>
      <c r="C1553" s="7">
        <v>0.25</v>
      </c>
      <c r="D1553" s="7">
        <v>0.1</v>
      </c>
      <c r="E1553" s="7">
        <v>1.0</v>
      </c>
      <c r="F1553" s="7">
        <v>216.07446360588</v>
      </c>
      <c r="G1553" s="7">
        <v>430.193147659301</v>
      </c>
      <c r="H1553" s="7">
        <v>1.0</v>
      </c>
      <c r="I1553" s="15">
        <v>0.0655084290062039</v>
      </c>
      <c r="J1553" s="15">
        <v>0.0560232878841261</v>
      </c>
      <c r="K1553" s="12">
        <f>AVERAGE(I1552:I1556)</f>
        <v>0.6461203355</v>
      </c>
      <c r="L1553" s="18">
        <v>102407.0</v>
      </c>
      <c r="M1553" s="14">
        <f>STDEV(L1552:L1556)</f>
        <v>41734.40741</v>
      </c>
      <c r="N1553" s="15" t="b">
        <f t="shared" si="1"/>
        <v>0</v>
      </c>
    </row>
    <row r="1554" hidden="1">
      <c r="A1554" s="7" t="s">
        <v>318</v>
      </c>
      <c r="B1554" s="7" t="s">
        <v>268</v>
      </c>
      <c r="C1554" s="7">
        <v>0.25</v>
      </c>
      <c r="D1554" s="7">
        <v>0.1</v>
      </c>
      <c r="E1554" s="7">
        <v>1.0</v>
      </c>
      <c r="F1554" s="7">
        <v>216.07446360588</v>
      </c>
      <c r="G1554" s="7">
        <v>430.193147659301</v>
      </c>
      <c r="H1554" s="7">
        <v>2.0</v>
      </c>
      <c r="I1554" s="15">
        <v>0.857893718293945</v>
      </c>
      <c r="J1554" s="15">
        <v>0.106469831378429</v>
      </c>
      <c r="K1554" s="12">
        <f>AVERAGE(I1552:I1556)</f>
        <v>0.6461203355</v>
      </c>
      <c r="L1554" s="18">
        <v>5168.0</v>
      </c>
      <c r="M1554" s="14">
        <f>STDEV(L1552:L1556)</f>
        <v>41734.40741</v>
      </c>
      <c r="N1554" s="15" t="b">
        <f t="shared" si="1"/>
        <v>0</v>
      </c>
    </row>
    <row r="1555" hidden="1">
      <c r="A1555" s="7" t="s">
        <v>318</v>
      </c>
      <c r="B1555" s="7" t="s">
        <v>268</v>
      </c>
      <c r="C1555" s="7">
        <v>0.25</v>
      </c>
      <c r="D1555" s="7">
        <v>0.1</v>
      </c>
      <c r="E1555" s="7">
        <v>1.0</v>
      </c>
      <c r="F1555" s="7">
        <v>216.07446360588</v>
      </c>
      <c r="G1555" s="7">
        <v>430.193147659301</v>
      </c>
      <c r="H1555" s="7">
        <v>3.0</v>
      </c>
      <c r="I1555" s="15">
        <v>0.750928192755208</v>
      </c>
      <c r="J1555" s="15">
        <v>0.13247745438371</v>
      </c>
      <c r="K1555" s="12">
        <f>AVERAGE(I1552:I1556)</f>
        <v>0.6461203355</v>
      </c>
      <c r="L1555" s="18">
        <v>7618.0</v>
      </c>
      <c r="M1555" s="14">
        <f>STDEV(L1552:L1556)</f>
        <v>41734.40741</v>
      </c>
      <c r="N1555" s="15" t="b">
        <f t="shared" si="1"/>
        <v>0</v>
      </c>
    </row>
    <row r="1556" hidden="1">
      <c r="A1556" s="7" t="s">
        <v>318</v>
      </c>
      <c r="B1556" s="7" t="s">
        <v>268</v>
      </c>
      <c r="C1556" s="7">
        <v>0.25</v>
      </c>
      <c r="D1556" s="7">
        <v>0.1</v>
      </c>
      <c r="E1556" s="7">
        <v>1.0</v>
      </c>
      <c r="F1556" s="7">
        <v>216.07446360588</v>
      </c>
      <c r="G1556" s="7">
        <v>430.193147659301</v>
      </c>
      <c r="H1556" s="7">
        <v>4.0</v>
      </c>
      <c r="I1556" s="15">
        <v>0.790984764272453</v>
      </c>
      <c r="J1556" s="15">
        <v>0.100975421366344</v>
      </c>
      <c r="K1556" s="12">
        <f>AVERAGE(I1552:I1556)</f>
        <v>0.6461203355</v>
      </c>
      <c r="L1556" s="18">
        <v>18666.0</v>
      </c>
      <c r="M1556" s="14">
        <f>STDEV(L1552:L1556)</f>
        <v>41734.40741</v>
      </c>
      <c r="N1556" s="15" t="b">
        <f t="shared" si="1"/>
        <v>0</v>
      </c>
    </row>
    <row r="1557" hidden="1">
      <c r="A1557" s="7" t="s">
        <v>319</v>
      </c>
      <c r="B1557" s="7" t="s">
        <v>268</v>
      </c>
      <c r="C1557" s="7">
        <v>0.25</v>
      </c>
      <c r="D1557" s="7">
        <v>0.1</v>
      </c>
      <c r="E1557" s="7">
        <v>2.0</v>
      </c>
      <c r="F1557" s="7">
        <v>182.425113916397</v>
      </c>
      <c r="G1557" s="7">
        <v>386.530366420745</v>
      </c>
      <c r="H1557" s="7">
        <v>0.0</v>
      </c>
      <c r="I1557" s="15">
        <v>0.853452434331081</v>
      </c>
      <c r="J1557" s="15">
        <v>0.0717663179670896</v>
      </c>
      <c r="K1557" s="12">
        <f>AVERAGE(I1557:I1561)</f>
        <v>0.5787144151</v>
      </c>
      <c r="L1557" s="18">
        <v>7216.0</v>
      </c>
      <c r="M1557" s="14">
        <f>STDEV(L1557:L1561)</f>
        <v>53189.52805</v>
      </c>
      <c r="N1557" s="15" t="b">
        <f t="shared" si="1"/>
        <v>0</v>
      </c>
    </row>
    <row r="1558" hidden="1">
      <c r="A1558" s="7" t="s">
        <v>319</v>
      </c>
      <c r="B1558" s="7" t="s">
        <v>268</v>
      </c>
      <c r="C1558" s="7">
        <v>0.25</v>
      </c>
      <c r="D1558" s="7">
        <v>0.1</v>
      </c>
      <c r="E1558" s="7">
        <v>2.0</v>
      </c>
      <c r="F1558" s="7">
        <v>182.425113916397</v>
      </c>
      <c r="G1558" s="7">
        <v>386.530366420745</v>
      </c>
      <c r="H1558" s="7">
        <v>1.0</v>
      </c>
      <c r="I1558" s="15">
        <v>0.342028228027018</v>
      </c>
      <c r="J1558" s="15">
        <v>0.130378069124268</v>
      </c>
      <c r="K1558" s="12">
        <f>AVERAGE(I1557:I1561)</f>
        <v>0.5787144151</v>
      </c>
      <c r="L1558" s="18">
        <v>3817.0</v>
      </c>
      <c r="M1558" s="14">
        <f>STDEV(L1557:L1561)</f>
        <v>53189.52805</v>
      </c>
      <c r="N1558" s="15" t="b">
        <f t="shared" si="1"/>
        <v>0</v>
      </c>
    </row>
    <row r="1559" hidden="1">
      <c r="A1559" s="7" t="s">
        <v>319</v>
      </c>
      <c r="B1559" s="7" t="s">
        <v>268</v>
      </c>
      <c r="C1559" s="7">
        <v>0.25</v>
      </c>
      <c r="D1559" s="7">
        <v>0.1</v>
      </c>
      <c r="E1559" s="7">
        <v>2.0</v>
      </c>
      <c r="F1559" s="7">
        <v>182.425113916397</v>
      </c>
      <c r="G1559" s="7">
        <v>386.530366420745</v>
      </c>
      <c r="H1559" s="7">
        <v>2.0</v>
      </c>
      <c r="I1559" s="15">
        <v>0.78490799932585</v>
      </c>
      <c r="J1559" s="15">
        <v>0.152418337628188</v>
      </c>
      <c r="K1559" s="12">
        <f>AVERAGE(I1557:I1561)</f>
        <v>0.5787144151</v>
      </c>
      <c r="L1559" s="18">
        <v>910.0</v>
      </c>
      <c r="M1559" s="14">
        <f>STDEV(L1557:L1561)</f>
        <v>53189.52805</v>
      </c>
      <c r="N1559" s="15" t="b">
        <f t="shared" si="1"/>
        <v>0</v>
      </c>
    </row>
    <row r="1560" hidden="1">
      <c r="A1560" s="7" t="s">
        <v>319</v>
      </c>
      <c r="B1560" s="7" t="s">
        <v>268</v>
      </c>
      <c r="C1560" s="7">
        <v>0.25</v>
      </c>
      <c r="D1560" s="7">
        <v>0.1</v>
      </c>
      <c r="E1560" s="7">
        <v>2.0</v>
      </c>
      <c r="F1560" s="7">
        <v>182.425113916397</v>
      </c>
      <c r="G1560" s="7">
        <v>386.530366420745</v>
      </c>
      <c r="H1560" s="7">
        <v>3.0</v>
      </c>
      <c r="I1560" s="15">
        <v>0.073348853769234</v>
      </c>
      <c r="J1560" s="15">
        <v>0.0531617120751075</v>
      </c>
      <c r="K1560" s="12">
        <f>AVERAGE(I1557:I1561)</f>
        <v>0.5787144151</v>
      </c>
      <c r="L1560" s="18">
        <v>123382.0</v>
      </c>
      <c r="M1560" s="14">
        <f>STDEV(L1557:L1561)</f>
        <v>53189.52805</v>
      </c>
      <c r="N1560" s="15" t="b">
        <f t="shared" si="1"/>
        <v>0</v>
      </c>
    </row>
    <row r="1561" hidden="1">
      <c r="A1561" s="7" t="s">
        <v>319</v>
      </c>
      <c r="B1561" s="7" t="s">
        <v>268</v>
      </c>
      <c r="C1561" s="7">
        <v>0.25</v>
      </c>
      <c r="D1561" s="7">
        <v>0.1</v>
      </c>
      <c r="E1561" s="7">
        <v>2.0</v>
      </c>
      <c r="F1561" s="7">
        <v>182.425113916397</v>
      </c>
      <c r="G1561" s="7">
        <v>386.530366420745</v>
      </c>
      <c r="H1561" s="7">
        <v>4.0</v>
      </c>
      <c r="I1561" s="15">
        <v>0.839834560026266</v>
      </c>
      <c r="J1561" s="15">
        <v>0.0844526897731268</v>
      </c>
      <c r="K1561" s="12">
        <f>AVERAGE(I1557:I1561)</f>
        <v>0.5787144151</v>
      </c>
      <c r="L1561" s="18">
        <v>6351.0</v>
      </c>
      <c r="M1561" s="14">
        <f>STDEV(L1557:L1561)</f>
        <v>53189.52805</v>
      </c>
      <c r="N1561" s="15" t="b">
        <f t="shared" si="1"/>
        <v>0</v>
      </c>
    </row>
    <row r="1562" hidden="1">
      <c r="A1562" s="7" t="s">
        <v>320</v>
      </c>
      <c r="B1562" s="7" t="s">
        <v>268</v>
      </c>
      <c r="C1562" s="7">
        <v>0.25</v>
      </c>
      <c r="D1562" s="7">
        <v>0.1</v>
      </c>
      <c r="E1562" s="7">
        <v>3.0</v>
      </c>
      <c r="F1562" s="7">
        <v>282.072027444839</v>
      </c>
      <c r="G1562" s="7">
        <v>473.683884143829</v>
      </c>
      <c r="H1562" s="7">
        <v>0.0</v>
      </c>
      <c r="I1562" s="15">
        <v>0.0568808972786658</v>
      </c>
      <c r="J1562" s="15">
        <v>0.0530943003904447</v>
      </c>
      <c r="K1562" s="12">
        <f>AVERAGE(I1562:I1566)</f>
        <v>0.6015827819</v>
      </c>
      <c r="L1562" s="18">
        <v>115333.0</v>
      </c>
      <c r="M1562" s="14">
        <f>STDEV(L1562:L1566)</f>
        <v>48922.32118</v>
      </c>
      <c r="N1562" s="15" t="b">
        <f t="shared" si="1"/>
        <v>0</v>
      </c>
    </row>
    <row r="1563" hidden="1">
      <c r="A1563" s="7" t="s">
        <v>320</v>
      </c>
      <c r="B1563" s="7" t="s">
        <v>268</v>
      </c>
      <c r="C1563" s="7">
        <v>0.25</v>
      </c>
      <c r="D1563" s="7">
        <v>0.1</v>
      </c>
      <c r="E1563" s="7">
        <v>3.0</v>
      </c>
      <c r="F1563" s="7">
        <v>282.072027444839</v>
      </c>
      <c r="G1563" s="7">
        <v>473.683884143829</v>
      </c>
      <c r="H1563" s="7">
        <v>1.0</v>
      </c>
      <c r="I1563" s="15">
        <v>0.717141876692362</v>
      </c>
      <c r="J1563" s="15">
        <v>0.145576000489421</v>
      </c>
      <c r="K1563" s="12">
        <f>AVERAGE(I1562:I1566)</f>
        <v>0.6015827819</v>
      </c>
      <c r="L1563" s="18">
        <v>3706.0</v>
      </c>
      <c r="M1563" s="14">
        <f>STDEV(L1562:L1566)</f>
        <v>48922.32118</v>
      </c>
      <c r="N1563" s="15" t="b">
        <f t="shared" si="1"/>
        <v>0</v>
      </c>
    </row>
    <row r="1564" hidden="1">
      <c r="A1564" s="7" t="s">
        <v>320</v>
      </c>
      <c r="B1564" s="7" t="s">
        <v>268</v>
      </c>
      <c r="C1564" s="7">
        <v>0.25</v>
      </c>
      <c r="D1564" s="7">
        <v>0.1</v>
      </c>
      <c r="E1564" s="7">
        <v>3.0</v>
      </c>
      <c r="F1564" s="7">
        <v>282.072027444839</v>
      </c>
      <c r="G1564" s="7">
        <v>473.683884143829</v>
      </c>
      <c r="H1564" s="7">
        <v>2.0</v>
      </c>
      <c r="I1564" s="15">
        <v>0.825342479180138</v>
      </c>
      <c r="J1564" s="15">
        <v>0.0943152854344285</v>
      </c>
      <c r="K1564" s="12">
        <f>AVERAGE(I1562:I1566)</f>
        <v>0.6015827819</v>
      </c>
      <c r="L1564" s="18">
        <v>4613.0</v>
      </c>
      <c r="M1564" s="14">
        <f>STDEV(L1562:L1566)</f>
        <v>48922.32118</v>
      </c>
      <c r="N1564" s="15" t="b">
        <f t="shared" si="1"/>
        <v>0</v>
      </c>
    </row>
    <row r="1565" hidden="1">
      <c r="A1565" s="7" t="s">
        <v>320</v>
      </c>
      <c r="B1565" s="7" t="s">
        <v>268</v>
      </c>
      <c r="C1565" s="7">
        <v>0.25</v>
      </c>
      <c r="D1565" s="7">
        <v>0.1</v>
      </c>
      <c r="E1565" s="7">
        <v>3.0</v>
      </c>
      <c r="F1565" s="7">
        <v>282.072027444839</v>
      </c>
      <c r="G1565" s="7">
        <v>473.683884143829</v>
      </c>
      <c r="H1565" s="7">
        <v>3.0</v>
      </c>
      <c r="I1565" s="15">
        <v>0.645090536408107</v>
      </c>
      <c r="J1565" s="15">
        <v>0.126639793155231</v>
      </c>
      <c r="K1565" s="12">
        <f>AVERAGE(I1562:I1566)</f>
        <v>0.6015827819</v>
      </c>
      <c r="L1565" s="18">
        <v>2347.0</v>
      </c>
      <c r="M1565" s="14">
        <f>STDEV(L1562:L1566)</f>
        <v>48922.32118</v>
      </c>
      <c r="N1565" s="15" t="b">
        <f t="shared" si="1"/>
        <v>0</v>
      </c>
    </row>
    <row r="1566" hidden="1">
      <c r="A1566" s="7" t="s">
        <v>320</v>
      </c>
      <c r="B1566" s="7" t="s">
        <v>268</v>
      </c>
      <c r="C1566" s="7">
        <v>0.25</v>
      </c>
      <c r="D1566" s="7">
        <v>0.1</v>
      </c>
      <c r="E1566" s="7">
        <v>3.0</v>
      </c>
      <c r="F1566" s="7">
        <v>282.072027444839</v>
      </c>
      <c r="G1566" s="7">
        <v>473.683884143829</v>
      </c>
      <c r="H1566" s="7">
        <v>4.0</v>
      </c>
      <c r="I1566" s="15">
        <v>0.763458119846045</v>
      </c>
      <c r="J1566" s="15">
        <v>0.138943168689137</v>
      </c>
      <c r="K1566" s="12">
        <f>AVERAGE(I1562:I1566)</f>
        <v>0.6015827819</v>
      </c>
      <c r="L1566" s="18">
        <v>15677.0</v>
      </c>
      <c r="M1566" s="14">
        <f>STDEV(L1562:L1566)</f>
        <v>48922.32118</v>
      </c>
      <c r="N1566" s="15" t="b">
        <f t="shared" si="1"/>
        <v>0</v>
      </c>
    </row>
    <row r="1567" hidden="1">
      <c r="A1567" s="7" t="s">
        <v>321</v>
      </c>
      <c r="B1567" s="7" t="s">
        <v>268</v>
      </c>
      <c r="C1567" s="7">
        <v>0.25</v>
      </c>
      <c r="D1567" s="7">
        <v>0.1</v>
      </c>
      <c r="E1567" s="7">
        <v>4.0</v>
      </c>
      <c r="F1567" s="7">
        <v>364.60912322998</v>
      </c>
      <c r="G1567" s="7">
        <v>504.67649936676</v>
      </c>
      <c r="H1567" s="7">
        <v>0.0</v>
      </c>
      <c r="I1567" s="15">
        <v>0.152640834816136</v>
      </c>
      <c r="J1567" s="15">
        <v>0.076712529850506</v>
      </c>
      <c r="K1567" s="12">
        <f>AVERAGE(I1567:I1571)</f>
        <v>0.5293013469</v>
      </c>
      <c r="L1567" s="18">
        <v>70153.0</v>
      </c>
      <c r="M1567" s="14">
        <f>STDEV(L1567:L1571)</f>
        <v>32503.89745</v>
      </c>
      <c r="N1567" s="15" t="b">
        <f t="shared" si="1"/>
        <v>0</v>
      </c>
    </row>
    <row r="1568" hidden="1">
      <c r="A1568" s="7" t="s">
        <v>321</v>
      </c>
      <c r="B1568" s="7" t="s">
        <v>268</v>
      </c>
      <c r="C1568" s="7">
        <v>0.25</v>
      </c>
      <c r="D1568" s="7">
        <v>0.1</v>
      </c>
      <c r="E1568" s="7">
        <v>4.0</v>
      </c>
      <c r="F1568" s="7">
        <v>364.60912322998</v>
      </c>
      <c r="G1568" s="7">
        <v>504.67649936676</v>
      </c>
      <c r="H1568" s="7">
        <v>1.0</v>
      </c>
      <c r="I1568" s="15">
        <v>0.81093259559902</v>
      </c>
      <c r="J1568" s="15">
        <v>0.11434037429052</v>
      </c>
      <c r="K1568" s="12">
        <f>AVERAGE(I1567:I1571)</f>
        <v>0.5293013469</v>
      </c>
      <c r="L1568" s="18">
        <v>5667.0</v>
      </c>
      <c r="M1568" s="14">
        <f>STDEV(L1567:L1571)</f>
        <v>32503.89745</v>
      </c>
      <c r="N1568" s="15" t="b">
        <f t="shared" si="1"/>
        <v>0</v>
      </c>
    </row>
    <row r="1569" hidden="1">
      <c r="A1569" s="7" t="s">
        <v>321</v>
      </c>
      <c r="B1569" s="7" t="s">
        <v>268</v>
      </c>
      <c r="C1569" s="7">
        <v>0.25</v>
      </c>
      <c r="D1569" s="7">
        <v>0.1</v>
      </c>
      <c r="E1569" s="7">
        <v>4.0</v>
      </c>
      <c r="F1569" s="7">
        <v>364.60912322998</v>
      </c>
      <c r="G1569" s="7">
        <v>504.67649936676</v>
      </c>
      <c r="H1569" s="7">
        <v>2.0</v>
      </c>
      <c r="I1569" s="15">
        <v>0.721189477534205</v>
      </c>
      <c r="J1569" s="15">
        <v>0.139502480582773</v>
      </c>
      <c r="K1569" s="12">
        <f>AVERAGE(I1567:I1571)</f>
        <v>0.5293013469</v>
      </c>
      <c r="L1569" s="18">
        <v>3706.0</v>
      </c>
      <c r="M1569" s="14">
        <f>STDEV(L1567:L1571)</f>
        <v>32503.89745</v>
      </c>
      <c r="N1569" s="15" t="b">
        <f t="shared" si="1"/>
        <v>0</v>
      </c>
    </row>
    <row r="1570" hidden="1">
      <c r="A1570" s="7" t="s">
        <v>321</v>
      </c>
      <c r="B1570" s="7" t="s">
        <v>268</v>
      </c>
      <c r="C1570" s="7">
        <v>0.25</v>
      </c>
      <c r="D1570" s="7">
        <v>0.1</v>
      </c>
      <c r="E1570" s="7">
        <v>4.0</v>
      </c>
      <c r="F1570" s="7">
        <v>364.60912322998</v>
      </c>
      <c r="G1570" s="7">
        <v>504.67649936676</v>
      </c>
      <c r="H1570" s="7">
        <v>3.0</v>
      </c>
      <c r="I1570" s="15">
        <v>0.85862442414275</v>
      </c>
      <c r="J1570" s="15">
        <v>0.100641644897884</v>
      </c>
      <c r="K1570" s="12">
        <f>AVERAGE(I1567:I1571)</f>
        <v>0.5293013469</v>
      </c>
      <c r="L1570" s="18">
        <v>5173.0</v>
      </c>
      <c r="M1570" s="14">
        <f>STDEV(L1567:L1571)</f>
        <v>32503.89745</v>
      </c>
      <c r="N1570" s="15" t="b">
        <f t="shared" si="1"/>
        <v>0</v>
      </c>
    </row>
    <row r="1571" hidden="1">
      <c r="A1571" s="7" t="s">
        <v>321</v>
      </c>
      <c r="B1571" s="7" t="s">
        <v>268</v>
      </c>
      <c r="C1571" s="7">
        <v>0.25</v>
      </c>
      <c r="D1571" s="7">
        <v>0.1</v>
      </c>
      <c r="E1571" s="7">
        <v>4.0</v>
      </c>
      <c r="F1571" s="7">
        <v>364.60912322998</v>
      </c>
      <c r="G1571" s="7">
        <v>504.67649936676</v>
      </c>
      <c r="H1571" s="7">
        <v>4.0</v>
      </c>
      <c r="I1571" s="15">
        <v>0.103119402528893</v>
      </c>
      <c r="J1571" s="15">
        <v>0.0801663669036821</v>
      </c>
      <c r="K1571" s="12">
        <f>AVERAGE(I1567:I1571)</f>
        <v>0.5293013469</v>
      </c>
      <c r="L1571" s="18">
        <v>56977.0</v>
      </c>
      <c r="M1571" s="14">
        <f>STDEV(L1567:L1571)</f>
        <v>32503.89745</v>
      </c>
      <c r="N1571" s="15" t="b">
        <f t="shared" si="1"/>
        <v>0</v>
      </c>
    </row>
    <row r="1572" hidden="1">
      <c r="A1572" s="7" t="s">
        <v>322</v>
      </c>
      <c r="B1572" s="7" t="s">
        <v>268</v>
      </c>
      <c r="C1572" s="7">
        <v>0.25</v>
      </c>
      <c r="D1572" s="7">
        <v>0.1</v>
      </c>
      <c r="E1572" s="7">
        <v>5.0</v>
      </c>
      <c r="F1572" s="7">
        <v>339.99701142311</v>
      </c>
      <c r="G1572" s="7">
        <v>493.344441413879</v>
      </c>
      <c r="H1572" s="7">
        <v>0.0</v>
      </c>
      <c r="I1572" s="15">
        <v>0.181791762799374</v>
      </c>
      <c r="J1572" s="15">
        <v>0.0580517134369039</v>
      </c>
      <c r="K1572" s="12">
        <f>AVERAGE(I1572:I1576)</f>
        <v>0.4826143738</v>
      </c>
      <c r="L1572" s="18">
        <v>69093.0</v>
      </c>
      <c r="M1572" s="14">
        <f>STDEV(L1572:L1576)</f>
        <v>35252.2391</v>
      </c>
      <c r="N1572" s="15" t="b">
        <f t="shared" si="1"/>
        <v>0</v>
      </c>
    </row>
    <row r="1573" hidden="1">
      <c r="A1573" s="7" t="s">
        <v>322</v>
      </c>
      <c r="B1573" s="7" t="s">
        <v>268</v>
      </c>
      <c r="C1573" s="7">
        <v>0.25</v>
      </c>
      <c r="D1573" s="7">
        <v>0.1</v>
      </c>
      <c r="E1573" s="7">
        <v>5.0</v>
      </c>
      <c r="F1573" s="7">
        <v>339.99701142311</v>
      </c>
      <c r="G1573" s="7">
        <v>493.344441413879</v>
      </c>
      <c r="H1573" s="7">
        <v>1.0</v>
      </c>
      <c r="I1573" s="15">
        <v>0.717513260272656</v>
      </c>
      <c r="J1573" s="15">
        <v>0.145099877070847</v>
      </c>
      <c r="K1573" s="12">
        <f>AVERAGE(I1572:I1576)</f>
        <v>0.4826143738</v>
      </c>
      <c r="L1573" s="18">
        <v>3708.0</v>
      </c>
      <c r="M1573" s="14">
        <f>STDEV(L1572:L1576)</f>
        <v>35252.2391</v>
      </c>
      <c r="N1573" s="15" t="b">
        <f t="shared" si="1"/>
        <v>0</v>
      </c>
    </row>
    <row r="1574" hidden="1">
      <c r="A1574" s="7" t="s">
        <v>322</v>
      </c>
      <c r="B1574" s="7" t="s">
        <v>268</v>
      </c>
      <c r="C1574" s="7">
        <v>0.25</v>
      </c>
      <c r="D1574" s="7">
        <v>0.1</v>
      </c>
      <c r="E1574" s="7">
        <v>5.0</v>
      </c>
      <c r="F1574" s="7">
        <v>339.99701142311</v>
      </c>
      <c r="G1574" s="7">
        <v>493.344441413879</v>
      </c>
      <c r="H1574" s="7">
        <v>2.0</v>
      </c>
      <c r="I1574" s="15">
        <v>0.055683147266806</v>
      </c>
      <c r="J1574" s="15">
        <v>0.0459135890623903</v>
      </c>
      <c r="K1574" s="12">
        <f>AVERAGE(I1572:I1576)</f>
        <v>0.4826143738</v>
      </c>
      <c r="L1574" s="18">
        <v>64722.0</v>
      </c>
      <c r="M1574" s="14">
        <f>STDEV(L1572:L1576)</f>
        <v>35252.2391</v>
      </c>
      <c r="N1574" s="15" t="b">
        <f t="shared" si="1"/>
        <v>0</v>
      </c>
    </row>
    <row r="1575" hidden="1">
      <c r="A1575" s="7" t="s">
        <v>322</v>
      </c>
      <c r="B1575" s="7" t="s">
        <v>268</v>
      </c>
      <c r="C1575" s="7">
        <v>0.25</v>
      </c>
      <c r="D1575" s="7">
        <v>0.1</v>
      </c>
      <c r="E1575" s="7">
        <v>5.0</v>
      </c>
      <c r="F1575" s="7">
        <v>339.99701142311</v>
      </c>
      <c r="G1575" s="7">
        <v>493.344441413879</v>
      </c>
      <c r="H1575" s="7">
        <v>3.0</v>
      </c>
      <c r="I1575" s="15">
        <v>0.812736255838429</v>
      </c>
      <c r="J1575" s="15">
        <v>0.122994309572297</v>
      </c>
      <c r="K1575" s="12">
        <f>AVERAGE(I1572:I1576)</f>
        <v>0.4826143738</v>
      </c>
      <c r="L1575" s="18">
        <v>1806.0</v>
      </c>
      <c r="M1575" s="14">
        <f>STDEV(L1572:L1576)</f>
        <v>35252.2391</v>
      </c>
      <c r="N1575" s="15" t="b">
        <f t="shared" si="1"/>
        <v>0</v>
      </c>
    </row>
    <row r="1576" hidden="1">
      <c r="A1576" s="7" t="s">
        <v>322</v>
      </c>
      <c r="B1576" s="7" t="s">
        <v>268</v>
      </c>
      <c r="C1576" s="7">
        <v>0.25</v>
      </c>
      <c r="D1576" s="7">
        <v>0.1</v>
      </c>
      <c r="E1576" s="7">
        <v>5.0</v>
      </c>
      <c r="F1576" s="7">
        <v>339.99701142311</v>
      </c>
      <c r="G1576" s="7">
        <v>493.344441413879</v>
      </c>
      <c r="H1576" s="7">
        <v>4.0</v>
      </c>
      <c r="I1576" s="15">
        <v>0.645347442700527</v>
      </c>
      <c r="J1576" s="15">
        <v>0.127313379890237</v>
      </c>
      <c r="K1576" s="12">
        <f>AVERAGE(I1572:I1576)</f>
        <v>0.4826143738</v>
      </c>
      <c r="L1576" s="18">
        <v>2347.0</v>
      </c>
      <c r="M1576" s="14">
        <f>STDEV(L1572:L1576)</f>
        <v>35252.2391</v>
      </c>
      <c r="N1576" s="15" t="b">
        <f t="shared" si="1"/>
        <v>0</v>
      </c>
    </row>
    <row r="1577" hidden="1">
      <c r="A1577" s="7" t="s">
        <v>323</v>
      </c>
      <c r="B1577" s="7" t="s">
        <v>268</v>
      </c>
      <c r="C1577" s="7">
        <v>0.25</v>
      </c>
      <c r="D1577" s="7">
        <v>0.1</v>
      </c>
      <c r="E1577" s="7">
        <v>6.0</v>
      </c>
      <c r="F1577" s="7">
        <v>487.185638427734</v>
      </c>
      <c r="G1577" s="7">
        <v>525.999402999877</v>
      </c>
      <c r="H1577" s="7">
        <v>0.0</v>
      </c>
      <c r="I1577" s="15">
        <v>0.352337415581527</v>
      </c>
      <c r="J1577" s="15">
        <v>0.250920728950237</v>
      </c>
      <c r="K1577" s="12">
        <f>AVERAGE(I1577:I1581)</f>
        <v>0.4390906309</v>
      </c>
      <c r="L1577" s="18">
        <v>13687.0</v>
      </c>
      <c r="M1577" s="14">
        <f>STDEV(L1577:L1581)</f>
        <v>42012.54572</v>
      </c>
      <c r="N1577" s="15" t="b">
        <f t="shared" si="1"/>
        <v>0</v>
      </c>
    </row>
    <row r="1578" hidden="1">
      <c r="A1578" s="7" t="s">
        <v>323</v>
      </c>
      <c r="B1578" s="7" t="s">
        <v>268</v>
      </c>
      <c r="C1578" s="7">
        <v>0.25</v>
      </c>
      <c r="D1578" s="7">
        <v>0.1</v>
      </c>
      <c r="E1578" s="7">
        <v>6.0</v>
      </c>
      <c r="F1578" s="7">
        <v>487.185638427734</v>
      </c>
      <c r="G1578" s="7">
        <v>525.999402999877</v>
      </c>
      <c r="H1578" s="7">
        <v>1.0</v>
      </c>
      <c r="I1578" s="15">
        <v>0.0771844342463278</v>
      </c>
      <c r="J1578" s="15">
        <v>0.0562573590631103</v>
      </c>
      <c r="K1578" s="12">
        <f>AVERAGE(I1577:I1581)</f>
        <v>0.4390906309</v>
      </c>
      <c r="L1578" s="18">
        <v>102909.0</v>
      </c>
      <c r="M1578" s="14">
        <f>STDEV(L1577:L1581)</f>
        <v>42012.54572</v>
      </c>
      <c r="N1578" s="15" t="b">
        <f t="shared" si="1"/>
        <v>0</v>
      </c>
    </row>
    <row r="1579" hidden="1">
      <c r="A1579" s="7" t="s">
        <v>323</v>
      </c>
      <c r="B1579" s="7" t="s">
        <v>268</v>
      </c>
      <c r="C1579" s="7">
        <v>0.25</v>
      </c>
      <c r="D1579" s="7">
        <v>0.1</v>
      </c>
      <c r="E1579" s="7">
        <v>6.0</v>
      </c>
      <c r="F1579" s="7">
        <v>487.185638427734</v>
      </c>
      <c r="G1579" s="7">
        <v>525.999402999877</v>
      </c>
      <c r="H1579" s="7">
        <v>2.0</v>
      </c>
      <c r="I1579" s="15">
        <v>0.15274188330178</v>
      </c>
      <c r="J1579" s="15">
        <v>0.116943367035516</v>
      </c>
      <c r="K1579" s="12">
        <f>AVERAGE(I1577:I1581)</f>
        <v>0.4390906309</v>
      </c>
      <c r="L1579" s="18">
        <v>8233.0</v>
      </c>
      <c r="M1579" s="14">
        <f>STDEV(L1577:L1581)</f>
        <v>42012.54572</v>
      </c>
      <c r="N1579" s="15" t="b">
        <f t="shared" si="1"/>
        <v>0</v>
      </c>
    </row>
    <row r="1580" hidden="1">
      <c r="A1580" s="7" t="s">
        <v>323</v>
      </c>
      <c r="B1580" s="7" t="s">
        <v>268</v>
      </c>
      <c r="C1580" s="7">
        <v>0.25</v>
      </c>
      <c r="D1580" s="7">
        <v>0.1</v>
      </c>
      <c r="E1580" s="7">
        <v>6.0</v>
      </c>
      <c r="F1580" s="7">
        <v>487.185638427734</v>
      </c>
      <c r="G1580" s="7">
        <v>525.999402999877</v>
      </c>
      <c r="H1580" s="7">
        <v>3.0</v>
      </c>
      <c r="I1580" s="15">
        <v>0.806147330413362</v>
      </c>
      <c r="J1580" s="15">
        <v>0.0877074091741804</v>
      </c>
      <c r="K1580" s="12">
        <f>AVERAGE(I1577:I1581)</f>
        <v>0.4390906309</v>
      </c>
      <c r="L1580" s="18">
        <v>15032.0</v>
      </c>
      <c r="M1580" s="14">
        <f>STDEV(L1577:L1581)</f>
        <v>42012.54572</v>
      </c>
      <c r="N1580" s="15" t="b">
        <f t="shared" si="1"/>
        <v>0</v>
      </c>
    </row>
    <row r="1581" hidden="1">
      <c r="A1581" s="7" t="s">
        <v>323</v>
      </c>
      <c r="B1581" s="7" t="s">
        <v>268</v>
      </c>
      <c r="C1581" s="7">
        <v>0.25</v>
      </c>
      <c r="D1581" s="7">
        <v>0.1</v>
      </c>
      <c r="E1581" s="7">
        <v>6.0</v>
      </c>
      <c r="F1581" s="7">
        <v>487.185638427734</v>
      </c>
      <c r="G1581" s="7">
        <v>525.999402999877</v>
      </c>
      <c r="H1581" s="7">
        <v>4.0</v>
      </c>
      <c r="I1581" s="15">
        <v>0.807042090876137</v>
      </c>
      <c r="J1581" s="15">
        <v>0.134913927190993</v>
      </c>
      <c r="K1581" s="12">
        <f>AVERAGE(I1577:I1581)</f>
        <v>0.4390906309</v>
      </c>
      <c r="L1581" s="18">
        <v>1815.0</v>
      </c>
      <c r="M1581" s="14">
        <f>STDEV(L1577:L1581)</f>
        <v>42012.54572</v>
      </c>
      <c r="N1581" s="15" t="b">
        <f t="shared" si="1"/>
        <v>0</v>
      </c>
    </row>
    <row r="1582" hidden="1">
      <c r="A1582" s="7" t="s">
        <v>324</v>
      </c>
      <c r="B1582" s="7" t="s">
        <v>268</v>
      </c>
      <c r="C1582" s="7">
        <v>0.25</v>
      </c>
      <c r="D1582" s="7">
        <v>0.1</v>
      </c>
      <c r="E1582" s="7">
        <v>7.0</v>
      </c>
      <c r="F1582" s="7">
        <v>385.581140041351</v>
      </c>
      <c r="G1582" s="7">
        <v>507.124596595764</v>
      </c>
      <c r="H1582" s="7">
        <v>0.0</v>
      </c>
      <c r="I1582" s="15">
        <v>0.0387447212390205</v>
      </c>
      <c r="J1582" s="15">
        <v>0.0564251609419602</v>
      </c>
      <c r="K1582" s="12">
        <f>AVERAGE(I1582:I1586)</f>
        <v>0.5125649585</v>
      </c>
      <c r="L1582" s="18">
        <v>74969.0</v>
      </c>
      <c r="M1582" s="14">
        <f>STDEV(L1582:L1586)</f>
        <v>31782.53214</v>
      </c>
      <c r="N1582" s="15" t="b">
        <f t="shared" si="1"/>
        <v>0</v>
      </c>
    </row>
    <row r="1583" hidden="1">
      <c r="A1583" s="7" t="s">
        <v>324</v>
      </c>
      <c r="B1583" s="7" t="s">
        <v>268</v>
      </c>
      <c r="C1583" s="7">
        <v>0.25</v>
      </c>
      <c r="D1583" s="7">
        <v>0.1</v>
      </c>
      <c r="E1583" s="7">
        <v>7.0</v>
      </c>
      <c r="F1583" s="7">
        <v>385.581140041351</v>
      </c>
      <c r="G1583" s="7">
        <v>507.124596595764</v>
      </c>
      <c r="H1583" s="7">
        <v>1.0</v>
      </c>
      <c r="I1583" s="15">
        <v>0.769727979752409</v>
      </c>
      <c r="J1583" s="15">
        <v>0.121753807431588</v>
      </c>
      <c r="K1583" s="12">
        <f>AVERAGE(I1582:I1586)</f>
        <v>0.5125649585</v>
      </c>
      <c r="L1583" s="18">
        <v>15717.0</v>
      </c>
      <c r="M1583" s="14">
        <f>STDEV(L1582:L1586)</f>
        <v>31782.53214</v>
      </c>
      <c r="N1583" s="15" t="b">
        <f t="shared" si="1"/>
        <v>0</v>
      </c>
    </row>
    <row r="1584" hidden="1">
      <c r="A1584" s="7" t="s">
        <v>324</v>
      </c>
      <c r="B1584" s="7" t="s">
        <v>268</v>
      </c>
      <c r="C1584" s="7">
        <v>0.25</v>
      </c>
      <c r="D1584" s="7">
        <v>0.1</v>
      </c>
      <c r="E1584" s="7">
        <v>7.0</v>
      </c>
      <c r="F1584" s="7">
        <v>385.581140041351</v>
      </c>
      <c r="G1584" s="7">
        <v>507.124596595764</v>
      </c>
      <c r="H1584" s="7">
        <v>2.0</v>
      </c>
      <c r="I1584" s="15">
        <v>0.669333392945698</v>
      </c>
      <c r="J1584" s="15">
        <v>0.146248783083153</v>
      </c>
      <c r="K1584" s="12">
        <f>AVERAGE(I1582:I1586)</f>
        <v>0.5125649585</v>
      </c>
      <c r="L1584" s="18">
        <v>341.0</v>
      </c>
      <c r="M1584" s="14">
        <f>STDEV(L1582:L1586)</f>
        <v>31782.53214</v>
      </c>
      <c r="N1584" s="15" t="b">
        <f t="shared" si="1"/>
        <v>0</v>
      </c>
    </row>
    <row r="1585" hidden="1">
      <c r="A1585" s="7" t="s">
        <v>324</v>
      </c>
      <c r="B1585" s="7" t="s">
        <v>268</v>
      </c>
      <c r="C1585" s="7">
        <v>0.25</v>
      </c>
      <c r="D1585" s="7">
        <v>0.1</v>
      </c>
      <c r="E1585" s="7">
        <v>7.0</v>
      </c>
      <c r="F1585" s="7">
        <v>385.581140041351</v>
      </c>
      <c r="G1585" s="7">
        <v>507.124596595764</v>
      </c>
      <c r="H1585" s="7">
        <v>3.0</v>
      </c>
      <c r="I1585" s="15">
        <v>0.27169388901</v>
      </c>
      <c r="J1585" s="15">
        <v>0.0606575721222233</v>
      </c>
      <c r="K1585" s="12">
        <f>AVERAGE(I1582:I1586)</f>
        <v>0.5125649585</v>
      </c>
      <c r="L1585" s="18">
        <v>46594.0</v>
      </c>
      <c r="M1585" s="14">
        <f>STDEV(L1582:L1586)</f>
        <v>31782.53214</v>
      </c>
      <c r="N1585" s="15" t="b">
        <f t="shared" si="1"/>
        <v>0</v>
      </c>
    </row>
    <row r="1586" hidden="1">
      <c r="A1586" s="7" t="s">
        <v>324</v>
      </c>
      <c r="B1586" s="7" t="s">
        <v>268</v>
      </c>
      <c r="C1586" s="7">
        <v>0.25</v>
      </c>
      <c r="D1586" s="7">
        <v>0.1</v>
      </c>
      <c r="E1586" s="7">
        <v>7.0</v>
      </c>
      <c r="F1586" s="7">
        <v>385.581140041351</v>
      </c>
      <c r="G1586" s="7">
        <v>507.124596595764</v>
      </c>
      <c r="H1586" s="7">
        <v>4.0</v>
      </c>
      <c r="I1586" s="15">
        <v>0.813324809603418</v>
      </c>
      <c r="J1586" s="15">
        <v>0.075556748309822</v>
      </c>
      <c r="K1586" s="12">
        <f>AVERAGE(I1582:I1586)</f>
        <v>0.5125649585</v>
      </c>
      <c r="L1586" s="18">
        <v>4055.0</v>
      </c>
      <c r="M1586" s="14">
        <f>STDEV(L1582:L1586)</f>
        <v>31782.53214</v>
      </c>
      <c r="N1586" s="15" t="b">
        <f t="shared" si="1"/>
        <v>0</v>
      </c>
    </row>
    <row r="1587" hidden="1">
      <c r="A1587" s="7" t="s">
        <v>325</v>
      </c>
      <c r="B1587" s="7" t="s">
        <v>268</v>
      </c>
      <c r="C1587" s="7">
        <v>0.25</v>
      </c>
      <c r="D1587" s="7">
        <v>0.1</v>
      </c>
      <c r="E1587" s="7">
        <v>8.0</v>
      </c>
      <c r="F1587" s="7">
        <v>242.887255430221</v>
      </c>
      <c r="G1587" s="7">
        <v>438.640901327133</v>
      </c>
      <c r="H1587" s="7">
        <v>0.0</v>
      </c>
      <c r="I1587" s="15">
        <v>0.82782099475296</v>
      </c>
      <c r="J1587" s="15">
        <v>0.100237442605858</v>
      </c>
      <c r="K1587" s="12">
        <f>AVERAGE(I1587:I1591)</f>
        <v>0.5119936882</v>
      </c>
      <c r="L1587" s="18">
        <v>7464.0</v>
      </c>
      <c r="M1587" s="14">
        <f>STDEV(L1587:L1591)</f>
        <v>39319.64243</v>
      </c>
      <c r="N1587" s="15" t="b">
        <f t="shared" si="1"/>
        <v>0</v>
      </c>
    </row>
    <row r="1588" hidden="1">
      <c r="A1588" s="7" t="s">
        <v>325</v>
      </c>
      <c r="B1588" s="7" t="s">
        <v>268</v>
      </c>
      <c r="C1588" s="7">
        <v>0.25</v>
      </c>
      <c r="D1588" s="7">
        <v>0.1</v>
      </c>
      <c r="E1588" s="7">
        <v>8.0</v>
      </c>
      <c r="F1588" s="7">
        <v>242.887255430221</v>
      </c>
      <c r="G1588" s="7">
        <v>438.640901327133</v>
      </c>
      <c r="H1588" s="7">
        <v>1.0</v>
      </c>
      <c r="I1588" s="15">
        <v>0.722357516032121</v>
      </c>
      <c r="J1588" s="15">
        <v>0.143053119913731</v>
      </c>
      <c r="K1588" s="12">
        <f>AVERAGE(I1587:I1591)</f>
        <v>0.5119936882</v>
      </c>
      <c r="L1588" s="18">
        <v>13519.0</v>
      </c>
      <c r="M1588" s="14">
        <f>STDEV(L1587:L1591)</f>
        <v>39319.64243</v>
      </c>
      <c r="N1588" s="15" t="b">
        <f t="shared" si="1"/>
        <v>0</v>
      </c>
    </row>
    <row r="1589" hidden="1">
      <c r="A1589" s="7" t="s">
        <v>325</v>
      </c>
      <c r="B1589" s="7" t="s">
        <v>268</v>
      </c>
      <c r="C1589" s="7">
        <v>0.25</v>
      </c>
      <c r="D1589" s="7">
        <v>0.1</v>
      </c>
      <c r="E1589" s="7">
        <v>8.0</v>
      </c>
      <c r="F1589" s="7">
        <v>242.887255430221</v>
      </c>
      <c r="G1589" s="7">
        <v>438.640901327133</v>
      </c>
      <c r="H1589" s="7">
        <v>2.0</v>
      </c>
      <c r="I1589" s="15">
        <v>0.396123445450352</v>
      </c>
      <c r="J1589" s="15">
        <v>0.131716142892011</v>
      </c>
      <c r="K1589" s="12">
        <f>AVERAGE(I1587:I1591)</f>
        <v>0.5119936882</v>
      </c>
      <c r="L1589" s="18">
        <v>11168.0</v>
      </c>
      <c r="M1589" s="14">
        <f>STDEV(L1587:L1591)</f>
        <v>39319.64243</v>
      </c>
      <c r="N1589" s="15" t="b">
        <f t="shared" si="1"/>
        <v>0</v>
      </c>
    </row>
    <row r="1590" hidden="1">
      <c r="A1590" s="7" t="s">
        <v>325</v>
      </c>
      <c r="B1590" s="7" t="s">
        <v>268</v>
      </c>
      <c r="C1590" s="7">
        <v>0.25</v>
      </c>
      <c r="D1590" s="7">
        <v>0.1</v>
      </c>
      <c r="E1590" s="7">
        <v>8.0</v>
      </c>
      <c r="F1590" s="7">
        <v>242.887255430221</v>
      </c>
      <c r="G1590" s="7">
        <v>438.640901327133</v>
      </c>
      <c r="H1590" s="7">
        <v>3.0</v>
      </c>
      <c r="I1590" s="15">
        <v>0.0813116828025258</v>
      </c>
      <c r="J1590" s="15">
        <v>0.0591438057049037</v>
      </c>
      <c r="K1590" s="12">
        <f>AVERAGE(I1587:I1591)</f>
        <v>0.5119936882</v>
      </c>
      <c r="L1590" s="18">
        <v>98566.0</v>
      </c>
      <c r="M1590" s="14">
        <f>STDEV(L1587:L1591)</f>
        <v>39319.64243</v>
      </c>
      <c r="N1590" s="15" t="b">
        <f t="shared" si="1"/>
        <v>0</v>
      </c>
    </row>
    <row r="1591" hidden="1">
      <c r="A1591" s="7" t="s">
        <v>325</v>
      </c>
      <c r="B1591" s="7" t="s">
        <v>268</v>
      </c>
      <c r="C1591" s="7">
        <v>0.25</v>
      </c>
      <c r="D1591" s="7">
        <v>0.1</v>
      </c>
      <c r="E1591" s="7">
        <v>8.0</v>
      </c>
      <c r="F1591" s="7">
        <v>242.887255430221</v>
      </c>
      <c r="G1591" s="7">
        <v>438.640901327133</v>
      </c>
      <c r="H1591" s="7">
        <v>4.0</v>
      </c>
      <c r="I1591" s="15">
        <v>0.532354801728478</v>
      </c>
      <c r="J1591" s="15">
        <v>0.280369699030142</v>
      </c>
      <c r="K1591" s="12">
        <f>AVERAGE(I1587:I1591)</f>
        <v>0.5119936882</v>
      </c>
      <c r="L1591" s="18">
        <v>10959.0</v>
      </c>
      <c r="M1591" s="14">
        <f>STDEV(L1587:L1591)</f>
        <v>39319.64243</v>
      </c>
      <c r="N1591" s="15" t="b">
        <f t="shared" si="1"/>
        <v>0</v>
      </c>
    </row>
    <row r="1592" hidden="1">
      <c r="A1592" s="7" t="s">
        <v>326</v>
      </c>
      <c r="B1592" s="7" t="s">
        <v>268</v>
      </c>
      <c r="C1592" s="7">
        <v>0.25</v>
      </c>
      <c r="D1592" s="7">
        <v>0.1</v>
      </c>
      <c r="E1592" s="7">
        <v>9.0</v>
      </c>
      <c r="F1592" s="7">
        <v>206.823405742645</v>
      </c>
      <c r="G1592" s="7">
        <v>414.281253099441</v>
      </c>
      <c r="H1592" s="7">
        <v>0.0</v>
      </c>
      <c r="I1592" s="15">
        <v>0.827760621418595</v>
      </c>
      <c r="J1592" s="15">
        <v>0.100050864666315</v>
      </c>
      <c r="K1592" s="12">
        <f>AVERAGE(I1592:I1596)</f>
        <v>0.6221244413</v>
      </c>
      <c r="L1592" s="18">
        <v>7464.0</v>
      </c>
      <c r="M1592" s="14">
        <f>STDEV(L1592:L1596)</f>
        <v>45381.278</v>
      </c>
      <c r="N1592" s="15" t="b">
        <f t="shared" si="1"/>
        <v>0</v>
      </c>
    </row>
    <row r="1593" hidden="1">
      <c r="A1593" s="7" t="s">
        <v>326</v>
      </c>
      <c r="B1593" s="7" t="s">
        <v>268</v>
      </c>
      <c r="C1593" s="7">
        <v>0.25</v>
      </c>
      <c r="D1593" s="7">
        <v>0.1</v>
      </c>
      <c r="E1593" s="7">
        <v>9.0</v>
      </c>
      <c r="F1593" s="7">
        <v>206.823405742645</v>
      </c>
      <c r="G1593" s="7">
        <v>414.281253099441</v>
      </c>
      <c r="H1593" s="7">
        <v>1.0</v>
      </c>
      <c r="I1593" s="15">
        <v>0.725069501746455</v>
      </c>
      <c r="J1593" s="15">
        <v>0.143008968651785</v>
      </c>
      <c r="K1593" s="12">
        <f>AVERAGE(I1592:I1596)</f>
        <v>0.6221244413</v>
      </c>
      <c r="L1593" s="18">
        <v>13436.0</v>
      </c>
      <c r="M1593" s="14">
        <f>STDEV(L1592:L1596)</f>
        <v>45381.278</v>
      </c>
      <c r="N1593" s="15" t="b">
        <f t="shared" si="1"/>
        <v>0</v>
      </c>
    </row>
    <row r="1594" hidden="1">
      <c r="A1594" s="7" t="s">
        <v>326</v>
      </c>
      <c r="B1594" s="7" t="s">
        <v>268</v>
      </c>
      <c r="C1594" s="7">
        <v>0.25</v>
      </c>
      <c r="D1594" s="7">
        <v>0.1</v>
      </c>
      <c r="E1594" s="7">
        <v>9.0</v>
      </c>
      <c r="F1594" s="7">
        <v>206.823405742645</v>
      </c>
      <c r="G1594" s="7">
        <v>414.281253099441</v>
      </c>
      <c r="H1594" s="7">
        <v>2.0</v>
      </c>
      <c r="I1594" s="15">
        <v>0.764703488028028</v>
      </c>
      <c r="J1594" s="15">
        <v>0.134410952024585</v>
      </c>
      <c r="K1594" s="12">
        <f>AVERAGE(I1592:I1596)</f>
        <v>0.6221244413</v>
      </c>
      <c r="L1594" s="18">
        <v>7830.0</v>
      </c>
      <c r="M1594" s="14">
        <f>STDEV(L1592:L1596)</f>
        <v>45381.278</v>
      </c>
      <c r="N1594" s="15" t="b">
        <f t="shared" si="1"/>
        <v>0</v>
      </c>
    </row>
    <row r="1595" hidden="1">
      <c r="A1595" s="7" t="s">
        <v>326</v>
      </c>
      <c r="B1595" s="7" t="s">
        <v>268</v>
      </c>
      <c r="C1595" s="7">
        <v>0.25</v>
      </c>
      <c r="D1595" s="7">
        <v>0.1</v>
      </c>
      <c r="E1595" s="7">
        <v>9.0</v>
      </c>
      <c r="F1595" s="7">
        <v>206.823405742645</v>
      </c>
      <c r="G1595" s="7">
        <v>414.281253099441</v>
      </c>
      <c r="H1595" s="7">
        <v>3.0</v>
      </c>
      <c r="I1595" s="15">
        <v>0.072262841782588</v>
      </c>
      <c r="J1595" s="15">
        <v>0.055071757034232</v>
      </c>
      <c r="K1595" s="12">
        <f>AVERAGE(I1592:I1596)</f>
        <v>0.6221244413</v>
      </c>
      <c r="L1595" s="18">
        <v>109276.0</v>
      </c>
      <c r="M1595" s="14">
        <f>STDEV(L1592:L1596)</f>
        <v>45381.278</v>
      </c>
      <c r="N1595" s="15" t="b">
        <f t="shared" si="1"/>
        <v>0</v>
      </c>
    </row>
    <row r="1596" hidden="1">
      <c r="A1596" s="7" t="s">
        <v>326</v>
      </c>
      <c r="B1596" s="7" t="s">
        <v>268</v>
      </c>
      <c r="C1596" s="7">
        <v>0.25</v>
      </c>
      <c r="D1596" s="7">
        <v>0.1</v>
      </c>
      <c r="E1596" s="7">
        <v>9.0</v>
      </c>
      <c r="F1596" s="7">
        <v>206.823405742645</v>
      </c>
      <c r="G1596" s="7">
        <v>414.281253099441</v>
      </c>
      <c r="H1596" s="7">
        <v>4.0</v>
      </c>
      <c r="I1596" s="15">
        <v>0.720825753306125</v>
      </c>
      <c r="J1596" s="15">
        <v>0.149542405755385</v>
      </c>
      <c r="K1596" s="12">
        <f>AVERAGE(I1592:I1596)</f>
        <v>0.6221244413</v>
      </c>
      <c r="L1596" s="18">
        <v>3670.0</v>
      </c>
      <c r="M1596" s="14">
        <f>STDEV(L1592:L1596)</f>
        <v>45381.278</v>
      </c>
      <c r="N1596" s="15" t="b">
        <f t="shared" si="1"/>
        <v>0</v>
      </c>
    </row>
    <row r="1597" hidden="1">
      <c r="A1597" s="7" t="s">
        <v>327</v>
      </c>
      <c r="B1597" s="20" t="s">
        <v>268</v>
      </c>
      <c r="C1597" s="20">
        <v>0.25</v>
      </c>
      <c r="D1597" s="20">
        <v>0.1</v>
      </c>
      <c r="E1597" s="20">
        <v>10.0</v>
      </c>
      <c r="F1597" s="7">
        <v>375.925101041793</v>
      </c>
      <c r="G1597" s="7">
        <v>505.227955579757</v>
      </c>
      <c r="H1597" s="7">
        <v>0.0</v>
      </c>
      <c r="I1597" s="15">
        <v>0.764734964131194</v>
      </c>
      <c r="J1597" s="15">
        <v>0.132956731248507</v>
      </c>
      <c r="K1597" s="12">
        <f>AVERAGE(I1597:I1601)</f>
        <v>0.65982137</v>
      </c>
      <c r="L1597" s="18">
        <v>15692.0</v>
      </c>
      <c r="M1597" s="14">
        <f>STDEV(L1597:L1601)</f>
        <v>46708.17386</v>
      </c>
      <c r="N1597" s="15" t="b">
        <f t="shared" si="1"/>
        <v>1</v>
      </c>
    </row>
    <row r="1598" hidden="1">
      <c r="A1598" s="7" t="s">
        <v>327</v>
      </c>
      <c r="B1598" s="20" t="s">
        <v>268</v>
      </c>
      <c r="C1598" s="20">
        <v>0.25</v>
      </c>
      <c r="D1598" s="20">
        <v>0.1</v>
      </c>
      <c r="E1598" s="20">
        <v>10.0</v>
      </c>
      <c r="F1598" s="7">
        <v>375.925101041793</v>
      </c>
      <c r="G1598" s="7">
        <v>505.227955579757</v>
      </c>
      <c r="H1598" s="7">
        <v>1.0</v>
      </c>
      <c r="I1598" s="15">
        <v>0.0443842571748631</v>
      </c>
      <c r="J1598" s="15">
        <v>0.125862231037277</v>
      </c>
      <c r="K1598" s="12">
        <f>AVERAGE(I1597:I1601)</f>
        <v>0.65982137</v>
      </c>
      <c r="L1598" s="18">
        <v>111394.0</v>
      </c>
      <c r="M1598" s="14">
        <f>STDEV(L1597:L1601)</f>
        <v>46708.17386</v>
      </c>
      <c r="N1598" s="15" t="b">
        <f t="shared" si="1"/>
        <v>1</v>
      </c>
    </row>
    <row r="1599" hidden="1">
      <c r="A1599" s="7" t="s">
        <v>327</v>
      </c>
      <c r="B1599" s="20" t="s">
        <v>268</v>
      </c>
      <c r="C1599" s="20">
        <v>0.25</v>
      </c>
      <c r="D1599" s="20">
        <v>0.1</v>
      </c>
      <c r="E1599" s="20">
        <v>10.0</v>
      </c>
      <c r="F1599" s="7">
        <v>375.925101041793</v>
      </c>
      <c r="G1599" s="7">
        <v>505.227955579757</v>
      </c>
      <c r="H1599" s="7">
        <v>2.0</v>
      </c>
      <c r="I1599" s="15">
        <v>0.762719803987229</v>
      </c>
      <c r="J1599" s="15">
        <v>0.138521347028143</v>
      </c>
      <c r="K1599" s="12">
        <f>AVERAGE(I1597:I1601)</f>
        <v>0.65982137</v>
      </c>
      <c r="L1599" s="18">
        <v>7830.0</v>
      </c>
      <c r="M1599" s="14">
        <f>STDEV(L1597:L1601)</f>
        <v>46708.17386</v>
      </c>
      <c r="N1599" s="15" t="b">
        <f t="shared" si="1"/>
        <v>1</v>
      </c>
    </row>
    <row r="1600" hidden="1">
      <c r="A1600" s="7" t="s">
        <v>327</v>
      </c>
      <c r="B1600" s="20" t="s">
        <v>268</v>
      </c>
      <c r="C1600" s="20">
        <v>0.25</v>
      </c>
      <c r="D1600" s="20">
        <v>0.1</v>
      </c>
      <c r="E1600" s="20">
        <v>10.0</v>
      </c>
      <c r="F1600" s="7">
        <v>375.925101041793</v>
      </c>
      <c r="G1600" s="7">
        <v>505.227955579757</v>
      </c>
      <c r="H1600" s="7">
        <v>3.0</v>
      </c>
      <c r="I1600" s="15">
        <v>0.844422633885806</v>
      </c>
      <c r="J1600" s="15">
        <v>0.100163860992566</v>
      </c>
      <c r="K1600" s="12">
        <f>AVERAGE(I1597:I1601)</f>
        <v>0.65982137</v>
      </c>
      <c r="L1600" s="18">
        <v>4383.0</v>
      </c>
      <c r="M1600" s="14">
        <f>STDEV(L1597:L1601)</f>
        <v>46708.17386</v>
      </c>
      <c r="N1600" s="15" t="b">
        <f t="shared" si="1"/>
        <v>1</v>
      </c>
    </row>
    <row r="1601" hidden="1">
      <c r="A1601" s="7" t="s">
        <v>327</v>
      </c>
      <c r="B1601" s="20" t="s">
        <v>268</v>
      </c>
      <c r="C1601" s="20">
        <v>0.25</v>
      </c>
      <c r="D1601" s="20">
        <v>0.1</v>
      </c>
      <c r="E1601" s="20">
        <v>10.0</v>
      </c>
      <c r="F1601" s="7">
        <v>375.925101041793</v>
      </c>
      <c r="G1601" s="7">
        <v>505.227955579757</v>
      </c>
      <c r="H1601" s="7">
        <v>4.0</v>
      </c>
      <c r="I1601" s="15">
        <v>0.88284519060983</v>
      </c>
      <c r="J1601" s="15">
        <v>0.120911582678857</v>
      </c>
      <c r="K1601" s="12">
        <f>AVERAGE(I1597:I1601)</f>
        <v>0.65982137</v>
      </c>
      <c r="L1601" s="18">
        <v>2377.0</v>
      </c>
      <c r="M1601" s="14">
        <f>STDEV(L1597:L1601)</f>
        <v>46708.17386</v>
      </c>
      <c r="N1601" s="15" t="b">
        <f t="shared" si="1"/>
        <v>1</v>
      </c>
    </row>
    <row r="1602" hidden="1">
      <c r="A1602" s="7" t="s">
        <v>328</v>
      </c>
      <c r="B1602" s="7" t="s">
        <v>268</v>
      </c>
      <c r="C1602" s="7">
        <v>0.25</v>
      </c>
      <c r="D1602" s="7">
        <v>0.25</v>
      </c>
      <c r="E1602" s="7">
        <v>1.0</v>
      </c>
      <c r="F1602" s="7">
        <v>336.197390556335</v>
      </c>
      <c r="G1602" s="7">
        <v>490.688227176666</v>
      </c>
      <c r="H1602" s="7">
        <v>0.0</v>
      </c>
      <c r="I1602" s="15">
        <v>0.821672423366506</v>
      </c>
      <c r="J1602" s="15">
        <v>0.103301955751003</v>
      </c>
      <c r="K1602" s="12">
        <f>AVERAGE(I1602:I1606)</f>
        <v>0.6355166426</v>
      </c>
      <c r="L1602" s="18">
        <v>6463.0</v>
      </c>
      <c r="M1602" s="14">
        <f>STDEV(L1602:L1606)</f>
        <v>41544.36806</v>
      </c>
      <c r="N1602" s="15" t="b">
        <f t="shared" si="1"/>
        <v>0</v>
      </c>
    </row>
    <row r="1603" hidden="1">
      <c r="A1603" s="7" t="s">
        <v>328</v>
      </c>
      <c r="B1603" s="7" t="s">
        <v>268</v>
      </c>
      <c r="C1603" s="7">
        <v>0.25</v>
      </c>
      <c r="D1603" s="7">
        <v>0.25</v>
      </c>
      <c r="E1603" s="7">
        <v>1.0</v>
      </c>
      <c r="F1603" s="7">
        <v>336.197390556335</v>
      </c>
      <c r="G1603" s="7">
        <v>490.688227176666</v>
      </c>
      <c r="H1603" s="7">
        <v>1.0</v>
      </c>
      <c r="I1603" s="15">
        <v>0.765539784640591</v>
      </c>
      <c r="J1603" s="15">
        <v>0.134568792275543</v>
      </c>
      <c r="K1603" s="12">
        <f>AVERAGE(I1602:I1606)</f>
        <v>0.6355166426</v>
      </c>
      <c r="L1603" s="18">
        <v>15486.0</v>
      </c>
      <c r="M1603" s="14">
        <f>STDEV(L1602:L1606)</f>
        <v>41544.36806</v>
      </c>
      <c r="N1603" s="15" t="b">
        <f t="shared" si="1"/>
        <v>0</v>
      </c>
    </row>
    <row r="1604" hidden="1">
      <c r="A1604" s="7" t="s">
        <v>328</v>
      </c>
      <c r="B1604" s="7" t="s">
        <v>268</v>
      </c>
      <c r="C1604" s="7">
        <v>0.25</v>
      </c>
      <c r="D1604" s="7">
        <v>0.25</v>
      </c>
      <c r="E1604" s="7">
        <v>1.0</v>
      </c>
      <c r="F1604" s="7">
        <v>336.197390556335</v>
      </c>
      <c r="G1604" s="7">
        <v>490.688227176666</v>
      </c>
      <c r="H1604" s="7">
        <v>2.0</v>
      </c>
      <c r="I1604" s="15">
        <v>0.716272210518636</v>
      </c>
      <c r="J1604" s="15">
        <v>0.152663541297731</v>
      </c>
      <c r="K1604" s="12">
        <f>AVERAGE(I1602:I1606)</f>
        <v>0.6355166426</v>
      </c>
      <c r="L1604" s="18">
        <v>13507.0</v>
      </c>
      <c r="M1604" s="14">
        <f>STDEV(L1602:L1606)</f>
        <v>41544.36806</v>
      </c>
      <c r="N1604" s="15" t="b">
        <f t="shared" si="1"/>
        <v>0</v>
      </c>
    </row>
    <row r="1605" hidden="1">
      <c r="A1605" s="7" t="s">
        <v>328</v>
      </c>
      <c r="B1605" s="7" t="s">
        <v>268</v>
      </c>
      <c r="C1605" s="7">
        <v>0.25</v>
      </c>
      <c r="D1605" s="7">
        <v>0.25</v>
      </c>
      <c r="E1605" s="7">
        <v>1.0</v>
      </c>
      <c r="F1605" s="7">
        <v>336.197390556335</v>
      </c>
      <c r="G1605" s="7">
        <v>490.688227176666</v>
      </c>
      <c r="H1605" s="7">
        <v>3.0</v>
      </c>
      <c r="I1605" s="15">
        <v>0.81331311181134</v>
      </c>
      <c r="J1605" s="15">
        <v>0.0753037268251616</v>
      </c>
      <c r="K1605" s="12">
        <f>AVERAGE(I1602:I1606)</f>
        <v>0.6355166426</v>
      </c>
      <c r="L1605" s="18">
        <v>4055.0</v>
      </c>
      <c r="M1605" s="14">
        <f>STDEV(L1602:L1606)</f>
        <v>41544.36806</v>
      </c>
      <c r="N1605" s="15" t="b">
        <f t="shared" si="1"/>
        <v>0</v>
      </c>
    </row>
    <row r="1606" hidden="1">
      <c r="A1606" s="7" t="s">
        <v>328</v>
      </c>
      <c r="B1606" s="7" t="s">
        <v>268</v>
      </c>
      <c r="C1606" s="7">
        <v>0.25</v>
      </c>
      <c r="D1606" s="7">
        <v>0.25</v>
      </c>
      <c r="E1606" s="7">
        <v>1.0</v>
      </c>
      <c r="F1606" s="7">
        <v>336.197390556335</v>
      </c>
      <c r="G1606" s="7">
        <v>490.688227176666</v>
      </c>
      <c r="H1606" s="7">
        <v>4.0</v>
      </c>
      <c r="I1606" s="15">
        <v>0.0607856826393319</v>
      </c>
      <c r="J1606" s="15">
        <v>0.065636208126136</v>
      </c>
      <c r="K1606" s="12">
        <f>AVERAGE(I1602:I1606)</f>
        <v>0.6355166426</v>
      </c>
      <c r="L1606" s="18">
        <v>102165.0</v>
      </c>
      <c r="M1606" s="14">
        <f>STDEV(L1602:L1606)</f>
        <v>41544.36806</v>
      </c>
      <c r="N1606" s="15" t="b">
        <f t="shared" si="1"/>
        <v>0</v>
      </c>
    </row>
    <row r="1607" hidden="1">
      <c r="A1607" s="7" t="s">
        <v>329</v>
      </c>
      <c r="B1607" s="7" t="s">
        <v>268</v>
      </c>
      <c r="C1607" s="7">
        <v>0.25</v>
      </c>
      <c r="D1607" s="7">
        <v>0.25</v>
      </c>
      <c r="E1607" s="7">
        <v>2.0</v>
      </c>
      <c r="F1607" s="7">
        <v>389.024935722351</v>
      </c>
      <c r="G1607" s="7">
        <v>506.17695403099</v>
      </c>
      <c r="H1607" s="7">
        <v>0.0</v>
      </c>
      <c r="I1607" s="15">
        <v>0.862900162675735</v>
      </c>
      <c r="J1607" s="15">
        <v>0.114341917281797</v>
      </c>
      <c r="K1607" s="12">
        <f>AVERAGE(I1607:I1611)</f>
        <v>0.5420378638</v>
      </c>
      <c r="L1607" s="18">
        <v>218.0</v>
      </c>
      <c r="M1607" s="14">
        <f>STDEV(L1607:L1611)</f>
        <v>32438.83823</v>
      </c>
      <c r="N1607" s="15" t="b">
        <f t="shared" si="1"/>
        <v>0</v>
      </c>
    </row>
    <row r="1608" hidden="1">
      <c r="A1608" s="7" t="s">
        <v>329</v>
      </c>
      <c r="B1608" s="7" t="s">
        <v>268</v>
      </c>
      <c r="C1608" s="7">
        <v>0.25</v>
      </c>
      <c r="D1608" s="7">
        <v>0.25</v>
      </c>
      <c r="E1608" s="7">
        <v>2.0</v>
      </c>
      <c r="F1608" s="7">
        <v>389.024935722351</v>
      </c>
      <c r="G1608" s="7">
        <v>506.17695403099</v>
      </c>
      <c r="H1608" s="7">
        <v>1.0</v>
      </c>
      <c r="I1608" s="15">
        <v>0.828387461901892</v>
      </c>
      <c r="J1608" s="15">
        <v>0.0990537689569496</v>
      </c>
      <c r="K1608" s="12">
        <f>AVERAGE(I1607:I1611)</f>
        <v>0.5420378638</v>
      </c>
      <c r="L1608" s="18">
        <v>7464.0</v>
      </c>
      <c r="M1608" s="14">
        <f>STDEV(L1607:L1611)</f>
        <v>32438.83823</v>
      </c>
      <c r="N1608" s="15" t="b">
        <f t="shared" si="1"/>
        <v>0</v>
      </c>
    </row>
    <row r="1609" hidden="1">
      <c r="A1609" s="7" t="s">
        <v>329</v>
      </c>
      <c r="B1609" s="7" t="s">
        <v>268</v>
      </c>
      <c r="C1609" s="7">
        <v>0.25</v>
      </c>
      <c r="D1609" s="7">
        <v>0.25</v>
      </c>
      <c r="E1609" s="7">
        <v>2.0</v>
      </c>
      <c r="F1609" s="7">
        <v>389.024935722351</v>
      </c>
      <c r="G1609" s="7">
        <v>506.17695403099</v>
      </c>
      <c r="H1609" s="7">
        <v>2.0</v>
      </c>
      <c r="I1609" s="15">
        <v>0.138915233499617</v>
      </c>
      <c r="J1609" s="15">
        <v>0.0697719062273864</v>
      </c>
      <c r="K1609" s="12">
        <f>AVERAGE(I1607:I1611)</f>
        <v>0.5420378638</v>
      </c>
      <c r="L1609" s="18">
        <v>71047.0</v>
      </c>
      <c r="M1609" s="14">
        <f>STDEV(L1607:L1611)</f>
        <v>32438.83823</v>
      </c>
      <c r="N1609" s="15" t="b">
        <f t="shared" si="1"/>
        <v>0</v>
      </c>
    </row>
    <row r="1610" hidden="1">
      <c r="A1610" s="7" t="s">
        <v>329</v>
      </c>
      <c r="B1610" s="7" t="s">
        <v>268</v>
      </c>
      <c r="C1610" s="7">
        <v>0.25</v>
      </c>
      <c r="D1610" s="7">
        <v>0.25</v>
      </c>
      <c r="E1610" s="7">
        <v>2.0</v>
      </c>
      <c r="F1610" s="7">
        <v>389.024935722351</v>
      </c>
      <c r="G1610" s="7">
        <v>506.17695403099</v>
      </c>
      <c r="H1610" s="7">
        <v>3.0</v>
      </c>
      <c r="I1610" s="15">
        <v>0.128046349672072</v>
      </c>
      <c r="J1610" s="15">
        <v>0.107965243613908</v>
      </c>
      <c r="K1610" s="12">
        <f>AVERAGE(I1607:I1611)</f>
        <v>0.5420378638</v>
      </c>
      <c r="L1610" s="18">
        <v>55337.0</v>
      </c>
      <c r="M1610" s="14">
        <f>STDEV(L1607:L1611)</f>
        <v>32438.83823</v>
      </c>
      <c r="N1610" s="15" t="b">
        <f t="shared" si="1"/>
        <v>0</v>
      </c>
    </row>
    <row r="1611" hidden="1">
      <c r="A1611" s="7" t="s">
        <v>329</v>
      </c>
      <c r="B1611" s="7" t="s">
        <v>268</v>
      </c>
      <c r="C1611" s="7">
        <v>0.25</v>
      </c>
      <c r="D1611" s="7">
        <v>0.25</v>
      </c>
      <c r="E1611" s="7">
        <v>2.0</v>
      </c>
      <c r="F1611" s="7">
        <v>389.024935722351</v>
      </c>
      <c r="G1611" s="7">
        <v>506.17695403099</v>
      </c>
      <c r="H1611" s="7">
        <v>4.0</v>
      </c>
      <c r="I1611" s="15">
        <v>0.751940111424286</v>
      </c>
      <c r="J1611" s="15">
        <v>0.132538905238491</v>
      </c>
      <c r="K1611" s="12">
        <f>AVERAGE(I1607:I1611)</f>
        <v>0.5420378638</v>
      </c>
      <c r="L1611" s="18">
        <v>7610.0</v>
      </c>
      <c r="M1611" s="14">
        <f>STDEV(L1607:L1611)</f>
        <v>32438.83823</v>
      </c>
      <c r="N1611" s="15" t="b">
        <f t="shared" si="1"/>
        <v>0</v>
      </c>
    </row>
    <row r="1612" hidden="1">
      <c r="A1612" s="7" t="s">
        <v>330</v>
      </c>
      <c r="B1612" s="7" t="s">
        <v>268</v>
      </c>
      <c r="C1612" s="7">
        <v>0.25</v>
      </c>
      <c r="D1612" s="7">
        <v>0.25</v>
      </c>
      <c r="E1612" s="7">
        <v>3.0</v>
      </c>
      <c r="F1612" s="7">
        <v>278.778682947158</v>
      </c>
      <c r="G1612" s="7">
        <v>466.234631776809</v>
      </c>
      <c r="H1612" s="7">
        <v>0.0</v>
      </c>
      <c r="I1612" s="15">
        <v>0.254306010176222</v>
      </c>
      <c r="J1612" s="15">
        <v>0.0858027520699066</v>
      </c>
      <c r="K1612" s="12">
        <f>AVERAGE(I1612:I1616)</f>
        <v>0.3539675874</v>
      </c>
      <c r="L1612" s="18">
        <v>43123.0</v>
      </c>
      <c r="M1612" s="14">
        <f>STDEV(L1612:L1616)</f>
        <v>29408.70744</v>
      </c>
      <c r="N1612" s="15" t="b">
        <f t="shared" si="1"/>
        <v>0</v>
      </c>
    </row>
    <row r="1613" hidden="1">
      <c r="A1613" s="7" t="s">
        <v>330</v>
      </c>
      <c r="B1613" s="7" t="s">
        <v>268</v>
      </c>
      <c r="C1613" s="7">
        <v>0.25</v>
      </c>
      <c r="D1613" s="7">
        <v>0.25</v>
      </c>
      <c r="E1613" s="7">
        <v>3.0</v>
      </c>
      <c r="F1613" s="7">
        <v>278.778682947158</v>
      </c>
      <c r="G1613" s="7">
        <v>466.234631776809</v>
      </c>
      <c r="H1613" s="7">
        <v>1.0</v>
      </c>
      <c r="I1613" s="15">
        <v>0.313219703849703</v>
      </c>
      <c r="J1613" s="15">
        <v>0.144120125724142</v>
      </c>
      <c r="K1613" s="12">
        <f>AVERAGE(I1612:I1616)</f>
        <v>0.3539675874</v>
      </c>
      <c r="L1613" s="18">
        <v>17525.0</v>
      </c>
      <c r="M1613" s="14">
        <f>STDEV(L1612:L1616)</f>
        <v>29408.70744</v>
      </c>
      <c r="N1613" s="15" t="b">
        <f t="shared" si="1"/>
        <v>0</v>
      </c>
    </row>
    <row r="1614" hidden="1">
      <c r="A1614" s="7" t="s">
        <v>330</v>
      </c>
      <c r="B1614" s="7" t="s">
        <v>268</v>
      </c>
      <c r="C1614" s="7">
        <v>0.25</v>
      </c>
      <c r="D1614" s="7">
        <v>0.25</v>
      </c>
      <c r="E1614" s="7">
        <v>3.0</v>
      </c>
      <c r="F1614" s="7">
        <v>278.778682947158</v>
      </c>
      <c r="G1614" s="7">
        <v>466.234631776809</v>
      </c>
      <c r="H1614" s="7">
        <v>2.0</v>
      </c>
      <c r="I1614" s="15">
        <v>0.309683356475826</v>
      </c>
      <c r="J1614" s="15">
        <v>0.109316594263032</v>
      </c>
      <c r="K1614" s="12">
        <f>AVERAGE(I1612:I1616)</f>
        <v>0.3539675874</v>
      </c>
      <c r="L1614" s="18">
        <v>2825.0</v>
      </c>
      <c r="M1614" s="14">
        <f>STDEV(L1612:L1616)</f>
        <v>29408.70744</v>
      </c>
      <c r="N1614" s="15" t="b">
        <f t="shared" si="1"/>
        <v>0</v>
      </c>
    </row>
    <row r="1615" hidden="1">
      <c r="A1615" s="7" t="s">
        <v>330</v>
      </c>
      <c r="B1615" s="7" t="s">
        <v>268</v>
      </c>
      <c r="C1615" s="7">
        <v>0.25</v>
      </c>
      <c r="D1615" s="7">
        <v>0.25</v>
      </c>
      <c r="E1615" s="7">
        <v>3.0</v>
      </c>
      <c r="F1615" s="7">
        <v>278.778682947158</v>
      </c>
      <c r="G1615" s="7">
        <v>466.234631776809</v>
      </c>
      <c r="H1615" s="7">
        <v>3.0</v>
      </c>
      <c r="I1615" s="15">
        <v>0.810735600883823</v>
      </c>
      <c r="J1615" s="15">
        <v>0.116572754737527</v>
      </c>
      <c r="K1615" s="12">
        <f>AVERAGE(I1612:I1616)</f>
        <v>0.3539675874</v>
      </c>
      <c r="L1615" s="18">
        <v>5625.0</v>
      </c>
      <c r="M1615" s="14">
        <f>STDEV(L1612:L1616)</f>
        <v>29408.70744</v>
      </c>
      <c r="N1615" s="15" t="b">
        <f t="shared" si="1"/>
        <v>0</v>
      </c>
    </row>
    <row r="1616" hidden="1">
      <c r="A1616" s="7" t="s">
        <v>330</v>
      </c>
      <c r="B1616" s="7" t="s">
        <v>268</v>
      </c>
      <c r="C1616" s="7">
        <v>0.25</v>
      </c>
      <c r="D1616" s="7">
        <v>0.25</v>
      </c>
      <c r="E1616" s="7">
        <v>3.0</v>
      </c>
      <c r="F1616" s="7">
        <v>278.778682947158</v>
      </c>
      <c r="G1616" s="7">
        <v>466.234631776809</v>
      </c>
      <c r="H1616" s="7">
        <v>4.0</v>
      </c>
      <c r="I1616" s="15">
        <v>0.0818932657781009</v>
      </c>
      <c r="J1616" s="15">
        <v>0.0803107335304347</v>
      </c>
      <c r="K1616" s="12">
        <f>AVERAGE(I1612:I1616)</f>
        <v>0.3539675874</v>
      </c>
      <c r="L1616" s="18">
        <v>72578.0</v>
      </c>
      <c r="M1616" s="14">
        <f>STDEV(L1612:L1616)</f>
        <v>29408.70744</v>
      </c>
      <c r="N1616" s="15" t="b">
        <f t="shared" si="1"/>
        <v>0</v>
      </c>
    </row>
    <row r="1617" hidden="1">
      <c r="A1617" s="7" t="s">
        <v>331</v>
      </c>
      <c r="B1617" s="7" t="s">
        <v>268</v>
      </c>
      <c r="C1617" s="7">
        <v>0.25</v>
      </c>
      <c r="D1617" s="7">
        <v>0.25</v>
      </c>
      <c r="E1617" s="7">
        <v>4.0</v>
      </c>
      <c r="F1617" s="7">
        <v>188.923205852508</v>
      </c>
      <c r="G1617" s="7">
        <v>411.813758134841</v>
      </c>
      <c r="H1617" s="7">
        <v>0.0</v>
      </c>
      <c r="I1617" s="15">
        <v>0.773030609646872</v>
      </c>
      <c r="J1617" s="15">
        <v>0.119916508456247</v>
      </c>
      <c r="K1617" s="12">
        <f>AVERAGE(I1617:I1621)</f>
        <v>0.6446361924</v>
      </c>
      <c r="L1617" s="18">
        <v>15630.0</v>
      </c>
      <c r="M1617" s="14">
        <f>STDEV(L1617:L1621)</f>
        <v>41986.32345</v>
      </c>
      <c r="N1617" s="15" t="b">
        <f t="shared" si="1"/>
        <v>0</v>
      </c>
    </row>
    <row r="1618" hidden="1">
      <c r="A1618" s="7" t="s">
        <v>331</v>
      </c>
      <c r="B1618" s="7" t="s">
        <v>268</v>
      </c>
      <c r="C1618" s="7">
        <v>0.25</v>
      </c>
      <c r="D1618" s="7">
        <v>0.25</v>
      </c>
      <c r="E1618" s="7">
        <v>4.0</v>
      </c>
      <c r="F1618" s="7">
        <v>188.923205852508</v>
      </c>
      <c r="G1618" s="7">
        <v>411.813758134841</v>
      </c>
      <c r="H1618" s="7">
        <v>1.0</v>
      </c>
      <c r="I1618" s="15">
        <v>0.719483744282178</v>
      </c>
      <c r="J1618" s="15">
        <v>0.14439057304392</v>
      </c>
      <c r="K1618" s="12">
        <f>AVERAGE(I1617:I1621)</f>
        <v>0.6446361924</v>
      </c>
      <c r="L1618" s="18">
        <v>13575.0</v>
      </c>
      <c r="M1618" s="14">
        <f>STDEV(L1617:L1621)</f>
        <v>41986.32345</v>
      </c>
      <c r="N1618" s="15" t="b">
        <f t="shared" si="1"/>
        <v>0</v>
      </c>
    </row>
    <row r="1619" hidden="1">
      <c r="A1619" s="7" t="s">
        <v>331</v>
      </c>
      <c r="B1619" s="7" t="s">
        <v>268</v>
      </c>
      <c r="C1619" s="7">
        <v>0.25</v>
      </c>
      <c r="D1619" s="7">
        <v>0.25</v>
      </c>
      <c r="E1619" s="7">
        <v>4.0</v>
      </c>
      <c r="F1619" s="7">
        <v>188.923205852508</v>
      </c>
      <c r="G1619" s="7">
        <v>411.813758134841</v>
      </c>
      <c r="H1619" s="7">
        <v>2.0</v>
      </c>
      <c r="I1619" s="15">
        <v>0.91244975104686</v>
      </c>
      <c r="J1619" s="15">
        <v>0.0374087756516581</v>
      </c>
      <c r="K1619" s="12">
        <f>AVERAGE(I1617:I1621)</f>
        <v>0.6446361924</v>
      </c>
      <c r="L1619" s="18">
        <v>2043.0</v>
      </c>
      <c r="M1619" s="14">
        <f>STDEV(L1617:L1621)</f>
        <v>41986.32345</v>
      </c>
      <c r="N1619" s="15" t="b">
        <f t="shared" si="1"/>
        <v>0</v>
      </c>
    </row>
    <row r="1620" hidden="1">
      <c r="A1620" s="7" t="s">
        <v>331</v>
      </c>
      <c r="B1620" s="7" t="s">
        <v>268</v>
      </c>
      <c r="C1620" s="7">
        <v>0.25</v>
      </c>
      <c r="D1620" s="7">
        <v>0.25</v>
      </c>
      <c r="E1620" s="7">
        <v>4.0</v>
      </c>
      <c r="F1620" s="7">
        <v>188.923205852508</v>
      </c>
      <c r="G1620" s="7">
        <v>411.813758134841</v>
      </c>
      <c r="H1620" s="7">
        <v>3.0</v>
      </c>
      <c r="I1620" s="15">
        <v>0.751064637926632</v>
      </c>
      <c r="J1620" s="15">
        <v>0.137424783407406</v>
      </c>
      <c r="K1620" s="12">
        <f>AVERAGE(I1617:I1621)</f>
        <v>0.6446361924</v>
      </c>
      <c r="L1620" s="18">
        <v>7591.0</v>
      </c>
      <c r="M1620" s="14">
        <f>STDEV(L1617:L1621)</f>
        <v>41986.32345</v>
      </c>
      <c r="N1620" s="15" t="b">
        <f t="shared" si="1"/>
        <v>0</v>
      </c>
    </row>
    <row r="1621" hidden="1">
      <c r="A1621" s="7" t="s">
        <v>331</v>
      </c>
      <c r="B1621" s="7" t="s">
        <v>268</v>
      </c>
      <c r="C1621" s="7">
        <v>0.25</v>
      </c>
      <c r="D1621" s="7">
        <v>0.25</v>
      </c>
      <c r="E1621" s="7">
        <v>4.0</v>
      </c>
      <c r="F1621" s="7">
        <v>188.923205852508</v>
      </c>
      <c r="G1621" s="7">
        <v>411.813758134841</v>
      </c>
      <c r="H1621" s="7">
        <v>4.0</v>
      </c>
      <c r="I1621" s="15">
        <v>0.0671522192634472</v>
      </c>
      <c r="J1621" s="15">
        <v>0.0718019244309875</v>
      </c>
      <c r="K1621" s="12">
        <f>AVERAGE(I1617:I1621)</f>
        <v>0.6446361924</v>
      </c>
      <c r="L1621" s="18">
        <v>102837.0</v>
      </c>
      <c r="M1621" s="14">
        <f>STDEV(L1617:L1621)</f>
        <v>41986.32345</v>
      </c>
      <c r="N1621" s="15" t="b">
        <f t="shared" si="1"/>
        <v>0</v>
      </c>
    </row>
    <row r="1622" hidden="1">
      <c r="A1622" s="7" t="s">
        <v>332</v>
      </c>
      <c r="B1622" s="7" t="s">
        <v>268</v>
      </c>
      <c r="C1622" s="7">
        <v>0.25</v>
      </c>
      <c r="D1622" s="7">
        <v>0.25</v>
      </c>
      <c r="E1622" s="7">
        <v>5.0</v>
      </c>
      <c r="F1622" s="7">
        <v>359.272469758987</v>
      </c>
      <c r="G1622" s="7">
        <v>499.593088150024</v>
      </c>
      <c r="H1622" s="7">
        <v>0.0</v>
      </c>
      <c r="I1622" s="15">
        <v>0.769116633873671</v>
      </c>
      <c r="J1622" s="15">
        <v>0.121043050290234</v>
      </c>
      <c r="K1622" s="12">
        <f>AVERAGE(I1622:I1626)</f>
        <v>0.6077890303</v>
      </c>
      <c r="L1622" s="18">
        <v>15714.0</v>
      </c>
      <c r="M1622" s="14">
        <f>STDEV(L1622:L1626)</f>
        <v>41494.6797</v>
      </c>
      <c r="N1622" s="15" t="b">
        <f t="shared" si="1"/>
        <v>0</v>
      </c>
    </row>
    <row r="1623" hidden="1">
      <c r="A1623" s="7" t="s">
        <v>332</v>
      </c>
      <c r="B1623" s="7" t="s">
        <v>268</v>
      </c>
      <c r="C1623" s="7">
        <v>0.25</v>
      </c>
      <c r="D1623" s="7">
        <v>0.25</v>
      </c>
      <c r="E1623" s="7">
        <v>5.0</v>
      </c>
      <c r="F1623" s="7">
        <v>359.272469758987</v>
      </c>
      <c r="G1623" s="7">
        <v>499.593088150024</v>
      </c>
      <c r="H1623" s="7">
        <v>1.0</v>
      </c>
      <c r="I1623" s="15">
        <v>0.0746642069461631</v>
      </c>
      <c r="J1623" s="15">
        <v>0.058009782722577</v>
      </c>
      <c r="K1623" s="12">
        <f>AVERAGE(I1622:I1626)</f>
        <v>0.6077890303</v>
      </c>
      <c r="L1623" s="18">
        <v>102219.0</v>
      </c>
      <c r="M1623" s="14">
        <f>STDEV(L1622:L1626)</f>
        <v>41494.6797</v>
      </c>
      <c r="N1623" s="15" t="b">
        <f t="shared" si="1"/>
        <v>0</v>
      </c>
    </row>
    <row r="1624" hidden="1">
      <c r="A1624" s="7" t="s">
        <v>332</v>
      </c>
      <c r="B1624" s="7" t="s">
        <v>268</v>
      </c>
      <c r="C1624" s="7">
        <v>0.25</v>
      </c>
      <c r="D1624" s="7">
        <v>0.25</v>
      </c>
      <c r="E1624" s="7">
        <v>5.0</v>
      </c>
      <c r="F1624" s="7">
        <v>359.272469758987</v>
      </c>
      <c r="G1624" s="7">
        <v>499.593088150024</v>
      </c>
      <c r="H1624" s="7">
        <v>2.0</v>
      </c>
      <c r="I1624" s="15">
        <v>0.829014408892979</v>
      </c>
      <c r="J1624" s="15">
        <v>0.098846756222032</v>
      </c>
      <c r="K1624" s="12">
        <f>AVERAGE(I1622:I1626)</f>
        <v>0.6077890303</v>
      </c>
      <c r="L1624" s="18">
        <v>7439.0</v>
      </c>
      <c r="M1624" s="14">
        <f>STDEV(L1622:L1626)</f>
        <v>41494.6797</v>
      </c>
      <c r="N1624" s="15" t="b">
        <f t="shared" si="1"/>
        <v>0</v>
      </c>
    </row>
    <row r="1625" hidden="1">
      <c r="A1625" s="7" t="s">
        <v>332</v>
      </c>
      <c r="B1625" s="7" t="s">
        <v>268</v>
      </c>
      <c r="C1625" s="7">
        <v>0.25</v>
      </c>
      <c r="D1625" s="7">
        <v>0.25</v>
      </c>
      <c r="E1625" s="7">
        <v>5.0</v>
      </c>
      <c r="F1625" s="7">
        <v>359.272469758987</v>
      </c>
      <c r="G1625" s="7">
        <v>499.593088150024</v>
      </c>
      <c r="H1625" s="7">
        <v>3.0</v>
      </c>
      <c r="I1625" s="15">
        <v>0.858651389778559</v>
      </c>
      <c r="J1625" s="15">
        <v>0.0997301344441975</v>
      </c>
      <c r="K1625" s="12">
        <f>AVERAGE(I1622:I1626)</f>
        <v>0.6077890303</v>
      </c>
      <c r="L1625" s="18">
        <v>5173.0</v>
      </c>
      <c r="M1625" s="14">
        <f>STDEV(L1622:L1626)</f>
        <v>41494.6797</v>
      </c>
      <c r="N1625" s="15" t="b">
        <f t="shared" si="1"/>
        <v>0</v>
      </c>
    </row>
    <row r="1626" hidden="1">
      <c r="A1626" s="7" t="s">
        <v>332</v>
      </c>
      <c r="B1626" s="7" t="s">
        <v>268</v>
      </c>
      <c r="C1626" s="7">
        <v>0.25</v>
      </c>
      <c r="D1626" s="7">
        <v>0.25</v>
      </c>
      <c r="E1626" s="7">
        <v>5.0</v>
      </c>
      <c r="F1626" s="7">
        <v>359.272469758987</v>
      </c>
      <c r="G1626" s="7">
        <v>499.593088150024</v>
      </c>
      <c r="H1626" s="7">
        <v>4.0</v>
      </c>
      <c r="I1626" s="15">
        <v>0.507498512196501</v>
      </c>
      <c r="J1626" s="15">
        <v>0.302132824813168</v>
      </c>
      <c r="K1626" s="12">
        <f>AVERAGE(I1622:I1626)</f>
        <v>0.6077890303</v>
      </c>
      <c r="L1626" s="18">
        <v>11131.0</v>
      </c>
      <c r="M1626" s="14">
        <f>STDEV(L1622:L1626)</f>
        <v>41494.6797</v>
      </c>
      <c r="N1626" s="15" t="b">
        <f t="shared" si="1"/>
        <v>0</v>
      </c>
    </row>
    <row r="1627" hidden="1">
      <c r="A1627" s="7" t="s">
        <v>333</v>
      </c>
      <c r="B1627" s="7" t="s">
        <v>268</v>
      </c>
      <c r="C1627" s="7">
        <v>0.25</v>
      </c>
      <c r="D1627" s="7">
        <v>0.25</v>
      </c>
      <c r="E1627" s="7">
        <v>6.0</v>
      </c>
      <c r="F1627" s="7">
        <v>300.017426013946</v>
      </c>
      <c r="G1627" s="7">
        <v>462.172269105911</v>
      </c>
      <c r="H1627" s="7">
        <v>0.0</v>
      </c>
      <c r="I1627" s="15">
        <v>0.714564010652995</v>
      </c>
      <c r="J1627" s="15">
        <v>0.155745960499503</v>
      </c>
      <c r="K1627" s="12">
        <f>AVERAGE(I1627:I1631)</f>
        <v>0.5199781031</v>
      </c>
      <c r="L1627" s="18">
        <v>13522.0</v>
      </c>
      <c r="M1627" s="14">
        <f>STDEV(L1627:L1631)</f>
        <v>40126.00859</v>
      </c>
      <c r="N1627" s="15" t="b">
        <f t="shared" si="1"/>
        <v>0</v>
      </c>
    </row>
    <row r="1628" hidden="1">
      <c r="A1628" s="7" t="s">
        <v>333</v>
      </c>
      <c r="B1628" s="7" t="s">
        <v>268</v>
      </c>
      <c r="C1628" s="7">
        <v>0.25</v>
      </c>
      <c r="D1628" s="7">
        <v>0.25</v>
      </c>
      <c r="E1628" s="7">
        <v>6.0</v>
      </c>
      <c r="F1628" s="7">
        <v>300.017426013946</v>
      </c>
      <c r="G1628" s="7">
        <v>462.172269105911</v>
      </c>
      <c r="H1628" s="7">
        <v>1.0</v>
      </c>
      <c r="I1628" s="15">
        <v>0.658201470413556</v>
      </c>
      <c r="J1628" s="15">
        <v>0.170691841928108</v>
      </c>
      <c r="K1628" s="12">
        <f>AVERAGE(I1627:I1631)</f>
        <v>0.5199781031</v>
      </c>
      <c r="L1628" s="18">
        <v>341.0</v>
      </c>
      <c r="M1628" s="14">
        <f>STDEV(L1627:L1631)</f>
        <v>40126.00859</v>
      </c>
      <c r="N1628" s="15" t="b">
        <f t="shared" si="1"/>
        <v>0</v>
      </c>
    </row>
    <row r="1629" hidden="1">
      <c r="A1629" s="7" t="s">
        <v>333</v>
      </c>
      <c r="B1629" s="7" t="s">
        <v>268</v>
      </c>
      <c r="C1629" s="7">
        <v>0.25</v>
      </c>
      <c r="D1629" s="7">
        <v>0.25</v>
      </c>
      <c r="E1629" s="7">
        <v>6.0</v>
      </c>
      <c r="F1629" s="7">
        <v>300.017426013946</v>
      </c>
      <c r="G1629" s="7">
        <v>462.172269105911</v>
      </c>
      <c r="H1629" s="7">
        <v>2.0</v>
      </c>
      <c r="I1629" s="15">
        <v>0.398470515312333</v>
      </c>
      <c r="J1629" s="15">
        <v>0.0770871099113935</v>
      </c>
      <c r="K1629" s="12">
        <f>AVERAGE(I1627:I1631)</f>
        <v>0.5199781031</v>
      </c>
      <c r="L1629" s="18">
        <v>13029.0</v>
      </c>
      <c r="M1629" s="14">
        <f>STDEV(L1627:L1631)</f>
        <v>40126.00859</v>
      </c>
      <c r="N1629" s="15" t="b">
        <f t="shared" si="1"/>
        <v>0</v>
      </c>
    </row>
    <row r="1630" hidden="1">
      <c r="A1630" s="7" t="s">
        <v>333</v>
      </c>
      <c r="B1630" s="7" t="s">
        <v>268</v>
      </c>
      <c r="C1630" s="7">
        <v>0.25</v>
      </c>
      <c r="D1630" s="7">
        <v>0.25</v>
      </c>
      <c r="E1630" s="7">
        <v>6.0</v>
      </c>
      <c r="F1630" s="7">
        <v>300.017426013946</v>
      </c>
      <c r="G1630" s="7">
        <v>462.172269105911</v>
      </c>
      <c r="H1630" s="7">
        <v>3.0</v>
      </c>
      <c r="I1630" s="15">
        <v>0.76579933055203</v>
      </c>
      <c r="J1630" s="15">
        <v>0.135221546368868</v>
      </c>
      <c r="K1630" s="12">
        <f>AVERAGE(I1627:I1631)</f>
        <v>0.5199781031</v>
      </c>
      <c r="L1630" s="18">
        <v>15473.0</v>
      </c>
      <c r="M1630" s="14">
        <f>STDEV(L1627:L1631)</f>
        <v>40126.00859</v>
      </c>
      <c r="N1630" s="15" t="b">
        <f t="shared" si="1"/>
        <v>0</v>
      </c>
    </row>
    <row r="1631" hidden="1">
      <c r="A1631" s="7" t="s">
        <v>333</v>
      </c>
      <c r="B1631" s="7" t="s">
        <v>268</v>
      </c>
      <c r="C1631" s="7">
        <v>0.25</v>
      </c>
      <c r="D1631" s="7">
        <v>0.25</v>
      </c>
      <c r="E1631" s="7">
        <v>6.0</v>
      </c>
      <c r="F1631" s="7">
        <v>300.017426013946</v>
      </c>
      <c r="G1631" s="7">
        <v>462.172269105911</v>
      </c>
      <c r="H1631" s="7">
        <v>4.0</v>
      </c>
      <c r="I1631" s="15">
        <v>0.0628551885203251</v>
      </c>
      <c r="J1631" s="15">
        <v>0.0618658176474343</v>
      </c>
      <c r="K1631" s="12">
        <f>AVERAGE(I1627:I1631)</f>
        <v>0.5199781031</v>
      </c>
      <c r="L1631" s="18">
        <v>99311.0</v>
      </c>
      <c r="M1631" s="14">
        <f>STDEV(L1627:L1631)</f>
        <v>40126.00859</v>
      </c>
      <c r="N1631" s="15" t="b">
        <f t="shared" si="1"/>
        <v>0</v>
      </c>
    </row>
    <row r="1632" hidden="1">
      <c r="A1632" s="7" t="s">
        <v>334</v>
      </c>
      <c r="B1632" s="7" t="s">
        <v>268</v>
      </c>
      <c r="C1632" s="7">
        <v>0.25</v>
      </c>
      <c r="D1632" s="7">
        <v>0.25</v>
      </c>
      <c r="E1632" s="7">
        <v>7.0</v>
      </c>
      <c r="F1632" s="7">
        <v>255.390498638153</v>
      </c>
      <c r="G1632" s="7">
        <v>448.393062591552</v>
      </c>
      <c r="H1632" s="7">
        <v>0.0</v>
      </c>
      <c r="I1632" s="15">
        <v>0.720360486237966</v>
      </c>
      <c r="J1632" s="15">
        <v>0.13980747207034</v>
      </c>
      <c r="K1632" s="12">
        <f>AVERAGE(I1632:I1636)</f>
        <v>0.4644001955</v>
      </c>
      <c r="L1632" s="18">
        <v>3715.0</v>
      </c>
      <c r="M1632" s="14">
        <f>STDEV(L1632:L1636)</f>
        <v>37096.4905</v>
      </c>
      <c r="N1632" s="15" t="b">
        <f t="shared" si="1"/>
        <v>0</v>
      </c>
    </row>
    <row r="1633" hidden="1">
      <c r="A1633" s="7" t="s">
        <v>334</v>
      </c>
      <c r="B1633" s="7" t="s">
        <v>268</v>
      </c>
      <c r="C1633" s="7">
        <v>0.25</v>
      </c>
      <c r="D1633" s="7">
        <v>0.25</v>
      </c>
      <c r="E1633" s="7">
        <v>7.0</v>
      </c>
      <c r="F1633" s="7">
        <v>255.390498638153</v>
      </c>
      <c r="G1633" s="7">
        <v>448.393062591552</v>
      </c>
      <c r="H1633" s="7">
        <v>1.0</v>
      </c>
      <c r="I1633" s="15">
        <v>0.173619302710639</v>
      </c>
      <c r="J1633" s="15">
        <v>0.0728998495193697</v>
      </c>
      <c r="K1633" s="12">
        <f>AVERAGE(I1632:I1636)</f>
        <v>0.4644001955</v>
      </c>
      <c r="L1633" s="18">
        <v>28834.0</v>
      </c>
      <c r="M1633" s="14">
        <f>STDEV(L1632:L1636)</f>
        <v>37096.4905</v>
      </c>
      <c r="N1633" s="15" t="b">
        <f t="shared" si="1"/>
        <v>0</v>
      </c>
    </row>
    <row r="1634" hidden="1">
      <c r="A1634" s="7" t="s">
        <v>334</v>
      </c>
      <c r="B1634" s="7" t="s">
        <v>268</v>
      </c>
      <c r="C1634" s="7">
        <v>0.25</v>
      </c>
      <c r="D1634" s="7">
        <v>0.25</v>
      </c>
      <c r="E1634" s="7">
        <v>7.0</v>
      </c>
      <c r="F1634" s="7">
        <v>255.390498638153</v>
      </c>
      <c r="G1634" s="7">
        <v>448.393062591552</v>
      </c>
      <c r="H1634" s="7">
        <v>2.0</v>
      </c>
      <c r="I1634" s="15">
        <v>0.102330761157778</v>
      </c>
      <c r="J1634" s="15">
        <v>0.057003972065977</v>
      </c>
      <c r="K1634" s="12">
        <f>AVERAGE(I1632:I1636)</f>
        <v>0.4644001955</v>
      </c>
      <c r="L1634" s="18">
        <v>92289.0</v>
      </c>
      <c r="M1634" s="14">
        <f>STDEV(L1632:L1636)</f>
        <v>37096.4905</v>
      </c>
      <c r="N1634" s="15" t="b">
        <f t="shared" si="1"/>
        <v>0</v>
      </c>
    </row>
    <row r="1635" hidden="1">
      <c r="A1635" s="7" t="s">
        <v>334</v>
      </c>
      <c r="B1635" s="7" t="s">
        <v>268</v>
      </c>
      <c r="C1635" s="7">
        <v>0.25</v>
      </c>
      <c r="D1635" s="7">
        <v>0.25</v>
      </c>
      <c r="E1635" s="7">
        <v>7.0</v>
      </c>
      <c r="F1635" s="7">
        <v>255.390498638153</v>
      </c>
      <c r="G1635" s="7">
        <v>448.393062591552</v>
      </c>
      <c r="H1635" s="7">
        <v>3.0</v>
      </c>
      <c r="I1635" s="15">
        <v>0.807760802408152</v>
      </c>
      <c r="J1635" s="15">
        <v>0.11759124232525</v>
      </c>
      <c r="K1635" s="12">
        <f>AVERAGE(I1632:I1636)</f>
        <v>0.4644001955</v>
      </c>
      <c r="L1635" s="18">
        <v>5699.0</v>
      </c>
      <c r="M1635" s="14">
        <f>STDEV(L1632:L1636)</f>
        <v>37096.4905</v>
      </c>
      <c r="N1635" s="15" t="b">
        <f t="shared" si="1"/>
        <v>0</v>
      </c>
    </row>
    <row r="1636" hidden="1">
      <c r="A1636" s="7" t="s">
        <v>334</v>
      </c>
      <c r="B1636" s="7" t="s">
        <v>268</v>
      </c>
      <c r="C1636" s="7">
        <v>0.25</v>
      </c>
      <c r="D1636" s="7">
        <v>0.25</v>
      </c>
      <c r="E1636" s="7">
        <v>7.0</v>
      </c>
      <c r="F1636" s="7">
        <v>255.390498638153</v>
      </c>
      <c r="G1636" s="7">
        <v>448.393062591552</v>
      </c>
      <c r="H1636" s="7">
        <v>4.0</v>
      </c>
      <c r="I1636" s="15">
        <v>0.517929625035611</v>
      </c>
      <c r="J1636" s="15">
        <v>0.269988611264192</v>
      </c>
      <c r="K1636" s="12">
        <f>AVERAGE(I1632:I1636)</f>
        <v>0.4644001955</v>
      </c>
      <c r="L1636" s="18">
        <v>11139.0</v>
      </c>
      <c r="M1636" s="14">
        <f>STDEV(L1632:L1636)</f>
        <v>37096.4905</v>
      </c>
      <c r="N1636" s="15" t="b">
        <f t="shared" si="1"/>
        <v>0</v>
      </c>
    </row>
    <row r="1637" hidden="1">
      <c r="A1637" s="7" t="s">
        <v>335</v>
      </c>
      <c r="B1637" s="7" t="s">
        <v>268</v>
      </c>
      <c r="C1637" s="7">
        <v>0.25</v>
      </c>
      <c r="D1637" s="7">
        <v>0.25</v>
      </c>
      <c r="E1637" s="7">
        <v>8.0</v>
      </c>
      <c r="F1637" s="7">
        <v>384.690688610076</v>
      </c>
      <c r="G1637" s="7">
        <v>486.970202922821</v>
      </c>
      <c r="H1637" s="7">
        <v>0.0</v>
      </c>
      <c r="I1637" s="15">
        <v>0.829004450083426</v>
      </c>
      <c r="J1637" s="15">
        <v>0.0994513202187697</v>
      </c>
      <c r="K1637" s="12">
        <f>AVERAGE(I1637:I1641)</f>
        <v>0.5533328687</v>
      </c>
      <c r="L1637" s="18">
        <v>7459.0</v>
      </c>
      <c r="M1637" s="14">
        <f>STDEV(L1637:L1641)</f>
        <v>43300.41066</v>
      </c>
      <c r="N1637" s="15" t="b">
        <f t="shared" si="1"/>
        <v>0</v>
      </c>
    </row>
    <row r="1638" hidden="1">
      <c r="A1638" s="7" t="s">
        <v>335</v>
      </c>
      <c r="B1638" s="7" t="s">
        <v>268</v>
      </c>
      <c r="C1638" s="7">
        <v>0.25</v>
      </c>
      <c r="D1638" s="7">
        <v>0.25</v>
      </c>
      <c r="E1638" s="7">
        <v>8.0</v>
      </c>
      <c r="F1638" s="7">
        <v>384.690688610076</v>
      </c>
      <c r="G1638" s="7">
        <v>486.970202922821</v>
      </c>
      <c r="H1638" s="7">
        <v>1.0</v>
      </c>
      <c r="I1638" s="15">
        <v>0.823225087816038</v>
      </c>
      <c r="J1638" s="15">
        <v>0.101449906459884</v>
      </c>
      <c r="K1638" s="12">
        <f>AVERAGE(I1637:I1641)</f>
        <v>0.5533328687</v>
      </c>
      <c r="L1638" s="18">
        <v>6463.0</v>
      </c>
      <c r="M1638" s="14">
        <f>STDEV(L1637:L1641)</f>
        <v>43300.41066</v>
      </c>
      <c r="N1638" s="15" t="b">
        <f t="shared" si="1"/>
        <v>0</v>
      </c>
    </row>
    <row r="1639" hidden="1">
      <c r="A1639" s="7" t="s">
        <v>335</v>
      </c>
      <c r="B1639" s="7" t="s">
        <v>268</v>
      </c>
      <c r="C1639" s="7">
        <v>0.25</v>
      </c>
      <c r="D1639" s="7">
        <v>0.25</v>
      </c>
      <c r="E1639" s="7">
        <v>8.0</v>
      </c>
      <c r="F1639" s="7">
        <v>384.690688610076</v>
      </c>
      <c r="G1639" s="7">
        <v>486.970202922821</v>
      </c>
      <c r="H1639" s="7">
        <v>2.0</v>
      </c>
      <c r="I1639" s="15">
        <v>0.306451319741387</v>
      </c>
      <c r="J1639" s="15">
        <v>0.16234998785413</v>
      </c>
      <c r="K1639" s="12">
        <f>AVERAGE(I1637:I1641)</f>
        <v>0.5533328687</v>
      </c>
      <c r="L1639" s="18">
        <v>18947.0</v>
      </c>
      <c r="M1639" s="14">
        <f>STDEV(L1637:L1641)</f>
        <v>43300.41066</v>
      </c>
      <c r="N1639" s="15" t="b">
        <f t="shared" si="1"/>
        <v>0</v>
      </c>
    </row>
    <row r="1640" hidden="1">
      <c r="A1640" s="7" t="s">
        <v>335</v>
      </c>
      <c r="B1640" s="7" t="s">
        <v>268</v>
      </c>
      <c r="C1640" s="7">
        <v>0.25</v>
      </c>
      <c r="D1640" s="7">
        <v>0.25</v>
      </c>
      <c r="E1640" s="7">
        <v>8.0</v>
      </c>
      <c r="F1640" s="7">
        <v>384.690688610076</v>
      </c>
      <c r="G1640" s="7">
        <v>486.970202922821</v>
      </c>
      <c r="H1640" s="7">
        <v>3.0</v>
      </c>
      <c r="I1640" s="15">
        <v>0.0871778323104419</v>
      </c>
      <c r="J1640" s="15">
        <v>0.054340989045187</v>
      </c>
      <c r="K1640" s="12">
        <f>AVERAGE(I1637:I1641)</f>
        <v>0.5533328687</v>
      </c>
      <c r="L1640" s="18">
        <v>105090.0</v>
      </c>
      <c r="M1640" s="14">
        <f>STDEV(L1637:L1641)</f>
        <v>43300.41066</v>
      </c>
      <c r="N1640" s="15" t="b">
        <f t="shared" si="1"/>
        <v>0</v>
      </c>
    </row>
    <row r="1641" hidden="1">
      <c r="A1641" s="7" t="s">
        <v>335</v>
      </c>
      <c r="B1641" s="7" t="s">
        <v>268</v>
      </c>
      <c r="C1641" s="7">
        <v>0.25</v>
      </c>
      <c r="D1641" s="7">
        <v>0.25</v>
      </c>
      <c r="E1641" s="7">
        <v>8.0</v>
      </c>
      <c r="F1641" s="7">
        <v>384.690688610076</v>
      </c>
      <c r="G1641" s="7">
        <v>486.970202922821</v>
      </c>
      <c r="H1641" s="7">
        <v>4.0</v>
      </c>
      <c r="I1641" s="15">
        <v>0.720805653586567</v>
      </c>
      <c r="J1641" s="15">
        <v>0.139284008048208</v>
      </c>
      <c r="K1641" s="12">
        <f>AVERAGE(I1637:I1641)</f>
        <v>0.5533328687</v>
      </c>
      <c r="L1641" s="18">
        <v>3717.0</v>
      </c>
      <c r="M1641" s="14">
        <f>STDEV(L1637:L1641)</f>
        <v>43300.41066</v>
      </c>
      <c r="N1641" s="15" t="b">
        <f t="shared" si="1"/>
        <v>0</v>
      </c>
    </row>
    <row r="1642" hidden="1">
      <c r="A1642" s="7" t="s">
        <v>336</v>
      </c>
      <c r="B1642" s="7" t="s">
        <v>268</v>
      </c>
      <c r="C1642" s="7">
        <v>0.25</v>
      </c>
      <c r="D1642" s="7">
        <v>0.25</v>
      </c>
      <c r="E1642" s="7">
        <v>9.0</v>
      </c>
      <c r="F1642" s="7">
        <v>303.896131753921</v>
      </c>
      <c r="G1642" s="7">
        <v>449.846481323242</v>
      </c>
      <c r="H1642" s="7">
        <v>0.0</v>
      </c>
      <c r="I1642" s="15">
        <v>0.51145468261582</v>
      </c>
      <c r="J1642" s="15">
        <v>0.286559390489873</v>
      </c>
      <c r="K1642" s="12">
        <f>AVERAGE(I1642:I1646)</f>
        <v>0.5892678179</v>
      </c>
      <c r="L1642" s="18">
        <v>11147.0</v>
      </c>
      <c r="M1642" s="14">
        <f>STDEV(L1642:L1646)</f>
        <v>45967.06354</v>
      </c>
      <c r="N1642" s="15" t="b">
        <f t="shared" si="1"/>
        <v>0</v>
      </c>
    </row>
    <row r="1643" hidden="1">
      <c r="A1643" s="7" t="s">
        <v>336</v>
      </c>
      <c r="B1643" s="7" t="s">
        <v>268</v>
      </c>
      <c r="C1643" s="7">
        <v>0.25</v>
      </c>
      <c r="D1643" s="7">
        <v>0.25</v>
      </c>
      <c r="E1643" s="7">
        <v>9.0</v>
      </c>
      <c r="F1643" s="7">
        <v>303.896131753921</v>
      </c>
      <c r="G1643" s="7">
        <v>449.846481323242</v>
      </c>
      <c r="H1643" s="7">
        <v>1.0</v>
      </c>
      <c r="I1643" s="15">
        <v>0.0581863139249896</v>
      </c>
      <c r="J1643" s="15">
        <v>0.0485359009408527</v>
      </c>
      <c r="K1643" s="12">
        <f>AVERAGE(I1642:I1646)</f>
        <v>0.5892678179</v>
      </c>
      <c r="L1643" s="18">
        <v>109904.0</v>
      </c>
      <c r="M1643" s="14">
        <f>STDEV(L1642:L1646)</f>
        <v>45967.06354</v>
      </c>
      <c r="N1643" s="15" t="b">
        <f t="shared" si="1"/>
        <v>0</v>
      </c>
    </row>
    <row r="1644" hidden="1">
      <c r="A1644" s="7" t="s">
        <v>336</v>
      </c>
      <c r="B1644" s="7" t="s">
        <v>268</v>
      </c>
      <c r="C1644" s="7">
        <v>0.25</v>
      </c>
      <c r="D1644" s="7">
        <v>0.25</v>
      </c>
      <c r="E1644" s="7">
        <v>9.0</v>
      </c>
      <c r="F1644" s="7">
        <v>303.896131753921</v>
      </c>
      <c r="G1644" s="7">
        <v>449.846481323242</v>
      </c>
      <c r="H1644" s="7">
        <v>2.0</v>
      </c>
      <c r="I1644" s="15">
        <v>0.76266054380574</v>
      </c>
      <c r="J1644" s="15">
        <v>0.134615297789375</v>
      </c>
      <c r="K1644" s="12">
        <f>AVERAGE(I1642:I1646)</f>
        <v>0.5892678179</v>
      </c>
      <c r="L1644" s="18">
        <v>15682.0</v>
      </c>
      <c r="M1644" s="14">
        <f>STDEV(L1642:L1646)</f>
        <v>45967.06354</v>
      </c>
      <c r="N1644" s="15" t="b">
        <f t="shared" si="1"/>
        <v>0</v>
      </c>
    </row>
    <row r="1645" hidden="1">
      <c r="A1645" s="7" t="s">
        <v>336</v>
      </c>
      <c r="B1645" s="7" t="s">
        <v>268</v>
      </c>
      <c r="C1645" s="7">
        <v>0.25</v>
      </c>
      <c r="D1645" s="7">
        <v>0.25</v>
      </c>
      <c r="E1645" s="7">
        <v>9.0</v>
      </c>
      <c r="F1645" s="7">
        <v>303.896131753921</v>
      </c>
      <c r="G1645" s="7">
        <v>449.846481323242</v>
      </c>
      <c r="H1645" s="7">
        <v>3.0</v>
      </c>
      <c r="I1645" s="15">
        <v>0.813305543194249</v>
      </c>
      <c r="J1645" s="15">
        <v>0.0752614169521035</v>
      </c>
      <c r="K1645" s="12">
        <f>AVERAGE(I1642:I1646)</f>
        <v>0.5892678179</v>
      </c>
      <c r="L1645" s="18">
        <v>4055.0</v>
      </c>
      <c r="M1645" s="14">
        <f>STDEV(L1642:L1646)</f>
        <v>45967.06354</v>
      </c>
      <c r="N1645" s="15" t="b">
        <f t="shared" si="1"/>
        <v>0</v>
      </c>
    </row>
    <row r="1646" hidden="1">
      <c r="A1646" s="7" t="s">
        <v>336</v>
      </c>
      <c r="B1646" s="7" t="s">
        <v>268</v>
      </c>
      <c r="C1646" s="7">
        <v>0.25</v>
      </c>
      <c r="D1646" s="7">
        <v>0.25</v>
      </c>
      <c r="E1646" s="7">
        <v>9.0</v>
      </c>
      <c r="F1646" s="7">
        <v>303.896131753921</v>
      </c>
      <c r="G1646" s="7">
        <v>449.846481323242</v>
      </c>
      <c r="H1646" s="7">
        <v>4.0</v>
      </c>
      <c r="I1646" s="15">
        <v>0.800732005721057</v>
      </c>
      <c r="J1646" s="15">
        <v>0.139772968183246</v>
      </c>
      <c r="K1646" s="12">
        <f>AVERAGE(I1642:I1646)</f>
        <v>0.5892678179</v>
      </c>
      <c r="L1646" s="18">
        <v>888.0</v>
      </c>
      <c r="M1646" s="14">
        <f>STDEV(L1642:L1646)</f>
        <v>45967.06354</v>
      </c>
      <c r="N1646" s="15" t="b">
        <f t="shared" si="1"/>
        <v>0</v>
      </c>
    </row>
    <row r="1647" hidden="1">
      <c r="A1647" s="7" t="s">
        <v>337</v>
      </c>
      <c r="B1647" s="7" t="s">
        <v>268</v>
      </c>
      <c r="C1647" s="7">
        <v>0.25</v>
      </c>
      <c r="D1647" s="7">
        <v>0.25</v>
      </c>
      <c r="E1647" s="7">
        <v>10.0</v>
      </c>
      <c r="F1647" s="7">
        <v>353.044840097427</v>
      </c>
      <c r="G1647" s="7">
        <v>435.783498764038</v>
      </c>
      <c r="H1647" s="7">
        <v>0.0</v>
      </c>
      <c r="I1647" s="15">
        <v>0.75049288346829</v>
      </c>
      <c r="J1647" s="15">
        <v>0.137808936795562</v>
      </c>
      <c r="K1647" s="12">
        <f>AVERAGE(I1647:I1651)</f>
        <v>0.564984897</v>
      </c>
      <c r="L1647" s="18">
        <v>7600.0</v>
      </c>
      <c r="M1647" s="14">
        <f>STDEV(L1647:L1651)</f>
        <v>39644.25644</v>
      </c>
      <c r="N1647" s="15" t="b">
        <f t="shared" si="1"/>
        <v>0</v>
      </c>
    </row>
    <row r="1648" hidden="1">
      <c r="A1648" s="7" t="s">
        <v>337</v>
      </c>
      <c r="B1648" s="7" t="s">
        <v>268</v>
      </c>
      <c r="C1648" s="7">
        <v>0.25</v>
      </c>
      <c r="D1648" s="7">
        <v>0.25</v>
      </c>
      <c r="E1648" s="7">
        <v>10.0</v>
      </c>
      <c r="F1648" s="7">
        <v>353.044840097427</v>
      </c>
      <c r="G1648" s="7">
        <v>435.783498764038</v>
      </c>
      <c r="H1648" s="7">
        <v>1.0</v>
      </c>
      <c r="I1648" s="15">
        <v>0.400761275910416</v>
      </c>
      <c r="J1648" s="15">
        <v>0.0726712276961933</v>
      </c>
      <c r="K1648" s="12">
        <f>AVERAGE(I1647:I1651)</f>
        <v>0.564984897</v>
      </c>
      <c r="L1648" s="18">
        <v>13040.0</v>
      </c>
      <c r="M1648" s="14">
        <f>STDEV(L1647:L1651)</f>
        <v>39644.25644</v>
      </c>
      <c r="N1648" s="15" t="b">
        <f t="shared" si="1"/>
        <v>0</v>
      </c>
    </row>
    <row r="1649" hidden="1">
      <c r="A1649" s="7" t="s">
        <v>337</v>
      </c>
      <c r="B1649" s="7" t="s">
        <v>268</v>
      </c>
      <c r="C1649" s="7">
        <v>0.25</v>
      </c>
      <c r="D1649" s="7">
        <v>0.25</v>
      </c>
      <c r="E1649" s="7">
        <v>10.0</v>
      </c>
      <c r="F1649" s="7">
        <v>353.044840097427</v>
      </c>
      <c r="G1649" s="7">
        <v>435.783498764038</v>
      </c>
      <c r="H1649" s="7">
        <v>2.0</v>
      </c>
      <c r="I1649" s="15">
        <v>0.773024607307709</v>
      </c>
      <c r="J1649" s="15">
        <v>0.120373884164589</v>
      </c>
      <c r="K1649" s="12">
        <f>AVERAGE(I1647:I1651)</f>
        <v>0.564984897</v>
      </c>
      <c r="L1649" s="18">
        <v>15655.0</v>
      </c>
      <c r="M1649" s="14">
        <f>STDEV(L1647:L1651)</f>
        <v>39644.25644</v>
      </c>
      <c r="N1649" s="15" t="b">
        <f t="shared" si="1"/>
        <v>0</v>
      </c>
    </row>
    <row r="1650" hidden="1">
      <c r="A1650" s="7" t="s">
        <v>337</v>
      </c>
      <c r="B1650" s="7" t="s">
        <v>268</v>
      </c>
      <c r="C1650" s="7">
        <v>0.25</v>
      </c>
      <c r="D1650" s="7">
        <v>0.25</v>
      </c>
      <c r="E1650" s="7">
        <v>10.0</v>
      </c>
      <c r="F1650" s="7">
        <v>353.044840097427</v>
      </c>
      <c r="G1650" s="7">
        <v>435.783498764038</v>
      </c>
      <c r="H1650" s="7">
        <v>3.0</v>
      </c>
      <c r="I1650" s="15">
        <v>0.823545246100621</v>
      </c>
      <c r="J1650" s="15">
        <v>0.0994770007836029</v>
      </c>
      <c r="K1650" s="12">
        <f>AVERAGE(I1647:I1651)</f>
        <v>0.564984897</v>
      </c>
      <c r="L1650" s="18">
        <v>6454.0</v>
      </c>
      <c r="M1650" s="14">
        <f>STDEV(L1647:L1651)</f>
        <v>39644.25644</v>
      </c>
      <c r="N1650" s="15" t="b">
        <f t="shared" si="1"/>
        <v>0</v>
      </c>
    </row>
    <row r="1651" hidden="1">
      <c r="A1651" s="7" t="s">
        <v>337</v>
      </c>
      <c r="B1651" s="7" t="s">
        <v>268</v>
      </c>
      <c r="C1651" s="7">
        <v>0.25</v>
      </c>
      <c r="D1651" s="7">
        <v>0.25</v>
      </c>
      <c r="E1651" s="7">
        <v>10.0</v>
      </c>
      <c r="F1651" s="7">
        <v>353.044840097427</v>
      </c>
      <c r="G1651" s="7">
        <v>435.783498764038</v>
      </c>
      <c r="H1651" s="7">
        <v>4.0</v>
      </c>
      <c r="I1651" s="15">
        <v>0.0771004721218954</v>
      </c>
      <c r="J1651" s="15">
        <v>0.0746733951373413</v>
      </c>
      <c r="K1651" s="12">
        <f>AVERAGE(I1647:I1651)</f>
        <v>0.564984897</v>
      </c>
      <c r="L1651" s="18">
        <v>98927.0</v>
      </c>
      <c r="M1651" s="14">
        <f>STDEV(L1647:L1651)</f>
        <v>39644.25644</v>
      </c>
      <c r="N1651" s="15" t="b">
        <f t="shared" si="1"/>
        <v>0</v>
      </c>
    </row>
    <row r="1652" hidden="1">
      <c r="A1652" s="7" t="s">
        <v>338</v>
      </c>
      <c r="B1652" s="21" t="s">
        <v>268</v>
      </c>
      <c r="C1652" s="21">
        <v>0.25</v>
      </c>
      <c r="D1652" s="21">
        <v>0.5</v>
      </c>
      <c r="E1652" s="21">
        <v>1.0</v>
      </c>
      <c r="F1652" s="7">
        <v>330.435034036636</v>
      </c>
      <c r="G1652" s="7">
        <v>430.020756721496</v>
      </c>
      <c r="H1652" s="7">
        <v>0.0</v>
      </c>
      <c r="I1652" s="15">
        <v>0.859997065076019</v>
      </c>
      <c r="J1652" s="15">
        <v>0.101916464504382</v>
      </c>
      <c r="K1652" s="12">
        <f>AVERAGE(I1652:I1656)</f>
        <v>0.6540534532</v>
      </c>
      <c r="L1652" s="18">
        <v>5162.0</v>
      </c>
      <c r="M1652" s="14">
        <f>STDEV(L1652:L1656)</f>
        <v>48684.42816</v>
      </c>
      <c r="N1652" s="15" t="b">
        <f t="shared" si="1"/>
        <v>1</v>
      </c>
    </row>
    <row r="1653" hidden="1">
      <c r="A1653" s="7" t="s">
        <v>338</v>
      </c>
      <c r="B1653" s="21" t="s">
        <v>268</v>
      </c>
      <c r="C1653" s="21">
        <v>0.25</v>
      </c>
      <c r="D1653" s="21">
        <v>0.5</v>
      </c>
      <c r="E1653" s="21">
        <v>1.0</v>
      </c>
      <c r="F1653" s="7">
        <v>330.435034036636</v>
      </c>
      <c r="G1653" s="7">
        <v>430.020756721496</v>
      </c>
      <c r="H1653" s="7">
        <v>1.0</v>
      </c>
      <c r="I1653" s="15">
        <v>0.752153195601142</v>
      </c>
      <c r="J1653" s="15">
        <v>0.132861018949288</v>
      </c>
      <c r="K1653" s="12">
        <f>AVERAGE(I1652:I1656)</f>
        <v>0.6540534532</v>
      </c>
      <c r="L1653" s="18">
        <v>7618.0</v>
      </c>
      <c r="M1653" s="14">
        <f>STDEV(L1652:L1656)</f>
        <v>48684.42816</v>
      </c>
      <c r="N1653" s="15" t="b">
        <f t="shared" si="1"/>
        <v>1</v>
      </c>
    </row>
    <row r="1654" hidden="1">
      <c r="A1654" s="7" t="s">
        <v>338</v>
      </c>
      <c r="B1654" s="21" t="s">
        <v>268</v>
      </c>
      <c r="C1654" s="21">
        <v>0.25</v>
      </c>
      <c r="D1654" s="21">
        <v>0.5</v>
      </c>
      <c r="E1654" s="21">
        <v>1.0</v>
      </c>
      <c r="F1654" s="7">
        <v>330.435034036636</v>
      </c>
      <c r="G1654" s="7">
        <v>430.020756721496</v>
      </c>
      <c r="H1654" s="7">
        <v>2.0</v>
      </c>
      <c r="I1654" s="15">
        <v>0.0811641721495206</v>
      </c>
      <c r="J1654" s="15">
        <v>0.0556023079160686</v>
      </c>
      <c r="K1654" s="12">
        <f>AVERAGE(I1652:I1656)</f>
        <v>0.6540534532</v>
      </c>
      <c r="L1654" s="18">
        <v>115400.0</v>
      </c>
      <c r="M1654" s="14">
        <f>STDEV(L1652:L1656)</f>
        <v>48684.42816</v>
      </c>
      <c r="N1654" s="15" t="b">
        <f t="shared" si="1"/>
        <v>1</v>
      </c>
    </row>
    <row r="1655" hidden="1">
      <c r="A1655" s="7" t="s">
        <v>338</v>
      </c>
      <c r="B1655" s="21" t="s">
        <v>268</v>
      </c>
      <c r="C1655" s="21">
        <v>0.25</v>
      </c>
      <c r="D1655" s="21">
        <v>0.5</v>
      </c>
      <c r="E1655" s="21">
        <v>1.0</v>
      </c>
      <c r="F1655" s="7">
        <v>330.435034036636</v>
      </c>
      <c r="G1655" s="7">
        <v>430.020756721496</v>
      </c>
      <c r="H1655" s="7">
        <v>3.0</v>
      </c>
      <c r="I1655" s="15">
        <v>0.76910233315496</v>
      </c>
      <c r="J1655" s="15">
        <v>0.131967972030463</v>
      </c>
      <c r="K1655" s="12">
        <f>AVERAGE(I1652:I1656)</f>
        <v>0.6540534532</v>
      </c>
      <c r="L1655" s="18">
        <v>7797.0</v>
      </c>
      <c r="M1655" s="14">
        <f>STDEV(L1652:L1656)</f>
        <v>48684.42816</v>
      </c>
      <c r="N1655" s="15" t="b">
        <f t="shared" si="1"/>
        <v>1</v>
      </c>
    </row>
    <row r="1656" hidden="1">
      <c r="A1656" s="7" t="s">
        <v>338</v>
      </c>
      <c r="B1656" s="21" t="s">
        <v>268</v>
      </c>
      <c r="C1656" s="21">
        <v>0.25</v>
      </c>
      <c r="D1656" s="21">
        <v>0.5</v>
      </c>
      <c r="E1656" s="21">
        <v>1.0</v>
      </c>
      <c r="F1656" s="7">
        <v>330.435034036636</v>
      </c>
      <c r="G1656" s="7">
        <v>430.020756721496</v>
      </c>
      <c r="H1656" s="7">
        <v>4.0</v>
      </c>
      <c r="I1656" s="15">
        <v>0.807850500253981</v>
      </c>
      <c r="J1656" s="15">
        <v>0.117961442935384</v>
      </c>
      <c r="K1656" s="12">
        <f>AVERAGE(I1652:I1656)</f>
        <v>0.6540534532</v>
      </c>
      <c r="L1656" s="18">
        <v>5699.0</v>
      </c>
      <c r="M1656" s="14">
        <f>STDEV(L1652:L1656)</f>
        <v>48684.42816</v>
      </c>
      <c r="N1656" s="15" t="b">
        <f t="shared" si="1"/>
        <v>1</v>
      </c>
    </row>
    <row r="1657" hidden="1">
      <c r="A1657" s="7" t="s">
        <v>339</v>
      </c>
      <c r="B1657" s="7" t="s">
        <v>268</v>
      </c>
      <c r="C1657" s="7">
        <v>0.25</v>
      </c>
      <c r="D1657" s="7">
        <v>0.5</v>
      </c>
      <c r="E1657" s="7">
        <v>2.0</v>
      </c>
      <c r="F1657" s="7">
        <v>258.778170585632</v>
      </c>
      <c r="G1657" s="7">
        <v>368.240494966506</v>
      </c>
      <c r="H1657" s="7">
        <v>0.0</v>
      </c>
      <c r="I1657" s="15">
        <v>0.0643408591500423</v>
      </c>
      <c r="J1657" s="15">
        <v>0.0531576808528933</v>
      </c>
      <c r="K1657" s="12">
        <f>AVERAGE(I1657:I1661)</f>
        <v>0.5937208413</v>
      </c>
      <c r="L1657" s="18">
        <v>102417.0</v>
      </c>
      <c r="M1657" s="14">
        <f>STDEV(L1657:L1661)</f>
        <v>41623.95779</v>
      </c>
      <c r="N1657" s="15" t="b">
        <f t="shared" si="1"/>
        <v>0</v>
      </c>
    </row>
    <row r="1658" hidden="1">
      <c r="A1658" s="7" t="s">
        <v>339</v>
      </c>
      <c r="B1658" s="7" t="s">
        <v>268</v>
      </c>
      <c r="C1658" s="7">
        <v>0.25</v>
      </c>
      <c r="D1658" s="7">
        <v>0.5</v>
      </c>
      <c r="E1658" s="7">
        <v>2.0</v>
      </c>
      <c r="F1658" s="7">
        <v>258.778170585632</v>
      </c>
      <c r="G1658" s="7">
        <v>368.240494966506</v>
      </c>
      <c r="H1658" s="7">
        <v>1.0</v>
      </c>
      <c r="I1658" s="15">
        <v>0.828130663057674</v>
      </c>
      <c r="J1658" s="15">
        <v>0.0985966961090436</v>
      </c>
      <c r="K1658" s="12">
        <f>AVERAGE(I1657:I1661)</f>
        <v>0.5937208413</v>
      </c>
      <c r="L1658" s="18">
        <v>7459.0</v>
      </c>
      <c r="M1658" s="14">
        <f>STDEV(L1657:L1661)</f>
        <v>41623.95779</v>
      </c>
      <c r="N1658" s="15" t="b">
        <f t="shared" si="1"/>
        <v>0</v>
      </c>
    </row>
    <row r="1659" hidden="1">
      <c r="A1659" s="7" t="s">
        <v>339</v>
      </c>
      <c r="B1659" s="7" t="s">
        <v>268</v>
      </c>
      <c r="C1659" s="7">
        <v>0.25</v>
      </c>
      <c r="D1659" s="7">
        <v>0.5</v>
      </c>
      <c r="E1659" s="7">
        <v>2.0</v>
      </c>
      <c r="F1659" s="7">
        <v>258.778170585632</v>
      </c>
      <c r="G1659" s="7">
        <v>368.240494966506</v>
      </c>
      <c r="H1659" s="7">
        <v>2.0</v>
      </c>
      <c r="I1659" s="15">
        <v>0.762737252618429</v>
      </c>
      <c r="J1659" s="15">
        <v>0.133246289512716</v>
      </c>
      <c r="K1659" s="12">
        <f>AVERAGE(I1657:I1661)</f>
        <v>0.5937208413</v>
      </c>
      <c r="L1659" s="18">
        <v>15704.0</v>
      </c>
      <c r="M1659" s="14">
        <f>STDEV(L1657:L1661)</f>
        <v>41623.95779</v>
      </c>
      <c r="N1659" s="15" t="b">
        <f t="shared" si="1"/>
        <v>0</v>
      </c>
    </row>
    <row r="1660" hidden="1">
      <c r="A1660" s="7" t="s">
        <v>339</v>
      </c>
      <c r="B1660" s="7" t="s">
        <v>268</v>
      </c>
      <c r="C1660" s="7">
        <v>0.25</v>
      </c>
      <c r="D1660" s="7">
        <v>0.5</v>
      </c>
      <c r="E1660" s="7">
        <v>2.0</v>
      </c>
      <c r="F1660" s="7">
        <v>258.778170585632</v>
      </c>
      <c r="G1660" s="7">
        <v>368.240494966506</v>
      </c>
      <c r="H1660" s="7">
        <v>3.0</v>
      </c>
      <c r="I1660" s="15">
        <v>0.825470301784796</v>
      </c>
      <c r="J1660" s="15">
        <v>0.0935246709077686</v>
      </c>
      <c r="K1660" s="12">
        <f>AVERAGE(I1657:I1661)</f>
        <v>0.5937208413</v>
      </c>
      <c r="L1660" s="18">
        <v>4613.0</v>
      </c>
      <c r="M1660" s="14">
        <f>STDEV(L1657:L1661)</f>
        <v>41623.95779</v>
      </c>
      <c r="N1660" s="15" t="b">
        <f t="shared" si="1"/>
        <v>0</v>
      </c>
    </row>
    <row r="1661" hidden="1">
      <c r="A1661" s="7" t="s">
        <v>339</v>
      </c>
      <c r="B1661" s="7" t="s">
        <v>268</v>
      </c>
      <c r="C1661" s="7">
        <v>0.25</v>
      </c>
      <c r="D1661" s="7">
        <v>0.5</v>
      </c>
      <c r="E1661" s="7">
        <v>2.0</v>
      </c>
      <c r="F1661" s="7">
        <v>258.778170585632</v>
      </c>
      <c r="G1661" s="7">
        <v>368.240494966506</v>
      </c>
      <c r="H1661" s="7">
        <v>4.0</v>
      </c>
      <c r="I1661" s="15">
        <v>0.487925129666466</v>
      </c>
      <c r="J1661" s="15">
        <v>0.26851381957674</v>
      </c>
      <c r="K1661" s="12">
        <f>AVERAGE(I1657:I1661)</f>
        <v>0.5937208413</v>
      </c>
      <c r="L1661" s="18">
        <v>11483.0</v>
      </c>
      <c r="M1661" s="14">
        <f>STDEV(L1657:L1661)</f>
        <v>41623.95779</v>
      </c>
      <c r="N1661" s="15" t="b">
        <f t="shared" si="1"/>
        <v>0</v>
      </c>
    </row>
    <row r="1662" hidden="1">
      <c r="A1662" s="7" t="s">
        <v>340</v>
      </c>
      <c r="B1662" s="7" t="s">
        <v>268</v>
      </c>
      <c r="C1662" s="7">
        <v>0.25</v>
      </c>
      <c r="D1662" s="7">
        <v>0.5</v>
      </c>
      <c r="E1662" s="7">
        <v>3.0</v>
      </c>
      <c r="F1662" s="7">
        <v>254.853043079376</v>
      </c>
      <c r="G1662" s="7">
        <v>332.549351692199</v>
      </c>
      <c r="H1662" s="7">
        <v>0.0</v>
      </c>
      <c r="I1662" s="15">
        <v>0.828237164917213</v>
      </c>
      <c r="J1662" s="15">
        <v>0.100240635353514</v>
      </c>
      <c r="K1662" s="12">
        <f>AVERAGE(I1662:I1666)</f>
        <v>0.5962701865</v>
      </c>
      <c r="L1662" s="18">
        <v>7464.0</v>
      </c>
      <c r="M1662" s="14">
        <f>STDEV(L1662:L1666)</f>
        <v>45276.43142</v>
      </c>
      <c r="N1662" s="15" t="b">
        <f t="shared" si="1"/>
        <v>0</v>
      </c>
    </row>
    <row r="1663" hidden="1">
      <c r="A1663" s="7" t="s">
        <v>340</v>
      </c>
      <c r="B1663" s="7" t="s">
        <v>268</v>
      </c>
      <c r="C1663" s="7">
        <v>0.25</v>
      </c>
      <c r="D1663" s="7">
        <v>0.5</v>
      </c>
      <c r="E1663" s="7">
        <v>3.0</v>
      </c>
      <c r="F1663" s="7">
        <v>254.853043079376</v>
      </c>
      <c r="G1663" s="7">
        <v>332.549351692199</v>
      </c>
      <c r="H1663" s="7">
        <v>1.0</v>
      </c>
      <c r="I1663" s="15">
        <v>0.0794515058005993</v>
      </c>
      <c r="J1663" s="15">
        <v>0.0530408377856535</v>
      </c>
      <c r="K1663" s="12">
        <f>AVERAGE(I1662:I1666)</f>
        <v>0.5962701865</v>
      </c>
      <c r="L1663" s="18">
        <v>109242.0</v>
      </c>
      <c r="M1663" s="14">
        <f>STDEV(L1662:L1666)</f>
        <v>45276.43142</v>
      </c>
      <c r="N1663" s="15" t="b">
        <f t="shared" si="1"/>
        <v>0</v>
      </c>
    </row>
    <row r="1664" hidden="1">
      <c r="A1664" s="7" t="s">
        <v>340</v>
      </c>
      <c r="B1664" s="7" t="s">
        <v>268</v>
      </c>
      <c r="C1664" s="7">
        <v>0.25</v>
      </c>
      <c r="D1664" s="7">
        <v>0.5</v>
      </c>
      <c r="E1664" s="7">
        <v>3.0</v>
      </c>
      <c r="F1664" s="7">
        <v>254.853043079376</v>
      </c>
      <c r="G1664" s="7">
        <v>332.549351692199</v>
      </c>
      <c r="H1664" s="7">
        <v>2.0</v>
      </c>
      <c r="I1664" s="15">
        <v>0.766322732999561</v>
      </c>
      <c r="J1664" s="15">
        <v>0.134900640574465</v>
      </c>
      <c r="K1664" s="12">
        <f>AVERAGE(I1662:I1666)</f>
        <v>0.5962701865</v>
      </c>
      <c r="L1664" s="18">
        <v>7826.0</v>
      </c>
      <c r="M1664" s="14">
        <f>STDEV(L1662:L1666)</f>
        <v>45276.43142</v>
      </c>
      <c r="N1664" s="15" t="b">
        <f t="shared" si="1"/>
        <v>0</v>
      </c>
    </row>
    <row r="1665" hidden="1">
      <c r="A1665" s="7" t="s">
        <v>340</v>
      </c>
      <c r="B1665" s="7" t="s">
        <v>268</v>
      </c>
      <c r="C1665" s="7">
        <v>0.25</v>
      </c>
      <c r="D1665" s="7">
        <v>0.5</v>
      </c>
      <c r="E1665" s="7">
        <v>3.0</v>
      </c>
      <c r="F1665" s="7">
        <v>254.853043079376</v>
      </c>
      <c r="G1665" s="7">
        <v>332.549351692199</v>
      </c>
      <c r="H1665" s="7">
        <v>3.0</v>
      </c>
      <c r="I1665" s="15">
        <v>0.49976964889477</v>
      </c>
      <c r="J1665" s="15">
        <v>0.245452708522719</v>
      </c>
      <c r="K1665" s="12">
        <f>AVERAGE(I1662:I1666)</f>
        <v>0.5962701865</v>
      </c>
      <c r="L1665" s="18">
        <v>11445.0</v>
      </c>
      <c r="M1665" s="14">
        <f>STDEV(L1662:L1666)</f>
        <v>45276.43142</v>
      </c>
      <c r="N1665" s="15" t="b">
        <f t="shared" si="1"/>
        <v>0</v>
      </c>
    </row>
    <row r="1666" hidden="1">
      <c r="A1666" s="7" t="s">
        <v>340</v>
      </c>
      <c r="B1666" s="7" t="s">
        <v>268</v>
      </c>
      <c r="C1666" s="7">
        <v>0.25</v>
      </c>
      <c r="D1666" s="7">
        <v>0.5</v>
      </c>
      <c r="E1666" s="7">
        <v>3.0</v>
      </c>
      <c r="F1666" s="7">
        <v>254.853043079376</v>
      </c>
      <c r="G1666" s="7">
        <v>332.549351692199</v>
      </c>
      <c r="H1666" s="7">
        <v>4.0</v>
      </c>
      <c r="I1666" s="15">
        <v>0.807569880027531</v>
      </c>
      <c r="J1666" s="15">
        <v>0.118588735806664</v>
      </c>
      <c r="K1666" s="12">
        <f>AVERAGE(I1662:I1666)</f>
        <v>0.5962701865</v>
      </c>
      <c r="L1666" s="18">
        <v>5699.0</v>
      </c>
      <c r="M1666" s="14">
        <f>STDEV(L1662:L1666)</f>
        <v>45276.43142</v>
      </c>
      <c r="N1666" s="15" t="b">
        <f t="shared" si="1"/>
        <v>0</v>
      </c>
    </row>
    <row r="1667" hidden="1">
      <c r="A1667" s="7" t="s">
        <v>341</v>
      </c>
      <c r="B1667" s="7" t="s">
        <v>268</v>
      </c>
      <c r="C1667" s="7">
        <v>0.25</v>
      </c>
      <c r="D1667" s="7">
        <v>0.5</v>
      </c>
      <c r="E1667" s="7">
        <v>4.0</v>
      </c>
      <c r="F1667" s="7">
        <v>267.245964765548</v>
      </c>
      <c r="G1667" s="7">
        <v>315.601383447647</v>
      </c>
      <c r="H1667" s="7">
        <v>0.0</v>
      </c>
      <c r="I1667" s="15">
        <v>0.762723187637028</v>
      </c>
      <c r="J1667" s="15">
        <v>0.133290711608096</v>
      </c>
      <c r="K1667" s="12">
        <f>AVERAGE(I1667:I1671)</f>
        <v>0.5900328043</v>
      </c>
      <c r="L1667" s="18">
        <v>15704.0</v>
      </c>
      <c r="M1667" s="14">
        <f>STDEV(L1667:L1671)</f>
        <v>40983.93099</v>
      </c>
      <c r="N1667" s="15" t="b">
        <f t="shared" si="1"/>
        <v>0</v>
      </c>
    </row>
    <row r="1668" hidden="1">
      <c r="A1668" s="7" t="s">
        <v>341</v>
      </c>
      <c r="B1668" s="7" t="s">
        <v>268</v>
      </c>
      <c r="C1668" s="7">
        <v>0.25</v>
      </c>
      <c r="D1668" s="7">
        <v>0.5</v>
      </c>
      <c r="E1668" s="7">
        <v>4.0</v>
      </c>
      <c r="F1668" s="7">
        <v>267.245964765548</v>
      </c>
      <c r="G1668" s="7">
        <v>315.601383447647</v>
      </c>
      <c r="H1668" s="7">
        <v>1.0</v>
      </c>
      <c r="I1668" s="15">
        <v>0.0659251458276747</v>
      </c>
      <c r="J1668" s="15">
        <v>0.0555185964715189</v>
      </c>
      <c r="K1668" s="12">
        <f>AVERAGE(I1667:I1671)</f>
        <v>0.5900328043</v>
      </c>
      <c r="L1668" s="18">
        <v>101324.0</v>
      </c>
      <c r="M1668" s="14">
        <f>STDEV(L1667:L1671)</f>
        <v>40983.93099</v>
      </c>
      <c r="N1668" s="15" t="b">
        <f t="shared" si="1"/>
        <v>0</v>
      </c>
    </row>
    <row r="1669" hidden="1">
      <c r="A1669" s="7" t="s">
        <v>341</v>
      </c>
      <c r="B1669" s="7" t="s">
        <v>268</v>
      </c>
      <c r="C1669" s="7">
        <v>0.25</v>
      </c>
      <c r="D1669" s="7">
        <v>0.5</v>
      </c>
      <c r="E1669" s="7">
        <v>4.0</v>
      </c>
      <c r="F1669" s="7">
        <v>267.245964765548</v>
      </c>
      <c r="G1669" s="7">
        <v>315.601383447647</v>
      </c>
      <c r="H1669" s="7">
        <v>2.0</v>
      </c>
      <c r="I1669" s="15">
        <v>0.806201487783312</v>
      </c>
      <c r="J1669" s="15">
        <v>0.116933630793022</v>
      </c>
      <c r="K1669" s="12">
        <f>AVERAGE(I1667:I1671)</f>
        <v>0.5900328043</v>
      </c>
      <c r="L1669" s="18">
        <v>5709.0</v>
      </c>
      <c r="M1669" s="14">
        <f>STDEV(L1667:L1671)</f>
        <v>40983.93099</v>
      </c>
      <c r="N1669" s="15" t="b">
        <f t="shared" si="1"/>
        <v>0</v>
      </c>
    </row>
    <row r="1670" hidden="1">
      <c r="A1670" s="7" t="s">
        <v>341</v>
      </c>
      <c r="B1670" s="7" t="s">
        <v>268</v>
      </c>
      <c r="C1670" s="7">
        <v>0.25</v>
      </c>
      <c r="D1670" s="7">
        <v>0.5</v>
      </c>
      <c r="E1670" s="7">
        <v>4.0</v>
      </c>
      <c r="F1670" s="7">
        <v>267.245964765548</v>
      </c>
      <c r="G1670" s="7">
        <v>315.601383447647</v>
      </c>
      <c r="H1670" s="7">
        <v>3.0</v>
      </c>
      <c r="I1670" s="15">
        <v>0.827199007560124</v>
      </c>
      <c r="J1670" s="15">
        <v>0.0998516833341553</v>
      </c>
      <c r="K1670" s="12">
        <f>AVERAGE(I1667:I1671)</f>
        <v>0.5900328043</v>
      </c>
      <c r="L1670" s="18">
        <v>7464.0</v>
      </c>
      <c r="M1670" s="14">
        <f>STDEV(L1667:L1671)</f>
        <v>40983.93099</v>
      </c>
      <c r="N1670" s="15" t="b">
        <f t="shared" si="1"/>
        <v>0</v>
      </c>
    </row>
    <row r="1671" hidden="1">
      <c r="A1671" s="7" t="s">
        <v>341</v>
      </c>
      <c r="B1671" s="7" t="s">
        <v>268</v>
      </c>
      <c r="C1671" s="7">
        <v>0.25</v>
      </c>
      <c r="D1671" s="7">
        <v>0.5</v>
      </c>
      <c r="E1671" s="7">
        <v>4.0</v>
      </c>
      <c r="F1671" s="7">
        <v>267.245964765548</v>
      </c>
      <c r="G1671" s="7">
        <v>315.601383447647</v>
      </c>
      <c r="H1671" s="7">
        <v>4.0</v>
      </c>
      <c r="I1671" s="15">
        <v>0.488115192487609</v>
      </c>
      <c r="J1671" s="15">
        <v>0.268754812417869</v>
      </c>
      <c r="K1671" s="12">
        <f>AVERAGE(I1667:I1671)</f>
        <v>0.5900328043</v>
      </c>
      <c r="L1671" s="18">
        <v>11475.0</v>
      </c>
      <c r="M1671" s="14">
        <f>STDEV(L1667:L1671)</f>
        <v>40983.93099</v>
      </c>
      <c r="N1671" s="15" t="b">
        <f t="shared" si="1"/>
        <v>0</v>
      </c>
    </row>
    <row r="1672" hidden="1">
      <c r="A1672" s="7" t="s">
        <v>342</v>
      </c>
      <c r="B1672" s="7" t="s">
        <v>268</v>
      </c>
      <c r="C1672" s="7">
        <v>0.25</v>
      </c>
      <c r="D1672" s="7">
        <v>0.5</v>
      </c>
      <c r="E1672" s="7">
        <v>5.0</v>
      </c>
      <c r="F1672" s="7">
        <v>213.998625516891</v>
      </c>
      <c r="G1672" s="7">
        <v>367.644173383712</v>
      </c>
      <c r="H1672" s="7">
        <v>0.0</v>
      </c>
      <c r="I1672" s="15">
        <v>0.190049706773173</v>
      </c>
      <c r="J1672" s="15">
        <v>0.0991621014911505</v>
      </c>
      <c r="K1672" s="12">
        <f>AVERAGE(I1672:I1676)</f>
        <v>0.4642461484</v>
      </c>
      <c r="L1672" s="18">
        <v>41062.0</v>
      </c>
      <c r="M1672" s="14">
        <f>STDEV(L1672:L1676)</f>
        <v>27894.82502</v>
      </c>
      <c r="N1672" s="15" t="b">
        <f t="shared" si="1"/>
        <v>0</v>
      </c>
    </row>
    <row r="1673" hidden="1">
      <c r="A1673" s="7" t="s">
        <v>342</v>
      </c>
      <c r="B1673" s="7" t="s">
        <v>268</v>
      </c>
      <c r="C1673" s="7">
        <v>0.25</v>
      </c>
      <c r="D1673" s="7">
        <v>0.5</v>
      </c>
      <c r="E1673" s="7">
        <v>5.0</v>
      </c>
      <c r="F1673" s="7">
        <v>213.998625516891</v>
      </c>
      <c r="G1673" s="7">
        <v>367.644173383712</v>
      </c>
      <c r="H1673" s="7">
        <v>1.0</v>
      </c>
      <c r="I1673" s="15">
        <v>0.113600231704112</v>
      </c>
      <c r="J1673" s="15">
        <v>0.0835059362319333</v>
      </c>
      <c r="K1673" s="12">
        <f>AVERAGE(I1672:I1676)</f>
        <v>0.4642461484</v>
      </c>
      <c r="L1673" s="18">
        <v>71468.0</v>
      </c>
      <c r="M1673" s="14">
        <f>STDEV(L1672:L1676)</f>
        <v>27894.82502</v>
      </c>
      <c r="N1673" s="15" t="b">
        <f t="shared" si="1"/>
        <v>0</v>
      </c>
    </row>
    <row r="1674" hidden="1">
      <c r="A1674" s="7" t="s">
        <v>342</v>
      </c>
      <c r="B1674" s="7" t="s">
        <v>268</v>
      </c>
      <c r="C1674" s="7">
        <v>0.25</v>
      </c>
      <c r="D1674" s="7">
        <v>0.5</v>
      </c>
      <c r="E1674" s="7">
        <v>5.0</v>
      </c>
      <c r="F1674" s="7">
        <v>213.998625516891</v>
      </c>
      <c r="G1674" s="7">
        <v>367.644173383712</v>
      </c>
      <c r="H1674" s="7">
        <v>2.0</v>
      </c>
      <c r="I1674" s="15">
        <v>0.484869018126905</v>
      </c>
      <c r="J1674" s="15">
        <v>0.276512462672198</v>
      </c>
      <c r="K1674" s="12">
        <f>AVERAGE(I1672:I1676)</f>
        <v>0.4642461484</v>
      </c>
      <c r="L1674" s="18">
        <v>11505.0</v>
      </c>
      <c r="M1674" s="14">
        <f>STDEV(L1672:L1676)</f>
        <v>27894.82502</v>
      </c>
      <c r="N1674" s="15" t="b">
        <f t="shared" si="1"/>
        <v>0</v>
      </c>
    </row>
    <row r="1675" hidden="1">
      <c r="A1675" s="7" t="s">
        <v>342</v>
      </c>
      <c r="B1675" s="7" t="s">
        <v>268</v>
      </c>
      <c r="C1675" s="7">
        <v>0.25</v>
      </c>
      <c r="D1675" s="7">
        <v>0.5</v>
      </c>
      <c r="E1675" s="7">
        <v>5.0</v>
      </c>
      <c r="F1675" s="7">
        <v>213.998625516891</v>
      </c>
      <c r="G1675" s="7">
        <v>367.644173383712</v>
      </c>
      <c r="H1675" s="7">
        <v>3.0</v>
      </c>
      <c r="I1675" s="15">
        <v>0.721062847216726</v>
      </c>
      <c r="J1675" s="15">
        <v>0.142883534169311</v>
      </c>
      <c r="K1675" s="12">
        <f>AVERAGE(I1672:I1676)</f>
        <v>0.4642461484</v>
      </c>
      <c r="L1675" s="18">
        <v>13573.0</v>
      </c>
      <c r="M1675" s="14">
        <f>STDEV(L1672:L1676)</f>
        <v>27894.82502</v>
      </c>
      <c r="N1675" s="15" t="b">
        <f t="shared" si="1"/>
        <v>0</v>
      </c>
    </row>
    <row r="1676" hidden="1">
      <c r="A1676" s="7" t="s">
        <v>342</v>
      </c>
      <c r="B1676" s="7" t="s">
        <v>268</v>
      </c>
      <c r="C1676" s="7">
        <v>0.25</v>
      </c>
      <c r="D1676" s="7">
        <v>0.5</v>
      </c>
      <c r="E1676" s="7">
        <v>5.0</v>
      </c>
      <c r="F1676" s="7">
        <v>213.998625516891</v>
      </c>
      <c r="G1676" s="7">
        <v>367.644173383712</v>
      </c>
      <c r="H1676" s="7">
        <v>4.0</v>
      </c>
      <c r="I1676" s="15">
        <v>0.811648938246983</v>
      </c>
      <c r="J1676" s="15">
        <v>0.0793972424347012</v>
      </c>
      <c r="K1676" s="12">
        <f>AVERAGE(I1672:I1676)</f>
        <v>0.4642461484</v>
      </c>
      <c r="L1676" s="18">
        <v>4068.0</v>
      </c>
      <c r="M1676" s="14">
        <f>STDEV(L1672:L1676)</f>
        <v>27894.82502</v>
      </c>
      <c r="N1676" s="15" t="b">
        <f t="shared" si="1"/>
        <v>0</v>
      </c>
    </row>
    <row r="1677" hidden="1">
      <c r="A1677" s="7" t="s">
        <v>343</v>
      </c>
      <c r="B1677" s="7" t="s">
        <v>268</v>
      </c>
      <c r="C1677" s="7">
        <v>0.25</v>
      </c>
      <c r="D1677" s="7">
        <v>0.5</v>
      </c>
      <c r="E1677" s="7">
        <v>6.0</v>
      </c>
      <c r="F1677" s="7">
        <v>206.049379110336</v>
      </c>
      <c r="G1677" s="7">
        <v>270.585168600082</v>
      </c>
      <c r="H1677" s="7">
        <v>0.0</v>
      </c>
      <c r="I1677" s="15">
        <v>0.0794228472781169</v>
      </c>
      <c r="J1677" s="15">
        <v>0.0676355684856791</v>
      </c>
      <c r="K1677" s="12">
        <f>AVERAGE(I1677:I1681)</f>
        <v>0.5115726849</v>
      </c>
      <c r="L1677" s="18">
        <v>84741.0</v>
      </c>
      <c r="M1677" s="14">
        <f>STDEV(L1677:L1681)</f>
        <v>34399.40325</v>
      </c>
      <c r="N1677" s="15" t="b">
        <f t="shared" si="1"/>
        <v>0</v>
      </c>
    </row>
    <row r="1678" hidden="1">
      <c r="A1678" s="7" t="s">
        <v>343</v>
      </c>
      <c r="B1678" s="7" t="s">
        <v>268</v>
      </c>
      <c r="C1678" s="7">
        <v>0.25</v>
      </c>
      <c r="D1678" s="7">
        <v>0.5</v>
      </c>
      <c r="E1678" s="7">
        <v>6.0</v>
      </c>
      <c r="F1678" s="7">
        <v>206.049379110336</v>
      </c>
      <c r="G1678" s="7">
        <v>270.585168600082</v>
      </c>
      <c r="H1678" s="7">
        <v>1.0</v>
      </c>
      <c r="I1678" s="15">
        <v>0.48751913660041</v>
      </c>
      <c r="J1678" s="15">
        <v>0.26922705022216</v>
      </c>
      <c r="K1678" s="12">
        <f>AVERAGE(I1677:I1681)</f>
        <v>0.5115726849</v>
      </c>
      <c r="L1678" s="18">
        <v>11491.0</v>
      </c>
      <c r="M1678" s="14">
        <f>STDEV(L1677:L1681)</f>
        <v>34399.40325</v>
      </c>
      <c r="N1678" s="15" t="b">
        <f t="shared" si="1"/>
        <v>0</v>
      </c>
    </row>
    <row r="1679" hidden="1">
      <c r="A1679" s="7" t="s">
        <v>343</v>
      </c>
      <c r="B1679" s="7" t="s">
        <v>268</v>
      </c>
      <c r="C1679" s="7">
        <v>0.25</v>
      </c>
      <c r="D1679" s="7">
        <v>0.5</v>
      </c>
      <c r="E1679" s="7">
        <v>6.0</v>
      </c>
      <c r="F1679" s="7">
        <v>206.049379110336</v>
      </c>
      <c r="G1679" s="7">
        <v>270.585168600082</v>
      </c>
      <c r="H1679" s="7">
        <v>2.0</v>
      </c>
      <c r="I1679" s="15">
        <v>0.300664068241195</v>
      </c>
      <c r="J1679" s="15">
        <v>0.0994082123314572</v>
      </c>
      <c r="K1679" s="12">
        <f>AVERAGE(I1677:I1681)</f>
        <v>0.5115726849</v>
      </c>
      <c r="L1679" s="18">
        <v>37371.0</v>
      </c>
      <c r="M1679" s="14">
        <f>STDEV(L1677:L1681)</f>
        <v>34399.40325</v>
      </c>
      <c r="N1679" s="15" t="b">
        <f t="shared" si="1"/>
        <v>0</v>
      </c>
    </row>
    <row r="1680" hidden="1">
      <c r="A1680" s="7" t="s">
        <v>343</v>
      </c>
      <c r="B1680" s="7" t="s">
        <v>268</v>
      </c>
      <c r="C1680" s="7">
        <v>0.25</v>
      </c>
      <c r="D1680" s="7">
        <v>0.5</v>
      </c>
      <c r="E1680" s="7">
        <v>6.0</v>
      </c>
      <c r="F1680" s="7">
        <v>206.049379110336</v>
      </c>
      <c r="G1680" s="7">
        <v>270.585168600082</v>
      </c>
      <c r="H1680" s="7">
        <v>3.0</v>
      </c>
      <c r="I1680" s="15">
        <v>0.88180520129621</v>
      </c>
      <c r="J1680" s="15">
        <v>0.12062575387691</v>
      </c>
      <c r="K1680" s="12">
        <f>AVERAGE(I1677:I1681)</f>
        <v>0.5115726849</v>
      </c>
      <c r="L1680" s="18">
        <v>2388.0</v>
      </c>
      <c r="M1680" s="14">
        <f>STDEV(L1677:L1681)</f>
        <v>34399.40325</v>
      </c>
      <c r="N1680" s="15" t="b">
        <f t="shared" si="1"/>
        <v>0</v>
      </c>
    </row>
    <row r="1681" hidden="1">
      <c r="A1681" s="7" t="s">
        <v>343</v>
      </c>
      <c r="B1681" s="7" t="s">
        <v>268</v>
      </c>
      <c r="C1681" s="7">
        <v>0.25</v>
      </c>
      <c r="D1681" s="7">
        <v>0.5</v>
      </c>
      <c r="E1681" s="7">
        <v>6.0</v>
      </c>
      <c r="F1681" s="7">
        <v>206.049379110336</v>
      </c>
      <c r="G1681" s="7">
        <v>270.585168600082</v>
      </c>
      <c r="H1681" s="7">
        <v>4.0</v>
      </c>
      <c r="I1681" s="15">
        <v>0.808452171088018</v>
      </c>
      <c r="J1681" s="15">
        <v>0.117191182001779</v>
      </c>
      <c r="K1681" s="12">
        <f>AVERAGE(I1677:I1681)</f>
        <v>0.5115726849</v>
      </c>
      <c r="L1681" s="18">
        <v>5685.0</v>
      </c>
      <c r="M1681" s="14">
        <f>STDEV(L1677:L1681)</f>
        <v>34399.40325</v>
      </c>
      <c r="N1681" s="15" t="b">
        <f t="shared" si="1"/>
        <v>0</v>
      </c>
    </row>
    <row r="1682" hidden="1">
      <c r="A1682" s="7" t="s">
        <v>344</v>
      </c>
      <c r="B1682" s="7" t="s">
        <v>268</v>
      </c>
      <c r="C1682" s="7">
        <v>0.25</v>
      </c>
      <c r="D1682" s="7">
        <v>0.5</v>
      </c>
      <c r="E1682" s="7">
        <v>7.0</v>
      </c>
      <c r="F1682" s="7">
        <v>156.486411809921</v>
      </c>
      <c r="G1682" s="7">
        <v>226.709086179733</v>
      </c>
      <c r="H1682" s="7">
        <v>0.0</v>
      </c>
      <c r="I1682" s="15">
        <v>0.770469198971283</v>
      </c>
      <c r="J1682" s="15">
        <v>0.119813334061156</v>
      </c>
      <c r="K1682" s="12">
        <f>AVERAGE(I1682:I1686)</f>
        <v>0.5955998523</v>
      </c>
      <c r="L1682" s="18">
        <v>15700.0</v>
      </c>
      <c r="M1682" s="14">
        <f>STDEV(L1682:L1686)</f>
        <v>33851.84944</v>
      </c>
      <c r="N1682" s="15" t="b">
        <f t="shared" si="1"/>
        <v>0</v>
      </c>
    </row>
    <row r="1683" hidden="1">
      <c r="A1683" s="7" t="s">
        <v>344</v>
      </c>
      <c r="B1683" s="7" t="s">
        <v>268</v>
      </c>
      <c r="C1683" s="7">
        <v>0.25</v>
      </c>
      <c r="D1683" s="7">
        <v>0.5</v>
      </c>
      <c r="E1683" s="7">
        <v>7.0</v>
      </c>
      <c r="F1683" s="7">
        <v>156.486411809921</v>
      </c>
      <c r="G1683" s="7">
        <v>226.709086179733</v>
      </c>
      <c r="H1683" s="7">
        <v>1.0</v>
      </c>
      <c r="I1683" s="15">
        <v>0.390463346705208</v>
      </c>
      <c r="J1683" s="15">
        <v>0.0615413613444648</v>
      </c>
      <c r="K1683" s="12">
        <f>AVERAGE(I1682:I1686)</f>
        <v>0.5955998523</v>
      </c>
      <c r="L1683" s="18">
        <v>34202.0</v>
      </c>
      <c r="M1683" s="14">
        <f>STDEV(L1682:L1686)</f>
        <v>33851.84944</v>
      </c>
      <c r="N1683" s="15" t="b">
        <f t="shared" si="1"/>
        <v>0</v>
      </c>
    </row>
    <row r="1684" hidden="1">
      <c r="A1684" s="7" t="s">
        <v>344</v>
      </c>
      <c r="B1684" s="7" t="s">
        <v>268</v>
      </c>
      <c r="C1684" s="7">
        <v>0.25</v>
      </c>
      <c r="D1684" s="7">
        <v>0.5</v>
      </c>
      <c r="E1684" s="7">
        <v>7.0</v>
      </c>
      <c r="F1684" s="7">
        <v>156.486411809921</v>
      </c>
      <c r="G1684" s="7">
        <v>226.709086179733</v>
      </c>
      <c r="H1684" s="7">
        <v>2.0</v>
      </c>
      <c r="I1684" s="15">
        <v>0.858190645391269</v>
      </c>
      <c r="J1684" s="15">
        <v>0.101081923194447</v>
      </c>
      <c r="K1684" s="12">
        <f>AVERAGE(I1682:I1686)</f>
        <v>0.5955998523</v>
      </c>
      <c r="L1684" s="18">
        <v>5167.0</v>
      </c>
      <c r="M1684" s="14">
        <f>STDEV(L1682:L1686)</f>
        <v>33851.84944</v>
      </c>
      <c r="N1684" s="15" t="b">
        <f t="shared" si="1"/>
        <v>0</v>
      </c>
    </row>
    <row r="1685" hidden="1">
      <c r="A1685" s="7" t="s">
        <v>344</v>
      </c>
      <c r="B1685" s="7" t="s">
        <v>268</v>
      </c>
      <c r="C1685" s="7">
        <v>0.25</v>
      </c>
      <c r="D1685" s="7">
        <v>0.5</v>
      </c>
      <c r="E1685" s="7">
        <v>7.0</v>
      </c>
      <c r="F1685" s="7">
        <v>156.486411809921</v>
      </c>
      <c r="G1685" s="7">
        <v>226.709086179733</v>
      </c>
      <c r="H1685" s="7">
        <v>3.0</v>
      </c>
      <c r="I1685" s="15">
        <v>0.912251234444091</v>
      </c>
      <c r="J1685" s="15">
        <v>0.0370387077158044</v>
      </c>
      <c r="K1685" s="12">
        <f>AVERAGE(I1682:I1686)</f>
        <v>0.5955998523</v>
      </c>
      <c r="L1685" s="18">
        <v>2043.0</v>
      </c>
      <c r="M1685" s="14">
        <f>STDEV(L1682:L1686)</f>
        <v>33851.84944</v>
      </c>
      <c r="N1685" s="15" t="b">
        <f t="shared" si="1"/>
        <v>0</v>
      </c>
    </row>
    <row r="1686" hidden="1">
      <c r="A1686" s="7" t="s">
        <v>344</v>
      </c>
      <c r="B1686" s="7" t="s">
        <v>268</v>
      </c>
      <c r="C1686" s="7">
        <v>0.25</v>
      </c>
      <c r="D1686" s="7">
        <v>0.5</v>
      </c>
      <c r="E1686" s="7">
        <v>7.0</v>
      </c>
      <c r="F1686" s="7">
        <v>156.486411809921</v>
      </c>
      <c r="G1686" s="7">
        <v>226.709086179733</v>
      </c>
      <c r="H1686" s="7">
        <v>4.0</v>
      </c>
      <c r="I1686" s="15">
        <v>0.0466248360096445</v>
      </c>
      <c r="J1686" s="15">
        <v>0.059937910299889</v>
      </c>
      <c r="K1686" s="12">
        <f>AVERAGE(I1682:I1686)</f>
        <v>0.5955998523</v>
      </c>
      <c r="L1686" s="18">
        <v>84564.0</v>
      </c>
      <c r="M1686" s="14">
        <f>STDEV(L1682:L1686)</f>
        <v>33851.84944</v>
      </c>
      <c r="N1686" s="15" t="b">
        <f t="shared" si="1"/>
        <v>0</v>
      </c>
    </row>
    <row r="1687" hidden="1">
      <c r="A1687" s="7" t="s">
        <v>345</v>
      </c>
      <c r="B1687" s="21" t="s">
        <v>268</v>
      </c>
      <c r="C1687" s="21">
        <v>0.25</v>
      </c>
      <c r="D1687" s="21">
        <v>0.5</v>
      </c>
      <c r="E1687" s="21">
        <v>8.0</v>
      </c>
      <c r="F1687" s="7">
        <v>190.491866588592</v>
      </c>
      <c r="G1687" s="7">
        <v>476.330461025238</v>
      </c>
      <c r="H1687" s="7">
        <v>0.0</v>
      </c>
      <c r="I1687" s="15">
        <v>0.82679548049226</v>
      </c>
      <c r="J1687" s="15">
        <v>0.0915640957279494</v>
      </c>
      <c r="K1687" s="12">
        <f>AVERAGE(I1687:I1691)</f>
        <v>0.6643910381</v>
      </c>
      <c r="L1687" s="18">
        <v>4605.0</v>
      </c>
      <c r="M1687" s="14">
        <f>STDEV(L1687:L1691)</f>
        <v>44299.04498</v>
      </c>
      <c r="N1687" s="15" t="b">
        <f t="shared" si="1"/>
        <v>1</v>
      </c>
    </row>
    <row r="1688" hidden="1">
      <c r="A1688" s="7" t="s">
        <v>345</v>
      </c>
      <c r="B1688" s="21" t="s">
        <v>268</v>
      </c>
      <c r="C1688" s="21">
        <v>0.25</v>
      </c>
      <c r="D1688" s="21">
        <v>0.5</v>
      </c>
      <c r="E1688" s="21">
        <v>8.0</v>
      </c>
      <c r="F1688" s="7">
        <v>190.491866588592</v>
      </c>
      <c r="G1688" s="7">
        <v>476.330461025238</v>
      </c>
      <c r="H1688" s="7">
        <v>1.0</v>
      </c>
      <c r="I1688" s="15">
        <v>0.06383083651259</v>
      </c>
      <c r="J1688" s="15">
        <v>0.0468626742543112</v>
      </c>
      <c r="K1688" s="12">
        <f>AVERAGE(I1687:I1691)</f>
        <v>0.6643910381</v>
      </c>
      <c r="L1688" s="18">
        <v>106872.0</v>
      </c>
      <c r="M1688" s="14">
        <f>STDEV(L1687:L1691)</f>
        <v>44299.04498</v>
      </c>
      <c r="N1688" s="15" t="b">
        <f t="shared" si="1"/>
        <v>1</v>
      </c>
    </row>
    <row r="1689" hidden="1">
      <c r="A1689" s="7" t="s">
        <v>345</v>
      </c>
      <c r="B1689" s="21" t="s">
        <v>268</v>
      </c>
      <c r="C1689" s="21">
        <v>0.25</v>
      </c>
      <c r="D1689" s="21">
        <v>0.5</v>
      </c>
      <c r="E1689" s="21">
        <v>8.0</v>
      </c>
      <c r="F1689" s="7">
        <v>190.491866588592</v>
      </c>
      <c r="G1689" s="7">
        <v>476.330461025238</v>
      </c>
      <c r="H1689" s="7">
        <v>2.0</v>
      </c>
      <c r="I1689" s="15">
        <v>0.790799627549301</v>
      </c>
      <c r="J1689" s="15">
        <v>0.100296972978989</v>
      </c>
      <c r="K1689" s="12">
        <f>AVERAGE(I1687:I1691)</f>
        <v>0.6643910381</v>
      </c>
      <c r="L1689" s="18">
        <v>18685.0</v>
      </c>
      <c r="M1689" s="14">
        <f>STDEV(L1687:L1691)</f>
        <v>44299.04498</v>
      </c>
      <c r="N1689" s="15" t="b">
        <f t="shared" si="1"/>
        <v>1</v>
      </c>
    </row>
    <row r="1690" hidden="1">
      <c r="A1690" s="7" t="s">
        <v>345</v>
      </c>
      <c r="B1690" s="21" t="s">
        <v>268</v>
      </c>
      <c r="C1690" s="21">
        <v>0.25</v>
      </c>
      <c r="D1690" s="21">
        <v>0.5</v>
      </c>
      <c r="E1690" s="21">
        <v>8.0</v>
      </c>
      <c r="F1690" s="7">
        <v>190.491866588592</v>
      </c>
      <c r="G1690" s="7">
        <v>476.330461025238</v>
      </c>
      <c r="H1690" s="7">
        <v>3.0</v>
      </c>
      <c r="I1690" s="15">
        <v>0.812306637155678</v>
      </c>
      <c r="J1690" s="15">
        <v>0.0814314532222712</v>
      </c>
      <c r="K1690" s="12">
        <f>AVERAGE(I1687:I1691)</f>
        <v>0.6643910381</v>
      </c>
      <c r="L1690" s="18">
        <v>4055.0</v>
      </c>
      <c r="M1690" s="14">
        <f>STDEV(L1687:L1691)</f>
        <v>44299.04498</v>
      </c>
      <c r="N1690" s="15" t="b">
        <f t="shared" si="1"/>
        <v>1</v>
      </c>
    </row>
    <row r="1691" hidden="1">
      <c r="A1691" s="7" t="s">
        <v>345</v>
      </c>
      <c r="B1691" s="21" t="s">
        <v>268</v>
      </c>
      <c r="C1691" s="21">
        <v>0.25</v>
      </c>
      <c r="D1691" s="21">
        <v>0.5</v>
      </c>
      <c r="E1691" s="21">
        <v>8.0</v>
      </c>
      <c r="F1691" s="7">
        <v>190.491866588592</v>
      </c>
      <c r="G1691" s="7">
        <v>476.330461025238</v>
      </c>
      <c r="H1691" s="7">
        <v>4.0</v>
      </c>
      <c r="I1691" s="15">
        <v>0.828222608965676</v>
      </c>
      <c r="J1691" s="15">
        <v>0.097502974252231</v>
      </c>
      <c r="K1691" s="12">
        <f>AVERAGE(I1687:I1691)</f>
        <v>0.6643910381</v>
      </c>
      <c r="L1691" s="18">
        <v>7459.0</v>
      </c>
      <c r="M1691" s="14">
        <f>STDEV(L1687:L1691)</f>
        <v>44299.04498</v>
      </c>
      <c r="N1691" s="15" t="b">
        <f t="shared" si="1"/>
        <v>1</v>
      </c>
    </row>
    <row r="1692" hidden="1">
      <c r="A1692" s="7" t="s">
        <v>346</v>
      </c>
      <c r="B1692" s="7" t="s">
        <v>268</v>
      </c>
      <c r="C1692" s="7">
        <v>0.25</v>
      </c>
      <c r="D1692" s="7">
        <v>0.5</v>
      </c>
      <c r="E1692" s="7">
        <v>9.0</v>
      </c>
      <c r="F1692" s="7">
        <v>148.074445724487</v>
      </c>
      <c r="G1692" s="7">
        <v>204.916393518447</v>
      </c>
      <c r="H1692" s="7">
        <v>0.0</v>
      </c>
      <c r="I1692" s="15">
        <v>0.319346822694986</v>
      </c>
      <c r="J1692" s="15">
        <v>0.125885720779102</v>
      </c>
      <c r="K1692" s="12">
        <f>AVERAGE(I1692:I1696)</f>
        <v>0.4800821268</v>
      </c>
      <c r="L1692" s="18">
        <v>2752.0</v>
      </c>
      <c r="M1692" s="14">
        <f>STDEV(L1692:L1696)</f>
        <v>48845.63761</v>
      </c>
      <c r="N1692" s="15" t="b">
        <f t="shared" si="1"/>
        <v>0</v>
      </c>
    </row>
    <row r="1693" hidden="1">
      <c r="A1693" s="7" t="s">
        <v>346</v>
      </c>
      <c r="B1693" s="7" t="s">
        <v>268</v>
      </c>
      <c r="C1693" s="7">
        <v>0.25</v>
      </c>
      <c r="D1693" s="7">
        <v>0.5</v>
      </c>
      <c r="E1693" s="7">
        <v>9.0</v>
      </c>
      <c r="F1693" s="7">
        <v>148.074445724487</v>
      </c>
      <c r="G1693" s="7">
        <v>204.916393518447</v>
      </c>
      <c r="H1693" s="7">
        <v>1.0</v>
      </c>
      <c r="I1693" s="15">
        <v>0.813082076644349</v>
      </c>
      <c r="J1693" s="15">
        <v>0.113311482422513</v>
      </c>
      <c r="K1693" s="12">
        <f>AVERAGE(I1692:I1696)</f>
        <v>0.4800821268</v>
      </c>
      <c r="L1693" s="18">
        <v>5615.0</v>
      </c>
      <c r="M1693" s="14">
        <f>STDEV(L1692:L1696)</f>
        <v>48845.63761</v>
      </c>
      <c r="N1693" s="15" t="b">
        <f t="shared" si="1"/>
        <v>0</v>
      </c>
    </row>
    <row r="1694" hidden="1">
      <c r="A1694" s="7" t="s">
        <v>346</v>
      </c>
      <c r="B1694" s="7" t="s">
        <v>268</v>
      </c>
      <c r="C1694" s="7">
        <v>0.25</v>
      </c>
      <c r="D1694" s="7">
        <v>0.5</v>
      </c>
      <c r="E1694" s="7">
        <v>9.0</v>
      </c>
      <c r="F1694" s="7">
        <v>148.074445724487</v>
      </c>
      <c r="G1694" s="7">
        <v>204.916393518447</v>
      </c>
      <c r="H1694" s="7">
        <v>2.0</v>
      </c>
      <c r="I1694" s="15">
        <v>0.0394620086220261</v>
      </c>
      <c r="J1694" s="15">
        <v>0.169712512371543</v>
      </c>
      <c r="K1694" s="12">
        <f>AVERAGE(I1692:I1696)</f>
        <v>0.4800821268</v>
      </c>
      <c r="L1694" s="18">
        <v>115260.0</v>
      </c>
      <c r="M1694" s="14">
        <f>STDEV(L1692:L1696)</f>
        <v>48845.63761</v>
      </c>
      <c r="N1694" s="15" t="b">
        <f t="shared" si="1"/>
        <v>0</v>
      </c>
    </row>
    <row r="1695" hidden="1">
      <c r="A1695" s="7" t="s">
        <v>346</v>
      </c>
      <c r="B1695" s="7" t="s">
        <v>268</v>
      </c>
      <c r="C1695" s="7">
        <v>0.25</v>
      </c>
      <c r="D1695" s="7">
        <v>0.5</v>
      </c>
      <c r="E1695" s="7">
        <v>9.0</v>
      </c>
      <c r="F1695" s="7">
        <v>148.074445724487</v>
      </c>
      <c r="G1695" s="7">
        <v>204.916393518447</v>
      </c>
      <c r="H1695" s="7">
        <v>3.0</v>
      </c>
      <c r="I1695" s="15">
        <v>0.380688135323486</v>
      </c>
      <c r="J1695" s="15">
        <v>0.0689255407041603</v>
      </c>
      <c r="K1695" s="12">
        <f>AVERAGE(I1692:I1696)</f>
        <v>0.4800821268</v>
      </c>
      <c r="L1695" s="18">
        <v>14989.0</v>
      </c>
      <c r="M1695" s="14">
        <f>STDEV(L1692:L1696)</f>
        <v>48845.63761</v>
      </c>
      <c r="N1695" s="15" t="b">
        <f t="shared" si="1"/>
        <v>0</v>
      </c>
    </row>
    <row r="1696" hidden="1">
      <c r="A1696" s="7" t="s">
        <v>346</v>
      </c>
      <c r="B1696" s="7" t="s">
        <v>268</v>
      </c>
      <c r="C1696" s="7">
        <v>0.25</v>
      </c>
      <c r="D1696" s="7">
        <v>0.5</v>
      </c>
      <c r="E1696" s="7">
        <v>9.0</v>
      </c>
      <c r="F1696" s="7">
        <v>148.074445724487</v>
      </c>
      <c r="G1696" s="7">
        <v>204.916393518447</v>
      </c>
      <c r="H1696" s="7">
        <v>4.0</v>
      </c>
      <c r="I1696" s="15">
        <v>0.847831590500413</v>
      </c>
      <c r="J1696" s="15">
        <v>0.103459039944184</v>
      </c>
      <c r="K1696" s="12">
        <f>AVERAGE(I1692:I1696)</f>
        <v>0.4800821268</v>
      </c>
      <c r="L1696" s="18">
        <v>3060.0</v>
      </c>
      <c r="M1696" s="14">
        <f>STDEV(L1692:L1696)</f>
        <v>48845.63761</v>
      </c>
      <c r="N1696" s="15" t="b">
        <f t="shared" si="1"/>
        <v>0</v>
      </c>
    </row>
    <row r="1697" hidden="1">
      <c r="A1697" s="7" t="s">
        <v>347</v>
      </c>
      <c r="B1697" s="7" t="s">
        <v>268</v>
      </c>
      <c r="C1697" s="7">
        <v>0.25</v>
      </c>
      <c r="D1697" s="7">
        <v>0.5</v>
      </c>
      <c r="E1697" s="7">
        <v>10.0</v>
      </c>
      <c r="F1697" s="7">
        <v>197.876933574676</v>
      </c>
      <c r="G1697" s="7">
        <v>411.652797460556</v>
      </c>
      <c r="H1697" s="7">
        <v>0.0</v>
      </c>
      <c r="I1697" s="15">
        <v>0.119971080407241</v>
      </c>
      <c r="J1697" s="15">
        <v>0.0727473406281428</v>
      </c>
      <c r="K1697" s="12">
        <f>AVERAGE(I1697:I1701)</f>
        <v>0.4896246072</v>
      </c>
      <c r="L1697" s="18">
        <v>79994.0</v>
      </c>
      <c r="M1697" s="14">
        <f>STDEV(L1697:L1701)</f>
        <v>35108.41243</v>
      </c>
      <c r="N1697" s="15" t="b">
        <f t="shared" si="1"/>
        <v>0</v>
      </c>
    </row>
    <row r="1698" hidden="1">
      <c r="A1698" s="7" t="s">
        <v>347</v>
      </c>
      <c r="B1698" s="7" t="s">
        <v>268</v>
      </c>
      <c r="C1698" s="7">
        <v>0.25</v>
      </c>
      <c r="D1698" s="7">
        <v>0.5</v>
      </c>
      <c r="E1698" s="7">
        <v>10.0</v>
      </c>
      <c r="F1698" s="7">
        <v>197.876933574676</v>
      </c>
      <c r="G1698" s="7">
        <v>411.652797460556</v>
      </c>
      <c r="H1698" s="7">
        <v>1.0</v>
      </c>
      <c r="I1698" s="15">
        <v>0.810335645823854</v>
      </c>
      <c r="J1698" s="15">
        <v>0.11773677417923</v>
      </c>
      <c r="K1698" s="12">
        <f>AVERAGE(I1697:I1701)</f>
        <v>0.4896246072</v>
      </c>
      <c r="L1698" s="18">
        <v>5667.0</v>
      </c>
      <c r="M1698" s="14">
        <f>STDEV(L1697:L1701)</f>
        <v>35108.41243</v>
      </c>
      <c r="N1698" s="15" t="b">
        <f t="shared" si="1"/>
        <v>0</v>
      </c>
    </row>
    <row r="1699" hidden="1">
      <c r="A1699" s="7" t="s">
        <v>347</v>
      </c>
      <c r="B1699" s="7" t="s">
        <v>268</v>
      </c>
      <c r="C1699" s="7">
        <v>0.25</v>
      </c>
      <c r="D1699" s="7">
        <v>0.5</v>
      </c>
      <c r="E1699" s="7">
        <v>10.0</v>
      </c>
      <c r="F1699" s="7">
        <v>197.876933574676</v>
      </c>
      <c r="G1699" s="7">
        <v>411.652797460556</v>
      </c>
      <c r="H1699" s="7">
        <v>2.0</v>
      </c>
      <c r="I1699" s="15">
        <v>0.155797745666561</v>
      </c>
      <c r="J1699" s="15">
        <v>0.0840167403370263</v>
      </c>
      <c r="K1699" s="12">
        <f>AVERAGE(I1697:I1701)</f>
        <v>0.4896246072</v>
      </c>
      <c r="L1699" s="18">
        <v>49943.0</v>
      </c>
      <c r="M1699" s="14">
        <f>STDEV(L1697:L1701)</f>
        <v>35108.41243</v>
      </c>
      <c r="N1699" s="15" t="b">
        <f t="shared" si="1"/>
        <v>0</v>
      </c>
    </row>
    <row r="1700" hidden="1">
      <c r="A1700" s="7" t="s">
        <v>347</v>
      </c>
      <c r="B1700" s="7" t="s">
        <v>268</v>
      </c>
      <c r="C1700" s="7">
        <v>0.25</v>
      </c>
      <c r="D1700" s="7">
        <v>0.5</v>
      </c>
      <c r="E1700" s="7">
        <v>10.0</v>
      </c>
      <c r="F1700" s="7">
        <v>197.876933574676</v>
      </c>
      <c r="G1700" s="7">
        <v>411.652797460556</v>
      </c>
      <c r="H1700" s="7">
        <v>3.0</v>
      </c>
      <c r="I1700" s="15">
        <v>0.717633473183004</v>
      </c>
      <c r="J1700" s="15">
        <v>0.145270011360607</v>
      </c>
      <c r="K1700" s="12">
        <f>AVERAGE(I1697:I1701)</f>
        <v>0.4896246072</v>
      </c>
      <c r="L1700" s="18">
        <v>3717.0</v>
      </c>
      <c r="M1700" s="14">
        <f>STDEV(L1697:L1701)</f>
        <v>35108.41243</v>
      </c>
      <c r="N1700" s="15" t="b">
        <f t="shared" si="1"/>
        <v>0</v>
      </c>
    </row>
    <row r="1701" hidden="1">
      <c r="A1701" s="7" t="s">
        <v>347</v>
      </c>
      <c r="B1701" s="7" t="s">
        <v>268</v>
      </c>
      <c r="C1701" s="7">
        <v>0.25</v>
      </c>
      <c r="D1701" s="7">
        <v>0.5</v>
      </c>
      <c r="E1701" s="7">
        <v>10.0</v>
      </c>
      <c r="F1701" s="7">
        <v>197.876933574676</v>
      </c>
      <c r="G1701" s="7">
        <v>411.652797460556</v>
      </c>
      <c r="H1701" s="7">
        <v>4.0</v>
      </c>
      <c r="I1701" s="15">
        <v>0.644385090704911</v>
      </c>
      <c r="J1701" s="15">
        <v>0.12917138079761</v>
      </c>
      <c r="K1701" s="12">
        <f>AVERAGE(I1697:I1701)</f>
        <v>0.4896246072</v>
      </c>
      <c r="L1701" s="18">
        <v>2355.0</v>
      </c>
      <c r="M1701" s="14">
        <f>STDEV(L1697:L1701)</f>
        <v>35108.41243</v>
      </c>
      <c r="N1701" s="15" t="b">
        <f t="shared" si="1"/>
        <v>0</v>
      </c>
    </row>
    <row r="1702" hidden="1">
      <c r="A1702" s="7" t="s">
        <v>348</v>
      </c>
      <c r="B1702" s="7" t="s">
        <v>268</v>
      </c>
      <c r="C1702" s="7">
        <v>0.25</v>
      </c>
      <c r="D1702" s="7">
        <v>0.75</v>
      </c>
      <c r="E1702" s="7">
        <v>1.0</v>
      </c>
      <c r="F1702" s="7">
        <v>143.693289756774</v>
      </c>
      <c r="G1702" s="7">
        <v>283.84865951538</v>
      </c>
      <c r="H1702" s="7">
        <v>0.0</v>
      </c>
      <c r="I1702" s="15">
        <v>0.765556462489162</v>
      </c>
      <c r="J1702" s="15">
        <v>0.134636723548267</v>
      </c>
      <c r="K1702" s="12">
        <f>AVERAGE(I1702:I1706)</f>
        <v>0.6355600312</v>
      </c>
      <c r="L1702" s="18">
        <v>15477.0</v>
      </c>
      <c r="M1702" s="14">
        <f>STDEV(L1702:L1706)</f>
        <v>34215.21244</v>
      </c>
      <c r="N1702" s="15" t="b">
        <f t="shared" si="1"/>
        <v>0</v>
      </c>
    </row>
    <row r="1703" hidden="1">
      <c r="A1703" s="7" t="s">
        <v>348</v>
      </c>
      <c r="B1703" s="7" t="s">
        <v>268</v>
      </c>
      <c r="C1703" s="7">
        <v>0.25</v>
      </c>
      <c r="D1703" s="7">
        <v>0.75</v>
      </c>
      <c r="E1703" s="7">
        <v>1.0</v>
      </c>
      <c r="F1703" s="7">
        <v>143.693289756774</v>
      </c>
      <c r="G1703" s="7">
        <v>283.84865951538</v>
      </c>
      <c r="H1703" s="7">
        <v>1.0</v>
      </c>
      <c r="I1703" s="15">
        <v>0.857641486878302</v>
      </c>
      <c r="J1703" s="15">
        <v>0.10483236210165</v>
      </c>
      <c r="K1703" s="12">
        <f>AVERAGE(I1702:I1706)</f>
        <v>0.6355600312</v>
      </c>
      <c r="L1703" s="18">
        <v>5161.0</v>
      </c>
      <c r="M1703" s="14">
        <f>STDEV(L1702:L1706)</f>
        <v>34215.21244</v>
      </c>
      <c r="N1703" s="15" t="b">
        <f t="shared" si="1"/>
        <v>0</v>
      </c>
    </row>
    <row r="1704" hidden="1">
      <c r="A1704" s="7" t="s">
        <v>348</v>
      </c>
      <c r="B1704" s="7" t="s">
        <v>268</v>
      </c>
      <c r="C1704" s="7">
        <v>0.25</v>
      </c>
      <c r="D1704" s="7">
        <v>0.75</v>
      </c>
      <c r="E1704" s="7">
        <v>1.0</v>
      </c>
      <c r="F1704" s="7">
        <v>143.693289756774</v>
      </c>
      <c r="G1704" s="7">
        <v>283.84865951538</v>
      </c>
      <c r="H1704" s="7">
        <v>2.0</v>
      </c>
      <c r="I1704" s="15">
        <v>0.0489152416565007</v>
      </c>
      <c r="J1704" s="15">
        <v>0.0584241668627042</v>
      </c>
      <c r="K1704" s="12">
        <f>AVERAGE(I1702:I1706)</f>
        <v>0.6355600312</v>
      </c>
      <c r="L1704" s="18">
        <v>88887.0</v>
      </c>
      <c r="M1704" s="14">
        <f>STDEV(L1702:L1706)</f>
        <v>34215.21244</v>
      </c>
      <c r="N1704" s="15" t="b">
        <f t="shared" si="1"/>
        <v>0</v>
      </c>
    </row>
    <row r="1705" hidden="1">
      <c r="A1705" s="7" t="s">
        <v>348</v>
      </c>
      <c r="B1705" s="7" t="s">
        <v>268</v>
      </c>
      <c r="C1705" s="7">
        <v>0.25</v>
      </c>
      <c r="D1705" s="7">
        <v>0.75</v>
      </c>
      <c r="E1705" s="7">
        <v>1.0</v>
      </c>
      <c r="F1705" s="7">
        <v>143.693289756774</v>
      </c>
      <c r="G1705" s="7">
        <v>283.84865951538</v>
      </c>
      <c r="H1705" s="7">
        <v>3.0</v>
      </c>
      <c r="I1705" s="15">
        <v>0.716581080613461</v>
      </c>
      <c r="J1705" s="15">
        <v>0.152407667878154</v>
      </c>
      <c r="K1705" s="12">
        <f>AVERAGE(I1702:I1706)</f>
        <v>0.6355600312</v>
      </c>
      <c r="L1705" s="18">
        <v>13504.0</v>
      </c>
      <c r="M1705" s="14">
        <f>STDEV(L1702:L1706)</f>
        <v>34215.21244</v>
      </c>
      <c r="N1705" s="15" t="b">
        <f t="shared" si="1"/>
        <v>0</v>
      </c>
    </row>
    <row r="1706" hidden="1">
      <c r="A1706" s="7" t="s">
        <v>348</v>
      </c>
      <c r="B1706" s="7" t="s">
        <v>268</v>
      </c>
      <c r="C1706" s="7">
        <v>0.25</v>
      </c>
      <c r="D1706" s="7">
        <v>0.75</v>
      </c>
      <c r="E1706" s="7">
        <v>1.0</v>
      </c>
      <c r="F1706" s="7">
        <v>143.693289756774</v>
      </c>
      <c r="G1706" s="7">
        <v>283.84865951538</v>
      </c>
      <c r="H1706" s="7">
        <v>4.0</v>
      </c>
      <c r="I1706" s="15">
        <v>0.789105884216914</v>
      </c>
      <c r="J1706" s="15">
        <v>0.100173575654834</v>
      </c>
      <c r="K1706" s="12">
        <f>AVERAGE(I1702:I1706)</f>
        <v>0.6355600312</v>
      </c>
      <c r="L1706" s="18">
        <v>18647.0</v>
      </c>
      <c r="M1706" s="14">
        <f>STDEV(L1702:L1706)</f>
        <v>34215.21244</v>
      </c>
      <c r="N1706" s="15" t="b">
        <f t="shared" si="1"/>
        <v>0</v>
      </c>
    </row>
    <row r="1707" hidden="1">
      <c r="A1707" s="7" t="s">
        <v>349</v>
      </c>
      <c r="B1707" s="7" t="s">
        <v>268</v>
      </c>
      <c r="C1707" s="7">
        <v>0.25</v>
      </c>
      <c r="D1707" s="7">
        <v>0.75</v>
      </c>
      <c r="E1707" s="7">
        <v>2.0</v>
      </c>
      <c r="F1707" s="7">
        <v>132.223404645919</v>
      </c>
      <c r="G1707" s="7">
        <v>191.696915149688</v>
      </c>
      <c r="H1707" s="7">
        <v>0.0</v>
      </c>
      <c r="I1707" s="15">
        <v>0.0575302088747883</v>
      </c>
      <c r="J1707" s="15">
        <v>0.0720666150951349</v>
      </c>
      <c r="K1707" s="12">
        <f>AVERAGE(I1707:I1711)</f>
        <v>0.6462131352</v>
      </c>
      <c r="L1707" s="18">
        <v>97310.0</v>
      </c>
      <c r="M1707" s="14">
        <f>STDEV(L1707:L1711)</f>
        <v>38829.78937</v>
      </c>
      <c r="N1707" s="15" t="b">
        <f t="shared" si="1"/>
        <v>0</v>
      </c>
    </row>
    <row r="1708" hidden="1">
      <c r="A1708" s="7" t="s">
        <v>349</v>
      </c>
      <c r="B1708" s="7" t="s">
        <v>268</v>
      </c>
      <c r="C1708" s="7">
        <v>0.25</v>
      </c>
      <c r="D1708" s="7">
        <v>0.75</v>
      </c>
      <c r="E1708" s="7">
        <v>2.0</v>
      </c>
      <c r="F1708" s="7">
        <v>132.223404645919</v>
      </c>
      <c r="G1708" s="7">
        <v>191.696915149688</v>
      </c>
      <c r="H1708" s="7">
        <v>1.0</v>
      </c>
      <c r="I1708" s="15">
        <v>0.82889156264826</v>
      </c>
      <c r="J1708" s="15">
        <v>0.0975720232952915</v>
      </c>
      <c r="K1708" s="12">
        <f>AVERAGE(I1707:I1711)</f>
        <v>0.6462131352</v>
      </c>
      <c r="L1708" s="18">
        <v>7439.0</v>
      </c>
      <c r="M1708" s="14">
        <f>STDEV(L1707:L1711)</f>
        <v>38829.78937</v>
      </c>
      <c r="N1708" s="15" t="b">
        <f t="shared" si="1"/>
        <v>0</v>
      </c>
    </row>
    <row r="1709" hidden="1">
      <c r="A1709" s="7" t="s">
        <v>349</v>
      </c>
      <c r="B1709" s="7" t="s">
        <v>268</v>
      </c>
      <c r="C1709" s="7">
        <v>0.25</v>
      </c>
      <c r="D1709" s="7">
        <v>0.75</v>
      </c>
      <c r="E1709" s="7">
        <v>2.0</v>
      </c>
      <c r="F1709" s="7">
        <v>132.223404645919</v>
      </c>
      <c r="G1709" s="7">
        <v>191.696915149688</v>
      </c>
      <c r="H1709" s="7">
        <v>2.0</v>
      </c>
      <c r="I1709" s="15">
        <v>0.772595788208826</v>
      </c>
      <c r="J1709" s="15">
        <v>0.122172639495529</v>
      </c>
      <c r="K1709" s="12">
        <f>AVERAGE(I1707:I1711)</f>
        <v>0.6462131352</v>
      </c>
      <c r="L1709" s="18">
        <v>15584.0</v>
      </c>
      <c r="M1709" s="14">
        <f>STDEV(L1707:L1711)</f>
        <v>38829.78937</v>
      </c>
      <c r="N1709" s="15" t="b">
        <f t="shared" si="1"/>
        <v>0</v>
      </c>
    </row>
    <row r="1710" hidden="1">
      <c r="A1710" s="7" t="s">
        <v>349</v>
      </c>
      <c r="B1710" s="7" t="s">
        <v>268</v>
      </c>
      <c r="C1710" s="7">
        <v>0.25</v>
      </c>
      <c r="D1710" s="7">
        <v>0.75</v>
      </c>
      <c r="E1710" s="7">
        <v>2.0</v>
      </c>
      <c r="F1710" s="7">
        <v>132.223404645919</v>
      </c>
      <c r="G1710" s="7">
        <v>191.696915149688</v>
      </c>
      <c r="H1710" s="7">
        <v>3.0</v>
      </c>
      <c r="I1710" s="15">
        <v>0.763424033375372</v>
      </c>
      <c r="J1710" s="15">
        <v>0.132984765515894</v>
      </c>
      <c r="K1710" s="12">
        <f>AVERAGE(I1707:I1711)</f>
        <v>0.6462131352</v>
      </c>
      <c r="L1710" s="18">
        <v>15683.0</v>
      </c>
      <c r="M1710" s="14">
        <f>STDEV(L1707:L1711)</f>
        <v>38829.78937</v>
      </c>
      <c r="N1710" s="15" t="b">
        <f t="shared" si="1"/>
        <v>0</v>
      </c>
    </row>
    <row r="1711" hidden="1">
      <c r="A1711" s="7" t="s">
        <v>349</v>
      </c>
      <c r="B1711" s="7" t="s">
        <v>268</v>
      </c>
      <c r="C1711" s="7">
        <v>0.25</v>
      </c>
      <c r="D1711" s="7">
        <v>0.75</v>
      </c>
      <c r="E1711" s="7">
        <v>2.0</v>
      </c>
      <c r="F1711" s="7">
        <v>132.223404645919</v>
      </c>
      <c r="G1711" s="7">
        <v>191.696915149688</v>
      </c>
      <c r="H1711" s="7">
        <v>4.0</v>
      </c>
      <c r="I1711" s="15">
        <v>0.808624083105214</v>
      </c>
      <c r="J1711" s="15">
        <v>0.123235018098218</v>
      </c>
      <c r="K1711" s="12">
        <f>AVERAGE(I1707:I1711)</f>
        <v>0.6462131352</v>
      </c>
      <c r="L1711" s="18">
        <v>5660.0</v>
      </c>
      <c r="M1711" s="14">
        <f>STDEV(L1707:L1711)</f>
        <v>38829.78937</v>
      </c>
      <c r="N1711" s="15" t="b">
        <f t="shared" si="1"/>
        <v>0</v>
      </c>
    </row>
    <row r="1712" hidden="1">
      <c r="A1712" s="7" t="s">
        <v>350</v>
      </c>
      <c r="B1712" s="7" t="s">
        <v>268</v>
      </c>
      <c r="C1712" s="7">
        <v>0.25</v>
      </c>
      <c r="D1712" s="7">
        <v>0.75</v>
      </c>
      <c r="E1712" s="7">
        <v>3.0</v>
      </c>
      <c r="F1712" s="7">
        <v>152.165725708007</v>
      </c>
      <c r="G1712" s="7">
        <v>420.170732975006</v>
      </c>
      <c r="H1712" s="7">
        <v>0.0</v>
      </c>
      <c r="I1712" s="15">
        <v>0.182453515511741</v>
      </c>
      <c r="J1712" s="15">
        <v>0.120774622429317</v>
      </c>
      <c r="K1712" s="12">
        <f>AVERAGE(I1712:I1716)</f>
        <v>0.5267856909</v>
      </c>
      <c r="L1712" s="18">
        <v>47477.0</v>
      </c>
      <c r="M1712" s="14">
        <f>STDEV(L1712:L1716)</f>
        <v>29578.32803</v>
      </c>
      <c r="N1712" s="15" t="b">
        <f t="shared" si="1"/>
        <v>0</v>
      </c>
    </row>
    <row r="1713" hidden="1">
      <c r="A1713" s="7" t="s">
        <v>350</v>
      </c>
      <c r="B1713" s="7" t="s">
        <v>268</v>
      </c>
      <c r="C1713" s="7">
        <v>0.25</v>
      </c>
      <c r="D1713" s="7">
        <v>0.75</v>
      </c>
      <c r="E1713" s="7">
        <v>3.0</v>
      </c>
      <c r="F1713" s="7">
        <v>152.165725708007</v>
      </c>
      <c r="G1713" s="7">
        <v>420.170732975006</v>
      </c>
      <c r="H1713" s="7">
        <v>1.0</v>
      </c>
      <c r="I1713" s="15">
        <v>0.811948563164839</v>
      </c>
      <c r="J1713" s="15">
        <v>0.0794322499425991</v>
      </c>
      <c r="K1713" s="12">
        <f>AVERAGE(I1712:I1716)</f>
        <v>0.5267856909</v>
      </c>
      <c r="L1713" s="18">
        <v>4053.0</v>
      </c>
      <c r="M1713" s="14">
        <f>STDEV(L1712:L1716)</f>
        <v>29578.32803</v>
      </c>
      <c r="N1713" s="15" t="b">
        <f t="shared" si="1"/>
        <v>0</v>
      </c>
    </row>
    <row r="1714" hidden="1">
      <c r="A1714" s="7" t="s">
        <v>350</v>
      </c>
      <c r="B1714" s="7" t="s">
        <v>268</v>
      </c>
      <c r="C1714" s="7">
        <v>0.25</v>
      </c>
      <c r="D1714" s="7">
        <v>0.75</v>
      </c>
      <c r="E1714" s="7">
        <v>3.0</v>
      </c>
      <c r="F1714" s="7">
        <v>152.165725708007</v>
      </c>
      <c r="G1714" s="7">
        <v>420.170732975006</v>
      </c>
      <c r="H1714" s="7">
        <v>2.0</v>
      </c>
      <c r="I1714" s="15">
        <v>0.807551139639601</v>
      </c>
      <c r="J1714" s="15">
        <v>0.117825269084501</v>
      </c>
      <c r="K1714" s="12">
        <f>AVERAGE(I1712:I1716)</f>
        <v>0.5267856909</v>
      </c>
      <c r="L1714" s="18">
        <v>5703.0</v>
      </c>
      <c r="M1714" s="14">
        <f>STDEV(L1712:L1716)</f>
        <v>29578.32803</v>
      </c>
      <c r="N1714" s="15" t="b">
        <f t="shared" si="1"/>
        <v>0</v>
      </c>
    </row>
    <row r="1715" hidden="1">
      <c r="A1715" s="7" t="s">
        <v>350</v>
      </c>
      <c r="B1715" s="7" t="s">
        <v>268</v>
      </c>
      <c r="C1715" s="7">
        <v>0.25</v>
      </c>
      <c r="D1715" s="7">
        <v>0.75</v>
      </c>
      <c r="E1715" s="7">
        <v>3.0</v>
      </c>
      <c r="F1715" s="7">
        <v>152.165725708007</v>
      </c>
      <c r="G1715" s="7">
        <v>420.170732975006</v>
      </c>
      <c r="H1715" s="7">
        <v>3.0</v>
      </c>
      <c r="I1715" s="15">
        <v>0.721448669808626</v>
      </c>
      <c r="J1715" s="15">
        <v>0.142920244465774</v>
      </c>
      <c r="K1715" s="12">
        <f>AVERAGE(I1712:I1716)</f>
        <v>0.5267856909</v>
      </c>
      <c r="L1715" s="18">
        <v>13537.0</v>
      </c>
      <c r="M1715" s="14">
        <f>STDEV(L1712:L1716)</f>
        <v>29578.32803</v>
      </c>
      <c r="N1715" s="15" t="b">
        <f t="shared" si="1"/>
        <v>0</v>
      </c>
    </row>
    <row r="1716" hidden="1">
      <c r="A1716" s="7" t="s">
        <v>350</v>
      </c>
      <c r="B1716" s="7" t="s">
        <v>268</v>
      </c>
      <c r="C1716" s="7">
        <v>0.25</v>
      </c>
      <c r="D1716" s="7">
        <v>0.75</v>
      </c>
      <c r="E1716" s="7">
        <v>3.0</v>
      </c>
      <c r="F1716" s="7">
        <v>152.165725708007</v>
      </c>
      <c r="G1716" s="7">
        <v>420.170732975006</v>
      </c>
      <c r="H1716" s="7">
        <v>4.0</v>
      </c>
      <c r="I1716" s="15">
        <v>0.110526566288949</v>
      </c>
      <c r="J1716" s="15">
        <v>0.0787976516744741</v>
      </c>
      <c r="K1716" s="12">
        <f>AVERAGE(I1712:I1716)</f>
        <v>0.5267856909</v>
      </c>
      <c r="L1716" s="18">
        <v>70906.0</v>
      </c>
      <c r="M1716" s="14">
        <f>STDEV(L1712:L1716)</f>
        <v>29578.32803</v>
      </c>
      <c r="N1716" s="15" t="b">
        <f t="shared" si="1"/>
        <v>0</v>
      </c>
    </row>
    <row r="1717" hidden="1">
      <c r="A1717" s="7" t="s">
        <v>351</v>
      </c>
      <c r="B1717" s="7" t="s">
        <v>268</v>
      </c>
      <c r="C1717" s="7">
        <v>0.25</v>
      </c>
      <c r="D1717" s="7">
        <v>0.75</v>
      </c>
      <c r="E1717" s="7">
        <v>4.0</v>
      </c>
      <c r="F1717" s="7">
        <v>178.764079332351</v>
      </c>
      <c r="G1717" s="7">
        <v>470.85114789009</v>
      </c>
      <c r="H1717" s="7">
        <v>0.0</v>
      </c>
      <c r="I1717" s="15">
        <v>0.0665529686151971</v>
      </c>
      <c r="J1717" s="15">
        <v>0.0572365417314451</v>
      </c>
      <c r="K1717" s="12">
        <f>AVERAGE(I1717:I1721)</f>
        <v>0.550404614</v>
      </c>
      <c r="L1717" s="18">
        <v>93730.0</v>
      </c>
      <c r="M1717" s="14">
        <f>STDEV(L1717:L1721)</f>
        <v>36951.68452</v>
      </c>
      <c r="N1717" s="15" t="b">
        <f t="shared" si="1"/>
        <v>0</v>
      </c>
    </row>
    <row r="1718" hidden="1">
      <c r="A1718" s="7" t="s">
        <v>351</v>
      </c>
      <c r="B1718" s="7" t="s">
        <v>268</v>
      </c>
      <c r="C1718" s="7">
        <v>0.25</v>
      </c>
      <c r="D1718" s="7">
        <v>0.75</v>
      </c>
      <c r="E1718" s="7">
        <v>4.0</v>
      </c>
      <c r="F1718" s="7">
        <v>178.764079332351</v>
      </c>
      <c r="G1718" s="7">
        <v>470.85114789009</v>
      </c>
      <c r="H1718" s="7">
        <v>1.0</v>
      </c>
      <c r="I1718" s="15">
        <v>0.788696838319834</v>
      </c>
      <c r="J1718" s="15">
        <v>0.103682278290368</v>
      </c>
      <c r="K1718" s="12">
        <f>AVERAGE(I1717:I1721)</f>
        <v>0.550404614</v>
      </c>
      <c r="L1718" s="18">
        <v>18685.0</v>
      </c>
      <c r="M1718" s="14">
        <f>STDEV(L1717:L1721)</f>
        <v>36951.68452</v>
      </c>
      <c r="N1718" s="15" t="b">
        <f t="shared" si="1"/>
        <v>0</v>
      </c>
    </row>
    <row r="1719" hidden="1">
      <c r="A1719" s="7" t="s">
        <v>351</v>
      </c>
      <c r="B1719" s="7" t="s">
        <v>268</v>
      </c>
      <c r="C1719" s="7">
        <v>0.25</v>
      </c>
      <c r="D1719" s="7">
        <v>0.75</v>
      </c>
      <c r="E1719" s="7">
        <v>4.0</v>
      </c>
      <c r="F1719" s="7">
        <v>178.764079332351</v>
      </c>
      <c r="G1719" s="7">
        <v>470.85114789009</v>
      </c>
      <c r="H1719" s="7">
        <v>2.0</v>
      </c>
      <c r="I1719" s="15">
        <v>0.724358617005264</v>
      </c>
      <c r="J1719" s="15">
        <v>0.14166669517222</v>
      </c>
      <c r="K1719" s="12">
        <f>AVERAGE(I1717:I1721)</f>
        <v>0.550404614</v>
      </c>
      <c r="L1719" s="18">
        <v>13414.0</v>
      </c>
      <c r="M1719" s="14">
        <f>STDEV(L1717:L1721)</f>
        <v>36951.68452</v>
      </c>
      <c r="N1719" s="15" t="b">
        <f t="shared" si="1"/>
        <v>0</v>
      </c>
    </row>
    <row r="1720" hidden="1">
      <c r="A1720" s="7" t="s">
        <v>351</v>
      </c>
      <c r="B1720" s="7" t="s">
        <v>268</v>
      </c>
      <c r="C1720" s="7">
        <v>0.25</v>
      </c>
      <c r="D1720" s="7">
        <v>0.75</v>
      </c>
      <c r="E1720" s="7">
        <v>4.0</v>
      </c>
      <c r="F1720" s="7">
        <v>178.764079332351</v>
      </c>
      <c r="G1720" s="7">
        <v>470.85114789009</v>
      </c>
      <c r="H1720" s="7">
        <v>3.0</v>
      </c>
      <c r="I1720" s="15">
        <v>0.720393518563242</v>
      </c>
      <c r="J1720" s="15">
        <v>0.149375612613879</v>
      </c>
      <c r="K1720" s="12">
        <f>AVERAGE(I1717:I1721)</f>
        <v>0.550404614</v>
      </c>
      <c r="L1720" s="18">
        <v>3670.0</v>
      </c>
      <c r="M1720" s="14">
        <f>STDEV(L1717:L1721)</f>
        <v>36951.68452</v>
      </c>
      <c r="N1720" s="15" t="b">
        <f t="shared" si="1"/>
        <v>0</v>
      </c>
    </row>
    <row r="1721" hidden="1">
      <c r="A1721" s="7" t="s">
        <v>351</v>
      </c>
      <c r="B1721" s="7" t="s">
        <v>268</v>
      </c>
      <c r="C1721" s="7">
        <v>0.25</v>
      </c>
      <c r="D1721" s="7">
        <v>0.75</v>
      </c>
      <c r="E1721" s="7">
        <v>4.0</v>
      </c>
      <c r="F1721" s="7">
        <v>178.764079332351</v>
      </c>
      <c r="G1721" s="7">
        <v>470.85114789009</v>
      </c>
      <c r="H1721" s="7">
        <v>4.0</v>
      </c>
      <c r="I1721" s="15">
        <v>0.45202112746879</v>
      </c>
      <c r="J1721" s="15">
        <v>0.24755120174779</v>
      </c>
      <c r="K1721" s="12">
        <f>AVERAGE(I1717:I1721)</f>
        <v>0.550404614</v>
      </c>
      <c r="L1721" s="18">
        <v>12177.0</v>
      </c>
      <c r="M1721" s="14">
        <f>STDEV(L1717:L1721)</f>
        <v>36951.68452</v>
      </c>
      <c r="N1721" s="15" t="b">
        <f t="shared" si="1"/>
        <v>0</v>
      </c>
    </row>
    <row r="1722" hidden="1">
      <c r="A1722" s="7" t="s">
        <v>352</v>
      </c>
      <c r="B1722" s="7" t="s">
        <v>268</v>
      </c>
      <c r="C1722" s="7">
        <v>0.25</v>
      </c>
      <c r="D1722" s="7">
        <v>0.75</v>
      </c>
      <c r="E1722" s="7">
        <v>5.0</v>
      </c>
      <c r="F1722" s="7">
        <v>170.810353994369</v>
      </c>
      <c r="G1722" s="7">
        <v>401.159892082214</v>
      </c>
      <c r="H1722" s="7">
        <v>0.0</v>
      </c>
      <c r="I1722" s="15">
        <v>0.0648256390486749</v>
      </c>
      <c r="J1722" s="15">
        <v>0.0693494475377709</v>
      </c>
      <c r="K1722" s="12">
        <f>AVERAGE(I1722:I1726)</f>
        <v>0.4889870711</v>
      </c>
      <c r="L1722" s="18">
        <v>64178.0</v>
      </c>
      <c r="M1722" s="14">
        <f>STDEV(L1722:L1726)</f>
        <v>25157.19927</v>
      </c>
      <c r="N1722" s="15" t="b">
        <f t="shared" si="1"/>
        <v>0</v>
      </c>
    </row>
    <row r="1723" hidden="1">
      <c r="A1723" s="7" t="s">
        <v>352</v>
      </c>
      <c r="B1723" s="7" t="s">
        <v>268</v>
      </c>
      <c r="C1723" s="7">
        <v>0.25</v>
      </c>
      <c r="D1723" s="7">
        <v>0.75</v>
      </c>
      <c r="E1723" s="7">
        <v>5.0</v>
      </c>
      <c r="F1723" s="7">
        <v>170.810353994369</v>
      </c>
      <c r="G1723" s="7">
        <v>401.159892082214</v>
      </c>
      <c r="H1723" s="7">
        <v>1.0</v>
      </c>
      <c r="I1723" s="15">
        <v>0.248965972098452</v>
      </c>
      <c r="J1723" s="15">
        <v>0.119978306018964</v>
      </c>
      <c r="K1723" s="12">
        <f>AVERAGE(I1722:I1726)</f>
        <v>0.4889870711</v>
      </c>
      <c r="L1723" s="18">
        <v>34923.0</v>
      </c>
      <c r="M1723" s="14">
        <f>STDEV(L1722:L1726)</f>
        <v>25157.19927</v>
      </c>
      <c r="N1723" s="15" t="b">
        <f t="shared" si="1"/>
        <v>0</v>
      </c>
    </row>
    <row r="1724" hidden="1">
      <c r="A1724" s="7" t="s">
        <v>352</v>
      </c>
      <c r="B1724" s="7" t="s">
        <v>268</v>
      </c>
      <c r="C1724" s="7">
        <v>0.25</v>
      </c>
      <c r="D1724" s="7">
        <v>0.75</v>
      </c>
      <c r="E1724" s="7">
        <v>5.0</v>
      </c>
      <c r="F1724" s="7">
        <v>170.810353994369</v>
      </c>
      <c r="G1724" s="7">
        <v>401.159892082214</v>
      </c>
      <c r="H1724" s="7">
        <v>2.0</v>
      </c>
      <c r="I1724" s="15">
        <v>0.396046603721409</v>
      </c>
      <c r="J1724" s="15">
        <v>0.0605310457530732</v>
      </c>
      <c r="K1724" s="12">
        <f>AVERAGE(I1722:I1726)</f>
        <v>0.4889870711</v>
      </c>
      <c r="L1724" s="18">
        <v>34085.0</v>
      </c>
      <c r="M1724" s="14">
        <f>STDEV(L1722:L1726)</f>
        <v>25157.19927</v>
      </c>
      <c r="N1724" s="15" t="b">
        <f t="shared" si="1"/>
        <v>0</v>
      </c>
    </row>
    <row r="1725" hidden="1">
      <c r="A1725" s="7" t="s">
        <v>352</v>
      </c>
      <c r="B1725" s="7" t="s">
        <v>268</v>
      </c>
      <c r="C1725" s="7">
        <v>0.25</v>
      </c>
      <c r="D1725" s="7">
        <v>0.75</v>
      </c>
      <c r="E1725" s="7">
        <v>5.0</v>
      </c>
      <c r="F1725" s="7">
        <v>170.810353994369</v>
      </c>
      <c r="G1725" s="7">
        <v>401.159892082214</v>
      </c>
      <c r="H1725" s="7">
        <v>3.0</v>
      </c>
      <c r="I1725" s="15">
        <v>0.912452374827024</v>
      </c>
      <c r="J1725" s="15">
        <v>0.0353296188852442</v>
      </c>
      <c r="K1725" s="12">
        <f>AVERAGE(I1722:I1726)</f>
        <v>0.4889870711</v>
      </c>
      <c r="L1725" s="18">
        <v>2043.0</v>
      </c>
      <c r="M1725" s="14">
        <f>STDEV(L1722:L1726)</f>
        <v>25157.19927</v>
      </c>
      <c r="N1725" s="15" t="b">
        <f t="shared" si="1"/>
        <v>0</v>
      </c>
    </row>
    <row r="1726" hidden="1">
      <c r="A1726" s="7" t="s">
        <v>352</v>
      </c>
      <c r="B1726" s="7" t="s">
        <v>268</v>
      </c>
      <c r="C1726" s="7">
        <v>0.25</v>
      </c>
      <c r="D1726" s="7">
        <v>0.75</v>
      </c>
      <c r="E1726" s="7">
        <v>5.0</v>
      </c>
      <c r="F1726" s="7">
        <v>170.810353994369</v>
      </c>
      <c r="G1726" s="7">
        <v>401.159892082214</v>
      </c>
      <c r="H1726" s="7">
        <v>4.0</v>
      </c>
      <c r="I1726" s="15">
        <v>0.822644765989517</v>
      </c>
      <c r="J1726" s="15">
        <v>0.100262846765311</v>
      </c>
      <c r="K1726" s="12">
        <f>AVERAGE(I1722:I1726)</f>
        <v>0.4889870711</v>
      </c>
      <c r="L1726" s="18">
        <v>6447.0</v>
      </c>
      <c r="M1726" s="14">
        <f>STDEV(L1722:L1726)</f>
        <v>25157.19927</v>
      </c>
      <c r="N1726" s="15" t="b">
        <f t="shared" si="1"/>
        <v>0</v>
      </c>
    </row>
    <row r="1727" hidden="1">
      <c r="A1727" s="7" t="s">
        <v>353</v>
      </c>
      <c r="B1727" s="7" t="s">
        <v>268</v>
      </c>
      <c r="C1727" s="7">
        <v>0.25</v>
      </c>
      <c r="D1727" s="7">
        <v>0.75</v>
      </c>
      <c r="E1727" s="7">
        <v>6.0</v>
      </c>
      <c r="F1727" s="7">
        <v>151.043899297714</v>
      </c>
      <c r="G1727" s="7">
        <v>428.602163314819</v>
      </c>
      <c r="H1727" s="7">
        <v>0.0</v>
      </c>
      <c r="I1727" s="15">
        <v>0.790183641816776</v>
      </c>
      <c r="J1727" s="15">
        <v>0.10245403271301</v>
      </c>
      <c r="K1727" s="12">
        <f>AVERAGE(I1727:I1731)</f>
        <v>0.5652581083</v>
      </c>
      <c r="L1727" s="18">
        <v>18685.0</v>
      </c>
      <c r="M1727" s="14">
        <f>STDEV(L1727:L1731)</f>
        <v>37742.31015</v>
      </c>
      <c r="N1727" s="15" t="b">
        <f t="shared" si="1"/>
        <v>0</v>
      </c>
    </row>
    <row r="1728" hidden="1">
      <c r="A1728" s="7" t="s">
        <v>353</v>
      </c>
      <c r="B1728" s="7" t="s">
        <v>268</v>
      </c>
      <c r="C1728" s="7">
        <v>0.25</v>
      </c>
      <c r="D1728" s="7">
        <v>0.75</v>
      </c>
      <c r="E1728" s="7">
        <v>6.0</v>
      </c>
      <c r="F1728" s="7">
        <v>151.043899297714</v>
      </c>
      <c r="G1728" s="7">
        <v>428.602163314819</v>
      </c>
      <c r="H1728" s="7">
        <v>1.0</v>
      </c>
      <c r="I1728" s="15">
        <v>0.451217859786854</v>
      </c>
      <c r="J1728" s="15">
        <v>0.249908375264929</v>
      </c>
      <c r="K1728" s="12">
        <f>AVERAGE(I1727:I1731)</f>
        <v>0.5652581083</v>
      </c>
      <c r="L1728" s="18">
        <v>12162.0</v>
      </c>
      <c r="M1728" s="14">
        <f>STDEV(L1727:L1731)</f>
        <v>37742.31015</v>
      </c>
      <c r="N1728" s="15" t="b">
        <f t="shared" si="1"/>
        <v>0</v>
      </c>
    </row>
    <row r="1729" hidden="1">
      <c r="A1729" s="7" t="s">
        <v>353</v>
      </c>
      <c r="B1729" s="7" t="s">
        <v>268</v>
      </c>
      <c r="C1729" s="7">
        <v>0.25</v>
      </c>
      <c r="D1729" s="7">
        <v>0.75</v>
      </c>
      <c r="E1729" s="7">
        <v>6.0</v>
      </c>
      <c r="F1729" s="7">
        <v>151.043899297714</v>
      </c>
      <c r="G1729" s="7">
        <v>428.602163314819</v>
      </c>
      <c r="H1729" s="7">
        <v>2.0</v>
      </c>
      <c r="I1729" s="15">
        <v>0.76313448994502</v>
      </c>
      <c r="J1729" s="15">
        <v>0.135965940862216</v>
      </c>
      <c r="K1729" s="12">
        <f>AVERAGE(I1727:I1731)</f>
        <v>0.5652581083</v>
      </c>
      <c r="L1729" s="18">
        <v>7839.0</v>
      </c>
      <c r="M1729" s="14">
        <f>STDEV(L1727:L1731)</f>
        <v>37742.31015</v>
      </c>
      <c r="N1729" s="15" t="b">
        <f t="shared" si="1"/>
        <v>0</v>
      </c>
    </row>
    <row r="1730" hidden="1">
      <c r="A1730" s="7" t="s">
        <v>353</v>
      </c>
      <c r="B1730" s="7" t="s">
        <v>268</v>
      </c>
      <c r="C1730" s="7">
        <v>0.25</v>
      </c>
      <c r="D1730" s="7">
        <v>0.75</v>
      </c>
      <c r="E1730" s="7">
        <v>6.0</v>
      </c>
      <c r="F1730" s="7">
        <v>151.043899297714</v>
      </c>
      <c r="G1730" s="7">
        <v>428.602163314819</v>
      </c>
      <c r="H1730" s="7">
        <v>3.0</v>
      </c>
      <c r="I1730" s="15">
        <v>0.0708929499256452</v>
      </c>
      <c r="J1730" s="15">
        <v>0.0545787893990288</v>
      </c>
      <c r="K1730" s="12">
        <f>AVERAGE(I1727:I1731)</f>
        <v>0.5652581083</v>
      </c>
      <c r="L1730" s="18">
        <v>95372.0</v>
      </c>
      <c r="M1730" s="14">
        <f>STDEV(L1727:L1731)</f>
        <v>37742.31015</v>
      </c>
      <c r="N1730" s="15" t="b">
        <f t="shared" si="1"/>
        <v>0</v>
      </c>
    </row>
    <row r="1731" hidden="1">
      <c r="A1731" s="7" t="s">
        <v>353</v>
      </c>
      <c r="B1731" s="7" t="s">
        <v>268</v>
      </c>
      <c r="C1731" s="7">
        <v>0.25</v>
      </c>
      <c r="D1731" s="7">
        <v>0.75</v>
      </c>
      <c r="E1731" s="7">
        <v>6.0</v>
      </c>
      <c r="F1731" s="7">
        <v>151.043899297714</v>
      </c>
      <c r="G1731" s="7">
        <v>428.602163314819</v>
      </c>
      <c r="H1731" s="7">
        <v>4.0</v>
      </c>
      <c r="I1731" s="15">
        <v>0.750861599792312</v>
      </c>
      <c r="J1731" s="15">
        <v>0.132650582997229</v>
      </c>
      <c r="K1731" s="12">
        <f>AVERAGE(I1727:I1731)</f>
        <v>0.5652581083</v>
      </c>
      <c r="L1731" s="18">
        <v>7618.0</v>
      </c>
      <c r="M1731" s="14">
        <f>STDEV(L1727:L1731)</f>
        <v>37742.31015</v>
      </c>
      <c r="N1731" s="15" t="b">
        <f t="shared" si="1"/>
        <v>0</v>
      </c>
    </row>
    <row r="1732" hidden="1">
      <c r="A1732" s="7" t="s">
        <v>354</v>
      </c>
      <c r="B1732" s="7" t="s">
        <v>268</v>
      </c>
      <c r="C1732" s="7">
        <v>0.25</v>
      </c>
      <c r="D1732" s="7">
        <v>0.75</v>
      </c>
      <c r="E1732" s="7">
        <v>7.0</v>
      </c>
      <c r="F1732" s="7">
        <v>132.931052446365</v>
      </c>
      <c r="G1732" s="7">
        <v>393.192910909652</v>
      </c>
      <c r="H1732" s="7">
        <v>0.0</v>
      </c>
      <c r="I1732" s="15">
        <v>0.858333275604275</v>
      </c>
      <c r="J1732" s="15">
        <v>0.101892121081828</v>
      </c>
      <c r="K1732" s="12">
        <f>AVERAGE(I1732:I1736)</f>
        <v>0.5811809321</v>
      </c>
      <c r="L1732" s="18">
        <v>5161.0</v>
      </c>
      <c r="M1732" s="14">
        <f>STDEV(L1732:L1736)</f>
        <v>35602.94636</v>
      </c>
      <c r="N1732" s="15" t="b">
        <f t="shared" si="1"/>
        <v>0</v>
      </c>
    </row>
    <row r="1733" hidden="1">
      <c r="A1733" s="7" t="s">
        <v>354</v>
      </c>
      <c r="B1733" s="7" t="s">
        <v>268</v>
      </c>
      <c r="C1733" s="7">
        <v>0.25</v>
      </c>
      <c r="D1733" s="7">
        <v>0.75</v>
      </c>
      <c r="E1733" s="7">
        <v>7.0</v>
      </c>
      <c r="F1733" s="7">
        <v>132.931052446365</v>
      </c>
      <c r="G1733" s="7">
        <v>393.192910909652</v>
      </c>
      <c r="H1733" s="7">
        <v>1.0</v>
      </c>
      <c r="I1733" s="15">
        <v>0.403155808354166</v>
      </c>
      <c r="J1733" s="15">
        <v>0.0752089759015065</v>
      </c>
      <c r="K1733" s="12">
        <f>AVERAGE(I1732:I1736)</f>
        <v>0.5811809321</v>
      </c>
      <c r="L1733" s="18">
        <v>34223.0</v>
      </c>
      <c r="M1733" s="14">
        <f>STDEV(L1732:L1736)</f>
        <v>35602.94636</v>
      </c>
      <c r="N1733" s="15" t="b">
        <f t="shared" si="1"/>
        <v>0</v>
      </c>
    </row>
    <row r="1734" hidden="1">
      <c r="A1734" s="7" t="s">
        <v>354</v>
      </c>
      <c r="B1734" s="7" t="s">
        <v>268</v>
      </c>
      <c r="C1734" s="7">
        <v>0.25</v>
      </c>
      <c r="D1734" s="7">
        <v>0.75</v>
      </c>
      <c r="E1734" s="7">
        <v>7.0</v>
      </c>
      <c r="F1734" s="7">
        <v>132.931052446365</v>
      </c>
      <c r="G1734" s="7">
        <v>393.192910909652</v>
      </c>
      <c r="H1734" s="7">
        <v>2.0</v>
      </c>
      <c r="I1734" s="15">
        <v>0.751111202483635</v>
      </c>
      <c r="J1734" s="15">
        <v>0.133884602821298</v>
      </c>
      <c r="K1734" s="12">
        <f>AVERAGE(I1732:I1736)</f>
        <v>0.5811809321</v>
      </c>
      <c r="L1734" s="18">
        <v>7607.0</v>
      </c>
      <c r="M1734" s="14">
        <f>STDEV(L1732:L1736)</f>
        <v>35602.94636</v>
      </c>
      <c r="N1734" s="15" t="b">
        <f t="shared" si="1"/>
        <v>0</v>
      </c>
    </row>
    <row r="1735" hidden="1">
      <c r="A1735" s="7" t="s">
        <v>354</v>
      </c>
      <c r="B1735" s="7" t="s">
        <v>268</v>
      </c>
      <c r="C1735" s="7">
        <v>0.25</v>
      </c>
      <c r="D1735" s="7">
        <v>0.75</v>
      </c>
      <c r="E1735" s="7">
        <v>7.0</v>
      </c>
      <c r="F1735" s="7">
        <v>132.931052446365</v>
      </c>
      <c r="G1735" s="7">
        <v>393.192910909652</v>
      </c>
      <c r="H1735" s="7">
        <v>3.0</v>
      </c>
      <c r="I1735" s="15">
        <v>0.069597438965627</v>
      </c>
      <c r="J1735" s="15">
        <v>0.0736047095451674</v>
      </c>
      <c r="K1735" s="12">
        <f>AVERAGE(I1732:I1736)</f>
        <v>0.5811809321</v>
      </c>
      <c r="L1735" s="18">
        <v>88247.0</v>
      </c>
      <c r="M1735" s="14">
        <f>STDEV(L1732:L1736)</f>
        <v>35602.94636</v>
      </c>
      <c r="N1735" s="15" t="b">
        <f t="shared" si="1"/>
        <v>0</v>
      </c>
    </row>
    <row r="1736" hidden="1">
      <c r="A1736" s="7" t="s">
        <v>354</v>
      </c>
      <c r="B1736" s="7" t="s">
        <v>268</v>
      </c>
      <c r="C1736" s="7">
        <v>0.25</v>
      </c>
      <c r="D1736" s="7">
        <v>0.75</v>
      </c>
      <c r="E1736" s="7">
        <v>7.0</v>
      </c>
      <c r="F1736" s="7">
        <v>132.931052446365</v>
      </c>
      <c r="G1736" s="7">
        <v>393.192910909652</v>
      </c>
      <c r="H1736" s="7">
        <v>4.0</v>
      </c>
      <c r="I1736" s="15">
        <v>0.823706935133433</v>
      </c>
      <c r="J1736" s="15">
        <v>0.0991202790456166</v>
      </c>
      <c r="K1736" s="12">
        <f>AVERAGE(I1732:I1736)</f>
        <v>0.5811809321</v>
      </c>
      <c r="L1736" s="18">
        <v>6438.0</v>
      </c>
      <c r="M1736" s="14">
        <f>STDEV(L1732:L1736)</f>
        <v>35602.94636</v>
      </c>
      <c r="N1736" s="15" t="b">
        <f t="shared" si="1"/>
        <v>0</v>
      </c>
    </row>
    <row r="1737" hidden="1">
      <c r="A1737" s="7" t="s">
        <v>355</v>
      </c>
      <c r="B1737" s="7" t="s">
        <v>268</v>
      </c>
      <c r="C1737" s="7">
        <v>0.25</v>
      </c>
      <c r="D1737" s="7">
        <v>0.75</v>
      </c>
      <c r="E1737" s="7">
        <v>8.0</v>
      </c>
      <c r="F1737" s="7">
        <v>123.400032281875</v>
      </c>
      <c r="G1737" s="7">
        <v>371.159618377685</v>
      </c>
      <c r="H1737" s="7">
        <v>0.0</v>
      </c>
      <c r="I1737" s="15">
        <v>0.0687425709751285</v>
      </c>
      <c r="J1737" s="15">
        <v>0.0590857390978198</v>
      </c>
      <c r="K1737" s="12">
        <f>AVERAGE(I1737:I1741)</f>
        <v>0.5515665466</v>
      </c>
      <c r="L1737" s="18">
        <v>92673.0</v>
      </c>
      <c r="M1737" s="14">
        <f>STDEV(L1737:L1741)</f>
        <v>36074.99548</v>
      </c>
      <c r="N1737" s="15" t="b">
        <f t="shared" si="1"/>
        <v>0</v>
      </c>
    </row>
    <row r="1738" hidden="1">
      <c r="A1738" s="7" t="s">
        <v>355</v>
      </c>
      <c r="B1738" s="7" t="s">
        <v>268</v>
      </c>
      <c r="C1738" s="7">
        <v>0.25</v>
      </c>
      <c r="D1738" s="7">
        <v>0.75</v>
      </c>
      <c r="E1738" s="7">
        <v>8.0</v>
      </c>
      <c r="F1738" s="7">
        <v>123.400032281875</v>
      </c>
      <c r="G1738" s="7">
        <v>371.159618377685</v>
      </c>
      <c r="H1738" s="7">
        <v>1.0</v>
      </c>
      <c r="I1738" s="15">
        <v>0.715106698913611</v>
      </c>
      <c r="J1738" s="15">
        <v>0.153734773229272</v>
      </c>
      <c r="K1738" s="12">
        <f>AVERAGE(I1737:I1741)</f>
        <v>0.5515665466</v>
      </c>
      <c r="L1738" s="18">
        <v>13530.0</v>
      </c>
      <c r="M1738" s="14">
        <f>STDEV(L1737:L1741)</f>
        <v>36074.99548</v>
      </c>
      <c r="N1738" s="15" t="b">
        <f t="shared" si="1"/>
        <v>0</v>
      </c>
    </row>
    <row r="1739" hidden="1">
      <c r="A1739" s="7" t="s">
        <v>355</v>
      </c>
      <c r="B1739" s="7" t="s">
        <v>268</v>
      </c>
      <c r="C1739" s="7">
        <v>0.25</v>
      </c>
      <c r="D1739" s="7">
        <v>0.75</v>
      </c>
      <c r="E1739" s="7">
        <v>8.0</v>
      </c>
      <c r="F1739" s="7">
        <v>123.400032281875</v>
      </c>
      <c r="G1739" s="7">
        <v>371.159618377685</v>
      </c>
      <c r="H1739" s="7">
        <v>2.0</v>
      </c>
      <c r="I1739" s="15">
        <v>0.446634392866283</v>
      </c>
      <c r="J1739" s="15">
        <v>0.26361256449724</v>
      </c>
      <c r="K1739" s="12">
        <f>AVERAGE(I1737:I1741)</f>
        <v>0.5515665466</v>
      </c>
      <c r="L1739" s="18">
        <v>12154.0</v>
      </c>
      <c r="M1739" s="14">
        <f>STDEV(L1737:L1741)</f>
        <v>36074.99548</v>
      </c>
      <c r="N1739" s="15" t="b">
        <f t="shared" si="1"/>
        <v>0</v>
      </c>
    </row>
    <row r="1740" hidden="1">
      <c r="A1740" s="7" t="s">
        <v>355</v>
      </c>
      <c r="B1740" s="7" t="s">
        <v>268</v>
      </c>
      <c r="C1740" s="7">
        <v>0.25</v>
      </c>
      <c r="D1740" s="7">
        <v>0.75</v>
      </c>
      <c r="E1740" s="7">
        <v>8.0</v>
      </c>
      <c r="F1740" s="7">
        <v>123.400032281875</v>
      </c>
      <c r="G1740" s="7">
        <v>371.159618377685</v>
      </c>
      <c r="H1740" s="7">
        <v>3.0</v>
      </c>
      <c r="I1740" s="15">
        <v>0.765409474277289</v>
      </c>
      <c r="J1740" s="15">
        <v>0.135030271291906</v>
      </c>
      <c r="K1740" s="12">
        <f>AVERAGE(I1737:I1741)</f>
        <v>0.5515665466</v>
      </c>
      <c r="L1740" s="18">
        <v>15473.0</v>
      </c>
      <c r="M1740" s="14">
        <f>STDEV(L1737:L1741)</f>
        <v>36074.99548</v>
      </c>
      <c r="N1740" s="15" t="b">
        <f t="shared" si="1"/>
        <v>0</v>
      </c>
    </row>
    <row r="1741" hidden="1">
      <c r="A1741" s="7" t="s">
        <v>355</v>
      </c>
      <c r="B1741" s="7" t="s">
        <v>268</v>
      </c>
      <c r="C1741" s="7">
        <v>0.25</v>
      </c>
      <c r="D1741" s="7">
        <v>0.75</v>
      </c>
      <c r="E1741" s="7">
        <v>8.0</v>
      </c>
      <c r="F1741" s="7">
        <v>123.400032281875</v>
      </c>
      <c r="G1741" s="7">
        <v>371.159618377685</v>
      </c>
      <c r="H1741" s="7">
        <v>4.0</v>
      </c>
      <c r="I1741" s="15">
        <v>0.761939595847721</v>
      </c>
      <c r="J1741" s="15">
        <v>0.137900416647423</v>
      </c>
      <c r="K1741" s="12">
        <f>AVERAGE(I1737:I1741)</f>
        <v>0.5515665466</v>
      </c>
      <c r="L1741" s="18">
        <v>7846.0</v>
      </c>
      <c r="M1741" s="14">
        <f>STDEV(L1737:L1741)</f>
        <v>36074.99548</v>
      </c>
      <c r="N1741" s="15" t="b">
        <f t="shared" si="1"/>
        <v>0</v>
      </c>
    </row>
    <row r="1742" hidden="1">
      <c r="A1742" s="7" t="s">
        <v>356</v>
      </c>
      <c r="B1742" s="7" t="s">
        <v>268</v>
      </c>
      <c r="C1742" s="7">
        <v>0.25</v>
      </c>
      <c r="D1742" s="7">
        <v>0.75</v>
      </c>
      <c r="E1742" s="7">
        <v>9.0</v>
      </c>
      <c r="F1742" s="7">
        <v>177.455799818038</v>
      </c>
      <c r="G1742" s="7">
        <v>455.386838674545</v>
      </c>
      <c r="H1742" s="7">
        <v>0.0</v>
      </c>
      <c r="I1742" s="15">
        <v>0.737975973145848</v>
      </c>
      <c r="J1742" s="15">
        <v>0.155185291743858</v>
      </c>
      <c r="K1742" s="12">
        <f>AVERAGE(I1742:I1746)</f>
        <v>0.3805294812</v>
      </c>
      <c r="L1742" s="18">
        <v>1699.0</v>
      </c>
      <c r="M1742" s="14">
        <f>STDEV(L1742:L1746)</f>
        <v>27006.84179</v>
      </c>
      <c r="N1742" s="15" t="b">
        <f t="shared" si="1"/>
        <v>0</v>
      </c>
    </row>
    <row r="1743" hidden="1">
      <c r="A1743" s="7" t="s">
        <v>356</v>
      </c>
      <c r="B1743" s="7" t="s">
        <v>268</v>
      </c>
      <c r="C1743" s="7">
        <v>0.25</v>
      </c>
      <c r="D1743" s="7">
        <v>0.75</v>
      </c>
      <c r="E1743" s="7">
        <v>9.0</v>
      </c>
      <c r="F1743" s="7">
        <v>177.455799818038</v>
      </c>
      <c r="G1743" s="7">
        <v>455.386838674545</v>
      </c>
      <c r="H1743" s="7">
        <v>1.0</v>
      </c>
      <c r="I1743" s="15">
        <v>0.45381035392873</v>
      </c>
      <c r="J1743" s="15">
        <v>0.14733309751109</v>
      </c>
      <c r="K1743" s="12">
        <f>AVERAGE(I1742:I1746)</f>
        <v>0.3805294812</v>
      </c>
      <c r="L1743" s="18">
        <v>22925.0</v>
      </c>
      <c r="M1743" s="14">
        <f>STDEV(L1742:L1746)</f>
        <v>27006.84179</v>
      </c>
      <c r="N1743" s="15" t="b">
        <f t="shared" si="1"/>
        <v>0</v>
      </c>
    </row>
    <row r="1744" hidden="1">
      <c r="A1744" s="7" t="s">
        <v>356</v>
      </c>
      <c r="B1744" s="7" t="s">
        <v>268</v>
      </c>
      <c r="C1744" s="7">
        <v>0.25</v>
      </c>
      <c r="D1744" s="7">
        <v>0.75</v>
      </c>
      <c r="E1744" s="7">
        <v>9.0</v>
      </c>
      <c r="F1744" s="7">
        <v>177.455799818038</v>
      </c>
      <c r="G1744" s="7">
        <v>455.386838674545</v>
      </c>
      <c r="H1744" s="7">
        <v>2.0</v>
      </c>
      <c r="I1744" s="15">
        <v>0.311447262729729</v>
      </c>
      <c r="J1744" s="15">
        <v>0.140505001781874</v>
      </c>
      <c r="K1744" s="12">
        <f>AVERAGE(I1742:I1746)</f>
        <v>0.3805294812</v>
      </c>
      <c r="L1744" s="18">
        <v>25708.0</v>
      </c>
      <c r="M1744" s="14">
        <f>STDEV(L1742:L1746)</f>
        <v>27006.84179</v>
      </c>
      <c r="N1744" s="15" t="b">
        <f t="shared" si="1"/>
        <v>0</v>
      </c>
    </row>
    <row r="1745" hidden="1">
      <c r="A1745" s="7" t="s">
        <v>356</v>
      </c>
      <c r="B1745" s="7" t="s">
        <v>268</v>
      </c>
      <c r="C1745" s="7">
        <v>0.25</v>
      </c>
      <c r="D1745" s="7">
        <v>0.75</v>
      </c>
      <c r="E1745" s="7">
        <v>9.0</v>
      </c>
      <c r="F1745" s="7">
        <v>177.455799818038</v>
      </c>
      <c r="G1745" s="7">
        <v>455.386838674545</v>
      </c>
      <c r="H1745" s="7">
        <v>3.0</v>
      </c>
      <c r="I1745" s="15">
        <v>0.112590301806988</v>
      </c>
      <c r="J1745" s="15">
        <v>0.0793378191342572</v>
      </c>
      <c r="K1745" s="12">
        <f>AVERAGE(I1742:I1746)</f>
        <v>0.3805294812</v>
      </c>
      <c r="L1745" s="18">
        <v>73696.0</v>
      </c>
      <c r="M1745" s="14">
        <f>STDEV(L1742:L1746)</f>
        <v>27006.84179</v>
      </c>
      <c r="N1745" s="15" t="b">
        <f t="shared" si="1"/>
        <v>0</v>
      </c>
    </row>
    <row r="1746" hidden="1">
      <c r="A1746" s="7" t="s">
        <v>356</v>
      </c>
      <c r="B1746" s="7" t="s">
        <v>268</v>
      </c>
      <c r="C1746" s="7">
        <v>0.25</v>
      </c>
      <c r="D1746" s="7">
        <v>0.75</v>
      </c>
      <c r="E1746" s="7">
        <v>9.0</v>
      </c>
      <c r="F1746" s="7">
        <v>177.455799818038</v>
      </c>
      <c r="G1746" s="7">
        <v>455.386838674545</v>
      </c>
      <c r="H1746" s="7">
        <v>4.0</v>
      </c>
      <c r="I1746" s="15">
        <v>0.28682351429464</v>
      </c>
      <c r="J1746" s="15">
        <v>0.171713619038359</v>
      </c>
      <c r="K1746" s="12">
        <f>AVERAGE(I1742:I1746)</f>
        <v>0.3805294812</v>
      </c>
      <c r="L1746" s="18">
        <v>17648.0</v>
      </c>
      <c r="M1746" s="14">
        <f>STDEV(L1742:L1746)</f>
        <v>27006.84179</v>
      </c>
      <c r="N1746" s="15" t="b">
        <f t="shared" si="1"/>
        <v>0</v>
      </c>
    </row>
    <row r="1747" hidden="1">
      <c r="A1747" s="7" t="s">
        <v>357</v>
      </c>
      <c r="B1747" s="7" t="s">
        <v>268</v>
      </c>
      <c r="C1747" s="7">
        <v>0.25</v>
      </c>
      <c r="D1747" s="7">
        <v>0.75</v>
      </c>
      <c r="E1747" s="7">
        <v>10.0</v>
      </c>
      <c r="F1747" s="7">
        <v>128.583741426467</v>
      </c>
      <c r="G1747" s="7">
        <v>370.609188795089</v>
      </c>
      <c r="H1747" s="7">
        <v>0.0</v>
      </c>
      <c r="I1747" s="15">
        <v>0.828389648218724</v>
      </c>
      <c r="J1747" s="15">
        <v>0.0992565047714963</v>
      </c>
      <c r="K1747" s="12">
        <f>AVERAGE(I1747:I1751)</f>
        <v>0.4870080986</v>
      </c>
      <c r="L1747" s="18">
        <v>7451.0</v>
      </c>
      <c r="M1747" s="14">
        <f>STDEV(L1747:L1751)</f>
        <v>28877.48474</v>
      </c>
      <c r="N1747" s="15" t="b">
        <f t="shared" si="1"/>
        <v>0</v>
      </c>
    </row>
    <row r="1748" hidden="1">
      <c r="A1748" s="7" t="s">
        <v>357</v>
      </c>
      <c r="B1748" s="7" t="s">
        <v>268</v>
      </c>
      <c r="C1748" s="7">
        <v>0.25</v>
      </c>
      <c r="D1748" s="7">
        <v>0.75</v>
      </c>
      <c r="E1748" s="7">
        <v>10.0</v>
      </c>
      <c r="F1748" s="7">
        <v>128.583741426467</v>
      </c>
      <c r="G1748" s="7">
        <v>370.609188795089</v>
      </c>
      <c r="H1748" s="7">
        <v>1.0</v>
      </c>
      <c r="I1748" s="15">
        <v>0.20078336524342</v>
      </c>
      <c r="J1748" s="15">
        <v>0.0721237924988757</v>
      </c>
      <c r="K1748" s="12">
        <f>AVERAGE(I1747:I1751)</f>
        <v>0.4870080986</v>
      </c>
      <c r="L1748" s="18">
        <v>57670.0</v>
      </c>
      <c r="M1748" s="14">
        <f>STDEV(L1747:L1751)</f>
        <v>28877.48474</v>
      </c>
      <c r="N1748" s="15" t="b">
        <f t="shared" si="1"/>
        <v>0</v>
      </c>
    </row>
    <row r="1749" hidden="1">
      <c r="A1749" s="7" t="s">
        <v>357</v>
      </c>
      <c r="B1749" s="7" t="s">
        <v>268</v>
      </c>
      <c r="C1749" s="7">
        <v>0.25</v>
      </c>
      <c r="D1749" s="7">
        <v>0.75</v>
      </c>
      <c r="E1749" s="7">
        <v>10.0</v>
      </c>
      <c r="F1749" s="7">
        <v>128.583741426467</v>
      </c>
      <c r="G1749" s="7">
        <v>370.609188795089</v>
      </c>
      <c r="H1749" s="7">
        <v>2.0</v>
      </c>
      <c r="I1749" s="15">
        <v>0.438357351893422</v>
      </c>
      <c r="J1749" s="15">
        <v>0.23530778576389</v>
      </c>
      <c r="K1749" s="12">
        <f>AVERAGE(I1747:I1751)</f>
        <v>0.4870080986</v>
      </c>
      <c r="L1749" s="18">
        <v>12460.0</v>
      </c>
      <c r="M1749" s="14">
        <f>STDEV(L1747:L1751)</f>
        <v>28877.48474</v>
      </c>
      <c r="N1749" s="15" t="b">
        <f t="shared" si="1"/>
        <v>0</v>
      </c>
    </row>
    <row r="1750" hidden="1">
      <c r="A1750" s="7" t="s">
        <v>357</v>
      </c>
      <c r="B1750" s="7" t="s">
        <v>268</v>
      </c>
      <c r="C1750" s="7">
        <v>0.25</v>
      </c>
      <c r="D1750" s="7">
        <v>0.75</v>
      </c>
      <c r="E1750" s="7">
        <v>10.0</v>
      </c>
      <c r="F1750" s="7">
        <v>128.583741426467</v>
      </c>
      <c r="G1750" s="7">
        <v>370.609188795089</v>
      </c>
      <c r="H1750" s="7">
        <v>3.0</v>
      </c>
      <c r="I1750" s="15">
        <v>0.881709059730815</v>
      </c>
      <c r="J1750" s="15">
        <v>0.120695374728181</v>
      </c>
      <c r="K1750" s="12">
        <f>AVERAGE(I1747:I1751)</f>
        <v>0.4870080986</v>
      </c>
      <c r="L1750" s="18">
        <v>2388.0</v>
      </c>
      <c r="M1750" s="14">
        <f>STDEV(L1747:L1751)</f>
        <v>28877.48474</v>
      </c>
      <c r="N1750" s="15" t="b">
        <f t="shared" si="1"/>
        <v>0</v>
      </c>
    </row>
    <row r="1751" hidden="1">
      <c r="A1751" s="7" t="s">
        <v>357</v>
      </c>
      <c r="B1751" s="7" t="s">
        <v>268</v>
      </c>
      <c r="C1751" s="7">
        <v>0.25</v>
      </c>
      <c r="D1751" s="7">
        <v>0.75</v>
      </c>
      <c r="E1751" s="7">
        <v>10.0</v>
      </c>
      <c r="F1751" s="7">
        <v>128.583741426467</v>
      </c>
      <c r="G1751" s="7">
        <v>370.609188795089</v>
      </c>
      <c r="H1751" s="7">
        <v>4.0</v>
      </c>
      <c r="I1751" s="15">
        <v>0.0858010677424993</v>
      </c>
      <c r="J1751" s="15">
        <v>0.0681459500384427</v>
      </c>
      <c r="K1751" s="12">
        <f>AVERAGE(I1747:I1751)</f>
        <v>0.4870080986</v>
      </c>
      <c r="L1751" s="18">
        <v>61707.0</v>
      </c>
      <c r="M1751" s="14">
        <f>STDEV(L1747:L1751)</f>
        <v>28877.48474</v>
      </c>
      <c r="N1751" s="15" t="b">
        <f t="shared" si="1"/>
        <v>0</v>
      </c>
    </row>
    <row r="1752" hidden="1">
      <c r="A1752" s="7" t="s">
        <v>358</v>
      </c>
      <c r="B1752" s="7" t="s">
        <v>268</v>
      </c>
      <c r="C1752" s="7">
        <v>0.25</v>
      </c>
      <c r="D1752" s="7">
        <v>1.0</v>
      </c>
      <c r="E1752" s="7">
        <v>1.0</v>
      </c>
      <c r="F1752" s="7">
        <v>109.652988672256</v>
      </c>
      <c r="G1752" s="7">
        <v>363.559841156005</v>
      </c>
      <c r="H1752" s="7">
        <v>0.0</v>
      </c>
      <c r="I1752" s="15">
        <v>0.0661104784436509</v>
      </c>
      <c r="J1752" s="15">
        <v>0.0503014301313443</v>
      </c>
      <c r="K1752" s="12">
        <f>AVERAGE(I1752:I1756)</f>
        <v>0.600716978</v>
      </c>
      <c r="L1752" s="18">
        <v>104014.0</v>
      </c>
      <c r="M1752" s="14">
        <f>STDEV(L1752:L1756)</f>
        <v>42620.31256</v>
      </c>
      <c r="N1752" s="15" t="b">
        <f t="shared" si="1"/>
        <v>0</v>
      </c>
    </row>
    <row r="1753" hidden="1">
      <c r="A1753" s="7" t="s">
        <v>358</v>
      </c>
      <c r="B1753" s="7" t="s">
        <v>268</v>
      </c>
      <c r="C1753" s="7">
        <v>0.25</v>
      </c>
      <c r="D1753" s="7">
        <v>1.0</v>
      </c>
      <c r="E1753" s="7">
        <v>1.0</v>
      </c>
      <c r="F1753" s="7">
        <v>109.652988672256</v>
      </c>
      <c r="G1753" s="7">
        <v>363.559841156005</v>
      </c>
      <c r="H1753" s="7">
        <v>1.0</v>
      </c>
      <c r="I1753" s="15">
        <v>0.827171211039276</v>
      </c>
      <c r="J1753" s="15">
        <v>0.0998785491528824</v>
      </c>
      <c r="K1753" s="12">
        <f>AVERAGE(I1752:I1756)</f>
        <v>0.600716978</v>
      </c>
      <c r="L1753" s="18">
        <v>7464.0</v>
      </c>
      <c r="M1753" s="14">
        <f>STDEV(L1752:L1756)</f>
        <v>42620.31256</v>
      </c>
      <c r="N1753" s="15" t="b">
        <f t="shared" si="1"/>
        <v>0</v>
      </c>
    </row>
    <row r="1754" hidden="1">
      <c r="A1754" s="7" t="s">
        <v>358</v>
      </c>
      <c r="B1754" s="7" t="s">
        <v>268</v>
      </c>
      <c r="C1754" s="7">
        <v>0.25</v>
      </c>
      <c r="D1754" s="7">
        <v>1.0</v>
      </c>
      <c r="E1754" s="7">
        <v>1.0</v>
      </c>
      <c r="F1754" s="7">
        <v>109.652988672256</v>
      </c>
      <c r="G1754" s="7">
        <v>363.559841156005</v>
      </c>
      <c r="H1754" s="7">
        <v>2.0</v>
      </c>
      <c r="I1754" s="15">
        <v>0.43474778880015</v>
      </c>
      <c r="J1754" s="15">
        <v>0.244109967133323</v>
      </c>
      <c r="K1754" s="12">
        <f>AVERAGE(I1752:I1756)</f>
        <v>0.600716978</v>
      </c>
      <c r="L1754" s="18">
        <v>12460.0</v>
      </c>
      <c r="M1754" s="14">
        <f>STDEV(L1752:L1756)</f>
        <v>42620.31256</v>
      </c>
      <c r="N1754" s="15" t="b">
        <f t="shared" si="1"/>
        <v>0</v>
      </c>
    </row>
    <row r="1755" hidden="1">
      <c r="A1755" s="7" t="s">
        <v>358</v>
      </c>
      <c r="B1755" s="7" t="s">
        <v>268</v>
      </c>
      <c r="C1755" s="7">
        <v>0.25</v>
      </c>
      <c r="D1755" s="7">
        <v>1.0</v>
      </c>
      <c r="E1755" s="7">
        <v>1.0</v>
      </c>
      <c r="F1755" s="7">
        <v>109.652988672256</v>
      </c>
      <c r="G1755" s="7">
        <v>363.559841156005</v>
      </c>
      <c r="H1755" s="7">
        <v>3.0</v>
      </c>
      <c r="I1755" s="15">
        <v>0.762984864900586</v>
      </c>
      <c r="J1755" s="15">
        <v>0.133201375821275</v>
      </c>
      <c r="K1755" s="12">
        <f>AVERAGE(I1752:I1756)</f>
        <v>0.600716978</v>
      </c>
      <c r="L1755" s="18">
        <v>15695.0</v>
      </c>
      <c r="M1755" s="14">
        <f>STDEV(L1752:L1756)</f>
        <v>42620.31256</v>
      </c>
      <c r="N1755" s="15" t="b">
        <f t="shared" si="1"/>
        <v>0</v>
      </c>
    </row>
    <row r="1756" hidden="1">
      <c r="A1756" s="7" t="s">
        <v>358</v>
      </c>
      <c r="B1756" s="7" t="s">
        <v>268</v>
      </c>
      <c r="C1756" s="7">
        <v>0.25</v>
      </c>
      <c r="D1756" s="7">
        <v>1.0</v>
      </c>
      <c r="E1756" s="7">
        <v>1.0</v>
      </c>
      <c r="F1756" s="7">
        <v>109.652988672256</v>
      </c>
      <c r="G1756" s="7">
        <v>363.559841156005</v>
      </c>
      <c r="H1756" s="7">
        <v>4.0</v>
      </c>
      <c r="I1756" s="15">
        <v>0.912570546862925</v>
      </c>
      <c r="J1756" s="15">
        <v>0.0342503583493427</v>
      </c>
      <c r="K1756" s="12">
        <f>AVERAGE(I1752:I1756)</f>
        <v>0.600716978</v>
      </c>
      <c r="L1756" s="18">
        <v>2043.0</v>
      </c>
      <c r="M1756" s="14">
        <f>STDEV(L1752:L1756)</f>
        <v>42620.31256</v>
      </c>
      <c r="N1756" s="15" t="b">
        <f t="shared" si="1"/>
        <v>0</v>
      </c>
    </row>
    <row r="1757" hidden="1">
      <c r="A1757" s="7" t="s">
        <v>359</v>
      </c>
      <c r="B1757" s="7" t="s">
        <v>268</v>
      </c>
      <c r="C1757" s="7">
        <v>0.25</v>
      </c>
      <c r="D1757" s="7">
        <v>1.0</v>
      </c>
      <c r="E1757" s="7">
        <v>2.0</v>
      </c>
      <c r="F1757" s="7">
        <v>110.543283939361</v>
      </c>
      <c r="G1757" s="7">
        <v>387.534325361251</v>
      </c>
      <c r="H1757" s="7">
        <v>0.0</v>
      </c>
      <c r="I1757" s="15">
        <v>0.0455883733103622</v>
      </c>
      <c r="J1757" s="15">
        <v>0.0467183209016202</v>
      </c>
      <c r="K1757" s="12">
        <f>AVERAGE(I1757:I1761)</f>
        <v>0.5700334665</v>
      </c>
      <c r="L1757" s="18">
        <v>83697.0</v>
      </c>
      <c r="M1757" s="14">
        <f>STDEV(L1757:L1761)</f>
        <v>32991.91428</v>
      </c>
      <c r="N1757" s="15" t="b">
        <f t="shared" si="1"/>
        <v>0</v>
      </c>
    </row>
    <row r="1758" hidden="1">
      <c r="A1758" s="7" t="s">
        <v>359</v>
      </c>
      <c r="B1758" s="7" t="s">
        <v>268</v>
      </c>
      <c r="C1758" s="7">
        <v>0.25</v>
      </c>
      <c r="D1758" s="7">
        <v>1.0</v>
      </c>
      <c r="E1758" s="7">
        <v>2.0</v>
      </c>
      <c r="F1758" s="7">
        <v>110.543283939361</v>
      </c>
      <c r="G1758" s="7">
        <v>387.534325361251</v>
      </c>
      <c r="H1758" s="7">
        <v>1.0</v>
      </c>
      <c r="I1758" s="15">
        <v>0.82713324594718</v>
      </c>
      <c r="J1758" s="15">
        <v>0.0999339417200491</v>
      </c>
      <c r="K1758" s="12">
        <f>AVERAGE(I1757:I1761)</f>
        <v>0.5700334665</v>
      </c>
      <c r="L1758" s="18">
        <v>7464.0</v>
      </c>
      <c r="M1758" s="14">
        <f>STDEV(L1757:L1761)</f>
        <v>32991.91428</v>
      </c>
      <c r="N1758" s="15" t="b">
        <f t="shared" si="1"/>
        <v>0</v>
      </c>
    </row>
    <row r="1759" hidden="1">
      <c r="A1759" s="7" t="s">
        <v>359</v>
      </c>
      <c r="B1759" s="7" t="s">
        <v>268</v>
      </c>
      <c r="C1759" s="7">
        <v>0.25</v>
      </c>
      <c r="D1759" s="7">
        <v>1.0</v>
      </c>
      <c r="E1759" s="7">
        <v>2.0</v>
      </c>
      <c r="F1759" s="7">
        <v>110.543283939361</v>
      </c>
      <c r="G1759" s="7">
        <v>387.534325361251</v>
      </c>
      <c r="H1759" s="7">
        <v>2.0</v>
      </c>
      <c r="I1759" s="15">
        <v>0.789133950231353</v>
      </c>
      <c r="J1759" s="15">
        <v>0.0998871114461809</v>
      </c>
      <c r="K1759" s="12">
        <f>AVERAGE(I1757:I1761)</f>
        <v>0.5700334665</v>
      </c>
      <c r="L1759" s="18">
        <v>18663.0</v>
      </c>
      <c r="M1759" s="14">
        <f>STDEV(L1757:L1761)</f>
        <v>32991.91428</v>
      </c>
      <c r="N1759" s="15" t="b">
        <f t="shared" si="1"/>
        <v>0</v>
      </c>
    </row>
    <row r="1760" hidden="1">
      <c r="A1760" s="7" t="s">
        <v>359</v>
      </c>
      <c r="B1760" s="7" t="s">
        <v>268</v>
      </c>
      <c r="C1760" s="7">
        <v>0.25</v>
      </c>
      <c r="D1760" s="7">
        <v>1.0</v>
      </c>
      <c r="E1760" s="7">
        <v>2.0</v>
      </c>
      <c r="F1760" s="7">
        <v>110.543283939361</v>
      </c>
      <c r="G1760" s="7">
        <v>387.534325361251</v>
      </c>
      <c r="H1760" s="7">
        <v>3.0</v>
      </c>
      <c r="I1760" s="15">
        <v>0.392809958582557</v>
      </c>
      <c r="J1760" s="15">
        <v>0.08422574096487</v>
      </c>
      <c r="K1760" s="12">
        <f>AVERAGE(I1757:I1761)</f>
        <v>0.5700334665</v>
      </c>
      <c r="L1760" s="18">
        <v>30956.0</v>
      </c>
      <c r="M1760" s="14">
        <f>STDEV(L1757:L1761)</f>
        <v>32991.91428</v>
      </c>
      <c r="N1760" s="15" t="b">
        <f t="shared" si="1"/>
        <v>0</v>
      </c>
    </row>
    <row r="1761" hidden="1">
      <c r="A1761" s="7" t="s">
        <v>359</v>
      </c>
      <c r="B1761" s="7" t="s">
        <v>268</v>
      </c>
      <c r="C1761" s="7">
        <v>0.25</v>
      </c>
      <c r="D1761" s="7">
        <v>1.0</v>
      </c>
      <c r="E1761" s="7">
        <v>2.0</v>
      </c>
      <c r="F1761" s="7">
        <v>110.543283939361</v>
      </c>
      <c r="G1761" s="7">
        <v>387.534325361251</v>
      </c>
      <c r="H1761" s="7">
        <v>4.0</v>
      </c>
      <c r="I1761" s="15">
        <v>0.79550180450163</v>
      </c>
      <c r="J1761" s="15">
        <v>0.145838389644348</v>
      </c>
      <c r="K1761" s="12">
        <f>AVERAGE(I1757:I1761)</f>
        <v>0.5700334665</v>
      </c>
      <c r="L1761" s="18">
        <v>896.0</v>
      </c>
      <c r="M1761" s="14">
        <f>STDEV(L1757:L1761)</f>
        <v>32991.91428</v>
      </c>
      <c r="N1761" s="15" t="b">
        <f t="shared" si="1"/>
        <v>0</v>
      </c>
    </row>
    <row r="1762" hidden="1">
      <c r="A1762" s="7" t="s">
        <v>360</v>
      </c>
      <c r="B1762" s="7" t="s">
        <v>268</v>
      </c>
      <c r="C1762" s="7">
        <v>0.25</v>
      </c>
      <c r="D1762" s="7">
        <v>1.0</v>
      </c>
      <c r="E1762" s="7">
        <v>3.0</v>
      </c>
      <c r="F1762" s="7">
        <v>111.274337053298</v>
      </c>
      <c r="G1762" s="7">
        <v>266.76355266571</v>
      </c>
      <c r="H1762" s="7">
        <v>0.0</v>
      </c>
      <c r="I1762" s="15">
        <v>0.649108156753401</v>
      </c>
      <c r="J1762" s="15">
        <v>0.125147990868328</v>
      </c>
      <c r="K1762" s="12">
        <f>AVERAGE(I1762:I1766)</f>
        <v>0.6288883545</v>
      </c>
      <c r="L1762" s="18">
        <v>2334.0</v>
      </c>
      <c r="M1762" s="14">
        <f>STDEV(L1762:L1766)</f>
        <v>49951.75269</v>
      </c>
      <c r="N1762" s="15" t="b">
        <f t="shared" si="1"/>
        <v>0</v>
      </c>
    </row>
    <row r="1763" hidden="1">
      <c r="A1763" s="7" t="s">
        <v>360</v>
      </c>
      <c r="B1763" s="7" t="s">
        <v>268</v>
      </c>
      <c r="C1763" s="7">
        <v>0.25</v>
      </c>
      <c r="D1763" s="7">
        <v>1.0</v>
      </c>
      <c r="E1763" s="7">
        <v>3.0</v>
      </c>
      <c r="F1763" s="7">
        <v>111.274337053298</v>
      </c>
      <c r="G1763" s="7">
        <v>266.76355266571</v>
      </c>
      <c r="H1763" s="7">
        <v>1.0</v>
      </c>
      <c r="I1763" s="15">
        <v>0.764460879553517</v>
      </c>
      <c r="J1763" s="15">
        <v>0.136810785701945</v>
      </c>
      <c r="K1763" s="12">
        <f>AVERAGE(I1762:I1766)</f>
        <v>0.6288883545</v>
      </c>
      <c r="L1763" s="18">
        <v>7830.0</v>
      </c>
      <c r="M1763" s="14">
        <f>STDEV(L1762:L1766)</f>
        <v>49951.75269</v>
      </c>
      <c r="N1763" s="15" t="b">
        <f t="shared" si="1"/>
        <v>0</v>
      </c>
    </row>
    <row r="1764" hidden="1">
      <c r="A1764" s="7" t="s">
        <v>360</v>
      </c>
      <c r="B1764" s="7" t="s">
        <v>268</v>
      </c>
      <c r="C1764" s="7">
        <v>0.25</v>
      </c>
      <c r="D1764" s="7">
        <v>1.0</v>
      </c>
      <c r="E1764" s="7">
        <v>3.0</v>
      </c>
      <c r="F1764" s="7">
        <v>111.274337053298</v>
      </c>
      <c r="G1764" s="7">
        <v>266.76355266571</v>
      </c>
      <c r="H1764" s="7">
        <v>2.0</v>
      </c>
      <c r="I1764" s="15">
        <v>0.828449052591891</v>
      </c>
      <c r="J1764" s="15">
        <v>0.101683502219162</v>
      </c>
      <c r="K1764" s="12">
        <f>AVERAGE(I1762:I1766)</f>
        <v>0.6288883545</v>
      </c>
      <c r="L1764" s="18">
        <v>7459.0</v>
      </c>
      <c r="M1764" s="14">
        <f>STDEV(L1762:L1766)</f>
        <v>49951.75269</v>
      </c>
      <c r="N1764" s="15" t="b">
        <f t="shared" si="1"/>
        <v>0</v>
      </c>
    </row>
    <row r="1765" hidden="1">
      <c r="A1765" s="7" t="s">
        <v>360</v>
      </c>
      <c r="B1765" s="7" t="s">
        <v>268</v>
      </c>
      <c r="C1765" s="7">
        <v>0.25</v>
      </c>
      <c r="D1765" s="7">
        <v>1.0</v>
      </c>
      <c r="E1765" s="7">
        <v>3.0</v>
      </c>
      <c r="F1765" s="7">
        <v>111.274337053298</v>
      </c>
      <c r="G1765" s="7">
        <v>266.76355266571</v>
      </c>
      <c r="H1765" s="7">
        <v>3.0</v>
      </c>
      <c r="I1765" s="15">
        <v>0.822900418728099</v>
      </c>
      <c r="J1765" s="15">
        <v>0.103843723205664</v>
      </c>
      <c r="K1765" s="12">
        <f>AVERAGE(I1762:I1766)</f>
        <v>0.6288883545</v>
      </c>
      <c r="L1765" s="18">
        <v>6447.0</v>
      </c>
      <c r="M1765" s="14">
        <f>STDEV(L1762:L1766)</f>
        <v>49951.75269</v>
      </c>
      <c r="N1765" s="15" t="b">
        <f t="shared" si="1"/>
        <v>0</v>
      </c>
    </row>
    <row r="1766" hidden="1">
      <c r="A1766" s="7" t="s">
        <v>360</v>
      </c>
      <c r="B1766" s="7" t="s">
        <v>268</v>
      </c>
      <c r="C1766" s="7">
        <v>0.25</v>
      </c>
      <c r="D1766" s="7">
        <v>1.0</v>
      </c>
      <c r="E1766" s="7">
        <v>3.0</v>
      </c>
      <c r="F1766" s="7">
        <v>111.274337053298</v>
      </c>
      <c r="G1766" s="7">
        <v>266.76355266571</v>
      </c>
      <c r="H1766" s="7">
        <v>4.0</v>
      </c>
      <c r="I1766" s="15">
        <v>0.0795232649537548</v>
      </c>
      <c r="J1766" s="15">
        <v>0.0549144846021224</v>
      </c>
      <c r="K1766" s="12">
        <f>AVERAGE(I1762:I1766)</f>
        <v>0.6288883545</v>
      </c>
      <c r="L1766" s="18">
        <v>117606.0</v>
      </c>
      <c r="M1766" s="14">
        <f>STDEV(L1762:L1766)</f>
        <v>49951.75269</v>
      </c>
      <c r="N1766" s="15" t="b">
        <f t="shared" si="1"/>
        <v>0</v>
      </c>
    </row>
    <row r="1767" hidden="1">
      <c r="A1767" s="7" t="s">
        <v>361</v>
      </c>
      <c r="B1767" s="7" t="s">
        <v>268</v>
      </c>
      <c r="C1767" s="7">
        <v>0.25</v>
      </c>
      <c r="D1767" s="7">
        <v>1.0</v>
      </c>
      <c r="E1767" s="7">
        <v>4.0</v>
      </c>
      <c r="F1767" s="7">
        <v>100.115062952041</v>
      </c>
      <c r="G1767" s="7">
        <v>265.973017454147</v>
      </c>
      <c r="H1767" s="7">
        <v>0.0</v>
      </c>
      <c r="I1767" s="15">
        <v>0.432731293260077</v>
      </c>
      <c r="J1767" s="15">
        <v>0.2517323713994</v>
      </c>
      <c r="K1767" s="12">
        <f>AVERAGE(I1767:I1771)</f>
        <v>0.498400115</v>
      </c>
      <c r="L1767" s="18">
        <v>12445.0</v>
      </c>
      <c r="M1767" s="14">
        <f>STDEV(L1767:L1771)</f>
        <v>33019.78216</v>
      </c>
      <c r="N1767" s="15" t="b">
        <f t="shared" si="1"/>
        <v>0</v>
      </c>
    </row>
    <row r="1768" hidden="1">
      <c r="A1768" s="7" t="s">
        <v>361</v>
      </c>
      <c r="B1768" s="7" t="s">
        <v>268</v>
      </c>
      <c r="C1768" s="7">
        <v>0.25</v>
      </c>
      <c r="D1768" s="7">
        <v>1.0</v>
      </c>
      <c r="E1768" s="7">
        <v>4.0</v>
      </c>
      <c r="F1768" s="7">
        <v>100.115062952041</v>
      </c>
      <c r="G1768" s="7">
        <v>265.973017454147</v>
      </c>
      <c r="H1768" s="7">
        <v>1.0</v>
      </c>
      <c r="I1768" s="15">
        <v>0.827465528183481</v>
      </c>
      <c r="J1768" s="15">
        <v>0.0999294897691247</v>
      </c>
      <c r="K1768" s="12">
        <f>AVERAGE(I1767:I1771)</f>
        <v>0.498400115</v>
      </c>
      <c r="L1768" s="18">
        <v>7464.0</v>
      </c>
      <c r="M1768" s="14">
        <f>STDEV(L1767:L1771)</f>
        <v>33019.78216</v>
      </c>
      <c r="N1768" s="15" t="b">
        <f t="shared" si="1"/>
        <v>0</v>
      </c>
    </row>
    <row r="1769" hidden="1">
      <c r="A1769" s="7" t="s">
        <v>361</v>
      </c>
      <c r="B1769" s="7" t="s">
        <v>268</v>
      </c>
      <c r="C1769" s="7">
        <v>0.25</v>
      </c>
      <c r="D1769" s="7">
        <v>1.0</v>
      </c>
      <c r="E1769" s="7">
        <v>4.0</v>
      </c>
      <c r="F1769" s="7">
        <v>100.115062952041</v>
      </c>
      <c r="G1769" s="7">
        <v>265.973017454147</v>
      </c>
      <c r="H1769" s="7">
        <v>2.0</v>
      </c>
      <c r="I1769" s="15">
        <v>0.751841945334734</v>
      </c>
      <c r="J1769" s="15">
        <v>0.132228762750784</v>
      </c>
      <c r="K1769" s="12">
        <f>AVERAGE(I1767:I1771)</f>
        <v>0.498400115</v>
      </c>
      <c r="L1769" s="18">
        <v>7599.0</v>
      </c>
      <c r="M1769" s="14">
        <f>STDEV(L1767:L1771)</f>
        <v>33019.78216</v>
      </c>
      <c r="N1769" s="15" t="b">
        <f t="shared" si="1"/>
        <v>0</v>
      </c>
    </row>
    <row r="1770" hidden="1">
      <c r="A1770" s="7" t="s">
        <v>361</v>
      </c>
      <c r="B1770" s="7" t="s">
        <v>268</v>
      </c>
      <c r="C1770" s="7">
        <v>0.25</v>
      </c>
      <c r="D1770" s="7">
        <v>1.0</v>
      </c>
      <c r="E1770" s="7">
        <v>4.0</v>
      </c>
      <c r="F1770" s="7">
        <v>100.115062952041</v>
      </c>
      <c r="G1770" s="7">
        <v>265.973017454147</v>
      </c>
      <c r="H1770" s="7">
        <v>3.0</v>
      </c>
      <c r="I1770" s="15">
        <v>0.0805078008046613</v>
      </c>
      <c r="J1770" s="15">
        <v>0.0632961706329626</v>
      </c>
      <c r="K1770" s="12">
        <f>AVERAGE(I1767:I1771)</f>
        <v>0.498400115</v>
      </c>
      <c r="L1770" s="18">
        <v>85281.0</v>
      </c>
      <c r="M1770" s="14">
        <f>STDEV(L1767:L1771)</f>
        <v>33019.78216</v>
      </c>
      <c r="N1770" s="15" t="b">
        <f t="shared" si="1"/>
        <v>0</v>
      </c>
    </row>
    <row r="1771" hidden="1">
      <c r="A1771" s="7" t="s">
        <v>361</v>
      </c>
      <c r="B1771" s="7" t="s">
        <v>268</v>
      </c>
      <c r="C1771" s="7">
        <v>0.25</v>
      </c>
      <c r="D1771" s="7">
        <v>1.0</v>
      </c>
      <c r="E1771" s="7">
        <v>4.0</v>
      </c>
      <c r="F1771" s="7">
        <v>100.115062952041</v>
      </c>
      <c r="G1771" s="7">
        <v>265.973017454147</v>
      </c>
      <c r="H1771" s="7">
        <v>4.0</v>
      </c>
      <c r="I1771" s="15">
        <v>0.399454007368608</v>
      </c>
      <c r="J1771" s="15">
        <v>0.105048040329004</v>
      </c>
      <c r="K1771" s="12">
        <f>AVERAGE(I1767:I1771)</f>
        <v>0.498400115</v>
      </c>
      <c r="L1771" s="18">
        <v>28887.0</v>
      </c>
      <c r="M1771" s="14">
        <f>STDEV(L1767:L1771)</f>
        <v>33019.78216</v>
      </c>
      <c r="N1771" s="15" t="b">
        <f t="shared" si="1"/>
        <v>0</v>
      </c>
    </row>
    <row r="1772" hidden="1">
      <c r="A1772" s="7" t="s">
        <v>362</v>
      </c>
      <c r="B1772" s="7" t="s">
        <v>268</v>
      </c>
      <c r="C1772" s="7">
        <v>0.25</v>
      </c>
      <c r="D1772" s="7">
        <v>1.0</v>
      </c>
      <c r="E1772" s="7">
        <v>5.0</v>
      </c>
      <c r="F1772" s="7">
        <v>99.3994591236114</v>
      </c>
      <c r="G1772" s="7">
        <v>317.836824893951</v>
      </c>
      <c r="H1772" s="7">
        <v>0.0</v>
      </c>
      <c r="I1772" s="15">
        <v>0.432658597395417</v>
      </c>
      <c r="J1772" s="15">
        <v>0.261643255561919</v>
      </c>
      <c r="K1772" s="12">
        <f>AVERAGE(I1772:I1776)</f>
        <v>0.5617438818</v>
      </c>
      <c r="L1772" s="18">
        <v>12476.0</v>
      </c>
      <c r="M1772" s="14">
        <f>STDEV(L1772:L1776)</f>
        <v>46557.77853</v>
      </c>
      <c r="N1772" s="15" t="b">
        <f t="shared" si="1"/>
        <v>0</v>
      </c>
    </row>
    <row r="1773" hidden="1">
      <c r="A1773" s="7" t="s">
        <v>362</v>
      </c>
      <c r="B1773" s="7" t="s">
        <v>268</v>
      </c>
      <c r="C1773" s="7">
        <v>0.25</v>
      </c>
      <c r="D1773" s="7">
        <v>1.0</v>
      </c>
      <c r="E1773" s="7">
        <v>5.0</v>
      </c>
      <c r="F1773" s="7">
        <v>99.3994591236114</v>
      </c>
      <c r="G1773" s="7">
        <v>317.836824893951</v>
      </c>
      <c r="H1773" s="7">
        <v>1.0</v>
      </c>
      <c r="I1773" s="15">
        <v>0.0803743518977449</v>
      </c>
      <c r="J1773" s="15">
        <v>0.048782264826537</v>
      </c>
      <c r="K1773" s="12">
        <f>AVERAGE(I1772:I1776)</f>
        <v>0.5617438818</v>
      </c>
      <c r="L1773" s="18">
        <v>111427.0</v>
      </c>
      <c r="M1773" s="14">
        <f>STDEV(L1772:L1776)</f>
        <v>46557.77853</v>
      </c>
      <c r="N1773" s="15" t="b">
        <f t="shared" si="1"/>
        <v>0</v>
      </c>
    </row>
    <row r="1774" hidden="1">
      <c r="A1774" s="7" t="s">
        <v>362</v>
      </c>
      <c r="B1774" s="7" t="s">
        <v>268</v>
      </c>
      <c r="C1774" s="7">
        <v>0.25</v>
      </c>
      <c r="D1774" s="7">
        <v>1.0</v>
      </c>
      <c r="E1774" s="7">
        <v>5.0</v>
      </c>
      <c r="F1774" s="7">
        <v>99.3994591236114</v>
      </c>
      <c r="G1774" s="7">
        <v>317.836824893951</v>
      </c>
      <c r="H1774" s="7">
        <v>2.0</v>
      </c>
      <c r="I1774" s="15">
        <v>0.751440869329085</v>
      </c>
      <c r="J1774" s="15">
        <v>0.133351896489986</v>
      </c>
      <c r="K1774" s="12">
        <f>AVERAGE(I1772:I1776)</f>
        <v>0.5617438818</v>
      </c>
      <c r="L1774" s="18">
        <v>7618.0</v>
      </c>
      <c r="M1774" s="14">
        <f>STDEV(L1772:L1776)</f>
        <v>46557.77853</v>
      </c>
      <c r="N1774" s="15" t="b">
        <f t="shared" si="1"/>
        <v>0</v>
      </c>
    </row>
    <row r="1775" hidden="1">
      <c r="A1775" s="7" t="s">
        <v>362</v>
      </c>
      <c r="B1775" s="7" t="s">
        <v>268</v>
      </c>
      <c r="C1775" s="7">
        <v>0.25</v>
      </c>
      <c r="D1775" s="7">
        <v>1.0</v>
      </c>
      <c r="E1775" s="7">
        <v>5.0</v>
      </c>
      <c r="F1775" s="7">
        <v>99.3994591236114</v>
      </c>
      <c r="G1775" s="7">
        <v>317.836824893951</v>
      </c>
      <c r="H1775" s="7">
        <v>3.0</v>
      </c>
      <c r="I1775" s="15">
        <v>0.720184214699721</v>
      </c>
      <c r="J1775" s="15">
        <v>0.141128210335642</v>
      </c>
      <c r="K1775" s="12">
        <f>AVERAGE(I1772:I1776)</f>
        <v>0.5617438818</v>
      </c>
      <c r="L1775" s="18">
        <v>3717.0</v>
      </c>
      <c r="M1775" s="14">
        <f>STDEV(L1772:L1776)</f>
        <v>46557.77853</v>
      </c>
      <c r="N1775" s="15" t="b">
        <f t="shared" si="1"/>
        <v>0</v>
      </c>
    </row>
    <row r="1776" hidden="1">
      <c r="A1776" s="7" t="s">
        <v>362</v>
      </c>
      <c r="B1776" s="7" t="s">
        <v>268</v>
      </c>
      <c r="C1776" s="7">
        <v>0.25</v>
      </c>
      <c r="D1776" s="7">
        <v>1.0</v>
      </c>
      <c r="E1776" s="7">
        <v>5.0</v>
      </c>
      <c r="F1776" s="7">
        <v>99.3994591236114</v>
      </c>
      <c r="G1776" s="7">
        <v>317.836824893951</v>
      </c>
      <c r="H1776" s="7">
        <v>4.0</v>
      </c>
      <c r="I1776" s="15">
        <v>0.824061375836137</v>
      </c>
      <c r="J1776" s="15">
        <v>0.0998943410901323</v>
      </c>
      <c r="K1776" s="12">
        <f>AVERAGE(I1772:I1776)</f>
        <v>0.5617438818</v>
      </c>
      <c r="L1776" s="18">
        <v>6438.0</v>
      </c>
      <c r="M1776" s="14">
        <f>STDEV(L1772:L1776)</f>
        <v>46557.77853</v>
      </c>
      <c r="N1776" s="15" t="b">
        <f t="shared" si="1"/>
        <v>0</v>
      </c>
    </row>
    <row r="1777" hidden="1">
      <c r="A1777" s="7" t="s">
        <v>363</v>
      </c>
      <c r="B1777" s="7" t="s">
        <v>268</v>
      </c>
      <c r="C1777" s="7">
        <v>0.25</v>
      </c>
      <c r="D1777" s="7">
        <v>1.0</v>
      </c>
      <c r="E1777" s="7">
        <v>6.0</v>
      </c>
      <c r="F1777" s="7">
        <v>116.707978248596</v>
      </c>
      <c r="G1777" s="7">
        <v>407.004263401031</v>
      </c>
      <c r="H1777" s="7">
        <v>0.0</v>
      </c>
      <c r="I1777" s="15">
        <v>0.352262650034939</v>
      </c>
      <c r="J1777" s="15">
        <v>0.16100632074043</v>
      </c>
      <c r="K1777" s="12">
        <f>AVERAGE(I1777:I1781)</f>
        <v>0.455889719</v>
      </c>
      <c r="L1777" s="18">
        <v>29081.0</v>
      </c>
      <c r="M1777" s="14">
        <f>STDEV(L1777:L1781)</f>
        <v>30896.51079</v>
      </c>
      <c r="N1777" s="15" t="b">
        <f t="shared" si="1"/>
        <v>0</v>
      </c>
    </row>
    <row r="1778" hidden="1">
      <c r="A1778" s="7" t="s">
        <v>363</v>
      </c>
      <c r="B1778" s="7" t="s">
        <v>268</v>
      </c>
      <c r="C1778" s="7">
        <v>0.25</v>
      </c>
      <c r="D1778" s="7">
        <v>1.0</v>
      </c>
      <c r="E1778" s="7">
        <v>6.0</v>
      </c>
      <c r="F1778" s="7">
        <v>116.707978248596</v>
      </c>
      <c r="G1778" s="7">
        <v>407.004263401031</v>
      </c>
      <c r="H1778" s="7">
        <v>1.0</v>
      </c>
      <c r="I1778" s="15">
        <v>0.0963525029719579</v>
      </c>
      <c r="J1778" s="15">
        <v>0.0654731419191855</v>
      </c>
      <c r="K1778" s="12">
        <f>AVERAGE(I1777:I1781)</f>
        <v>0.455889719</v>
      </c>
      <c r="L1778" s="18">
        <v>80625.0</v>
      </c>
      <c r="M1778" s="14">
        <f>STDEV(L1777:L1781)</f>
        <v>30896.51079</v>
      </c>
      <c r="N1778" s="15" t="b">
        <f t="shared" si="1"/>
        <v>0</v>
      </c>
    </row>
    <row r="1779" hidden="1">
      <c r="A1779" s="7" t="s">
        <v>363</v>
      </c>
      <c r="B1779" s="7" t="s">
        <v>268</v>
      </c>
      <c r="C1779" s="7">
        <v>0.25</v>
      </c>
      <c r="D1779" s="7">
        <v>1.0</v>
      </c>
      <c r="E1779" s="7">
        <v>6.0</v>
      </c>
      <c r="F1779" s="7">
        <v>116.707978248596</v>
      </c>
      <c r="G1779" s="7">
        <v>407.004263401031</v>
      </c>
      <c r="H1779" s="7">
        <v>2.0</v>
      </c>
      <c r="I1779" s="15">
        <v>0.752510915312278</v>
      </c>
      <c r="J1779" s="15">
        <v>0.131643747143917</v>
      </c>
      <c r="K1779" s="12">
        <f>AVERAGE(I1777:I1781)</f>
        <v>0.455889719</v>
      </c>
      <c r="L1779" s="18">
        <v>7599.0</v>
      </c>
      <c r="M1779" s="14">
        <f>STDEV(L1777:L1781)</f>
        <v>30896.51079</v>
      </c>
      <c r="N1779" s="15" t="b">
        <f t="shared" si="1"/>
        <v>0</v>
      </c>
    </row>
    <row r="1780" hidden="1">
      <c r="A1780" s="7" t="s">
        <v>363</v>
      </c>
      <c r="B1780" s="7" t="s">
        <v>268</v>
      </c>
      <c r="C1780" s="7">
        <v>0.25</v>
      </c>
      <c r="D1780" s="7">
        <v>1.0</v>
      </c>
      <c r="E1780" s="7">
        <v>6.0</v>
      </c>
      <c r="F1780" s="7">
        <v>116.707978248596</v>
      </c>
      <c r="G1780" s="7">
        <v>407.004263401031</v>
      </c>
      <c r="H1780" s="7">
        <v>3.0</v>
      </c>
      <c r="I1780" s="15">
        <v>0.268792427503325</v>
      </c>
      <c r="J1780" s="15">
        <v>0.161914272613405</v>
      </c>
      <c r="K1780" s="12">
        <f>AVERAGE(I1777:I1781)</f>
        <v>0.455889719</v>
      </c>
      <c r="L1780" s="18">
        <v>20309.0</v>
      </c>
      <c r="M1780" s="14">
        <f>STDEV(L1777:L1781)</f>
        <v>30896.51079</v>
      </c>
      <c r="N1780" s="15" t="b">
        <f t="shared" si="1"/>
        <v>0</v>
      </c>
    </row>
    <row r="1781" hidden="1">
      <c r="A1781" s="7" t="s">
        <v>363</v>
      </c>
      <c r="B1781" s="7" t="s">
        <v>268</v>
      </c>
      <c r="C1781" s="7">
        <v>0.25</v>
      </c>
      <c r="D1781" s="7">
        <v>1.0</v>
      </c>
      <c r="E1781" s="7">
        <v>6.0</v>
      </c>
      <c r="F1781" s="7">
        <v>116.707978248596</v>
      </c>
      <c r="G1781" s="7">
        <v>407.004263401031</v>
      </c>
      <c r="H1781" s="7">
        <v>4.0</v>
      </c>
      <c r="I1781" s="15">
        <v>0.809530099050681</v>
      </c>
      <c r="J1781" s="15">
        <v>0.0844199796855787</v>
      </c>
      <c r="K1781" s="12">
        <f>AVERAGE(I1777:I1781)</f>
        <v>0.455889719</v>
      </c>
      <c r="L1781" s="18">
        <v>4062.0</v>
      </c>
      <c r="M1781" s="14">
        <f>STDEV(L1777:L1781)</f>
        <v>30896.51079</v>
      </c>
      <c r="N1781" s="15" t="b">
        <f t="shared" si="1"/>
        <v>0</v>
      </c>
    </row>
    <row r="1782" hidden="1">
      <c r="A1782" s="7" t="s">
        <v>364</v>
      </c>
      <c r="B1782" s="7" t="s">
        <v>268</v>
      </c>
      <c r="C1782" s="7">
        <v>0.25</v>
      </c>
      <c r="D1782" s="7">
        <v>1.0</v>
      </c>
      <c r="E1782" s="7">
        <v>7.0</v>
      </c>
      <c r="F1782" s="7">
        <v>118.466178655624</v>
      </c>
      <c r="G1782" s="7">
        <v>404.229379177093</v>
      </c>
      <c r="H1782" s="7">
        <v>0.0</v>
      </c>
      <c r="I1782" s="15">
        <v>0.752299386730007</v>
      </c>
      <c r="J1782" s="15">
        <v>0.132860439585239</v>
      </c>
      <c r="K1782" s="12">
        <f>AVERAGE(I1782:I1786)</f>
        <v>0.5757341319</v>
      </c>
      <c r="L1782" s="18">
        <v>7589.0</v>
      </c>
      <c r="M1782" s="14">
        <f>STDEV(L1782:L1786)</f>
        <v>35045.8427</v>
      </c>
      <c r="N1782" s="15" t="b">
        <f t="shared" si="1"/>
        <v>0</v>
      </c>
    </row>
    <row r="1783" hidden="1">
      <c r="A1783" s="7" t="s">
        <v>364</v>
      </c>
      <c r="B1783" s="7" t="s">
        <v>268</v>
      </c>
      <c r="C1783" s="7">
        <v>0.25</v>
      </c>
      <c r="D1783" s="7">
        <v>1.0</v>
      </c>
      <c r="E1783" s="7">
        <v>7.0</v>
      </c>
      <c r="F1783" s="7">
        <v>118.466178655624</v>
      </c>
      <c r="G1783" s="7">
        <v>404.229379177093</v>
      </c>
      <c r="H1783" s="7">
        <v>1.0</v>
      </c>
      <c r="I1783" s="15">
        <v>0.0657801881203578</v>
      </c>
      <c r="J1783" s="15">
        <v>0.0715229508122146</v>
      </c>
      <c r="K1783" s="12">
        <f>AVERAGE(I1782:I1786)</f>
        <v>0.5757341319</v>
      </c>
      <c r="L1783" s="18">
        <v>89617.0</v>
      </c>
      <c r="M1783" s="14">
        <f>STDEV(L1782:L1786)</f>
        <v>35045.8427</v>
      </c>
      <c r="N1783" s="15" t="b">
        <f t="shared" si="1"/>
        <v>0</v>
      </c>
    </row>
    <row r="1784" hidden="1">
      <c r="A1784" s="7" t="s">
        <v>364</v>
      </c>
      <c r="B1784" s="7" t="s">
        <v>268</v>
      </c>
      <c r="C1784" s="7">
        <v>0.25</v>
      </c>
      <c r="D1784" s="7">
        <v>1.0</v>
      </c>
      <c r="E1784" s="7">
        <v>7.0</v>
      </c>
      <c r="F1784" s="7">
        <v>118.466178655624</v>
      </c>
      <c r="G1784" s="7">
        <v>404.229379177093</v>
      </c>
      <c r="H1784" s="7">
        <v>2.0</v>
      </c>
      <c r="I1784" s="15">
        <v>0.456938848407149</v>
      </c>
      <c r="J1784" s="15">
        <v>0.153497312966019</v>
      </c>
      <c r="K1784" s="12">
        <f>AVERAGE(I1782:I1786)</f>
        <v>0.5757341319</v>
      </c>
      <c r="L1784" s="18">
        <v>21772.0</v>
      </c>
      <c r="M1784" s="14">
        <f>STDEV(L1782:L1786)</f>
        <v>35045.8427</v>
      </c>
      <c r="N1784" s="15" t="b">
        <f t="shared" si="1"/>
        <v>0</v>
      </c>
    </row>
    <row r="1785" hidden="1">
      <c r="A1785" s="7" t="s">
        <v>364</v>
      </c>
      <c r="B1785" s="7" t="s">
        <v>268</v>
      </c>
      <c r="C1785" s="7">
        <v>0.25</v>
      </c>
      <c r="D1785" s="7">
        <v>1.0</v>
      </c>
      <c r="E1785" s="7">
        <v>7.0</v>
      </c>
      <c r="F1785" s="7">
        <v>118.466178655624</v>
      </c>
      <c r="G1785" s="7">
        <v>404.229379177093</v>
      </c>
      <c r="H1785" s="7">
        <v>3.0</v>
      </c>
      <c r="I1785" s="15">
        <v>0.790101402053294</v>
      </c>
      <c r="J1785" s="15">
        <v>0.100035241658831</v>
      </c>
      <c r="K1785" s="12">
        <f>AVERAGE(I1782:I1786)</f>
        <v>0.5757341319</v>
      </c>
      <c r="L1785" s="18">
        <v>18658.0</v>
      </c>
      <c r="M1785" s="14">
        <f>STDEV(L1782:L1786)</f>
        <v>35045.8427</v>
      </c>
      <c r="N1785" s="15" t="b">
        <f t="shared" si="1"/>
        <v>0</v>
      </c>
    </row>
    <row r="1786" hidden="1">
      <c r="A1786" s="7" t="s">
        <v>364</v>
      </c>
      <c r="B1786" s="7" t="s">
        <v>268</v>
      </c>
      <c r="C1786" s="7">
        <v>0.25</v>
      </c>
      <c r="D1786" s="7">
        <v>1.0</v>
      </c>
      <c r="E1786" s="7">
        <v>7.0</v>
      </c>
      <c r="F1786" s="7">
        <v>118.466178655624</v>
      </c>
      <c r="G1786" s="7">
        <v>404.229379177093</v>
      </c>
      <c r="H1786" s="7">
        <v>4.0</v>
      </c>
      <c r="I1786" s="15">
        <v>0.813550834083599</v>
      </c>
      <c r="J1786" s="15">
        <v>0.0752806905878025</v>
      </c>
      <c r="K1786" s="12">
        <f>AVERAGE(I1782:I1786)</f>
        <v>0.5757341319</v>
      </c>
      <c r="L1786" s="18">
        <v>4040.0</v>
      </c>
      <c r="M1786" s="14">
        <f>STDEV(L1782:L1786)</f>
        <v>35045.8427</v>
      </c>
      <c r="N1786" s="15" t="b">
        <f t="shared" si="1"/>
        <v>0</v>
      </c>
    </row>
    <row r="1787" hidden="1">
      <c r="A1787" s="7" t="s">
        <v>365</v>
      </c>
      <c r="B1787" s="7" t="s">
        <v>268</v>
      </c>
      <c r="C1787" s="7">
        <v>0.25</v>
      </c>
      <c r="D1787" s="7">
        <v>1.0</v>
      </c>
      <c r="E1787" s="7">
        <v>8.0</v>
      </c>
      <c r="F1787" s="7">
        <v>101.926994085311</v>
      </c>
      <c r="G1787" s="7">
        <v>328.835237503051</v>
      </c>
      <c r="H1787" s="7">
        <v>0.0</v>
      </c>
      <c r="I1787" s="15">
        <v>0.913167919245534</v>
      </c>
      <c r="J1787" s="15">
        <v>0.03422753870241</v>
      </c>
      <c r="K1787" s="12">
        <f>AVERAGE(I1787:I1791)</f>
        <v>0.5721719889</v>
      </c>
      <c r="L1787" s="18">
        <v>2043.0</v>
      </c>
      <c r="M1787" s="14">
        <f>STDEV(L1787:L1791)</f>
        <v>45888.19432</v>
      </c>
      <c r="N1787" s="15" t="b">
        <f t="shared" si="1"/>
        <v>0</v>
      </c>
    </row>
    <row r="1788" hidden="1">
      <c r="A1788" s="7" t="s">
        <v>365</v>
      </c>
      <c r="B1788" s="7" t="s">
        <v>268</v>
      </c>
      <c r="C1788" s="7">
        <v>0.25</v>
      </c>
      <c r="D1788" s="7">
        <v>1.0</v>
      </c>
      <c r="E1788" s="7">
        <v>8.0</v>
      </c>
      <c r="F1788" s="7">
        <v>101.926994085311</v>
      </c>
      <c r="G1788" s="7">
        <v>328.835237503051</v>
      </c>
      <c r="H1788" s="7">
        <v>1.0</v>
      </c>
      <c r="I1788" s="15">
        <v>0.283336026999897</v>
      </c>
      <c r="J1788" s="15">
        <v>0.137093656759869</v>
      </c>
      <c r="K1788" s="12">
        <f>AVERAGE(I1787:I1791)</f>
        <v>0.5721719889</v>
      </c>
      <c r="L1788" s="18">
        <v>18080.0</v>
      </c>
      <c r="M1788" s="14">
        <f>STDEV(L1787:L1791)</f>
        <v>45888.19432</v>
      </c>
      <c r="N1788" s="15" t="b">
        <f t="shared" si="1"/>
        <v>0</v>
      </c>
    </row>
    <row r="1789" hidden="1">
      <c r="A1789" s="7" t="s">
        <v>365</v>
      </c>
      <c r="B1789" s="7" t="s">
        <v>268</v>
      </c>
      <c r="C1789" s="7">
        <v>0.25</v>
      </c>
      <c r="D1789" s="7">
        <v>1.0</v>
      </c>
      <c r="E1789" s="7">
        <v>8.0</v>
      </c>
      <c r="F1789" s="7">
        <v>101.926994085311</v>
      </c>
      <c r="G1789" s="7">
        <v>328.835237503051</v>
      </c>
      <c r="H1789" s="7">
        <v>2.0</v>
      </c>
      <c r="I1789" s="15">
        <v>0.0858163529673306</v>
      </c>
      <c r="J1789" s="15">
        <v>0.0490619791994982</v>
      </c>
      <c r="K1789" s="12">
        <f>AVERAGE(I1787:I1791)</f>
        <v>0.5721719889</v>
      </c>
      <c r="L1789" s="18">
        <v>109675.0</v>
      </c>
      <c r="M1789" s="14">
        <f>STDEV(L1787:L1791)</f>
        <v>45888.19432</v>
      </c>
      <c r="N1789" s="15" t="b">
        <f t="shared" si="1"/>
        <v>0</v>
      </c>
    </row>
    <row r="1790" hidden="1">
      <c r="A1790" s="7" t="s">
        <v>365</v>
      </c>
      <c r="B1790" s="7" t="s">
        <v>268</v>
      </c>
      <c r="C1790" s="7">
        <v>0.25</v>
      </c>
      <c r="D1790" s="7">
        <v>1.0</v>
      </c>
      <c r="E1790" s="7">
        <v>8.0</v>
      </c>
      <c r="F1790" s="7">
        <v>101.926994085311</v>
      </c>
      <c r="G1790" s="7">
        <v>328.835237503051</v>
      </c>
      <c r="H1790" s="7">
        <v>3.0</v>
      </c>
      <c r="I1790" s="15">
        <v>0.811866836785774</v>
      </c>
      <c r="J1790" s="15">
        <v>0.0824605429934091</v>
      </c>
      <c r="K1790" s="12">
        <f>AVERAGE(I1787:I1791)</f>
        <v>0.5721719889</v>
      </c>
      <c r="L1790" s="18">
        <v>4053.0</v>
      </c>
      <c r="M1790" s="14">
        <f>STDEV(L1787:L1791)</f>
        <v>45888.19432</v>
      </c>
      <c r="N1790" s="15" t="b">
        <f t="shared" si="1"/>
        <v>0</v>
      </c>
    </row>
    <row r="1791" hidden="1">
      <c r="A1791" s="7" t="s">
        <v>365</v>
      </c>
      <c r="B1791" s="7" t="s">
        <v>268</v>
      </c>
      <c r="C1791" s="7">
        <v>0.25</v>
      </c>
      <c r="D1791" s="7">
        <v>1.0</v>
      </c>
      <c r="E1791" s="7">
        <v>8.0</v>
      </c>
      <c r="F1791" s="7">
        <v>101.926994085311</v>
      </c>
      <c r="G1791" s="7">
        <v>328.835237503051</v>
      </c>
      <c r="H1791" s="7">
        <v>4.0</v>
      </c>
      <c r="I1791" s="15">
        <v>0.766672808343627</v>
      </c>
      <c r="J1791" s="15">
        <v>0.133488319561829</v>
      </c>
      <c r="K1791" s="12">
        <f>AVERAGE(I1787:I1791)</f>
        <v>0.5721719889</v>
      </c>
      <c r="L1791" s="18">
        <v>7825.0</v>
      </c>
      <c r="M1791" s="14">
        <f>STDEV(L1787:L1791)</f>
        <v>45888.19432</v>
      </c>
      <c r="N1791" s="15" t="b">
        <f t="shared" si="1"/>
        <v>0</v>
      </c>
    </row>
    <row r="1792" hidden="1">
      <c r="A1792" s="7" t="s">
        <v>366</v>
      </c>
      <c r="B1792" s="7" t="s">
        <v>268</v>
      </c>
      <c r="C1792" s="7">
        <v>0.25</v>
      </c>
      <c r="D1792" s="7">
        <v>1.0</v>
      </c>
      <c r="E1792" s="7">
        <v>9.0</v>
      </c>
      <c r="F1792" s="7">
        <v>88.3773019313812</v>
      </c>
      <c r="G1792" s="7">
        <v>291.92569231987</v>
      </c>
      <c r="H1792" s="7">
        <v>0.0</v>
      </c>
      <c r="I1792" s="15">
        <v>0.268457023286778</v>
      </c>
      <c r="J1792" s="15">
        <v>0.0785326017717639</v>
      </c>
      <c r="K1792" s="12">
        <f>AVERAGE(I1792:I1796)</f>
        <v>0.4671531741</v>
      </c>
      <c r="L1792" s="18">
        <v>17454.0</v>
      </c>
      <c r="M1792" s="14">
        <f>STDEV(L1792:L1796)</f>
        <v>27551.79495</v>
      </c>
      <c r="N1792" s="15" t="b">
        <f t="shared" si="1"/>
        <v>0</v>
      </c>
    </row>
    <row r="1793" hidden="1">
      <c r="A1793" s="7" t="s">
        <v>366</v>
      </c>
      <c r="B1793" s="7" t="s">
        <v>268</v>
      </c>
      <c r="C1793" s="7">
        <v>0.25</v>
      </c>
      <c r="D1793" s="7">
        <v>1.0</v>
      </c>
      <c r="E1793" s="7">
        <v>9.0</v>
      </c>
      <c r="F1793" s="7">
        <v>88.3773019313812</v>
      </c>
      <c r="G1793" s="7">
        <v>291.92569231987</v>
      </c>
      <c r="H1793" s="7">
        <v>1.0</v>
      </c>
      <c r="I1793" s="15">
        <v>0.788826193517913</v>
      </c>
      <c r="J1793" s="15">
        <v>0.102038984836879</v>
      </c>
      <c r="K1793" s="12">
        <f>AVERAGE(I1792:I1796)</f>
        <v>0.4671531741</v>
      </c>
      <c r="L1793" s="18">
        <v>18658.0</v>
      </c>
      <c r="M1793" s="14">
        <f>STDEV(L1792:L1796)</f>
        <v>27551.79495</v>
      </c>
      <c r="N1793" s="15" t="b">
        <f t="shared" si="1"/>
        <v>0</v>
      </c>
    </row>
    <row r="1794" hidden="1">
      <c r="A1794" s="7" t="s">
        <v>366</v>
      </c>
      <c r="B1794" s="7" t="s">
        <v>268</v>
      </c>
      <c r="C1794" s="7">
        <v>0.25</v>
      </c>
      <c r="D1794" s="7">
        <v>1.0</v>
      </c>
      <c r="E1794" s="7">
        <v>9.0</v>
      </c>
      <c r="F1794" s="7">
        <v>88.3773019313812</v>
      </c>
      <c r="G1794" s="7">
        <v>291.92569231987</v>
      </c>
      <c r="H1794" s="7">
        <v>2.0</v>
      </c>
      <c r="I1794" s="15">
        <v>0.423084697384001</v>
      </c>
      <c r="J1794" s="15">
        <v>0.272385742982833</v>
      </c>
      <c r="K1794" s="12">
        <f>AVERAGE(I1792:I1796)</f>
        <v>0.4671531741</v>
      </c>
      <c r="L1794" s="18">
        <v>12460.0</v>
      </c>
      <c r="M1794" s="14">
        <f>STDEV(L1792:L1796)</f>
        <v>27551.79495</v>
      </c>
      <c r="N1794" s="15" t="b">
        <f t="shared" si="1"/>
        <v>0</v>
      </c>
    </row>
    <row r="1795" hidden="1">
      <c r="A1795" s="7" t="s">
        <v>366</v>
      </c>
      <c r="B1795" s="7" t="s">
        <v>268</v>
      </c>
      <c r="C1795" s="7">
        <v>0.25</v>
      </c>
      <c r="D1795" s="7">
        <v>1.0</v>
      </c>
      <c r="E1795" s="7">
        <v>9.0</v>
      </c>
      <c r="F1795" s="7">
        <v>88.3773019313812</v>
      </c>
      <c r="G1795" s="7">
        <v>291.92569231987</v>
      </c>
      <c r="H1795" s="7">
        <v>3.0</v>
      </c>
      <c r="I1795" s="15">
        <v>0.0853106491085933</v>
      </c>
      <c r="J1795" s="15">
        <v>0.0687274939733106</v>
      </c>
      <c r="K1795" s="12">
        <f>AVERAGE(I1792:I1796)</f>
        <v>0.4671531741</v>
      </c>
      <c r="L1795" s="18">
        <v>77444.0</v>
      </c>
      <c r="M1795" s="14">
        <f>STDEV(L1792:L1796)</f>
        <v>27551.79495</v>
      </c>
      <c r="N1795" s="15" t="b">
        <f t="shared" si="1"/>
        <v>0</v>
      </c>
    </row>
    <row r="1796" hidden="1">
      <c r="A1796" s="7" t="s">
        <v>366</v>
      </c>
      <c r="B1796" s="7" t="s">
        <v>268</v>
      </c>
      <c r="C1796" s="7">
        <v>0.25</v>
      </c>
      <c r="D1796" s="7">
        <v>1.0</v>
      </c>
      <c r="E1796" s="7">
        <v>9.0</v>
      </c>
      <c r="F1796" s="7">
        <v>88.3773019313812</v>
      </c>
      <c r="G1796" s="7">
        <v>291.92569231987</v>
      </c>
      <c r="H1796" s="7">
        <v>4.0</v>
      </c>
      <c r="I1796" s="15">
        <v>0.770087307047991</v>
      </c>
      <c r="J1796" s="15">
        <v>0.121781417560407</v>
      </c>
      <c r="K1796" s="12">
        <f>AVERAGE(I1792:I1796)</f>
        <v>0.4671531741</v>
      </c>
      <c r="L1796" s="18">
        <v>15660.0</v>
      </c>
      <c r="M1796" s="14">
        <f>STDEV(L1792:L1796)</f>
        <v>27551.79495</v>
      </c>
      <c r="N1796" s="15" t="b">
        <f t="shared" si="1"/>
        <v>0</v>
      </c>
    </row>
    <row r="1797" hidden="1">
      <c r="A1797" s="7" t="s">
        <v>367</v>
      </c>
      <c r="B1797" s="7" t="s">
        <v>268</v>
      </c>
      <c r="C1797" s="7">
        <v>0.25</v>
      </c>
      <c r="D1797" s="7">
        <v>1.0</v>
      </c>
      <c r="E1797" s="7">
        <v>10.0</v>
      </c>
      <c r="F1797" s="7">
        <v>117.206786870956</v>
      </c>
      <c r="G1797" s="7">
        <v>342.313971281051</v>
      </c>
      <c r="H1797" s="7">
        <v>0.0</v>
      </c>
      <c r="I1797" s="15">
        <v>0.0691039272363892</v>
      </c>
      <c r="J1797" s="15">
        <v>0.0667834433954227</v>
      </c>
      <c r="K1797" s="12">
        <f>AVERAGE(I1797:I1801)</f>
        <v>0.4167986909</v>
      </c>
      <c r="L1797" s="18">
        <v>59122.0</v>
      </c>
      <c r="M1797" s="14">
        <f>STDEV(L1797:L1801)</f>
        <v>24853.8132</v>
      </c>
      <c r="N1797" s="15" t="b">
        <f t="shared" si="1"/>
        <v>0</v>
      </c>
    </row>
    <row r="1798" hidden="1">
      <c r="A1798" s="7" t="s">
        <v>367</v>
      </c>
      <c r="B1798" s="7" t="s">
        <v>268</v>
      </c>
      <c r="C1798" s="7">
        <v>0.25</v>
      </c>
      <c r="D1798" s="7">
        <v>1.0</v>
      </c>
      <c r="E1798" s="7">
        <v>10.0</v>
      </c>
      <c r="F1798" s="7">
        <v>117.206786870956</v>
      </c>
      <c r="G1798" s="7">
        <v>342.313971281051</v>
      </c>
      <c r="H1798" s="7">
        <v>1.0</v>
      </c>
      <c r="I1798" s="15">
        <v>0.258396952404418</v>
      </c>
      <c r="J1798" s="15">
        <v>0.044400361707206</v>
      </c>
      <c r="K1798" s="12">
        <f>AVERAGE(I1797:I1801)</f>
        <v>0.4167986909</v>
      </c>
      <c r="L1798" s="18">
        <v>21502.0</v>
      </c>
      <c r="M1798" s="14">
        <f>STDEV(L1797:L1801)</f>
        <v>24853.8132</v>
      </c>
      <c r="N1798" s="15" t="b">
        <f t="shared" si="1"/>
        <v>0</v>
      </c>
    </row>
    <row r="1799" hidden="1">
      <c r="A1799" s="7" t="s">
        <v>367</v>
      </c>
      <c r="B1799" s="7" t="s">
        <v>268</v>
      </c>
      <c r="C1799" s="7">
        <v>0.25</v>
      </c>
      <c r="D1799" s="7">
        <v>1.0</v>
      </c>
      <c r="E1799" s="7">
        <v>10.0</v>
      </c>
      <c r="F1799" s="7">
        <v>117.206786870956</v>
      </c>
      <c r="G1799" s="7">
        <v>342.313971281051</v>
      </c>
      <c r="H1799" s="7">
        <v>2.0</v>
      </c>
      <c r="I1799" s="15">
        <v>0.764100385809894</v>
      </c>
      <c r="J1799" s="15">
        <v>0.134127754200056</v>
      </c>
      <c r="K1799" s="12">
        <f>AVERAGE(I1797:I1801)</f>
        <v>0.4167986909</v>
      </c>
      <c r="L1799" s="18">
        <v>7830.0</v>
      </c>
      <c r="M1799" s="14">
        <f>STDEV(L1797:L1801)</f>
        <v>24853.8132</v>
      </c>
      <c r="N1799" s="15" t="b">
        <f t="shared" si="1"/>
        <v>0</v>
      </c>
    </row>
    <row r="1800" hidden="1">
      <c r="A1800" s="7" t="s">
        <v>367</v>
      </c>
      <c r="B1800" s="7" t="s">
        <v>268</v>
      </c>
      <c r="C1800" s="7">
        <v>0.25</v>
      </c>
      <c r="D1800" s="7">
        <v>1.0</v>
      </c>
      <c r="E1800" s="7">
        <v>10.0</v>
      </c>
      <c r="F1800" s="7">
        <v>117.206786870956</v>
      </c>
      <c r="G1800" s="7">
        <v>342.313971281051</v>
      </c>
      <c r="H1800" s="7">
        <v>3.0</v>
      </c>
      <c r="I1800" s="15">
        <v>0.719870894256738</v>
      </c>
      <c r="J1800" s="15">
        <v>0.140603488179298</v>
      </c>
      <c r="K1800" s="12">
        <f>AVERAGE(I1797:I1801)</f>
        <v>0.4167986909</v>
      </c>
      <c r="L1800" s="18">
        <v>3699.0</v>
      </c>
      <c r="M1800" s="14">
        <f>STDEV(L1797:L1801)</f>
        <v>24853.8132</v>
      </c>
      <c r="N1800" s="15" t="b">
        <f t="shared" si="1"/>
        <v>0</v>
      </c>
    </row>
    <row r="1801" hidden="1">
      <c r="A1801" s="7" t="s">
        <v>367</v>
      </c>
      <c r="B1801" s="7" t="s">
        <v>268</v>
      </c>
      <c r="C1801" s="7">
        <v>0.25</v>
      </c>
      <c r="D1801" s="7">
        <v>1.0</v>
      </c>
      <c r="E1801" s="7">
        <v>10.0</v>
      </c>
      <c r="F1801" s="7">
        <v>117.206786870956</v>
      </c>
      <c r="G1801" s="7">
        <v>342.313971281051</v>
      </c>
      <c r="H1801" s="7">
        <v>4.0</v>
      </c>
      <c r="I1801" s="15">
        <v>0.272521294962039</v>
      </c>
      <c r="J1801" s="15">
        <v>0.0538157953125577</v>
      </c>
      <c r="K1801" s="12">
        <f>AVERAGE(I1797:I1801)</f>
        <v>0.4167986909</v>
      </c>
      <c r="L1801" s="18">
        <v>49523.0</v>
      </c>
      <c r="M1801" s="14">
        <f>STDEV(L1797:L1801)</f>
        <v>24853.8132</v>
      </c>
      <c r="N1801" s="15" t="b">
        <f t="shared" si="1"/>
        <v>0</v>
      </c>
    </row>
    <row r="1802" hidden="1">
      <c r="A1802" s="7" t="s">
        <v>368</v>
      </c>
      <c r="B1802" s="7" t="s">
        <v>268</v>
      </c>
      <c r="C1802" s="7">
        <v>0.5</v>
      </c>
      <c r="D1802" s="7">
        <v>0.1</v>
      </c>
      <c r="E1802" s="7">
        <v>1.0</v>
      </c>
      <c r="F1802" s="7">
        <v>235.89277601242</v>
      </c>
      <c r="G1802" s="7">
        <v>419.674478530883</v>
      </c>
      <c r="H1802" s="7">
        <v>0.0</v>
      </c>
      <c r="I1802" s="15">
        <v>0.398253521593846</v>
      </c>
      <c r="J1802" s="15">
        <v>0.307347460680466</v>
      </c>
      <c r="K1802" s="12">
        <f>AVERAGE(I1802:I1806)</f>
        <v>0.4775997219</v>
      </c>
      <c r="L1802" s="18">
        <v>13749.0</v>
      </c>
      <c r="M1802" s="14">
        <f>STDEV(L1802:L1806)</f>
        <v>29431.17957</v>
      </c>
      <c r="N1802" s="15" t="b">
        <f t="shared" si="1"/>
        <v>0</v>
      </c>
    </row>
    <row r="1803" hidden="1">
      <c r="A1803" s="7" t="s">
        <v>368</v>
      </c>
      <c r="B1803" s="7" t="s">
        <v>268</v>
      </c>
      <c r="C1803" s="7">
        <v>0.5</v>
      </c>
      <c r="D1803" s="7">
        <v>0.1</v>
      </c>
      <c r="E1803" s="7">
        <v>1.0</v>
      </c>
      <c r="F1803" s="7">
        <v>235.89277601242</v>
      </c>
      <c r="G1803" s="7">
        <v>419.674478530883</v>
      </c>
      <c r="H1803" s="7">
        <v>1.0</v>
      </c>
      <c r="I1803" s="15">
        <v>0.191341227280995</v>
      </c>
      <c r="J1803" s="15">
        <v>0.0435913262544055</v>
      </c>
      <c r="K1803" s="12">
        <f>AVERAGE(I1802:I1806)</f>
        <v>0.4775997219</v>
      </c>
      <c r="L1803" s="18">
        <v>59933.0</v>
      </c>
      <c r="M1803" s="14">
        <f>STDEV(L1802:L1806)</f>
        <v>29431.17957</v>
      </c>
      <c r="N1803" s="15" t="b">
        <f t="shared" si="1"/>
        <v>0</v>
      </c>
    </row>
    <row r="1804" hidden="1">
      <c r="A1804" s="7" t="s">
        <v>368</v>
      </c>
      <c r="B1804" s="7" t="s">
        <v>268</v>
      </c>
      <c r="C1804" s="7">
        <v>0.5</v>
      </c>
      <c r="D1804" s="7">
        <v>0.1</v>
      </c>
      <c r="E1804" s="7">
        <v>1.0</v>
      </c>
      <c r="F1804" s="7">
        <v>235.89277601242</v>
      </c>
      <c r="G1804" s="7">
        <v>419.674478530883</v>
      </c>
      <c r="H1804" s="7">
        <v>2.0</v>
      </c>
      <c r="I1804" s="15">
        <v>0.884297840780197</v>
      </c>
      <c r="J1804" s="15">
        <v>0.118756513863758</v>
      </c>
      <c r="K1804" s="12">
        <f>AVERAGE(I1802:I1806)</f>
        <v>0.4775997219</v>
      </c>
      <c r="L1804" s="18">
        <v>2354.0</v>
      </c>
      <c r="M1804" s="14">
        <f>STDEV(L1802:L1806)</f>
        <v>29431.17957</v>
      </c>
      <c r="N1804" s="15" t="b">
        <f t="shared" si="1"/>
        <v>0</v>
      </c>
    </row>
    <row r="1805" hidden="1">
      <c r="A1805" s="7" t="s">
        <v>368</v>
      </c>
      <c r="B1805" s="7" t="s">
        <v>268</v>
      </c>
      <c r="C1805" s="7">
        <v>0.5</v>
      </c>
      <c r="D1805" s="7">
        <v>0.1</v>
      </c>
      <c r="E1805" s="7">
        <v>1.0</v>
      </c>
      <c r="F1805" s="7">
        <v>235.89277601242</v>
      </c>
      <c r="G1805" s="7">
        <v>419.674478530883</v>
      </c>
      <c r="H1805" s="7">
        <v>3.0</v>
      </c>
      <c r="I1805" s="15">
        <v>0.0501711405280099</v>
      </c>
      <c r="J1805" s="15">
        <v>0.036834565832212</v>
      </c>
      <c r="K1805" s="12">
        <f>AVERAGE(I1802:I1806)</f>
        <v>0.4775997219</v>
      </c>
      <c r="L1805" s="18">
        <v>60554.0</v>
      </c>
      <c r="M1805" s="14">
        <f>STDEV(L1802:L1806)</f>
        <v>29431.17957</v>
      </c>
      <c r="N1805" s="15" t="b">
        <f t="shared" si="1"/>
        <v>0</v>
      </c>
    </row>
    <row r="1806" hidden="1">
      <c r="A1806" s="7" t="s">
        <v>368</v>
      </c>
      <c r="B1806" s="7" t="s">
        <v>268</v>
      </c>
      <c r="C1806" s="7">
        <v>0.5</v>
      </c>
      <c r="D1806" s="7">
        <v>0.1</v>
      </c>
      <c r="E1806" s="7">
        <v>1.0</v>
      </c>
      <c r="F1806" s="7">
        <v>235.89277601242</v>
      </c>
      <c r="G1806" s="7">
        <v>419.674478530883</v>
      </c>
      <c r="H1806" s="7">
        <v>4.0</v>
      </c>
      <c r="I1806" s="15">
        <v>0.863934879380697</v>
      </c>
      <c r="J1806" s="15">
        <v>0.0946450727289654</v>
      </c>
      <c r="K1806" s="12">
        <f>AVERAGE(I1802:I1806)</f>
        <v>0.4775997219</v>
      </c>
      <c r="L1806" s="18">
        <v>5086.0</v>
      </c>
      <c r="M1806" s="14">
        <f>STDEV(L1802:L1806)</f>
        <v>29431.17957</v>
      </c>
      <c r="N1806" s="15" t="b">
        <f t="shared" si="1"/>
        <v>0</v>
      </c>
    </row>
    <row r="1807" hidden="1">
      <c r="A1807" s="7" t="s">
        <v>369</v>
      </c>
      <c r="B1807" s="7" t="s">
        <v>268</v>
      </c>
      <c r="C1807" s="7">
        <v>0.5</v>
      </c>
      <c r="D1807" s="7">
        <v>0.1</v>
      </c>
      <c r="E1807" s="7">
        <v>2.0</v>
      </c>
      <c r="F1807" s="7">
        <v>108.62955546379</v>
      </c>
      <c r="G1807" s="7">
        <v>341.998394012451</v>
      </c>
      <c r="H1807" s="7">
        <v>0.0</v>
      </c>
      <c r="I1807" s="15">
        <v>0.714728590703086</v>
      </c>
      <c r="J1807" s="15">
        <v>0.154943422871298</v>
      </c>
      <c r="K1807" s="12">
        <f>AVERAGE(I1807:I1811)</f>
        <v>0.6436482865</v>
      </c>
      <c r="L1807" s="18">
        <v>13532.0</v>
      </c>
      <c r="M1807" s="14">
        <f>STDEV(L1807:L1811)</f>
        <v>37677.92499</v>
      </c>
      <c r="N1807" s="15" t="b">
        <f t="shared" si="1"/>
        <v>0</v>
      </c>
    </row>
    <row r="1808" hidden="1">
      <c r="A1808" s="7" t="s">
        <v>369</v>
      </c>
      <c r="B1808" s="7" t="s">
        <v>268</v>
      </c>
      <c r="C1808" s="7">
        <v>0.5</v>
      </c>
      <c r="D1808" s="7">
        <v>0.1</v>
      </c>
      <c r="E1808" s="7">
        <v>2.0</v>
      </c>
      <c r="F1808" s="7">
        <v>108.62955546379</v>
      </c>
      <c r="G1808" s="7">
        <v>341.998394012451</v>
      </c>
      <c r="H1808" s="7">
        <v>1.0</v>
      </c>
      <c r="I1808" s="15">
        <v>0.765563510634786</v>
      </c>
      <c r="J1808" s="15">
        <v>0.135023015468556</v>
      </c>
      <c r="K1808" s="12">
        <f>AVERAGE(I1807:I1811)</f>
        <v>0.6436482865</v>
      </c>
      <c r="L1808" s="18">
        <v>15472.0</v>
      </c>
      <c r="M1808" s="14">
        <f>STDEV(L1807:L1811)</f>
        <v>37677.92499</v>
      </c>
      <c r="N1808" s="15" t="b">
        <f t="shared" si="1"/>
        <v>0</v>
      </c>
    </row>
    <row r="1809" hidden="1">
      <c r="A1809" s="7" t="s">
        <v>369</v>
      </c>
      <c r="B1809" s="7" t="s">
        <v>268</v>
      </c>
      <c r="C1809" s="7">
        <v>0.5</v>
      </c>
      <c r="D1809" s="7">
        <v>0.1</v>
      </c>
      <c r="E1809" s="7">
        <v>2.0</v>
      </c>
      <c r="F1809" s="7">
        <v>108.62955546379</v>
      </c>
      <c r="G1809" s="7">
        <v>341.998394012451</v>
      </c>
      <c r="H1809" s="7">
        <v>2.0</v>
      </c>
      <c r="I1809" s="15">
        <v>0.771061154539579</v>
      </c>
      <c r="J1809" s="15">
        <v>0.120339808968247</v>
      </c>
      <c r="K1809" s="12">
        <f>AVERAGE(I1807:I1811)</f>
        <v>0.6436482865</v>
      </c>
      <c r="L1809" s="18">
        <v>15648.0</v>
      </c>
      <c r="M1809" s="14">
        <f>STDEV(L1807:L1811)</f>
        <v>37677.92499</v>
      </c>
      <c r="N1809" s="15" t="b">
        <f t="shared" si="1"/>
        <v>0</v>
      </c>
    </row>
    <row r="1810" hidden="1">
      <c r="A1810" s="7" t="s">
        <v>369</v>
      </c>
      <c r="B1810" s="7" t="s">
        <v>268</v>
      </c>
      <c r="C1810" s="7">
        <v>0.5</v>
      </c>
      <c r="D1810" s="7">
        <v>0.1</v>
      </c>
      <c r="E1810" s="7">
        <v>2.0</v>
      </c>
      <c r="F1810" s="7">
        <v>108.62955546379</v>
      </c>
      <c r="G1810" s="7">
        <v>341.998394012451</v>
      </c>
      <c r="H1810" s="7">
        <v>3.0</v>
      </c>
      <c r="I1810" s="15">
        <v>0.0547122501307246</v>
      </c>
      <c r="J1810" s="15">
        <v>0.0747914880608865</v>
      </c>
      <c r="K1810" s="12">
        <f>AVERAGE(I1807:I1811)</f>
        <v>0.6436482865</v>
      </c>
      <c r="L1810" s="18">
        <v>94981.0</v>
      </c>
      <c r="M1810" s="14">
        <f>STDEV(L1807:L1811)</f>
        <v>37677.92499</v>
      </c>
      <c r="N1810" s="15" t="b">
        <f t="shared" si="1"/>
        <v>0</v>
      </c>
    </row>
    <row r="1811" hidden="1">
      <c r="A1811" s="7" t="s">
        <v>369</v>
      </c>
      <c r="B1811" s="7" t="s">
        <v>268</v>
      </c>
      <c r="C1811" s="7">
        <v>0.5</v>
      </c>
      <c r="D1811" s="7">
        <v>0.1</v>
      </c>
      <c r="E1811" s="7">
        <v>2.0</v>
      </c>
      <c r="F1811" s="7">
        <v>108.62955546379</v>
      </c>
      <c r="G1811" s="7">
        <v>341.998394012451</v>
      </c>
      <c r="H1811" s="7">
        <v>4.0</v>
      </c>
      <c r="I1811" s="15">
        <v>0.912175926680836</v>
      </c>
      <c r="J1811" s="15">
        <v>0.0373649517741626</v>
      </c>
      <c r="K1811" s="12">
        <f>AVERAGE(I1807:I1811)</f>
        <v>0.6436482865</v>
      </c>
      <c r="L1811" s="18">
        <v>2043.0</v>
      </c>
      <c r="M1811" s="14">
        <f>STDEV(L1807:L1811)</f>
        <v>37677.92499</v>
      </c>
      <c r="N1811" s="15" t="b">
        <f t="shared" si="1"/>
        <v>0</v>
      </c>
    </row>
    <row r="1812" hidden="1">
      <c r="A1812" s="7" t="s">
        <v>370</v>
      </c>
      <c r="B1812" s="7" t="s">
        <v>268</v>
      </c>
      <c r="C1812" s="7">
        <v>0.5</v>
      </c>
      <c r="D1812" s="7">
        <v>0.1</v>
      </c>
      <c r="E1812" s="7">
        <v>3.0</v>
      </c>
      <c r="F1812" s="7">
        <v>204.611453533172</v>
      </c>
      <c r="G1812" s="7">
        <v>400.30340385437</v>
      </c>
      <c r="H1812" s="7">
        <v>0.0</v>
      </c>
      <c r="I1812" s="15">
        <v>0.399951910041223</v>
      </c>
      <c r="J1812" s="15">
        <v>0.127394279736678</v>
      </c>
      <c r="K1812" s="12">
        <f>AVERAGE(I1812:I1816)</f>
        <v>0.4953043128</v>
      </c>
      <c r="L1812" s="18">
        <v>11145.0</v>
      </c>
      <c r="M1812" s="14">
        <f>STDEV(L1812:L1816)</f>
        <v>36128.9883</v>
      </c>
      <c r="N1812" s="15" t="b">
        <f t="shared" si="1"/>
        <v>0</v>
      </c>
    </row>
    <row r="1813" hidden="1">
      <c r="A1813" s="7" t="s">
        <v>370</v>
      </c>
      <c r="B1813" s="7" t="s">
        <v>268</v>
      </c>
      <c r="C1813" s="7">
        <v>0.5</v>
      </c>
      <c r="D1813" s="7">
        <v>0.1</v>
      </c>
      <c r="E1813" s="7">
        <v>3.0</v>
      </c>
      <c r="F1813" s="7">
        <v>204.611453533172</v>
      </c>
      <c r="G1813" s="7">
        <v>400.30340385437</v>
      </c>
      <c r="H1813" s="7">
        <v>1.0</v>
      </c>
      <c r="I1813" s="15">
        <v>0.229945951314803</v>
      </c>
      <c r="J1813" s="15">
        <v>0.103076462439298</v>
      </c>
      <c r="K1813" s="12">
        <f>AVERAGE(I1812:I1816)</f>
        <v>0.4953043128</v>
      </c>
      <c r="L1813" s="18">
        <v>34120.0</v>
      </c>
      <c r="M1813" s="14">
        <f>STDEV(L1812:L1816)</f>
        <v>36128.9883</v>
      </c>
      <c r="N1813" s="15" t="b">
        <f t="shared" si="1"/>
        <v>0</v>
      </c>
    </row>
    <row r="1814" hidden="1">
      <c r="A1814" s="7" t="s">
        <v>370</v>
      </c>
      <c r="B1814" s="7" t="s">
        <v>268</v>
      </c>
      <c r="C1814" s="7">
        <v>0.5</v>
      </c>
      <c r="D1814" s="7">
        <v>0.1</v>
      </c>
      <c r="E1814" s="7">
        <v>3.0</v>
      </c>
      <c r="F1814" s="7">
        <v>204.611453533172</v>
      </c>
      <c r="G1814" s="7">
        <v>400.30340385437</v>
      </c>
      <c r="H1814" s="7">
        <v>2.0</v>
      </c>
      <c r="I1814" s="15">
        <v>0.097747448307141</v>
      </c>
      <c r="J1814" s="15">
        <v>0.0864295472654111</v>
      </c>
      <c r="K1814" s="12">
        <f>AVERAGE(I1812:I1816)</f>
        <v>0.4953043128</v>
      </c>
      <c r="L1814" s="18">
        <v>88971.0</v>
      </c>
      <c r="M1814" s="14">
        <f>STDEV(L1812:L1816)</f>
        <v>36128.9883</v>
      </c>
      <c r="N1814" s="15" t="b">
        <f t="shared" si="1"/>
        <v>0</v>
      </c>
    </row>
    <row r="1815" hidden="1">
      <c r="A1815" s="7" t="s">
        <v>370</v>
      </c>
      <c r="B1815" s="7" t="s">
        <v>268</v>
      </c>
      <c r="C1815" s="7">
        <v>0.5</v>
      </c>
      <c r="D1815" s="7">
        <v>0.1</v>
      </c>
      <c r="E1815" s="7">
        <v>3.0</v>
      </c>
      <c r="F1815" s="7">
        <v>204.611453533172</v>
      </c>
      <c r="G1815" s="7">
        <v>400.30340385437</v>
      </c>
      <c r="H1815" s="7">
        <v>3.0</v>
      </c>
      <c r="I1815" s="15">
        <v>0.884453653991446</v>
      </c>
      <c r="J1815" s="15">
        <v>0.119870917948647</v>
      </c>
      <c r="K1815" s="12">
        <f>AVERAGE(I1812:I1816)</f>
        <v>0.4953043128</v>
      </c>
      <c r="L1815" s="18">
        <v>2354.0</v>
      </c>
      <c r="M1815" s="14">
        <f>STDEV(L1812:L1816)</f>
        <v>36128.9883</v>
      </c>
      <c r="N1815" s="15" t="b">
        <f t="shared" si="1"/>
        <v>0</v>
      </c>
    </row>
    <row r="1816" hidden="1">
      <c r="A1816" s="7" t="s">
        <v>370</v>
      </c>
      <c r="B1816" s="7" t="s">
        <v>268</v>
      </c>
      <c r="C1816" s="7">
        <v>0.5</v>
      </c>
      <c r="D1816" s="7">
        <v>0.1</v>
      </c>
      <c r="E1816" s="7">
        <v>3.0</v>
      </c>
      <c r="F1816" s="7">
        <v>204.611453533172</v>
      </c>
      <c r="G1816" s="7">
        <v>400.30340385437</v>
      </c>
      <c r="H1816" s="7">
        <v>4.0</v>
      </c>
      <c r="I1816" s="15">
        <v>0.864422600493336</v>
      </c>
      <c r="J1816" s="15">
        <v>0.0952782350513777</v>
      </c>
      <c r="K1816" s="12">
        <f>AVERAGE(I1812:I1816)</f>
        <v>0.4953043128</v>
      </c>
      <c r="L1816" s="18">
        <v>5086.0</v>
      </c>
      <c r="M1816" s="14">
        <f>STDEV(L1812:L1816)</f>
        <v>36128.9883</v>
      </c>
      <c r="N1816" s="15" t="b">
        <f t="shared" si="1"/>
        <v>0</v>
      </c>
    </row>
    <row r="1817" hidden="1">
      <c r="A1817" s="7" t="s">
        <v>371</v>
      </c>
      <c r="B1817" s="7" t="s">
        <v>268</v>
      </c>
      <c r="C1817" s="7">
        <v>0.5</v>
      </c>
      <c r="D1817" s="7">
        <v>0.1</v>
      </c>
      <c r="E1817" s="7">
        <v>4.0</v>
      </c>
      <c r="F1817" s="7">
        <v>156.975776195526</v>
      </c>
      <c r="G1817" s="7">
        <v>417.552999973297</v>
      </c>
      <c r="H1817" s="7">
        <v>0.0</v>
      </c>
      <c r="I1817" s="15">
        <v>0.39762652446575</v>
      </c>
      <c r="J1817" s="15">
        <v>0.0866396062266336</v>
      </c>
      <c r="K1817" s="12">
        <f>AVERAGE(I1817:I1821)</f>
        <v>0.6010201603</v>
      </c>
      <c r="L1817" s="18">
        <v>31192.0</v>
      </c>
      <c r="M1817" s="14">
        <f>STDEV(L1817:L1821)</f>
        <v>39710.44812</v>
      </c>
      <c r="N1817" s="15" t="b">
        <f t="shared" si="1"/>
        <v>0</v>
      </c>
    </row>
    <row r="1818" hidden="1">
      <c r="A1818" s="7" t="s">
        <v>371</v>
      </c>
      <c r="B1818" s="7" t="s">
        <v>268</v>
      </c>
      <c r="C1818" s="7">
        <v>0.5</v>
      </c>
      <c r="D1818" s="7">
        <v>0.1</v>
      </c>
      <c r="E1818" s="7">
        <v>4.0</v>
      </c>
      <c r="F1818" s="7">
        <v>156.975776195526</v>
      </c>
      <c r="G1818" s="7">
        <v>417.552999973297</v>
      </c>
      <c r="H1818" s="7">
        <v>1.0</v>
      </c>
      <c r="I1818" s="15">
        <v>0.912571862989181</v>
      </c>
      <c r="J1818" s="15">
        <v>0.0351189157549236</v>
      </c>
      <c r="K1818" s="12">
        <f>AVERAGE(I1817:I1821)</f>
        <v>0.6010201603</v>
      </c>
      <c r="L1818" s="18">
        <v>2043.0</v>
      </c>
      <c r="M1818" s="14">
        <f>STDEV(L1817:L1821)</f>
        <v>39710.44812</v>
      </c>
      <c r="N1818" s="15" t="b">
        <f t="shared" si="1"/>
        <v>0</v>
      </c>
    </row>
    <row r="1819" hidden="1">
      <c r="A1819" s="7" t="s">
        <v>371</v>
      </c>
      <c r="B1819" s="7" t="s">
        <v>268</v>
      </c>
      <c r="C1819" s="7">
        <v>0.5</v>
      </c>
      <c r="D1819" s="7">
        <v>0.1</v>
      </c>
      <c r="E1819" s="7">
        <v>4.0</v>
      </c>
      <c r="F1819" s="7">
        <v>156.975776195526</v>
      </c>
      <c r="G1819" s="7">
        <v>417.552999973297</v>
      </c>
      <c r="H1819" s="7">
        <v>2.0</v>
      </c>
      <c r="I1819" s="15">
        <v>0.82266003555817</v>
      </c>
      <c r="J1819" s="15">
        <v>0.0998515143410319</v>
      </c>
      <c r="K1819" s="12">
        <f>AVERAGE(I1817:I1821)</f>
        <v>0.6010201603</v>
      </c>
      <c r="L1819" s="18">
        <v>6463.0</v>
      </c>
      <c r="M1819" s="14">
        <f>STDEV(L1817:L1821)</f>
        <v>39710.44812</v>
      </c>
      <c r="N1819" s="15" t="b">
        <f t="shared" si="1"/>
        <v>0</v>
      </c>
    </row>
    <row r="1820" hidden="1">
      <c r="A1820" s="7" t="s">
        <v>371</v>
      </c>
      <c r="B1820" s="7" t="s">
        <v>268</v>
      </c>
      <c r="C1820" s="7">
        <v>0.5</v>
      </c>
      <c r="D1820" s="7">
        <v>0.1</v>
      </c>
      <c r="E1820" s="7">
        <v>4.0</v>
      </c>
      <c r="F1820" s="7">
        <v>156.975776195526</v>
      </c>
      <c r="G1820" s="7">
        <v>417.552999973297</v>
      </c>
      <c r="H1820" s="7">
        <v>3.0</v>
      </c>
      <c r="I1820" s="15">
        <v>0.0650776508590331</v>
      </c>
      <c r="J1820" s="15">
        <v>0.0641140323374856</v>
      </c>
      <c r="K1820" s="12">
        <f>AVERAGE(I1817:I1821)</f>
        <v>0.6010201603</v>
      </c>
      <c r="L1820" s="18">
        <v>96285.0</v>
      </c>
      <c r="M1820" s="14">
        <f>STDEV(L1817:L1821)</f>
        <v>39710.44812</v>
      </c>
      <c r="N1820" s="15" t="b">
        <f t="shared" si="1"/>
        <v>0</v>
      </c>
    </row>
    <row r="1821" hidden="1">
      <c r="A1821" s="7" t="s">
        <v>371</v>
      </c>
      <c r="B1821" s="7" t="s">
        <v>268</v>
      </c>
      <c r="C1821" s="7">
        <v>0.5</v>
      </c>
      <c r="D1821" s="7">
        <v>0.1</v>
      </c>
      <c r="E1821" s="7">
        <v>4.0</v>
      </c>
      <c r="F1821" s="7">
        <v>156.975776195526</v>
      </c>
      <c r="G1821" s="7">
        <v>417.552999973297</v>
      </c>
      <c r="H1821" s="7">
        <v>4.0</v>
      </c>
      <c r="I1821" s="15">
        <v>0.807164727630734</v>
      </c>
      <c r="J1821" s="15">
        <v>0.119245157708488</v>
      </c>
      <c r="K1821" s="12">
        <f>AVERAGE(I1817:I1821)</f>
        <v>0.6010201603</v>
      </c>
      <c r="L1821" s="18">
        <v>5693.0</v>
      </c>
      <c r="M1821" s="14">
        <f>STDEV(L1817:L1821)</f>
        <v>39710.44812</v>
      </c>
      <c r="N1821" s="15" t="b">
        <f t="shared" si="1"/>
        <v>0</v>
      </c>
    </row>
    <row r="1822" hidden="1">
      <c r="A1822" s="7" t="s">
        <v>372</v>
      </c>
      <c r="B1822" s="7" t="s">
        <v>268</v>
      </c>
      <c r="C1822" s="7">
        <v>0.5</v>
      </c>
      <c r="D1822" s="7">
        <v>0.1</v>
      </c>
      <c r="E1822" s="7">
        <v>5.0</v>
      </c>
      <c r="F1822" s="7">
        <v>167.884671926498</v>
      </c>
      <c r="G1822" s="7">
        <v>382.131850004196</v>
      </c>
      <c r="H1822" s="7">
        <v>0.0</v>
      </c>
      <c r="I1822" s="15">
        <v>0.765562724608272</v>
      </c>
      <c r="J1822" s="15">
        <v>0.135040063876099</v>
      </c>
      <c r="K1822" s="12">
        <f>AVERAGE(I1822:I1826)</f>
        <v>0.6196905763</v>
      </c>
      <c r="L1822" s="18">
        <v>15472.0</v>
      </c>
      <c r="M1822" s="14">
        <f>STDEV(L1822:L1826)</f>
        <v>29406.07226</v>
      </c>
      <c r="N1822" s="15" t="b">
        <f t="shared" si="1"/>
        <v>0</v>
      </c>
    </row>
    <row r="1823" hidden="1">
      <c r="A1823" s="7" t="s">
        <v>372</v>
      </c>
      <c r="B1823" s="7" t="s">
        <v>268</v>
      </c>
      <c r="C1823" s="7">
        <v>0.5</v>
      </c>
      <c r="D1823" s="7">
        <v>0.1</v>
      </c>
      <c r="E1823" s="7">
        <v>5.0</v>
      </c>
      <c r="F1823" s="7">
        <v>167.884671926498</v>
      </c>
      <c r="G1823" s="7">
        <v>382.131850004196</v>
      </c>
      <c r="H1823" s="7">
        <v>1.0</v>
      </c>
      <c r="I1823" s="15">
        <v>0.771292142457467</v>
      </c>
      <c r="J1823" s="15">
        <v>0.120020959934963</v>
      </c>
      <c r="K1823" s="12">
        <f>AVERAGE(I1822:I1826)</f>
        <v>0.6196905763</v>
      </c>
      <c r="L1823" s="18">
        <v>15641.0</v>
      </c>
      <c r="M1823" s="14">
        <f>STDEV(L1822:L1826)</f>
        <v>29406.07226</v>
      </c>
      <c r="N1823" s="15" t="b">
        <f t="shared" si="1"/>
        <v>0</v>
      </c>
    </row>
    <row r="1824" hidden="1">
      <c r="A1824" s="7" t="s">
        <v>372</v>
      </c>
      <c r="B1824" s="7" t="s">
        <v>268</v>
      </c>
      <c r="C1824" s="7">
        <v>0.5</v>
      </c>
      <c r="D1824" s="7">
        <v>0.1</v>
      </c>
      <c r="E1824" s="7">
        <v>5.0</v>
      </c>
      <c r="F1824" s="7">
        <v>167.884671926498</v>
      </c>
      <c r="G1824" s="7">
        <v>382.131850004196</v>
      </c>
      <c r="H1824" s="7">
        <v>2.0</v>
      </c>
      <c r="I1824" s="15">
        <v>0.0234513610271707</v>
      </c>
      <c r="J1824" s="15">
        <v>0.103554363146524</v>
      </c>
      <c r="K1824" s="12">
        <f>AVERAGE(I1822:I1826)</f>
        <v>0.6196905763</v>
      </c>
      <c r="L1824" s="18">
        <v>80906.0</v>
      </c>
      <c r="M1824" s="14">
        <f>STDEV(L1822:L1826)</f>
        <v>29406.07226</v>
      </c>
      <c r="N1824" s="15" t="b">
        <f t="shared" si="1"/>
        <v>0</v>
      </c>
    </row>
    <row r="1825" hidden="1">
      <c r="A1825" s="7" t="s">
        <v>372</v>
      </c>
      <c r="B1825" s="7" t="s">
        <v>268</v>
      </c>
      <c r="C1825" s="7">
        <v>0.5</v>
      </c>
      <c r="D1825" s="7">
        <v>0.1</v>
      </c>
      <c r="E1825" s="7">
        <v>5.0</v>
      </c>
      <c r="F1825" s="7">
        <v>167.884671926498</v>
      </c>
      <c r="G1825" s="7">
        <v>382.131850004196</v>
      </c>
      <c r="H1825" s="7">
        <v>3.0</v>
      </c>
      <c r="I1825" s="15">
        <v>0.717760725494264</v>
      </c>
      <c r="J1825" s="15">
        <v>0.15286705702422</v>
      </c>
      <c r="K1825" s="12">
        <f>AVERAGE(I1822:I1826)</f>
        <v>0.6196905763</v>
      </c>
      <c r="L1825" s="18">
        <v>13466.0</v>
      </c>
      <c r="M1825" s="14">
        <f>STDEV(L1822:L1826)</f>
        <v>29406.07226</v>
      </c>
      <c r="N1825" s="15" t="b">
        <f t="shared" si="1"/>
        <v>0</v>
      </c>
    </row>
    <row r="1826" hidden="1">
      <c r="A1826" s="7" t="s">
        <v>372</v>
      </c>
      <c r="B1826" s="7" t="s">
        <v>268</v>
      </c>
      <c r="C1826" s="7">
        <v>0.5</v>
      </c>
      <c r="D1826" s="7">
        <v>0.1</v>
      </c>
      <c r="E1826" s="7">
        <v>5.0</v>
      </c>
      <c r="F1826" s="7">
        <v>167.884671926498</v>
      </c>
      <c r="G1826" s="7">
        <v>382.131850004196</v>
      </c>
      <c r="H1826" s="7">
        <v>4.0</v>
      </c>
      <c r="I1826" s="15">
        <v>0.820385927829057</v>
      </c>
      <c r="J1826" s="15">
        <v>0.0739021051334782</v>
      </c>
      <c r="K1826" s="12">
        <f>AVERAGE(I1822:I1826)</f>
        <v>0.6196905763</v>
      </c>
      <c r="L1826" s="18">
        <v>16191.0</v>
      </c>
      <c r="M1826" s="14">
        <f>STDEV(L1822:L1826)</f>
        <v>29406.07226</v>
      </c>
      <c r="N1826" s="15" t="b">
        <f t="shared" si="1"/>
        <v>0</v>
      </c>
    </row>
    <row r="1827" hidden="1">
      <c r="A1827" s="7" t="s">
        <v>373</v>
      </c>
      <c r="B1827" s="7" t="s">
        <v>268</v>
      </c>
      <c r="C1827" s="7">
        <v>0.5</v>
      </c>
      <c r="D1827" s="7">
        <v>0.1</v>
      </c>
      <c r="E1827" s="7">
        <v>6.0</v>
      </c>
      <c r="F1827" s="7">
        <v>98.9653341770172</v>
      </c>
      <c r="G1827" s="7">
        <v>322.854767799377</v>
      </c>
      <c r="H1827" s="7">
        <v>0.0</v>
      </c>
      <c r="I1827" s="15">
        <v>0.165915381186642</v>
      </c>
      <c r="J1827" s="15">
        <v>0.0906493485729778</v>
      </c>
      <c r="K1827" s="12">
        <f>AVERAGE(I1827:I1831)</f>
        <v>0.4443718122</v>
      </c>
      <c r="L1827" s="18">
        <v>64712.0</v>
      </c>
      <c r="M1827" s="14">
        <f>STDEV(L1827:L1831)</f>
        <v>30798.27974</v>
      </c>
      <c r="N1827" s="15" t="b">
        <f t="shared" si="1"/>
        <v>0</v>
      </c>
    </row>
    <row r="1828" hidden="1">
      <c r="A1828" s="7" t="s">
        <v>373</v>
      </c>
      <c r="B1828" s="7" t="s">
        <v>268</v>
      </c>
      <c r="C1828" s="7">
        <v>0.5</v>
      </c>
      <c r="D1828" s="7">
        <v>0.1</v>
      </c>
      <c r="E1828" s="7">
        <v>6.0</v>
      </c>
      <c r="F1828" s="7">
        <v>98.9653341770172</v>
      </c>
      <c r="G1828" s="7">
        <v>322.854767799377</v>
      </c>
      <c r="H1828" s="7">
        <v>1.0</v>
      </c>
      <c r="I1828" s="15">
        <v>0.436125202560484</v>
      </c>
      <c r="J1828" s="15">
        <v>0.145517422049065</v>
      </c>
      <c r="K1828" s="12">
        <f>AVERAGE(I1827:I1831)</f>
        <v>0.4443718122</v>
      </c>
      <c r="L1828" s="18">
        <v>1461.0</v>
      </c>
      <c r="M1828" s="14">
        <f>STDEV(L1827:L1831)</f>
        <v>30798.27974</v>
      </c>
      <c r="N1828" s="15" t="b">
        <f t="shared" si="1"/>
        <v>0</v>
      </c>
    </row>
    <row r="1829" hidden="1">
      <c r="A1829" s="7" t="s">
        <v>373</v>
      </c>
      <c r="B1829" s="7" t="s">
        <v>268</v>
      </c>
      <c r="C1829" s="7">
        <v>0.5</v>
      </c>
      <c r="D1829" s="7">
        <v>0.1</v>
      </c>
      <c r="E1829" s="7">
        <v>6.0</v>
      </c>
      <c r="F1829" s="7">
        <v>98.9653341770172</v>
      </c>
      <c r="G1829" s="7">
        <v>322.854767799377</v>
      </c>
      <c r="H1829" s="7">
        <v>2.0</v>
      </c>
      <c r="I1829" s="15">
        <v>0.770142862980353</v>
      </c>
      <c r="J1829" s="15">
        <v>0.128047378266639</v>
      </c>
      <c r="K1829" s="12">
        <f>AVERAGE(I1827:I1831)</f>
        <v>0.4443718122</v>
      </c>
      <c r="L1829" s="18">
        <v>15622.0</v>
      </c>
      <c r="M1829" s="14">
        <f>STDEV(L1827:L1831)</f>
        <v>30798.27974</v>
      </c>
      <c r="N1829" s="15" t="b">
        <f t="shared" si="1"/>
        <v>0</v>
      </c>
    </row>
    <row r="1830" hidden="1">
      <c r="A1830" s="7" t="s">
        <v>373</v>
      </c>
      <c r="B1830" s="7" t="s">
        <v>268</v>
      </c>
      <c r="C1830" s="7">
        <v>0.5</v>
      </c>
      <c r="D1830" s="7">
        <v>0.1</v>
      </c>
      <c r="E1830" s="7">
        <v>6.0</v>
      </c>
      <c r="F1830" s="7">
        <v>98.9653341770172</v>
      </c>
      <c r="G1830" s="7">
        <v>322.854767799377</v>
      </c>
      <c r="H1830" s="7">
        <v>3.0</v>
      </c>
      <c r="I1830" s="15">
        <v>0.0423027712933164</v>
      </c>
      <c r="J1830" s="15">
        <v>0.0498379430614787</v>
      </c>
      <c r="K1830" s="12">
        <f>AVERAGE(I1827:I1831)</f>
        <v>0.4443718122</v>
      </c>
      <c r="L1830" s="18">
        <v>58064.0</v>
      </c>
      <c r="M1830" s="14">
        <f>STDEV(L1827:L1831)</f>
        <v>30798.27974</v>
      </c>
      <c r="N1830" s="15" t="b">
        <f t="shared" si="1"/>
        <v>0</v>
      </c>
    </row>
    <row r="1831" hidden="1">
      <c r="A1831" s="7" t="s">
        <v>373</v>
      </c>
      <c r="B1831" s="7" t="s">
        <v>268</v>
      </c>
      <c r="C1831" s="7">
        <v>0.5</v>
      </c>
      <c r="D1831" s="7">
        <v>0.1</v>
      </c>
      <c r="E1831" s="7">
        <v>6.0</v>
      </c>
      <c r="F1831" s="7">
        <v>98.9653341770172</v>
      </c>
      <c r="G1831" s="7">
        <v>322.854767799377</v>
      </c>
      <c r="H1831" s="7">
        <v>4.0</v>
      </c>
      <c r="I1831" s="15">
        <v>0.807372842772841</v>
      </c>
      <c r="J1831" s="15">
        <v>0.133654413226278</v>
      </c>
      <c r="K1831" s="12">
        <f>AVERAGE(I1827:I1831)</f>
        <v>0.4443718122</v>
      </c>
      <c r="L1831" s="18">
        <v>1817.0</v>
      </c>
      <c r="M1831" s="14">
        <f>STDEV(L1827:L1831)</f>
        <v>30798.27974</v>
      </c>
      <c r="N1831" s="15" t="b">
        <f t="shared" si="1"/>
        <v>0</v>
      </c>
    </row>
    <row r="1832" hidden="1">
      <c r="A1832" s="7" t="s">
        <v>374</v>
      </c>
      <c r="B1832" s="7" t="s">
        <v>268</v>
      </c>
      <c r="C1832" s="7">
        <v>0.5</v>
      </c>
      <c r="D1832" s="7">
        <v>0.1</v>
      </c>
      <c r="E1832" s="7">
        <v>7.0</v>
      </c>
      <c r="F1832" s="7">
        <v>109.938031673431</v>
      </c>
      <c r="G1832" s="7">
        <v>400.627521514892</v>
      </c>
      <c r="H1832" s="7">
        <v>0.0</v>
      </c>
      <c r="I1832" s="15">
        <v>0.913018204614203</v>
      </c>
      <c r="J1832" s="15">
        <v>0.0345508746104319</v>
      </c>
      <c r="K1832" s="12">
        <f>AVERAGE(I1832:I1836)</f>
        <v>0.4918656188</v>
      </c>
      <c r="L1832" s="18">
        <v>2043.0</v>
      </c>
      <c r="M1832" s="14">
        <f>STDEV(L1832:L1836)</f>
        <v>46594.47586</v>
      </c>
      <c r="N1832" s="15" t="b">
        <f t="shared" si="1"/>
        <v>0</v>
      </c>
    </row>
    <row r="1833" hidden="1">
      <c r="A1833" s="7" t="s">
        <v>374</v>
      </c>
      <c r="B1833" s="7" t="s">
        <v>268</v>
      </c>
      <c r="C1833" s="7">
        <v>0.5</v>
      </c>
      <c r="D1833" s="7">
        <v>0.1</v>
      </c>
      <c r="E1833" s="7">
        <v>7.0</v>
      </c>
      <c r="F1833" s="7">
        <v>109.938031673431</v>
      </c>
      <c r="G1833" s="7">
        <v>400.627521514892</v>
      </c>
      <c r="H1833" s="7">
        <v>1.0</v>
      </c>
      <c r="I1833" s="15">
        <v>0.366187396346214</v>
      </c>
      <c r="J1833" s="15">
        <v>0.0647868713596845</v>
      </c>
      <c r="K1833" s="12">
        <f>AVERAGE(I1832:I1836)</f>
        <v>0.4918656188</v>
      </c>
      <c r="L1833" s="18">
        <v>3522.0</v>
      </c>
      <c r="M1833" s="14">
        <f>STDEV(L1832:L1836)</f>
        <v>46594.47586</v>
      </c>
      <c r="N1833" s="15" t="b">
        <f t="shared" si="1"/>
        <v>0</v>
      </c>
    </row>
    <row r="1834" hidden="1">
      <c r="A1834" s="7" t="s">
        <v>374</v>
      </c>
      <c r="B1834" s="7" t="s">
        <v>268</v>
      </c>
      <c r="C1834" s="7">
        <v>0.5</v>
      </c>
      <c r="D1834" s="7">
        <v>0.1</v>
      </c>
      <c r="E1834" s="7">
        <v>7.0</v>
      </c>
      <c r="F1834" s="7">
        <v>109.938031673431</v>
      </c>
      <c r="G1834" s="7">
        <v>400.627521514892</v>
      </c>
      <c r="H1834" s="7">
        <v>2.0</v>
      </c>
      <c r="I1834" s="15">
        <v>0.0909051846232744</v>
      </c>
      <c r="J1834" s="15">
        <v>0.0592042776679496</v>
      </c>
      <c r="K1834" s="12">
        <f>AVERAGE(I1832:I1836)</f>
        <v>0.4918656188</v>
      </c>
      <c r="L1834" s="18">
        <v>110070.0</v>
      </c>
      <c r="M1834" s="14">
        <f>STDEV(L1832:L1836)</f>
        <v>46594.47586</v>
      </c>
      <c r="N1834" s="15" t="b">
        <f t="shared" si="1"/>
        <v>0</v>
      </c>
    </row>
    <row r="1835" hidden="1">
      <c r="A1835" s="7" t="s">
        <v>374</v>
      </c>
      <c r="B1835" s="7" t="s">
        <v>268</v>
      </c>
      <c r="C1835" s="7">
        <v>0.5</v>
      </c>
      <c r="D1835" s="7">
        <v>0.1</v>
      </c>
      <c r="E1835" s="7">
        <v>7.0</v>
      </c>
      <c r="F1835" s="7">
        <v>109.938031673431</v>
      </c>
      <c r="G1835" s="7">
        <v>400.627521514892</v>
      </c>
      <c r="H1835" s="7">
        <v>3.0</v>
      </c>
      <c r="I1835" s="15">
        <v>0.880007321181467</v>
      </c>
      <c r="J1835" s="15">
        <v>0.137801450513806</v>
      </c>
      <c r="K1835" s="12">
        <f>AVERAGE(I1832:I1836)</f>
        <v>0.4918656188</v>
      </c>
      <c r="L1835" s="18">
        <v>2354.0</v>
      </c>
      <c r="M1835" s="14">
        <f>STDEV(L1832:L1836)</f>
        <v>46594.47586</v>
      </c>
      <c r="N1835" s="15" t="b">
        <f t="shared" si="1"/>
        <v>0</v>
      </c>
    </row>
    <row r="1836" hidden="1">
      <c r="A1836" s="7" t="s">
        <v>374</v>
      </c>
      <c r="B1836" s="7" t="s">
        <v>268</v>
      </c>
      <c r="C1836" s="7">
        <v>0.5</v>
      </c>
      <c r="D1836" s="7">
        <v>0.1</v>
      </c>
      <c r="E1836" s="7">
        <v>7.0</v>
      </c>
      <c r="F1836" s="7">
        <v>109.938031673431</v>
      </c>
      <c r="G1836" s="7">
        <v>400.627521514892</v>
      </c>
      <c r="H1836" s="7">
        <v>4.0</v>
      </c>
      <c r="I1836" s="15">
        <v>0.209209987082779</v>
      </c>
      <c r="J1836" s="15">
        <v>0.0487266967283881</v>
      </c>
      <c r="K1836" s="12">
        <f>AVERAGE(I1832:I1836)</f>
        <v>0.4918656188</v>
      </c>
      <c r="L1836" s="18">
        <v>23687.0</v>
      </c>
      <c r="M1836" s="14">
        <f>STDEV(L1832:L1836)</f>
        <v>46594.47586</v>
      </c>
      <c r="N1836" s="15" t="b">
        <f t="shared" si="1"/>
        <v>0</v>
      </c>
    </row>
    <row r="1837" hidden="1">
      <c r="A1837" s="7" t="s">
        <v>375</v>
      </c>
      <c r="B1837" s="7" t="s">
        <v>268</v>
      </c>
      <c r="C1837" s="7">
        <v>0.5</v>
      </c>
      <c r="D1837" s="7">
        <v>0.1</v>
      </c>
      <c r="E1837" s="7">
        <v>8.0</v>
      </c>
      <c r="F1837" s="7">
        <v>129.099208354949</v>
      </c>
      <c r="G1837" s="7">
        <v>412.030899524688</v>
      </c>
      <c r="H1837" s="7">
        <v>0.0</v>
      </c>
      <c r="I1837" s="15">
        <v>0.0836797030334735</v>
      </c>
      <c r="J1837" s="15">
        <v>0.102853813072382</v>
      </c>
      <c r="K1837" s="12">
        <f>AVERAGE(I1837:I1841)</f>
        <v>0.4407577138</v>
      </c>
      <c r="L1837" s="18">
        <v>69428.0</v>
      </c>
      <c r="M1837" s="14">
        <f>STDEV(L1837:L1841)</f>
        <v>26889.41447</v>
      </c>
      <c r="N1837" s="15" t="b">
        <f t="shared" si="1"/>
        <v>0</v>
      </c>
    </row>
    <row r="1838" hidden="1">
      <c r="A1838" s="7" t="s">
        <v>375</v>
      </c>
      <c r="B1838" s="7" t="s">
        <v>268</v>
      </c>
      <c r="C1838" s="7">
        <v>0.5</v>
      </c>
      <c r="D1838" s="7">
        <v>0.1</v>
      </c>
      <c r="E1838" s="7">
        <v>8.0</v>
      </c>
      <c r="F1838" s="7">
        <v>129.099208354949</v>
      </c>
      <c r="G1838" s="7">
        <v>412.030899524688</v>
      </c>
      <c r="H1838" s="7">
        <v>1.0</v>
      </c>
      <c r="I1838" s="15">
        <v>0.249232859356521</v>
      </c>
      <c r="J1838" s="15">
        <v>0.105223600374988</v>
      </c>
      <c r="K1838" s="12">
        <f>AVERAGE(I1837:I1841)</f>
        <v>0.4407577138</v>
      </c>
      <c r="L1838" s="18">
        <v>41590.0</v>
      </c>
      <c r="M1838" s="14">
        <f>STDEV(L1837:L1841)</f>
        <v>26889.41447</v>
      </c>
      <c r="N1838" s="15" t="b">
        <f t="shared" si="1"/>
        <v>0</v>
      </c>
    </row>
    <row r="1839" hidden="1">
      <c r="A1839" s="7" t="s">
        <v>375</v>
      </c>
      <c r="B1839" s="7" t="s">
        <v>268</v>
      </c>
      <c r="C1839" s="7">
        <v>0.5</v>
      </c>
      <c r="D1839" s="7">
        <v>0.1</v>
      </c>
      <c r="E1839" s="7">
        <v>8.0</v>
      </c>
      <c r="F1839" s="7">
        <v>129.099208354949</v>
      </c>
      <c r="G1839" s="7">
        <v>412.030899524688</v>
      </c>
      <c r="H1839" s="7">
        <v>2.0</v>
      </c>
      <c r="I1839" s="15">
        <v>0.749050910075055</v>
      </c>
      <c r="J1839" s="15">
        <v>0.143374618705423</v>
      </c>
      <c r="K1839" s="12">
        <f>AVERAGE(I1837:I1841)</f>
        <v>0.4407577138</v>
      </c>
      <c r="L1839" s="18">
        <v>7567.0</v>
      </c>
      <c r="M1839" s="14">
        <f>STDEV(L1837:L1841)</f>
        <v>26889.41447</v>
      </c>
      <c r="N1839" s="15" t="b">
        <f t="shared" si="1"/>
        <v>0</v>
      </c>
    </row>
    <row r="1840" hidden="1">
      <c r="A1840" s="7" t="s">
        <v>375</v>
      </c>
      <c r="B1840" s="7" t="s">
        <v>268</v>
      </c>
      <c r="C1840" s="7">
        <v>0.5</v>
      </c>
      <c r="D1840" s="7">
        <v>0.1</v>
      </c>
      <c r="E1840" s="7">
        <v>8.0</v>
      </c>
      <c r="F1840" s="7">
        <v>129.099208354949</v>
      </c>
      <c r="G1840" s="7">
        <v>412.030899524688</v>
      </c>
      <c r="H1840" s="7">
        <v>3.0</v>
      </c>
      <c r="I1840" s="15">
        <v>0.351283005012396</v>
      </c>
      <c r="J1840" s="15">
        <v>0.202117981420978</v>
      </c>
      <c r="K1840" s="12">
        <f>AVERAGE(I1837:I1841)</f>
        <v>0.4407577138</v>
      </c>
      <c r="L1840" s="18">
        <v>7499.0</v>
      </c>
      <c r="M1840" s="14">
        <f>STDEV(L1837:L1841)</f>
        <v>26889.41447</v>
      </c>
      <c r="N1840" s="15" t="b">
        <f t="shared" si="1"/>
        <v>0</v>
      </c>
    </row>
    <row r="1841" hidden="1">
      <c r="A1841" s="7" t="s">
        <v>375</v>
      </c>
      <c r="B1841" s="7" t="s">
        <v>268</v>
      </c>
      <c r="C1841" s="7">
        <v>0.5</v>
      </c>
      <c r="D1841" s="7">
        <v>0.1</v>
      </c>
      <c r="E1841" s="7">
        <v>8.0</v>
      </c>
      <c r="F1841" s="7">
        <v>129.099208354949</v>
      </c>
      <c r="G1841" s="7">
        <v>412.030899524688</v>
      </c>
      <c r="H1841" s="7">
        <v>4.0</v>
      </c>
      <c r="I1841" s="15">
        <v>0.770542091463178</v>
      </c>
      <c r="J1841" s="15">
        <v>0.131706111275935</v>
      </c>
      <c r="K1841" s="12">
        <f>AVERAGE(I1837:I1841)</f>
        <v>0.4407577138</v>
      </c>
      <c r="L1841" s="18">
        <v>15592.0</v>
      </c>
      <c r="M1841" s="14">
        <f>STDEV(L1837:L1841)</f>
        <v>26889.41447</v>
      </c>
      <c r="N1841" s="15" t="b">
        <f t="shared" si="1"/>
        <v>0</v>
      </c>
    </row>
    <row r="1842" hidden="1">
      <c r="A1842" s="7" t="s">
        <v>376</v>
      </c>
      <c r="B1842" s="7" t="s">
        <v>268</v>
      </c>
      <c r="C1842" s="7">
        <v>0.5</v>
      </c>
      <c r="D1842" s="7">
        <v>0.1</v>
      </c>
      <c r="E1842" s="7">
        <v>9.0</v>
      </c>
      <c r="F1842" s="7">
        <v>351.792431354522</v>
      </c>
      <c r="G1842" s="7">
        <v>461.482846498489</v>
      </c>
      <c r="H1842" s="7">
        <v>0.0</v>
      </c>
      <c r="I1842" s="15">
        <v>0.0817450250790048</v>
      </c>
      <c r="J1842" s="15">
        <v>0.0700643317467151</v>
      </c>
      <c r="K1842" s="12">
        <f>AVERAGE(I1842:I1846)</f>
        <v>0.486857048</v>
      </c>
      <c r="L1842" s="18">
        <v>77295.0</v>
      </c>
      <c r="M1842" s="14">
        <f>STDEV(L1842:L1846)</f>
        <v>28183.51764</v>
      </c>
      <c r="N1842" s="15" t="b">
        <f t="shared" si="1"/>
        <v>0</v>
      </c>
    </row>
    <row r="1843" hidden="1">
      <c r="A1843" s="7" t="s">
        <v>376</v>
      </c>
      <c r="B1843" s="7" t="s">
        <v>268</v>
      </c>
      <c r="C1843" s="7">
        <v>0.5</v>
      </c>
      <c r="D1843" s="7">
        <v>0.1</v>
      </c>
      <c r="E1843" s="7">
        <v>9.0</v>
      </c>
      <c r="F1843" s="7">
        <v>351.792431354522</v>
      </c>
      <c r="G1843" s="7">
        <v>461.482846498489</v>
      </c>
      <c r="H1843" s="7">
        <v>1.0</v>
      </c>
      <c r="I1843" s="15">
        <v>0.815616491237537</v>
      </c>
      <c r="J1843" s="15">
        <v>0.0758100623563151</v>
      </c>
      <c r="K1843" s="12">
        <f>AVERAGE(I1842:I1846)</f>
        <v>0.486857048</v>
      </c>
      <c r="L1843" s="18">
        <v>16191.0</v>
      </c>
      <c r="M1843" s="14">
        <f>STDEV(L1842:L1846)</f>
        <v>28183.51764</v>
      </c>
      <c r="N1843" s="15" t="b">
        <f t="shared" si="1"/>
        <v>0</v>
      </c>
    </row>
    <row r="1844" hidden="1">
      <c r="A1844" s="7" t="s">
        <v>376</v>
      </c>
      <c r="B1844" s="7" t="s">
        <v>268</v>
      </c>
      <c r="C1844" s="7">
        <v>0.5</v>
      </c>
      <c r="D1844" s="7">
        <v>0.1</v>
      </c>
      <c r="E1844" s="7">
        <v>9.0</v>
      </c>
      <c r="F1844" s="7">
        <v>351.792431354522</v>
      </c>
      <c r="G1844" s="7">
        <v>461.482846498489</v>
      </c>
      <c r="H1844" s="7">
        <v>2.0</v>
      </c>
      <c r="I1844" s="15">
        <v>0.216897462437715</v>
      </c>
      <c r="J1844" s="15">
        <v>0.272481172897226</v>
      </c>
      <c r="K1844" s="12">
        <f>AVERAGE(I1842:I1846)</f>
        <v>0.486857048</v>
      </c>
      <c r="L1844" s="18">
        <v>21278.0</v>
      </c>
      <c r="M1844" s="14">
        <f>STDEV(L1842:L1846)</f>
        <v>28183.51764</v>
      </c>
      <c r="N1844" s="15" t="b">
        <f t="shared" si="1"/>
        <v>0</v>
      </c>
    </row>
    <row r="1845" hidden="1">
      <c r="A1845" s="7" t="s">
        <v>376</v>
      </c>
      <c r="B1845" s="7" t="s">
        <v>268</v>
      </c>
      <c r="C1845" s="7">
        <v>0.5</v>
      </c>
      <c r="D1845" s="7">
        <v>0.1</v>
      </c>
      <c r="E1845" s="7">
        <v>9.0</v>
      </c>
      <c r="F1845" s="7">
        <v>351.792431354522</v>
      </c>
      <c r="G1845" s="7">
        <v>461.482846498489</v>
      </c>
      <c r="H1845" s="7">
        <v>3.0</v>
      </c>
      <c r="I1845" s="15">
        <v>0.456330877913422</v>
      </c>
      <c r="J1845" s="15">
        <v>0.152684880813008</v>
      </c>
      <c r="K1845" s="12">
        <f>AVERAGE(I1842:I1846)</f>
        <v>0.486857048</v>
      </c>
      <c r="L1845" s="18">
        <v>21826.0</v>
      </c>
      <c r="M1845" s="14">
        <f>STDEV(L1842:L1846)</f>
        <v>28183.51764</v>
      </c>
      <c r="N1845" s="15" t="b">
        <f t="shared" si="1"/>
        <v>0</v>
      </c>
    </row>
    <row r="1846" hidden="1">
      <c r="A1846" s="7" t="s">
        <v>376</v>
      </c>
      <c r="B1846" s="7" t="s">
        <v>268</v>
      </c>
      <c r="C1846" s="7">
        <v>0.5</v>
      </c>
      <c r="D1846" s="7">
        <v>0.1</v>
      </c>
      <c r="E1846" s="7">
        <v>9.0</v>
      </c>
      <c r="F1846" s="7">
        <v>351.792431354522</v>
      </c>
      <c r="G1846" s="7">
        <v>461.482846498489</v>
      </c>
      <c r="H1846" s="7">
        <v>4.0</v>
      </c>
      <c r="I1846" s="15">
        <v>0.863695383114454</v>
      </c>
      <c r="J1846" s="15">
        <v>0.0945825777111047</v>
      </c>
      <c r="K1846" s="12">
        <f>AVERAGE(I1842:I1846)</f>
        <v>0.486857048</v>
      </c>
      <c r="L1846" s="18">
        <v>5086.0</v>
      </c>
      <c r="M1846" s="14">
        <f>STDEV(L1842:L1846)</f>
        <v>28183.51764</v>
      </c>
      <c r="N1846" s="15" t="b">
        <f t="shared" si="1"/>
        <v>0</v>
      </c>
    </row>
    <row r="1847" hidden="1">
      <c r="A1847" s="7" t="s">
        <v>377</v>
      </c>
      <c r="B1847" s="7" t="s">
        <v>268</v>
      </c>
      <c r="C1847" s="7">
        <v>0.5</v>
      </c>
      <c r="D1847" s="7">
        <v>0.1</v>
      </c>
      <c r="E1847" s="7">
        <v>10.0</v>
      </c>
      <c r="F1847" s="7">
        <v>118.671045780181</v>
      </c>
      <c r="G1847" s="7">
        <v>404.974355697631</v>
      </c>
      <c r="H1847" s="7">
        <v>0.0</v>
      </c>
      <c r="I1847" s="15">
        <v>0.0577344009894585</v>
      </c>
      <c r="J1847" s="15">
        <v>0.0918497858720734</v>
      </c>
      <c r="K1847" s="12">
        <f>AVERAGE(I1847:I1851)</f>
        <v>0.6443896237</v>
      </c>
      <c r="L1847" s="18">
        <v>102602.0</v>
      </c>
      <c r="M1847" s="14">
        <f>STDEV(L1847:L1851)</f>
        <v>41681.86335</v>
      </c>
      <c r="N1847" s="15" t="b">
        <f t="shared" si="1"/>
        <v>0</v>
      </c>
    </row>
    <row r="1848" hidden="1">
      <c r="A1848" s="7" t="s">
        <v>377</v>
      </c>
      <c r="B1848" s="7" t="s">
        <v>268</v>
      </c>
      <c r="C1848" s="7">
        <v>0.5</v>
      </c>
      <c r="D1848" s="7">
        <v>0.1</v>
      </c>
      <c r="E1848" s="7">
        <v>10.0</v>
      </c>
      <c r="F1848" s="7">
        <v>118.671045780181</v>
      </c>
      <c r="G1848" s="7">
        <v>404.974355697631</v>
      </c>
      <c r="H1848" s="7">
        <v>1.0</v>
      </c>
      <c r="I1848" s="15">
        <v>0.750809327466682</v>
      </c>
      <c r="J1848" s="15">
        <v>0.13256767179016</v>
      </c>
      <c r="K1848" s="12">
        <f>AVERAGE(I1847:I1851)</f>
        <v>0.6443896237</v>
      </c>
      <c r="L1848" s="18">
        <v>7596.0</v>
      </c>
      <c r="M1848" s="14">
        <f>STDEV(L1847:L1851)</f>
        <v>41681.86335</v>
      </c>
      <c r="N1848" s="15" t="b">
        <f t="shared" si="1"/>
        <v>0</v>
      </c>
    </row>
    <row r="1849" hidden="1">
      <c r="A1849" s="7" t="s">
        <v>377</v>
      </c>
      <c r="B1849" s="7" t="s">
        <v>268</v>
      </c>
      <c r="C1849" s="7">
        <v>0.5</v>
      </c>
      <c r="D1849" s="7">
        <v>0.1</v>
      </c>
      <c r="E1849" s="7">
        <v>10.0</v>
      </c>
      <c r="F1849" s="7">
        <v>118.671045780181</v>
      </c>
      <c r="G1849" s="7">
        <v>404.974355697631</v>
      </c>
      <c r="H1849" s="7">
        <v>2.0</v>
      </c>
      <c r="I1849" s="15">
        <v>0.764731667535426</v>
      </c>
      <c r="J1849" s="15">
        <v>0.133117374631767</v>
      </c>
      <c r="K1849" s="12">
        <f>AVERAGE(I1847:I1851)</f>
        <v>0.6443896237</v>
      </c>
      <c r="L1849" s="18">
        <v>7823.0</v>
      </c>
      <c r="M1849" s="14">
        <f>STDEV(L1847:L1851)</f>
        <v>41681.86335</v>
      </c>
      <c r="N1849" s="15" t="b">
        <f t="shared" si="1"/>
        <v>0</v>
      </c>
    </row>
    <row r="1850" hidden="1">
      <c r="A1850" s="7" t="s">
        <v>377</v>
      </c>
      <c r="B1850" s="7" t="s">
        <v>268</v>
      </c>
      <c r="C1850" s="7">
        <v>0.5</v>
      </c>
      <c r="D1850" s="7">
        <v>0.1</v>
      </c>
      <c r="E1850" s="7">
        <v>10.0</v>
      </c>
      <c r="F1850" s="7">
        <v>118.671045780181</v>
      </c>
      <c r="G1850" s="7">
        <v>404.974355697631</v>
      </c>
      <c r="H1850" s="7">
        <v>3.0</v>
      </c>
      <c r="I1850" s="15">
        <v>0.827197824104511</v>
      </c>
      <c r="J1850" s="15">
        <v>0.0988191324576063</v>
      </c>
      <c r="K1850" s="12">
        <f>AVERAGE(I1847:I1851)</f>
        <v>0.6443896237</v>
      </c>
      <c r="L1850" s="18">
        <v>7464.0</v>
      </c>
      <c r="M1850" s="14">
        <f>STDEV(L1847:L1851)</f>
        <v>41681.86335</v>
      </c>
      <c r="N1850" s="15" t="b">
        <f t="shared" si="1"/>
        <v>0</v>
      </c>
    </row>
    <row r="1851" hidden="1">
      <c r="A1851" s="7" t="s">
        <v>377</v>
      </c>
      <c r="B1851" s="7" t="s">
        <v>268</v>
      </c>
      <c r="C1851" s="7">
        <v>0.5</v>
      </c>
      <c r="D1851" s="7">
        <v>0.1</v>
      </c>
      <c r="E1851" s="7">
        <v>10.0</v>
      </c>
      <c r="F1851" s="7">
        <v>118.671045780181</v>
      </c>
      <c r="G1851" s="7">
        <v>404.974355697631</v>
      </c>
      <c r="H1851" s="7">
        <v>4.0</v>
      </c>
      <c r="I1851" s="15">
        <v>0.821474898609579</v>
      </c>
      <c r="J1851" s="15">
        <v>0.0740218840635257</v>
      </c>
      <c r="K1851" s="12">
        <f>AVERAGE(I1847:I1851)</f>
        <v>0.6443896237</v>
      </c>
      <c r="L1851" s="18">
        <v>16191.0</v>
      </c>
      <c r="M1851" s="14">
        <f>STDEV(L1847:L1851)</f>
        <v>41681.86335</v>
      </c>
      <c r="N1851" s="15" t="b">
        <f t="shared" si="1"/>
        <v>0</v>
      </c>
    </row>
    <row r="1852" hidden="1">
      <c r="A1852" s="7" t="s">
        <v>378</v>
      </c>
      <c r="B1852" s="7" t="s">
        <v>268</v>
      </c>
      <c r="C1852" s="7">
        <v>0.5</v>
      </c>
      <c r="D1852" s="7">
        <v>0.25</v>
      </c>
      <c r="E1852" s="7">
        <v>1.0</v>
      </c>
      <c r="F1852" s="7">
        <v>75.2060956954955</v>
      </c>
      <c r="G1852" s="7">
        <v>364.131821393966</v>
      </c>
      <c r="H1852" s="7">
        <v>0.0</v>
      </c>
      <c r="I1852" s="15">
        <v>0.0521240638093924</v>
      </c>
      <c r="J1852" s="15">
        <v>0.0423265329124866</v>
      </c>
      <c r="K1852" s="12">
        <f>AVERAGE(I1852:I1856)</f>
        <v>0.5312032751</v>
      </c>
      <c r="L1852" s="18">
        <v>96920.0</v>
      </c>
      <c r="M1852" s="14">
        <f>STDEV(L1852:L1856)</f>
        <v>38736.20114</v>
      </c>
      <c r="N1852" s="15" t="b">
        <f t="shared" si="1"/>
        <v>0</v>
      </c>
    </row>
    <row r="1853" hidden="1">
      <c r="A1853" s="7" t="s">
        <v>378</v>
      </c>
      <c r="B1853" s="7" t="s">
        <v>268</v>
      </c>
      <c r="C1853" s="7">
        <v>0.5</v>
      </c>
      <c r="D1853" s="7">
        <v>0.25</v>
      </c>
      <c r="E1853" s="7">
        <v>1.0</v>
      </c>
      <c r="F1853" s="7">
        <v>75.2060956954955</v>
      </c>
      <c r="G1853" s="7">
        <v>364.131821393966</v>
      </c>
      <c r="H1853" s="7">
        <v>1.0</v>
      </c>
      <c r="I1853" s="15">
        <v>0.73744321354206</v>
      </c>
      <c r="J1853" s="15">
        <v>0.154842028764412</v>
      </c>
      <c r="K1853" s="12">
        <f>AVERAGE(I1852:I1856)</f>
        <v>0.5312032751</v>
      </c>
      <c r="L1853" s="18">
        <v>1699.0</v>
      </c>
      <c r="M1853" s="14">
        <f>STDEV(L1852:L1856)</f>
        <v>38736.20114</v>
      </c>
      <c r="N1853" s="15" t="b">
        <f t="shared" si="1"/>
        <v>0</v>
      </c>
    </row>
    <row r="1854" hidden="1">
      <c r="A1854" s="7" t="s">
        <v>378</v>
      </c>
      <c r="B1854" s="7" t="s">
        <v>268</v>
      </c>
      <c r="C1854" s="7">
        <v>0.5</v>
      </c>
      <c r="D1854" s="7">
        <v>0.25</v>
      </c>
      <c r="E1854" s="7">
        <v>1.0</v>
      </c>
      <c r="F1854" s="7">
        <v>75.2060956954955</v>
      </c>
      <c r="G1854" s="7">
        <v>364.131821393966</v>
      </c>
      <c r="H1854" s="7">
        <v>2.0</v>
      </c>
      <c r="I1854" s="15">
        <v>0.715392297618864</v>
      </c>
      <c r="J1854" s="15">
        <v>0.153996768845487</v>
      </c>
      <c r="K1854" s="12">
        <f>AVERAGE(I1852:I1856)</f>
        <v>0.5312032751</v>
      </c>
      <c r="L1854" s="18">
        <v>13522.0</v>
      </c>
      <c r="M1854" s="14">
        <f>STDEV(L1852:L1856)</f>
        <v>38736.20114</v>
      </c>
      <c r="N1854" s="15" t="b">
        <f t="shared" si="1"/>
        <v>0</v>
      </c>
    </row>
    <row r="1855" hidden="1">
      <c r="A1855" s="7" t="s">
        <v>378</v>
      </c>
      <c r="B1855" s="7" t="s">
        <v>268</v>
      </c>
      <c r="C1855" s="7">
        <v>0.5</v>
      </c>
      <c r="D1855" s="7">
        <v>0.25</v>
      </c>
      <c r="E1855" s="7">
        <v>1.0</v>
      </c>
      <c r="F1855" s="7">
        <v>75.2060956954955</v>
      </c>
      <c r="G1855" s="7">
        <v>364.131821393966</v>
      </c>
      <c r="H1855" s="7">
        <v>3.0</v>
      </c>
      <c r="I1855" s="15">
        <v>0.764999190612579</v>
      </c>
      <c r="J1855" s="15">
        <v>0.135783176537097</v>
      </c>
      <c r="K1855" s="12">
        <f>AVERAGE(I1852:I1856)</f>
        <v>0.5312032751</v>
      </c>
      <c r="L1855" s="18">
        <v>15480.0</v>
      </c>
      <c r="M1855" s="14">
        <f>STDEV(L1852:L1856)</f>
        <v>38736.20114</v>
      </c>
      <c r="N1855" s="15" t="b">
        <f t="shared" si="1"/>
        <v>0</v>
      </c>
    </row>
    <row r="1856" hidden="1">
      <c r="A1856" s="7" t="s">
        <v>378</v>
      </c>
      <c r="B1856" s="7" t="s">
        <v>268</v>
      </c>
      <c r="C1856" s="7">
        <v>0.5</v>
      </c>
      <c r="D1856" s="7">
        <v>0.25</v>
      </c>
      <c r="E1856" s="7">
        <v>1.0</v>
      </c>
      <c r="F1856" s="7">
        <v>75.2060956954955</v>
      </c>
      <c r="G1856" s="7">
        <v>364.131821393966</v>
      </c>
      <c r="H1856" s="7">
        <v>4.0</v>
      </c>
      <c r="I1856" s="15">
        <v>0.386057610019618</v>
      </c>
      <c r="J1856" s="15">
        <v>0.291099000114375</v>
      </c>
      <c r="K1856" s="12">
        <f>AVERAGE(I1852:I1856)</f>
        <v>0.5312032751</v>
      </c>
      <c r="L1856" s="18">
        <v>14055.0</v>
      </c>
      <c r="M1856" s="14">
        <f>STDEV(L1852:L1856)</f>
        <v>38736.20114</v>
      </c>
      <c r="N1856" s="15" t="b">
        <f t="shared" si="1"/>
        <v>0</v>
      </c>
    </row>
    <row r="1857" hidden="1">
      <c r="A1857" s="7" t="s">
        <v>379</v>
      </c>
      <c r="B1857" s="7" t="s">
        <v>268</v>
      </c>
      <c r="C1857" s="7">
        <v>0.5</v>
      </c>
      <c r="D1857" s="7">
        <v>0.25</v>
      </c>
      <c r="E1857" s="7">
        <v>2.0</v>
      </c>
      <c r="F1857" s="7">
        <v>93.9459924697876</v>
      </c>
      <c r="G1857" s="7">
        <v>322.599893569946</v>
      </c>
      <c r="H1857" s="7">
        <v>0.0</v>
      </c>
      <c r="I1857" s="15">
        <v>0.0826521624861368</v>
      </c>
      <c r="J1857" s="15">
        <v>0.0826533467926593</v>
      </c>
      <c r="K1857" s="12">
        <f>AVERAGE(I1857:I1861)</f>
        <v>0.449359088</v>
      </c>
      <c r="L1857" s="18">
        <v>75416.0</v>
      </c>
      <c r="M1857" s="14">
        <f>STDEV(L1857:L1861)</f>
        <v>32703.24635</v>
      </c>
      <c r="N1857" s="15" t="b">
        <f t="shared" si="1"/>
        <v>0</v>
      </c>
    </row>
    <row r="1858" hidden="1">
      <c r="A1858" s="7" t="s">
        <v>379</v>
      </c>
      <c r="B1858" s="7" t="s">
        <v>268</v>
      </c>
      <c r="C1858" s="7">
        <v>0.5</v>
      </c>
      <c r="D1858" s="7">
        <v>0.25</v>
      </c>
      <c r="E1858" s="7">
        <v>2.0</v>
      </c>
      <c r="F1858" s="7">
        <v>93.9459924697876</v>
      </c>
      <c r="G1858" s="7">
        <v>322.599893569946</v>
      </c>
      <c r="H1858" s="7">
        <v>1.0</v>
      </c>
      <c r="I1858" s="15">
        <v>0.234327321900993</v>
      </c>
      <c r="J1858" s="15">
        <v>0.0723205314109909</v>
      </c>
      <c r="K1858" s="12">
        <f>AVERAGE(I1857:I1861)</f>
        <v>0.449359088</v>
      </c>
      <c r="L1858" s="18">
        <v>50185.0</v>
      </c>
      <c r="M1858" s="14">
        <f>STDEV(L1857:L1861)</f>
        <v>32703.24635</v>
      </c>
      <c r="N1858" s="15" t="b">
        <f t="shared" si="1"/>
        <v>0</v>
      </c>
    </row>
    <row r="1859" hidden="1">
      <c r="A1859" s="7" t="s">
        <v>379</v>
      </c>
      <c r="B1859" s="7" t="s">
        <v>268</v>
      </c>
      <c r="C1859" s="7">
        <v>0.5</v>
      </c>
      <c r="D1859" s="7">
        <v>0.25</v>
      </c>
      <c r="E1859" s="7">
        <v>2.0</v>
      </c>
      <c r="F1859" s="7">
        <v>93.9459924697876</v>
      </c>
      <c r="G1859" s="7">
        <v>322.599893569946</v>
      </c>
      <c r="H1859" s="7">
        <v>2.0</v>
      </c>
      <c r="I1859" s="15">
        <v>0.263689056872402</v>
      </c>
      <c r="J1859" s="15">
        <v>0.10070985511098</v>
      </c>
      <c r="K1859" s="12">
        <f>AVERAGE(I1857:I1861)</f>
        <v>0.449359088</v>
      </c>
      <c r="L1859" s="18">
        <v>5303.0</v>
      </c>
      <c r="M1859" s="14">
        <f>STDEV(L1857:L1861)</f>
        <v>32703.24635</v>
      </c>
      <c r="N1859" s="15" t="b">
        <f t="shared" si="1"/>
        <v>0</v>
      </c>
    </row>
    <row r="1860" hidden="1">
      <c r="A1860" s="7" t="s">
        <v>379</v>
      </c>
      <c r="B1860" s="7" t="s">
        <v>268</v>
      </c>
      <c r="C1860" s="7">
        <v>0.5</v>
      </c>
      <c r="D1860" s="7">
        <v>0.25</v>
      </c>
      <c r="E1860" s="7">
        <v>2.0</v>
      </c>
      <c r="F1860" s="7">
        <v>93.9459924697876</v>
      </c>
      <c r="G1860" s="7">
        <v>322.599893569946</v>
      </c>
      <c r="H1860" s="7">
        <v>3.0</v>
      </c>
      <c r="I1860" s="15">
        <v>0.80317070166002</v>
      </c>
      <c r="J1860" s="15">
        <v>0.132258699598483</v>
      </c>
      <c r="K1860" s="12">
        <f>AVERAGE(I1857:I1861)</f>
        <v>0.449359088</v>
      </c>
      <c r="L1860" s="18">
        <v>5686.0</v>
      </c>
      <c r="M1860" s="14">
        <f>STDEV(L1857:L1861)</f>
        <v>32703.24635</v>
      </c>
      <c r="N1860" s="15" t="b">
        <f t="shared" si="1"/>
        <v>0</v>
      </c>
    </row>
    <row r="1861" hidden="1">
      <c r="A1861" s="7" t="s">
        <v>379</v>
      </c>
      <c r="B1861" s="7" t="s">
        <v>268</v>
      </c>
      <c r="C1861" s="7">
        <v>0.5</v>
      </c>
      <c r="D1861" s="7">
        <v>0.25</v>
      </c>
      <c r="E1861" s="7">
        <v>2.0</v>
      </c>
      <c r="F1861" s="7">
        <v>93.9459924697876</v>
      </c>
      <c r="G1861" s="7">
        <v>322.599893569946</v>
      </c>
      <c r="H1861" s="7">
        <v>4.0</v>
      </c>
      <c r="I1861" s="15">
        <v>0.862956197022365</v>
      </c>
      <c r="J1861" s="15">
        <v>0.100245212384726</v>
      </c>
      <c r="K1861" s="12">
        <f>AVERAGE(I1857:I1861)</f>
        <v>0.449359088</v>
      </c>
      <c r="L1861" s="18">
        <v>5086.0</v>
      </c>
      <c r="M1861" s="14">
        <f>STDEV(L1857:L1861)</f>
        <v>32703.24635</v>
      </c>
      <c r="N1861" s="15" t="b">
        <f t="shared" si="1"/>
        <v>0</v>
      </c>
    </row>
    <row r="1862" hidden="1">
      <c r="A1862" s="7" t="s">
        <v>380</v>
      </c>
      <c r="B1862" s="7" t="s">
        <v>268</v>
      </c>
      <c r="C1862" s="7">
        <v>0.5</v>
      </c>
      <c r="D1862" s="7">
        <v>0.25</v>
      </c>
      <c r="E1862" s="7">
        <v>3.0</v>
      </c>
      <c r="F1862" s="7">
        <v>108.77149438858</v>
      </c>
      <c r="G1862" s="7">
        <v>345.344095706939</v>
      </c>
      <c r="H1862" s="7">
        <v>0.0</v>
      </c>
      <c r="I1862" s="15">
        <v>0.157523921403934</v>
      </c>
      <c r="J1862" s="15">
        <v>0.0387608161685615</v>
      </c>
      <c r="K1862" s="12">
        <f>AVERAGE(I1862:I1866)</f>
        <v>0.5078170456</v>
      </c>
      <c r="L1862" s="18">
        <v>33130.0</v>
      </c>
      <c r="M1862" s="14">
        <f>STDEV(L1862:L1866)</f>
        <v>43393.48162</v>
      </c>
      <c r="N1862" s="15" t="b">
        <f t="shared" si="1"/>
        <v>0</v>
      </c>
    </row>
    <row r="1863" hidden="1">
      <c r="A1863" s="7" t="s">
        <v>380</v>
      </c>
      <c r="B1863" s="7" t="s">
        <v>268</v>
      </c>
      <c r="C1863" s="7">
        <v>0.5</v>
      </c>
      <c r="D1863" s="7">
        <v>0.25</v>
      </c>
      <c r="E1863" s="7">
        <v>3.0</v>
      </c>
      <c r="F1863" s="7">
        <v>108.77149438858</v>
      </c>
      <c r="G1863" s="7">
        <v>345.344095706939</v>
      </c>
      <c r="H1863" s="7">
        <v>1.0</v>
      </c>
      <c r="I1863" s="15">
        <v>0.749985173610334</v>
      </c>
      <c r="J1863" s="15">
        <v>0.147201412367301</v>
      </c>
      <c r="K1863" s="12">
        <f>AVERAGE(I1862:I1866)</f>
        <v>0.5078170456</v>
      </c>
      <c r="L1863" s="18">
        <v>1671.0</v>
      </c>
      <c r="M1863" s="14">
        <f>STDEV(L1862:L1866)</f>
        <v>43393.48162</v>
      </c>
      <c r="N1863" s="15" t="b">
        <f t="shared" si="1"/>
        <v>0</v>
      </c>
    </row>
    <row r="1864" hidden="1">
      <c r="A1864" s="7" t="s">
        <v>380</v>
      </c>
      <c r="B1864" s="7" t="s">
        <v>268</v>
      </c>
      <c r="C1864" s="7">
        <v>0.5</v>
      </c>
      <c r="D1864" s="7">
        <v>0.25</v>
      </c>
      <c r="E1864" s="7">
        <v>3.0</v>
      </c>
      <c r="F1864" s="7">
        <v>108.77149438858</v>
      </c>
      <c r="G1864" s="7">
        <v>345.344095706939</v>
      </c>
      <c r="H1864" s="7">
        <v>2.0</v>
      </c>
      <c r="I1864" s="15">
        <v>0.813107663551382</v>
      </c>
      <c r="J1864" s="15">
        <v>0.123372725408055</v>
      </c>
      <c r="K1864" s="12">
        <f>AVERAGE(I1862:I1866)</f>
        <v>0.5078170456</v>
      </c>
      <c r="L1864" s="18">
        <v>1027.0</v>
      </c>
      <c r="M1864" s="14">
        <f>STDEV(L1862:L1866)</f>
        <v>43393.48162</v>
      </c>
      <c r="N1864" s="15" t="b">
        <f t="shared" si="1"/>
        <v>0</v>
      </c>
    </row>
    <row r="1865" hidden="1">
      <c r="A1865" s="7" t="s">
        <v>380</v>
      </c>
      <c r="B1865" s="7" t="s">
        <v>268</v>
      </c>
      <c r="C1865" s="7">
        <v>0.5</v>
      </c>
      <c r="D1865" s="7">
        <v>0.25</v>
      </c>
      <c r="E1865" s="7">
        <v>3.0</v>
      </c>
      <c r="F1865" s="7">
        <v>108.77149438858</v>
      </c>
      <c r="G1865" s="7">
        <v>345.344095706939</v>
      </c>
      <c r="H1865" s="7">
        <v>3.0</v>
      </c>
      <c r="I1865" s="15">
        <v>0.0980522304788998</v>
      </c>
      <c r="J1865" s="15">
        <v>0.0546857719427227</v>
      </c>
      <c r="K1865" s="12">
        <f>AVERAGE(I1862:I1866)</f>
        <v>0.5078170456</v>
      </c>
      <c r="L1865" s="18">
        <v>102133.0</v>
      </c>
      <c r="M1865" s="14">
        <f>STDEV(L1862:L1866)</f>
        <v>43393.48162</v>
      </c>
      <c r="N1865" s="15" t="b">
        <f t="shared" si="1"/>
        <v>0</v>
      </c>
    </row>
    <row r="1866" hidden="1">
      <c r="A1866" s="7" t="s">
        <v>380</v>
      </c>
      <c r="B1866" s="7" t="s">
        <v>268</v>
      </c>
      <c r="C1866" s="7">
        <v>0.5</v>
      </c>
      <c r="D1866" s="7">
        <v>0.25</v>
      </c>
      <c r="E1866" s="7">
        <v>3.0</v>
      </c>
      <c r="F1866" s="7">
        <v>108.77149438858</v>
      </c>
      <c r="G1866" s="7">
        <v>345.344095706939</v>
      </c>
      <c r="H1866" s="7">
        <v>4.0</v>
      </c>
      <c r="I1866" s="15">
        <v>0.720416239094799</v>
      </c>
      <c r="J1866" s="15">
        <v>0.139731502596974</v>
      </c>
      <c r="K1866" s="12">
        <f>AVERAGE(I1862:I1866)</f>
        <v>0.5078170456</v>
      </c>
      <c r="L1866" s="18">
        <v>3715.0</v>
      </c>
      <c r="M1866" s="14">
        <f>STDEV(L1862:L1866)</f>
        <v>43393.48162</v>
      </c>
      <c r="N1866" s="15" t="b">
        <f t="shared" si="1"/>
        <v>0</v>
      </c>
    </row>
    <row r="1867" hidden="1">
      <c r="A1867" s="7" t="s">
        <v>381</v>
      </c>
      <c r="B1867" s="7" t="s">
        <v>268</v>
      </c>
      <c r="C1867" s="7">
        <v>0.5</v>
      </c>
      <c r="D1867" s="7">
        <v>0.25</v>
      </c>
      <c r="E1867" s="7">
        <v>4.0</v>
      </c>
      <c r="F1867" s="7">
        <v>85.4219605922699</v>
      </c>
      <c r="G1867" s="7">
        <v>381.656538009643</v>
      </c>
      <c r="H1867" s="7">
        <v>0.0</v>
      </c>
      <c r="I1867" s="15">
        <v>0.722014865292226</v>
      </c>
      <c r="J1867" s="15">
        <v>0.142295671233366</v>
      </c>
      <c r="K1867" s="12">
        <f>AVERAGE(I1867:I1871)</f>
        <v>0.5370363777</v>
      </c>
      <c r="L1867" s="18">
        <v>3684.0</v>
      </c>
      <c r="M1867" s="14">
        <f>STDEV(L1867:L1871)</f>
        <v>39556.25079</v>
      </c>
      <c r="N1867" s="15" t="b">
        <f t="shared" si="1"/>
        <v>0</v>
      </c>
    </row>
    <row r="1868" hidden="1">
      <c r="A1868" s="7" t="s">
        <v>381</v>
      </c>
      <c r="B1868" s="7" t="s">
        <v>268</v>
      </c>
      <c r="C1868" s="7">
        <v>0.5</v>
      </c>
      <c r="D1868" s="7">
        <v>0.25</v>
      </c>
      <c r="E1868" s="7">
        <v>4.0</v>
      </c>
      <c r="F1868" s="7">
        <v>85.4219605922699</v>
      </c>
      <c r="G1868" s="7">
        <v>381.656538009643</v>
      </c>
      <c r="H1868" s="7">
        <v>1.0</v>
      </c>
      <c r="I1868" s="15">
        <v>0.81312549055577</v>
      </c>
      <c r="J1868" s="15">
        <v>0.123050358537234</v>
      </c>
      <c r="K1868" s="12">
        <f>AVERAGE(I1867:I1871)</f>
        <v>0.5370363777</v>
      </c>
      <c r="L1868" s="18">
        <v>1811.0</v>
      </c>
      <c r="M1868" s="14">
        <f>STDEV(L1867:L1871)</f>
        <v>39556.25079</v>
      </c>
      <c r="N1868" s="15" t="b">
        <f t="shared" si="1"/>
        <v>0</v>
      </c>
    </row>
    <row r="1869" hidden="1">
      <c r="A1869" s="7" t="s">
        <v>381</v>
      </c>
      <c r="B1869" s="7" t="s">
        <v>268</v>
      </c>
      <c r="C1869" s="7">
        <v>0.5</v>
      </c>
      <c r="D1869" s="7">
        <v>0.25</v>
      </c>
      <c r="E1869" s="7">
        <v>4.0</v>
      </c>
      <c r="F1869" s="7">
        <v>85.4219605922699</v>
      </c>
      <c r="G1869" s="7">
        <v>381.656538009643</v>
      </c>
      <c r="H1869" s="7">
        <v>2.0</v>
      </c>
      <c r="I1869" s="15">
        <v>0.0948673366982169</v>
      </c>
      <c r="J1869" s="15">
        <v>0.0614584166812075</v>
      </c>
      <c r="K1869" s="12">
        <f>AVERAGE(I1867:I1871)</f>
        <v>0.5370363777</v>
      </c>
      <c r="L1869" s="18">
        <v>95315.0</v>
      </c>
      <c r="M1869" s="14">
        <f>STDEV(L1867:L1871)</f>
        <v>39556.25079</v>
      </c>
      <c r="N1869" s="15" t="b">
        <f t="shared" si="1"/>
        <v>0</v>
      </c>
    </row>
    <row r="1870" hidden="1">
      <c r="A1870" s="7" t="s">
        <v>381</v>
      </c>
      <c r="B1870" s="7" t="s">
        <v>268</v>
      </c>
      <c r="C1870" s="7">
        <v>0.5</v>
      </c>
      <c r="D1870" s="7">
        <v>0.25</v>
      </c>
      <c r="E1870" s="7">
        <v>4.0</v>
      </c>
      <c r="F1870" s="7">
        <v>85.4219605922699</v>
      </c>
      <c r="G1870" s="7">
        <v>381.656538009643</v>
      </c>
      <c r="H1870" s="7">
        <v>3.0</v>
      </c>
      <c r="I1870" s="15">
        <v>0.828297717406851</v>
      </c>
      <c r="J1870" s="15">
        <v>0.100060370998661</v>
      </c>
      <c r="K1870" s="12">
        <f>AVERAGE(I1867:I1871)</f>
        <v>0.5370363777</v>
      </c>
      <c r="L1870" s="18">
        <v>7464.0</v>
      </c>
      <c r="M1870" s="14">
        <f>STDEV(L1867:L1871)</f>
        <v>39556.25079</v>
      </c>
      <c r="N1870" s="15" t="b">
        <f t="shared" si="1"/>
        <v>0</v>
      </c>
    </row>
    <row r="1871" hidden="1">
      <c r="A1871" s="7" t="s">
        <v>381</v>
      </c>
      <c r="B1871" s="7" t="s">
        <v>268</v>
      </c>
      <c r="C1871" s="7">
        <v>0.5</v>
      </c>
      <c r="D1871" s="7">
        <v>0.25</v>
      </c>
      <c r="E1871" s="7">
        <v>4.0</v>
      </c>
      <c r="F1871" s="7">
        <v>85.4219605922699</v>
      </c>
      <c r="G1871" s="7">
        <v>381.656538009643</v>
      </c>
      <c r="H1871" s="7">
        <v>4.0</v>
      </c>
      <c r="I1871" s="15">
        <v>0.226876478638109</v>
      </c>
      <c r="J1871" s="15">
        <v>0.107101941598377</v>
      </c>
      <c r="K1871" s="12">
        <f>AVERAGE(I1867:I1871)</f>
        <v>0.5370363777</v>
      </c>
      <c r="L1871" s="18">
        <v>33402.0</v>
      </c>
      <c r="M1871" s="14">
        <f>STDEV(L1867:L1871)</f>
        <v>39556.25079</v>
      </c>
      <c r="N1871" s="15" t="b">
        <f t="shared" si="1"/>
        <v>0</v>
      </c>
    </row>
    <row r="1872" hidden="1">
      <c r="A1872" s="7" t="s">
        <v>382</v>
      </c>
      <c r="B1872" s="22" t="s">
        <v>268</v>
      </c>
      <c r="C1872" s="22">
        <v>0.5</v>
      </c>
      <c r="D1872" s="22">
        <v>0.25</v>
      </c>
      <c r="E1872" s="22">
        <v>5.0</v>
      </c>
      <c r="F1872" s="7">
        <v>102.924984693527</v>
      </c>
      <c r="G1872" s="7">
        <v>328.42606973648</v>
      </c>
      <c r="H1872" s="7">
        <v>0.0</v>
      </c>
      <c r="I1872" s="15">
        <v>0.651811471143143</v>
      </c>
      <c r="J1872" s="15">
        <v>0.124948436197872</v>
      </c>
      <c r="K1872" s="12">
        <f>AVERAGE(I1872:I1876)</f>
        <v>0.6376158521</v>
      </c>
      <c r="L1872" s="18">
        <v>2283.0</v>
      </c>
      <c r="M1872" s="14">
        <f>STDEV(L1872:L1876)</f>
        <v>53273.20463</v>
      </c>
      <c r="N1872" s="15" t="b">
        <f t="shared" si="1"/>
        <v>0</v>
      </c>
    </row>
    <row r="1873" hidden="1">
      <c r="A1873" s="7" t="s">
        <v>382</v>
      </c>
      <c r="B1873" s="22" t="s">
        <v>268</v>
      </c>
      <c r="C1873" s="22">
        <v>0.5</v>
      </c>
      <c r="D1873" s="22">
        <v>0.25</v>
      </c>
      <c r="E1873" s="22">
        <v>5.0</v>
      </c>
      <c r="F1873" s="7">
        <v>102.924984693527</v>
      </c>
      <c r="G1873" s="7">
        <v>328.42606973648</v>
      </c>
      <c r="H1873" s="7">
        <v>1.0</v>
      </c>
      <c r="I1873" s="15">
        <v>0.885217556348077</v>
      </c>
      <c r="J1873" s="15">
        <v>0.122071070457133</v>
      </c>
      <c r="K1873" s="12">
        <f>AVERAGE(I1872:I1876)</f>
        <v>0.6376158521</v>
      </c>
      <c r="L1873" s="18">
        <v>2343.0</v>
      </c>
      <c r="M1873" s="14">
        <f>STDEV(L1872:L1876)</f>
        <v>53273.20463</v>
      </c>
      <c r="N1873" s="15" t="b">
        <f t="shared" si="1"/>
        <v>0</v>
      </c>
    </row>
    <row r="1874" hidden="1">
      <c r="A1874" s="7" t="s">
        <v>382</v>
      </c>
      <c r="B1874" s="22" t="s">
        <v>268</v>
      </c>
      <c r="C1874" s="22">
        <v>0.5</v>
      </c>
      <c r="D1874" s="22">
        <v>0.25</v>
      </c>
      <c r="E1874" s="22">
        <v>5.0</v>
      </c>
      <c r="F1874" s="7">
        <v>102.924984693527</v>
      </c>
      <c r="G1874" s="7">
        <v>328.42606973648</v>
      </c>
      <c r="H1874" s="7">
        <v>2.0</v>
      </c>
      <c r="I1874" s="15">
        <v>0.766654880700513</v>
      </c>
      <c r="J1874" s="15">
        <v>0.136421974197869</v>
      </c>
      <c r="K1874" s="12">
        <f>AVERAGE(I1872:I1876)</f>
        <v>0.6376158521</v>
      </c>
      <c r="L1874" s="18">
        <v>7810.0</v>
      </c>
      <c r="M1874" s="14">
        <f>STDEV(L1872:L1876)</f>
        <v>53273.20463</v>
      </c>
      <c r="N1874" s="15" t="b">
        <f t="shared" si="1"/>
        <v>0</v>
      </c>
    </row>
    <row r="1875" hidden="1">
      <c r="A1875" s="7" t="s">
        <v>382</v>
      </c>
      <c r="B1875" s="22" t="s">
        <v>268</v>
      </c>
      <c r="C1875" s="22">
        <v>0.5</v>
      </c>
      <c r="D1875" s="22">
        <v>0.25</v>
      </c>
      <c r="E1875" s="22">
        <v>5.0</v>
      </c>
      <c r="F1875" s="7">
        <v>102.924984693527</v>
      </c>
      <c r="G1875" s="7">
        <v>328.42606973648</v>
      </c>
      <c r="H1875" s="7">
        <v>3.0</v>
      </c>
      <c r="I1875" s="15">
        <v>0.806833468445386</v>
      </c>
      <c r="J1875" s="15">
        <v>0.121302611877615</v>
      </c>
      <c r="K1875" s="12">
        <f>AVERAGE(I1872:I1876)</f>
        <v>0.6376158521</v>
      </c>
      <c r="L1875" s="18">
        <v>5699.0</v>
      </c>
      <c r="M1875" s="14">
        <f>STDEV(L1872:L1876)</f>
        <v>53273.20463</v>
      </c>
      <c r="N1875" s="15" t="b">
        <f t="shared" si="1"/>
        <v>0</v>
      </c>
    </row>
    <row r="1876" hidden="1">
      <c r="A1876" s="7" t="s">
        <v>382</v>
      </c>
      <c r="B1876" s="22" t="s">
        <v>268</v>
      </c>
      <c r="C1876" s="22">
        <v>0.5</v>
      </c>
      <c r="D1876" s="22">
        <v>0.25</v>
      </c>
      <c r="E1876" s="22">
        <v>5.0</v>
      </c>
      <c r="F1876" s="7">
        <v>102.924984693527</v>
      </c>
      <c r="G1876" s="7">
        <v>328.42606973648</v>
      </c>
      <c r="H1876" s="7">
        <v>4.0</v>
      </c>
      <c r="I1876" s="15">
        <v>0.0775618836180789</v>
      </c>
      <c r="J1876" s="15">
        <v>0.0507402578138826</v>
      </c>
      <c r="K1876" s="12">
        <f>AVERAGE(I1872:I1876)</f>
        <v>0.6376158521</v>
      </c>
      <c r="L1876" s="18">
        <v>123541.0</v>
      </c>
      <c r="M1876" s="14">
        <f>STDEV(L1872:L1876)</f>
        <v>53273.20463</v>
      </c>
      <c r="N1876" s="15" t="b">
        <f t="shared" si="1"/>
        <v>0</v>
      </c>
    </row>
    <row r="1877" hidden="1">
      <c r="A1877" s="7" t="s">
        <v>383</v>
      </c>
      <c r="B1877" s="7" t="s">
        <v>268</v>
      </c>
      <c r="C1877" s="7">
        <v>0.5</v>
      </c>
      <c r="D1877" s="7">
        <v>0.25</v>
      </c>
      <c r="E1877" s="7">
        <v>6.0</v>
      </c>
      <c r="F1877" s="7">
        <v>165.148133039474</v>
      </c>
      <c r="G1877" s="7">
        <v>372.574362039566</v>
      </c>
      <c r="H1877" s="7">
        <v>0.0</v>
      </c>
      <c r="I1877" s="15">
        <v>0.807124127314199</v>
      </c>
      <c r="J1877" s="15">
        <v>0.116781480758347</v>
      </c>
      <c r="K1877" s="12">
        <f>AVERAGE(I1877:I1881)</f>
        <v>0.5699387213</v>
      </c>
      <c r="L1877" s="18">
        <v>5709.0</v>
      </c>
      <c r="M1877" s="14">
        <f>STDEV(L1877:L1881)</f>
        <v>47123.53055</v>
      </c>
      <c r="N1877" s="15" t="b">
        <f t="shared" si="1"/>
        <v>0</v>
      </c>
    </row>
    <row r="1878" hidden="1">
      <c r="A1878" s="7" t="s">
        <v>383</v>
      </c>
      <c r="B1878" s="7" t="s">
        <v>268</v>
      </c>
      <c r="C1878" s="7">
        <v>0.5</v>
      </c>
      <c r="D1878" s="7">
        <v>0.25</v>
      </c>
      <c r="E1878" s="7">
        <v>6.0</v>
      </c>
      <c r="F1878" s="7">
        <v>165.148133039474</v>
      </c>
      <c r="G1878" s="7">
        <v>372.574362039566</v>
      </c>
      <c r="H1878" s="7">
        <v>1.0</v>
      </c>
      <c r="I1878" s="15">
        <v>0.722149418103269</v>
      </c>
      <c r="J1878" s="15">
        <v>0.141082733885649</v>
      </c>
      <c r="K1878" s="12">
        <f>AVERAGE(I1877:I1881)</f>
        <v>0.5699387213</v>
      </c>
      <c r="L1878" s="18">
        <v>13570.0</v>
      </c>
      <c r="M1878" s="14">
        <f>STDEV(L1877:L1881)</f>
        <v>47123.53055</v>
      </c>
      <c r="N1878" s="15" t="b">
        <f t="shared" si="1"/>
        <v>0</v>
      </c>
    </row>
    <row r="1879" hidden="1">
      <c r="A1879" s="7" t="s">
        <v>383</v>
      </c>
      <c r="B1879" s="7" t="s">
        <v>268</v>
      </c>
      <c r="C1879" s="7">
        <v>0.5</v>
      </c>
      <c r="D1879" s="7">
        <v>0.25</v>
      </c>
      <c r="E1879" s="7">
        <v>6.0</v>
      </c>
      <c r="F1879" s="7">
        <v>165.148133039474</v>
      </c>
      <c r="G1879" s="7">
        <v>372.574362039566</v>
      </c>
      <c r="H1879" s="7">
        <v>2.0</v>
      </c>
      <c r="I1879" s="15">
        <v>0.813956077998526</v>
      </c>
      <c r="J1879" s="15">
        <v>0.0752283900218011</v>
      </c>
      <c r="K1879" s="12">
        <f>AVERAGE(I1877:I1881)</f>
        <v>0.5699387213</v>
      </c>
      <c r="L1879" s="18">
        <v>4055.0</v>
      </c>
      <c r="M1879" s="14">
        <f>STDEV(L1877:L1881)</f>
        <v>47123.53055</v>
      </c>
      <c r="N1879" s="15" t="b">
        <f t="shared" si="1"/>
        <v>0</v>
      </c>
    </row>
    <row r="1880" hidden="1">
      <c r="A1880" s="7" t="s">
        <v>383</v>
      </c>
      <c r="B1880" s="7" t="s">
        <v>268</v>
      </c>
      <c r="C1880" s="7">
        <v>0.5</v>
      </c>
      <c r="D1880" s="7">
        <v>0.25</v>
      </c>
      <c r="E1880" s="7">
        <v>6.0</v>
      </c>
      <c r="F1880" s="7">
        <v>165.148133039474</v>
      </c>
      <c r="G1880" s="7">
        <v>372.574362039566</v>
      </c>
      <c r="H1880" s="7">
        <v>3.0</v>
      </c>
      <c r="I1880" s="15">
        <v>0.44891447674171</v>
      </c>
      <c r="J1880" s="15">
        <v>0.113590526740463</v>
      </c>
      <c r="K1880" s="12">
        <f>AVERAGE(I1877:I1881)</f>
        <v>0.5699387213</v>
      </c>
      <c r="L1880" s="18">
        <v>5967.0</v>
      </c>
      <c r="M1880" s="14">
        <f>STDEV(L1877:L1881)</f>
        <v>47123.53055</v>
      </c>
      <c r="N1880" s="15" t="b">
        <f t="shared" si="1"/>
        <v>0</v>
      </c>
    </row>
    <row r="1881" hidden="1">
      <c r="A1881" s="7" t="s">
        <v>383</v>
      </c>
      <c r="B1881" s="7" t="s">
        <v>268</v>
      </c>
      <c r="C1881" s="7">
        <v>0.5</v>
      </c>
      <c r="D1881" s="7">
        <v>0.25</v>
      </c>
      <c r="E1881" s="7">
        <v>6.0</v>
      </c>
      <c r="F1881" s="7">
        <v>165.148133039474</v>
      </c>
      <c r="G1881" s="7">
        <v>372.574362039566</v>
      </c>
      <c r="H1881" s="7">
        <v>4.0</v>
      </c>
      <c r="I1881" s="15">
        <v>0.057549506251066</v>
      </c>
      <c r="J1881" s="15">
        <v>0.111426343715163</v>
      </c>
      <c r="K1881" s="12">
        <f>AVERAGE(I1877:I1881)</f>
        <v>0.5699387213</v>
      </c>
      <c r="L1881" s="18">
        <v>112375.0</v>
      </c>
      <c r="M1881" s="14">
        <f>STDEV(L1877:L1881)</f>
        <v>47123.53055</v>
      </c>
      <c r="N1881" s="15" t="b">
        <f t="shared" si="1"/>
        <v>0</v>
      </c>
    </row>
    <row r="1882" hidden="1">
      <c r="A1882" s="7" t="s">
        <v>384</v>
      </c>
      <c r="B1882" s="7" t="s">
        <v>268</v>
      </c>
      <c r="C1882" s="7">
        <v>0.5</v>
      </c>
      <c r="D1882" s="7">
        <v>0.25</v>
      </c>
      <c r="E1882" s="7">
        <v>7.0</v>
      </c>
      <c r="F1882" s="7">
        <v>173.154081106185</v>
      </c>
      <c r="G1882" s="7">
        <v>371.260541915893</v>
      </c>
      <c r="H1882" s="7">
        <v>0.0</v>
      </c>
      <c r="I1882" s="15">
        <v>0.1797545833757</v>
      </c>
      <c r="J1882" s="15">
        <v>0.0704704219662756</v>
      </c>
      <c r="K1882" s="12">
        <f>AVERAGE(I1882:I1886)</f>
        <v>0.4264983918</v>
      </c>
      <c r="L1882" s="18">
        <v>58568.0</v>
      </c>
      <c r="M1882" s="14">
        <f>STDEV(L1882:L1886)</f>
        <v>27361.67585</v>
      </c>
      <c r="N1882" s="15" t="b">
        <f t="shared" si="1"/>
        <v>0</v>
      </c>
    </row>
    <row r="1883" hidden="1">
      <c r="A1883" s="7" t="s">
        <v>384</v>
      </c>
      <c r="B1883" s="7" t="s">
        <v>268</v>
      </c>
      <c r="C1883" s="7">
        <v>0.5</v>
      </c>
      <c r="D1883" s="7">
        <v>0.25</v>
      </c>
      <c r="E1883" s="7">
        <v>7.0</v>
      </c>
      <c r="F1883" s="7">
        <v>173.154081106185</v>
      </c>
      <c r="G1883" s="7">
        <v>371.260541915893</v>
      </c>
      <c r="H1883" s="7">
        <v>1.0</v>
      </c>
      <c r="I1883" s="15">
        <v>0.717032206070309</v>
      </c>
      <c r="J1883" s="15">
        <v>0.14346485306119</v>
      </c>
      <c r="K1883" s="12">
        <f>AVERAGE(I1882:I1886)</f>
        <v>0.4264983918</v>
      </c>
      <c r="L1883" s="18">
        <v>3726.0</v>
      </c>
      <c r="M1883" s="14">
        <f>STDEV(L1882:L1886)</f>
        <v>27361.67585</v>
      </c>
      <c r="N1883" s="15" t="b">
        <f t="shared" si="1"/>
        <v>0</v>
      </c>
    </row>
    <row r="1884" hidden="1">
      <c r="A1884" s="7" t="s">
        <v>384</v>
      </c>
      <c r="B1884" s="7" t="s">
        <v>268</v>
      </c>
      <c r="C1884" s="7">
        <v>0.5</v>
      </c>
      <c r="D1884" s="7">
        <v>0.25</v>
      </c>
      <c r="E1884" s="7">
        <v>7.0</v>
      </c>
      <c r="F1884" s="7">
        <v>173.154081106185</v>
      </c>
      <c r="G1884" s="7">
        <v>371.260541915893</v>
      </c>
      <c r="H1884" s="7">
        <v>2.0</v>
      </c>
      <c r="I1884" s="15">
        <v>0.384524343556898</v>
      </c>
      <c r="J1884" s="15">
        <v>0.291674043007902</v>
      </c>
      <c r="K1884" s="12">
        <f>AVERAGE(I1882:I1886)</f>
        <v>0.4264983918</v>
      </c>
      <c r="L1884" s="18">
        <v>14016.0</v>
      </c>
      <c r="M1884" s="14">
        <f>STDEV(L1882:L1886)</f>
        <v>27361.67585</v>
      </c>
      <c r="N1884" s="15" t="b">
        <f t="shared" si="1"/>
        <v>0</v>
      </c>
    </row>
    <row r="1885" hidden="1">
      <c r="A1885" s="7" t="s">
        <v>384</v>
      </c>
      <c r="B1885" s="7" t="s">
        <v>268</v>
      </c>
      <c r="C1885" s="7">
        <v>0.5</v>
      </c>
      <c r="D1885" s="7">
        <v>0.25</v>
      </c>
      <c r="E1885" s="7">
        <v>7.0</v>
      </c>
      <c r="F1885" s="7">
        <v>173.154081106185</v>
      </c>
      <c r="G1885" s="7">
        <v>371.260541915893</v>
      </c>
      <c r="H1885" s="7">
        <v>3.0</v>
      </c>
      <c r="I1885" s="15">
        <v>0.761265462863656</v>
      </c>
      <c r="J1885" s="15">
        <v>0.138280794205113</v>
      </c>
      <c r="K1885" s="12">
        <f>AVERAGE(I1882:I1886)</f>
        <v>0.4264983918</v>
      </c>
      <c r="L1885" s="18">
        <v>7862.0</v>
      </c>
      <c r="M1885" s="14">
        <f>STDEV(L1882:L1886)</f>
        <v>27361.67585</v>
      </c>
      <c r="N1885" s="15" t="b">
        <f t="shared" si="1"/>
        <v>0</v>
      </c>
    </row>
    <row r="1886" hidden="1">
      <c r="A1886" s="7" t="s">
        <v>384</v>
      </c>
      <c r="B1886" s="7" t="s">
        <v>268</v>
      </c>
      <c r="C1886" s="7">
        <v>0.5</v>
      </c>
      <c r="D1886" s="7">
        <v>0.25</v>
      </c>
      <c r="E1886" s="7">
        <v>7.0</v>
      </c>
      <c r="F1886" s="7">
        <v>173.154081106185</v>
      </c>
      <c r="G1886" s="7">
        <v>371.260541915893</v>
      </c>
      <c r="H1886" s="7">
        <v>4.0</v>
      </c>
      <c r="I1886" s="15">
        <v>0.0899153631769736</v>
      </c>
      <c r="J1886" s="15">
        <v>0.0752967304267812</v>
      </c>
      <c r="K1886" s="12">
        <f>AVERAGE(I1882:I1886)</f>
        <v>0.4264983918</v>
      </c>
      <c r="L1886" s="18">
        <v>57504.0</v>
      </c>
      <c r="M1886" s="14">
        <f>STDEV(L1882:L1886)</f>
        <v>27361.67585</v>
      </c>
      <c r="N1886" s="15" t="b">
        <f t="shared" si="1"/>
        <v>0</v>
      </c>
    </row>
    <row r="1887" hidden="1">
      <c r="A1887" s="7" t="s">
        <v>385</v>
      </c>
      <c r="B1887" s="7" t="s">
        <v>268</v>
      </c>
      <c r="C1887" s="7">
        <v>0.5</v>
      </c>
      <c r="D1887" s="7">
        <v>0.25</v>
      </c>
      <c r="E1887" s="7">
        <v>8.0</v>
      </c>
      <c r="F1887" s="7">
        <v>105.406907320022</v>
      </c>
      <c r="G1887" s="7">
        <v>318.398442745208</v>
      </c>
      <c r="H1887" s="7">
        <v>0.0</v>
      </c>
      <c r="I1887" s="15">
        <v>0.399330660917179</v>
      </c>
      <c r="J1887" s="15">
        <v>0.0589650644119599</v>
      </c>
      <c r="K1887" s="12">
        <f>AVERAGE(I1887:I1891)</f>
        <v>0.577148101</v>
      </c>
      <c r="L1887" s="18">
        <v>31661.0</v>
      </c>
      <c r="M1887" s="14">
        <f>STDEV(L1887:L1891)</f>
        <v>32766.34311</v>
      </c>
      <c r="N1887" s="15" t="b">
        <f t="shared" si="1"/>
        <v>0</v>
      </c>
    </row>
    <row r="1888" hidden="1">
      <c r="A1888" s="7" t="s">
        <v>385</v>
      </c>
      <c r="B1888" s="7" t="s">
        <v>268</v>
      </c>
      <c r="C1888" s="7">
        <v>0.5</v>
      </c>
      <c r="D1888" s="7">
        <v>0.25</v>
      </c>
      <c r="E1888" s="7">
        <v>8.0</v>
      </c>
      <c r="F1888" s="7">
        <v>105.406907320022</v>
      </c>
      <c r="G1888" s="7">
        <v>318.398442745208</v>
      </c>
      <c r="H1888" s="7">
        <v>1.0</v>
      </c>
      <c r="I1888" s="15">
        <v>0.040573615632611</v>
      </c>
      <c r="J1888" s="15">
        <v>0.0770361350422079</v>
      </c>
      <c r="K1888" s="12">
        <f>AVERAGE(I1887:I1891)</f>
        <v>0.577148101</v>
      </c>
      <c r="L1888" s="18">
        <v>83704.0</v>
      </c>
      <c r="M1888" s="14">
        <f>STDEV(L1887:L1891)</f>
        <v>32766.34311</v>
      </c>
      <c r="N1888" s="15" t="b">
        <f t="shared" si="1"/>
        <v>0</v>
      </c>
    </row>
    <row r="1889" hidden="1">
      <c r="A1889" s="7" t="s">
        <v>385</v>
      </c>
      <c r="B1889" s="7" t="s">
        <v>268</v>
      </c>
      <c r="C1889" s="7">
        <v>0.5</v>
      </c>
      <c r="D1889" s="7">
        <v>0.25</v>
      </c>
      <c r="E1889" s="7">
        <v>8.0</v>
      </c>
      <c r="F1889" s="7">
        <v>105.406907320022</v>
      </c>
      <c r="G1889" s="7">
        <v>318.398442745208</v>
      </c>
      <c r="H1889" s="7">
        <v>2.0</v>
      </c>
      <c r="I1889" s="15">
        <v>0.863803087150907</v>
      </c>
      <c r="J1889" s="15">
        <v>0.0943334536877777</v>
      </c>
      <c r="K1889" s="12">
        <f>AVERAGE(I1887:I1891)</f>
        <v>0.577148101</v>
      </c>
      <c r="L1889" s="18">
        <v>5086.0</v>
      </c>
      <c r="M1889" s="14">
        <f>STDEV(L1887:L1891)</f>
        <v>32766.34311</v>
      </c>
      <c r="N1889" s="15" t="b">
        <f t="shared" si="1"/>
        <v>0</v>
      </c>
    </row>
    <row r="1890" hidden="1">
      <c r="A1890" s="7" t="s">
        <v>385</v>
      </c>
      <c r="B1890" s="7" t="s">
        <v>268</v>
      </c>
      <c r="C1890" s="7">
        <v>0.5</v>
      </c>
      <c r="D1890" s="7">
        <v>0.25</v>
      </c>
      <c r="E1890" s="7">
        <v>8.0</v>
      </c>
      <c r="F1890" s="7">
        <v>105.406907320022</v>
      </c>
      <c r="G1890" s="7">
        <v>318.398442745208</v>
      </c>
      <c r="H1890" s="7">
        <v>3.0</v>
      </c>
      <c r="I1890" s="15">
        <v>0.773479704481477</v>
      </c>
      <c r="J1890" s="15">
        <v>0.12000493084937</v>
      </c>
      <c r="K1890" s="12">
        <f>AVERAGE(I1887:I1891)</f>
        <v>0.577148101</v>
      </c>
      <c r="L1890" s="18">
        <v>15565.0</v>
      </c>
      <c r="M1890" s="14">
        <f>STDEV(L1887:L1891)</f>
        <v>32766.34311</v>
      </c>
      <c r="N1890" s="15" t="b">
        <f t="shared" si="1"/>
        <v>0</v>
      </c>
    </row>
    <row r="1891" hidden="1">
      <c r="A1891" s="7" t="s">
        <v>385</v>
      </c>
      <c r="B1891" s="7" t="s">
        <v>268</v>
      </c>
      <c r="C1891" s="7">
        <v>0.5</v>
      </c>
      <c r="D1891" s="7">
        <v>0.25</v>
      </c>
      <c r="E1891" s="7">
        <v>8.0</v>
      </c>
      <c r="F1891" s="7">
        <v>105.406907320022</v>
      </c>
      <c r="G1891" s="7">
        <v>318.398442745208</v>
      </c>
      <c r="H1891" s="7">
        <v>4.0</v>
      </c>
      <c r="I1891" s="15">
        <v>0.808553436670557</v>
      </c>
      <c r="J1891" s="15">
        <v>0.123376406895515</v>
      </c>
      <c r="K1891" s="12">
        <f>AVERAGE(I1887:I1891)</f>
        <v>0.577148101</v>
      </c>
      <c r="L1891" s="18">
        <v>5660.0</v>
      </c>
      <c r="M1891" s="14">
        <f>STDEV(L1887:L1891)</f>
        <v>32766.34311</v>
      </c>
      <c r="N1891" s="15" t="b">
        <f t="shared" si="1"/>
        <v>0</v>
      </c>
    </row>
    <row r="1892" hidden="1">
      <c r="A1892" s="7" t="s">
        <v>386</v>
      </c>
      <c r="B1892" s="7" t="s">
        <v>268</v>
      </c>
      <c r="C1892" s="7">
        <v>0.5</v>
      </c>
      <c r="D1892" s="7">
        <v>0.25</v>
      </c>
      <c r="E1892" s="7">
        <v>9.0</v>
      </c>
      <c r="F1892" s="7">
        <v>162.574699163436</v>
      </c>
      <c r="G1892" s="7">
        <v>397.31099820137</v>
      </c>
      <c r="H1892" s="7">
        <v>0.0</v>
      </c>
      <c r="I1892" s="15">
        <v>0.806670862213771</v>
      </c>
      <c r="J1892" s="15">
        <v>0.129066753953384</v>
      </c>
      <c r="K1892" s="12">
        <f>AVERAGE(I1892:I1896)</f>
        <v>0.4388060237</v>
      </c>
      <c r="L1892" s="18">
        <v>5644.0</v>
      </c>
      <c r="M1892" s="14">
        <f>STDEV(L1892:L1896)</f>
        <v>31500.79519</v>
      </c>
      <c r="N1892" s="15" t="b">
        <f t="shared" si="1"/>
        <v>0</v>
      </c>
    </row>
    <row r="1893" hidden="1">
      <c r="A1893" s="7" t="s">
        <v>386</v>
      </c>
      <c r="B1893" s="7" t="s">
        <v>268</v>
      </c>
      <c r="C1893" s="7">
        <v>0.5</v>
      </c>
      <c r="D1893" s="7">
        <v>0.25</v>
      </c>
      <c r="E1893" s="7">
        <v>9.0</v>
      </c>
      <c r="F1893" s="7">
        <v>162.574699163436</v>
      </c>
      <c r="G1893" s="7">
        <v>397.31099820137</v>
      </c>
      <c r="H1893" s="7">
        <v>1.0</v>
      </c>
      <c r="I1893" s="15">
        <v>0.798777899930848</v>
      </c>
      <c r="J1893" s="15">
        <v>0.108472048125977</v>
      </c>
      <c r="K1893" s="12">
        <f>AVERAGE(I1892:I1896)</f>
        <v>0.4388060237</v>
      </c>
      <c r="L1893" s="18">
        <v>15203.0</v>
      </c>
      <c r="M1893" s="14">
        <f>STDEV(L1892:L1896)</f>
        <v>31500.79519</v>
      </c>
      <c r="N1893" s="15" t="b">
        <f t="shared" si="1"/>
        <v>0</v>
      </c>
    </row>
    <row r="1894" hidden="1">
      <c r="A1894" s="7" t="s">
        <v>386</v>
      </c>
      <c r="B1894" s="7" t="s">
        <v>268</v>
      </c>
      <c r="C1894" s="7">
        <v>0.5</v>
      </c>
      <c r="D1894" s="7">
        <v>0.25</v>
      </c>
      <c r="E1894" s="7">
        <v>9.0</v>
      </c>
      <c r="F1894" s="7">
        <v>162.574699163436</v>
      </c>
      <c r="G1894" s="7">
        <v>397.31099820137</v>
      </c>
      <c r="H1894" s="7">
        <v>2.0</v>
      </c>
      <c r="I1894" s="15">
        <v>0.0703221497508437</v>
      </c>
      <c r="J1894" s="15">
        <v>0.0796972734932395</v>
      </c>
      <c r="K1894" s="12">
        <f>AVERAGE(I1892:I1896)</f>
        <v>0.4388060237</v>
      </c>
      <c r="L1894" s="18">
        <v>80340.0</v>
      </c>
      <c r="M1894" s="14">
        <f>STDEV(L1892:L1896)</f>
        <v>31500.79519</v>
      </c>
      <c r="N1894" s="15" t="b">
        <f t="shared" si="1"/>
        <v>0</v>
      </c>
    </row>
    <row r="1895" hidden="1">
      <c r="A1895" s="7" t="s">
        <v>386</v>
      </c>
      <c r="B1895" s="7" t="s">
        <v>268</v>
      </c>
      <c r="C1895" s="7">
        <v>0.5</v>
      </c>
      <c r="D1895" s="7">
        <v>0.25</v>
      </c>
      <c r="E1895" s="7">
        <v>9.0</v>
      </c>
      <c r="F1895" s="7">
        <v>162.574699163436</v>
      </c>
      <c r="G1895" s="7">
        <v>397.31099820137</v>
      </c>
      <c r="H1895" s="7">
        <v>3.0</v>
      </c>
      <c r="I1895" s="15">
        <v>0.283376405116223</v>
      </c>
      <c r="J1895" s="15">
        <v>0.0915725011735425</v>
      </c>
      <c r="K1895" s="12">
        <f>AVERAGE(I1892:I1896)</f>
        <v>0.4388060237</v>
      </c>
      <c r="L1895" s="18">
        <v>35185.0</v>
      </c>
      <c r="M1895" s="14">
        <f>STDEV(L1892:L1896)</f>
        <v>31500.79519</v>
      </c>
      <c r="N1895" s="15" t="b">
        <f t="shared" si="1"/>
        <v>0</v>
      </c>
    </row>
    <row r="1896" hidden="1">
      <c r="A1896" s="7" t="s">
        <v>386</v>
      </c>
      <c r="B1896" s="7" t="s">
        <v>268</v>
      </c>
      <c r="C1896" s="7">
        <v>0.5</v>
      </c>
      <c r="D1896" s="7">
        <v>0.25</v>
      </c>
      <c r="E1896" s="7">
        <v>9.0</v>
      </c>
      <c r="F1896" s="7">
        <v>162.574699163436</v>
      </c>
      <c r="G1896" s="7">
        <v>397.31099820137</v>
      </c>
      <c r="H1896" s="7">
        <v>4.0</v>
      </c>
      <c r="I1896" s="15">
        <v>0.234882801562202</v>
      </c>
      <c r="J1896" s="15">
        <v>0.133727430841972</v>
      </c>
      <c r="K1896" s="12">
        <f>AVERAGE(I1892:I1896)</f>
        <v>0.4388060237</v>
      </c>
      <c r="L1896" s="18">
        <v>5304.0</v>
      </c>
      <c r="M1896" s="14">
        <f>STDEV(L1892:L1896)</f>
        <v>31500.79519</v>
      </c>
      <c r="N1896" s="15" t="b">
        <f t="shared" si="1"/>
        <v>0</v>
      </c>
    </row>
    <row r="1897" hidden="1">
      <c r="A1897" s="7" t="s">
        <v>387</v>
      </c>
      <c r="B1897" s="21" t="s">
        <v>268</v>
      </c>
      <c r="C1897" s="21">
        <v>0.5</v>
      </c>
      <c r="D1897" s="21">
        <v>0.25</v>
      </c>
      <c r="E1897" s="21">
        <v>10.0</v>
      </c>
      <c r="F1897" s="7">
        <v>79.4455738067627</v>
      </c>
      <c r="G1897" s="7">
        <v>316.856377601623</v>
      </c>
      <c r="H1897" s="7">
        <v>0.0</v>
      </c>
      <c r="I1897" s="15">
        <v>0.824706954401503</v>
      </c>
      <c r="J1897" s="15">
        <v>0.0699640608370061</v>
      </c>
      <c r="K1897" s="12">
        <f>AVERAGE(I1897:I1901)</f>
        <v>0.6746563671</v>
      </c>
      <c r="L1897" s="18">
        <v>16068.0</v>
      </c>
      <c r="M1897" s="14">
        <f>STDEV(L1897:L1901)</f>
        <v>44954.74328</v>
      </c>
      <c r="N1897" s="15" t="b">
        <f t="shared" si="1"/>
        <v>1</v>
      </c>
    </row>
    <row r="1898" hidden="1">
      <c r="A1898" s="7" t="s">
        <v>387</v>
      </c>
      <c r="B1898" s="21" t="s">
        <v>268</v>
      </c>
      <c r="C1898" s="21">
        <v>0.5</v>
      </c>
      <c r="D1898" s="21">
        <v>0.25</v>
      </c>
      <c r="E1898" s="21">
        <v>10.0</v>
      </c>
      <c r="F1898" s="7">
        <v>79.4455738067627</v>
      </c>
      <c r="G1898" s="7">
        <v>316.856377601623</v>
      </c>
      <c r="H1898" s="7">
        <v>1.0</v>
      </c>
      <c r="I1898" s="15">
        <v>0.822466657757365</v>
      </c>
      <c r="J1898" s="15">
        <v>0.0995581273044978</v>
      </c>
      <c r="K1898" s="12">
        <f>AVERAGE(I1897:I1901)</f>
        <v>0.6746563671</v>
      </c>
      <c r="L1898" s="18">
        <v>6463.0</v>
      </c>
      <c r="M1898" s="14">
        <f>STDEV(L1897:L1901)</f>
        <v>44954.74328</v>
      </c>
      <c r="N1898" s="15" t="b">
        <f t="shared" si="1"/>
        <v>1</v>
      </c>
    </row>
    <row r="1899" hidden="1">
      <c r="A1899" s="7" t="s">
        <v>387</v>
      </c>
      <c r="B1899" s="21" t="s">
        <v>268</v>
      </c>
      <c r="C1899" s="21">
        <v>0.5</v>
      </c>
      <c r="D1899" s="21">
        <v>0.25</v>
      </c>
      <c r="E1899" s="21">
        <v>10.0</v>
      </c>
      <c r="F1899" s="7">
        <v>79.4455738067627</v>
      </c>
      <c r="G1899" s="7">
        <v>316.856377601623</v>
      </c>
      <c r="H1899" s="7">
        <v>2.0</v>
      </c>
      <c r="I1899" s="15">
        <v>0.806271865615578</v>
      </c>
      <c r="J1899" s="15">
        <v>0.116889491417034</v>
      </c>
      <c r="K1899" s="12">
        <f>AVERAGE(I1897:I1901)</f>
        <v>0.6746563671</v>
      </c>
      <c r="L1899" s="18">
        <v>5709.0</v>
      </c>
      <c r="M1899" s="14">
        <f>STDEV(L1897:L1901)</f>
        <v>44954.74328</v>
      </c>
      <c r="N1899" s="15" t="b">
        <f t="shared" si="1"/>
        <v>1</v>
      </c>
    </row>
    <row r="1900" hidden="1">
      <c r="A1900" s="7" t="s">
        <v>387</v>
      </c>
      <c r="B1900" s="21" t="s">
        <v>268</v>
      </c>
      <c r="C1900" s="21">
        <v>0.5</v>
      </c>
      <c r="D1900" s="21">
        <v>0.25</v>
      </c>
      <c r="E1900" s="21">
        <v>10.0</v>
      </c>
      <c r="F1900" s="7">
        <v>79.4455738067627</v>
      </c>
      <c r="G1900" s="7">
        <v>316.856377601623</v>
      </c>
      <c r="H1900" s="7">
        <v>3.0</v>
      </c>
      <c r="I1900" s="15">
        <v>0.056057703342352</v>
      </c>
      <c r="J1900" s="15">
        <v>0.0936804820551726</v>
      </c>
      <c r="K1900" s="12">
        <f>AVERAGE(I1897:I1901)</f>
        <v>0.6746563671</v>
      </c>
      <c r="L1900" s="18">
        <v>108350.0</v>
      </c>
      <c r="M1900" s="14">
        <f>STDEV(L1897:L1901)</f>
        <v>44954.74328</v>
      </c>
      <c r="N1900" s="15" t="b">
        <f t="shared" si="1"/>
        <v>1</v>
      </c>
    </row>
    <row r="1901" hidden="1">
      <c r="A1901" s="7" t="s">
        <v>387</v>
      </c>
      <c r="B1901" s="21" t="s">
        <v>268</v>
      </c>
      <c r="C1901" s="21">
        <v>0.5</v>
      </c>
      <c r="D1901" s="21">
        <v>0.25</v>
      </c>
      <c r="E1901" s="21">
        <v>10.0</v>
      </c>
      <c r="F1901" s="7">
        <v>79.4455738067627</v>
      </c>
      <c r="G1901" s="7">
        <v>316.856377601623</v>
      </c>
      <c r="H1901" s="7">
        <v>4.0</v>
      </c>
      <c r="I1901" s="15">
        <v>0.863778654551621</v>
      </c>
      <c r="J1901" s="15">
        <v>0.0942379515903724</v>
      </c>
      <c r="K1901" s="12">
        <f>AVERAGE(I1897:I1901)</f>
        <v>0.6746563671</v>
      </c>
      <c r="L1901" s="18">
        <v>5086.0</v>
      </c>
      <c r="M1901" s="14">
        <f>STDEV(L1897:L1901)</f>
        <v>44954.74328</v>
      </c>
      <c r="N1901" s="15" t="b">
        <f t="shared" si="1"/>
        <v>1</v>
      </c>
    </row>
    <row r="1902" hidden="1">
      <c r="A1902" s="7" t="s">
        <v>388</v>
      </c>
      <c r="B1902" s="7" t="s">
        <v>268</v>
      </c>
      <c r="C1902" s="7">
        <v>0.5</v>
      </c>
      <c r="D1902" s="7">
        <v>0.5</v>
      </c>
      <c r="E1902" s="7">
        <v>1.0</v>
      </c>
      <c r="F1902" s="7">
        <v>271.723712921142</v>
      </c>
      <c r="G1902" s="7">
        <v>428.617656707763</v>
      </c>
      <c r="H1902" s="7">
        <v>0.0</v>
      </c>
      <c r="I1902" s="15">
        <v>0.0817033656582427</v>
      </c>
      <c r="J1902" s="15">
        <v>0.0783910208875315</v>
      </c>
      <c r="K1902" s="12">
        <f>AVERAGE(I1902:I1906)</f>
        <v>0.5071615765</v>
      </c>
      <c r="L1902" s="18">
        <v>91278.0</v>
      </c>
      <c r="M1902" s="14">
        <f>STDEV(L1902:L1906)</f>
        <v>36369.49154</v>
      </c>
      <c r="N1902" s="15" t="b">
        <f t="shared" si="1"/>
        <v>0</v>
      </c>
    </row>
    <row r="1903" hidden="1">
      <c r="A1903" s="7" t="s">
        <v>388</v>
      </c>
      <c r="B1903" s="7" t="s">
        <v>268</v>
      </c>
      <c r="C1903" s="7">
        <v>0.5</v>
      </c>
      <c r="D1903" s="7">
        <v>0.5</v>
      </c>
      <c r="E1903" s="7">
        <v>1.0</v>
      </c>
      <c r="F1903" s="7">
        <v>271.723712921142</v>
      </c>
      <c r="G1903" s="7">
        <v>428.617656707763</v>
      </c>
      <c r="H1903" s="7">
        <v>1.0</v>
      </c>
      <c r="I1903" s="15">
        <v>0.649977938574579</v>
      </c>
      <c r="J1903" s="15">
        <v>0.125857660170035</v>
      </c>
      <c r="K1903" s="12">
        <f>AVERAGE(I1902:I1906)</f>
        <v>0.5071615765</v>
      </c>
      <c r="L1903" s="18">
        <v>2301.0</v>
      </c>
      <c r="M1903" s="14">
        <f>STDEV(L1902:L1906)</f>
        <v>36369.49154</v>
      </c>
      <c r="N1903" s="15" t="b">
        <f t="shared" si="1"/>
        <v>0</v>
      </c>
    </row>
    <row r="1904" hidden="1">
      <c r="A1904" s="7" t="s">
        <v>388</v>
      </c>
      <c r="B1904" s="7" t="s">
        <v>268</v>
      </c>
      <c r="C1904" s="7">
        <v>0.5</v>
      </c>
      <c r="D1904" s="7">
        <v>0.5</v>
      </c>
      <c r="E1904" s="7">
        <v>1.0</v>
      </c>
      <c r="F1904" s="7">
        <v>271.723712921142</v>
      </c>
      <c r="G1904" s="7">
        <v>428.617656707763</v>
      </c>
      <c r="H1904" s="7">
        <v>2.0</v>
      </c>
      <c r="I1904" s="15">
        <v>0.331949870833281</v>
      </c>
      <c r="J1904" s="15">
        <v>0.143733889947097</v>
      </c>
      <c r="K1904" s="12">
        <f>AVERAGE(I1902:I1906)</f>
        <v>0.5071615765</v>
      </c>
      <c r="L1904" s="18">
        <v>26967.0</v>
      </c>
      <c r="M1904" s="14">
        <f>STDEV(L1902:L1906)</f>
        <v>36369.49154</v>
      </c>
      <c r="N1904" s="15" t="b">
        <f t="shared" si="1"/>
        <v>0</v>
      </c>
    </row>
    <row r="1905" hidden="1">
      <c r="A1905" s="7" t="s">
        <v>388</v>
      </c>
      <c r="B1905" s="7" t="s">
        <v>268</v>
      </c>
      <c r="C1905" s="7">
        <v>0.5</v>
      </c>
      <c r="D1905" s="7">
        <v>0.5</v>
      </c>
      <c r="E1905" s="7">
        <v>1.0</v>
      </c>
      <c r="F1905" s="7">
        <v>271.723712921142</v>
      </c>
      <c r="G1905" s="7">
        <v>428.617656707763</v>
      </c>
      <c r="H1905" s="7">
        <v>3.0</v>
      </c>
      <c r="I1905" s="15">
        <v>0.720679904903504</v>
      </c>
      <c r="J1905" s="15">
        <v>0.146082220229991</v>
      </c>
      <c r="K1905" s="12">
        <f>AVERAGE(I1902:I1906)</f>
        <v>0.5071615765</v>
      </c>
      <c r="L1905" s="18">
        <v>13561.0</v>
      </c>
      <c r="M1905" s="14">
        <f>STDEV(L1902:L1906)</f>
        <v>36369.49154</v>
      </c>
      <c r="N1905" s="15" t="b">
        <f t="shared" si="1"/>
        <v>0</v>
      </c>
    </row>
    <row r="1906" hidden="1">
      <c r="A1906" s="7" t="s">
        <v>388</v>
      </c>
      <c r="B1906" s="7" t="s">
        <v>268</v>
      </c>
      <c r="C1906" s="7">
        <v>0.5</v>
      </c>
      <c r="D1906" s="7">
        <v>0.5</v>
      </c>
      <c r="E1906" s="7">
        <v>1.0</v>
      </c>
      <c r="F1906" s="7">
        <v>271.723712921142</v>
      </c>
      <c r="G1906" s="7">
        <v>428.617656707763</v>
      </c>
      <c r="H1906" s="7">
        <v>4.0</v>
      </c>
      <c r="I1906" s="15">
        <v>0.751496802354834</v>
      </c>
      <c r="J1906" s="15">
        <v>0.13659700714676</v>
      </c>
      <c r="K1906" s="12">
        <f>AVERAGE(I1902:I1906)</f>
        <v>0.5071615765</v>
      </c>
      <c r="L1906" s="18">
        <v>7569.0</v>
      </c>
      <c r="M1906" s="14">
        <f>STDEV(L1902:L1906)</f>
        <v>36369.49154</v>
      </c>
      <c r="N1906" s="15" t="b">
        <f t="shared" si="1"/>
        <v>0</v>
      </c>
    </row>
    <row r="1907" hidden="1">
      <c r="A1907" s="7" t="s">
        <v>389</v>
      </c>
      <c r="B1907" s="7" t="s">
        <v>268</v>
      </c>
      <c r="C1907" s="7">
        <v>0.5</v>
      </c>
      <c r="D1907" s="7">
        <v>0.5</v>
      </c>
      <c r="E1907" s="7">
        <v>2.0</v>
      </c>
      <c r="F1907" s="7">
        <v>126.652193546295</v>
      </c>
      <c r="G1907" s="7">
        <v>330.407356023788</v>
      </c>
      <c r="H1907" s="7">
        <v>0.0</v>
      </c>
      <c r="I1907" s="15">
        <v>0.819975548840089</v>
      </c>
      <c r="J1907" s="15">
        <v>0.112043747521417</v>
      </c>
      <c r="K1907" s="12">
        <f>AVERAGE(I1907:I1911)</f>
        <v>0.4245133382</v>
      </c>
      <c r="L1907" s="18">
        <v>6463.0</v>
      </c>
      <c r="M1907" s="14">
        <f>STDEV(L1907:L1911)</f>
        <v>26914.40961</v>
      </c>
      <c r="N1907" s="15" t="b">
        <f t="shared" si="1"/>
        <v>0</v>
      </c>
    </row>
    <row r="1908" hidden="1">
      <c r="A1908" s="7" t="s">
        <v>389</v>
      </c>
      <c r="B1908" s="7" t="s">
        <v>268</v>
      </c>
      <c r="C1908" s="7">
        <v>0.5</v>
      </c>
      <c r="D1908" s="7">
        <v>0.5</v>
      </c>
      <c r="E1908" s="7">
        <v>2.0</v>
      </c>
      <c r="F1908" s="7">
        <v>126.652193546295</v>
      </c>
      <c r="G1908" s="7">
        <v>330.407356023788</v>
      </c>
      <c r="H1908" s="7">
        <v>1.0</v>
      </c>
      <c r="I1908" s="15">
        <v>0.2461055484508</v>
      </c>
      <c r="J1908" s="15">
        <v>0.134997793021678</v>
      </c>
      <c r="K1908" s="12">
        <f>AVERAGE(I1907:I1911)</f>
        <v>0.4245133382</v>
      </c>
      <c r="L1908" s="18">
        <v>5302.0</v>
      </c>
      <c r="M1908" s="14">
        <f>STDEV(L1907:L1911)</f>
        <v>26914.40961</v>
      </c>
      <c r="N1908" s="15" t="b">
        <f t="shared" si="1"/>
        <v>0</v>
      </c>
    </row>
    <row r="1909" hidden="1">
      <c r="A1909" s="7" t="s">
        <v>389</v>
      </c>
      <c r="B1909" s="7" t="s">
        <v>268</v>
      </c>
      <c r="C1909" s="7">
        <v>0.5</v>
      </c>
      <c r="D1909" s="7">
        <v>0.5</v>
      </c>
      <c r="E1909" s="7">
        <v>2.0</v>
      </c>
      <c r="F1909" s="7">
        <v>126.652193546295</v>
      </c>
      <c r="G1909" s="7">
        <v>330.407356023788</v>
      </c>
      <c r="H1909" s="7">
        <v>2.0</v>
      </c>
      <c r="I1909" s="15">
        <v>0.138972714302009</v>
      </c>
      <c r="J1909" s="15">
        <v>0.120068222755517</v>
      </c>
      <c r="K1909" s="12">
        <f>AVERAGE(I1907:I1911)</f>
        <v>0.4245133382</v>
      </c>
      <c r="L1909" s="18">
        <v>61079.0</v>
      </c>
      <c r="M1909" s="14">
        <f>STDEV(L1907:L1911)</f>
        <v>26914.40961</v>
      </c>
      <c r="N1909" s="15" t="b">
        <f t="shared" si="1"/>
        <v>0</v>
      </c>
    </row>
    <row r="1910" hidden="1">
      <c r="A1910" s="7" t="s">
        <v>389</v>
      </c>
      <c r="B1910" s="7" t="s">
        <v>268</v>
      </c>
      <c r="C1910" s="7">
        <v>0.5</v>
      </c>
      <c r="D1910" s="7">
        <v>0.5</v>
      </c>
      <c r="E1910" s="7">
        <v>2.0</v>
      </c>
      <c r="F1910" s="7">
        <v>126.652193546295</v>
      </c>
      <c r="G1910" s="7">
        <v>330.407356023788</v>
      </c>
      <c r="H1910" s="7">
        <v>3.0</v>
      </c>
      <c r="I1910" s="15">
        <v>0.799843503132339</v>
      </c>
      <c r="J1910" s="15">
        <v>0.0970989285404669</v>
      </c>
      <c r="K1910" s="12">
        <f>AVERAGE(I1907:I1911)</f>
        <v>0.4245133382</v>
      </c>
      <c r="L1910" s="18">
        <v>15148.0</v>
      </c>
      <c r="M1910" s="14">
        <f>STDEV(L1907:L1911)</f>
        <v>26914.40961</v>
      </c>
      <c r="N1910" s="15" t="b">
        <f t="shared" si="1"/>
        <v>0</v>
      </c>
    </row>
    <row r="1911" hidden="1">
      <c r="A1911" s="7" t="s">
        <v>389</v>
      </c>
      <c r="B1911" s="7" t="s">
        <v>268</v>
      </c>
      <c r="C1911" s="7">
        <v>0.5</v>
      </c>
      <c r="D1911" s="7">
        <v>0.5</v>
      </c>
      <c r="E1911" s="7">
        <v>2.0</v>
      </c>
      <c r="F1911" s="7">
        <v>126.652193546295</v>
      </c>
      <c r="G1911" s="7">
        <v>330.407356023788</v>
      </c>
      <c r="H1911" s="7">
        <v>4.0</v>
      </c>
      <c r="I1911" s="15">
        <v>0.117669376086247</v>
      </c>
      <c r="J1911" s="15">
        <v>0.0963183938133565</v>
      </c>
      <c r="K1911" s="12">
        <f>AVERAGE(I1907:I1911)</f>
        <v>0.4245133382</v>
      </c>
      <c r="L1911" s="18">
        <v>53684.0</v>
      </c>
      <c r="M1911" s="14">
        <f>STDEV(L1907:L1911)</f>
        <v>26914.40961</v>
      </c>
      <c r="N1911" s="15" t="b">
        <f t="shared" si="1"/>
        <v>0</v>
      </c>
    </row>
    <row r="1912" hidden="1">
      <c r="A1912" s="7" t="s">
        <v>390</v>
      </c>
      <c r="B1912" s="7" t="s">
        <v>268</v>
      </c>
      <c r="C1912" s="7">
        <v>0.5</v>
      </c>
      <c r="D1912" s="7">
        <v>0.5</v>
      </c>
      <c r="E1912" s="7">
        <v>3.0</v>
      </c>
      <c r="F1912" s="7">
        <v>438.299127578735</v>
      </c>
      <c r="G1912" s="7">
        <v>561.663446903228</v>
      </c>
      <c r="H1912" s="7">
        <v>0.0</v>
      </c>
      <c r="I1912" s="15">
        <v>0.12459377134579</v>
      </c>
      <c r="J1912" s="15">
        <v>0.0639694822199549</v>
      </c>
      <c r="K1912" s="12">
        <f>AVERAGE(I1912:I1916)</f>
        <v>0.4311176277</v>
      </c>
      <c r="L1912" s="18">
        <v>28140.0</v>
      </c>
      <c r="M1912" s="14">
        <f>STDEV(L1912:L1916)</f>
        <v>35406.22034</v>
      </c>
      <c r="N1912" s="15" t="b">
        <f t="shared" si="1"/>
        <v>0</v>
      </c>
    </row>
    <row r="1913" hidden="1">
      <c r="A1913" s="7" t="s">
        <v>390</v>
      </c>
      <c r="B1913" s="7" t="s">
        <v>268</v>
      </c>
      <c r="C1913" s="7">
        <v>0.5</v>
      </c>
      <c r="D1913" s="7">
        <v>0.5</v>
      </c>
      <c r="E1913" s="7">
        <v>3.0</v>
      </c>
      <c r="F1913" s="7">
        <v>438.299127578735</v>
      </c>
      <c r="G1913" s="7">
        <v>561.663446903228</v>
      </c>
      <c r="H1913" s="7">
        <v>1.0</v>
      </c>
      <c r="I1913" s="15">
        <v>0.762248774750263</v>
      </c>
      <c r="J1913" s="15">
        <v>0.137823631263006</v>
      </c>
      <c r="K1913" s="12">
        <f>AVERAGE(I1912:I1916)</f>
        <v>0.4311176277</v>
      </c>
      <c r="L1913" s="18">
        <v>7856.0</v>
      </c>
      <c r="M1913" s="14">
        <f>STDEV(L1912:L1916)</f>
        <v>35406.22034</v>
      </c>
      <c r="N1913" s="15" t="b">
        <f t="shared" si="1"/>
        <v>0</v>
      </c>
    </row>
    <row r="1914" hidden="1">
      <c r="A1914" s="7" t="s">
        <v>390</v>
      </c>
      <c r="B1914" s="7" t="s">
        <v>268</v>
      </c>
      <c r="C1914" s="7">
        <v>0.5</v>
      </c>
      <c r="D1914" s="7">
        <v>0.5</v>
      </c>
      <c r="E1914" s="7">
        <v>3.0</v>
      </c>
      <c r="F1914" s="7">
        <v>438.299127578735</v>
      </c>
      <c r="G1914" s="7">
        <v>561.663446903228</v>
      </c>
      <c r="H1914" s="7">
        <v>2.0</v>
      </c>
      <c r="I1914" s="15">
        <v>0.0952159761951718</v>
      </c>
      <c r="J1914" s="15">
        <v>0.0521424128370904</v>
      </c>
      <c r="K1914" s="12">
        <f>AVERAGE(I1912:I1916)</f>
        <v>0.4311176277</v>
      </c>
      <c r="L1914" s="18">
        <v>89202.0</v>
      </c>
      <c r="M1914" s="14">
        <f>STDEV(L1912:L1916)</f>
        <v>35406.22034</v>
      </c>
      <c r="N1914" s="15" t="b">
        <f t="shared" si="1"/>
        <v>0</v>
      </c>
    </row>
    <row r="1915" hidden="1">
      <c r="A1915" s="7" t="s">
        <v>390</v>
      </c>
      <c r="B1915" s="7" t="s">
        <v>268</v>
      </c>
      <c r="C1915" s="7">
        <v>0.5</v>
      </c>
      <c r="D1915" s="7">
        <v>0.5</v>
      </c>
      <c r="E1915" s="7">
        <v>3.0</v>
      </c>
      <c r="F1915" s="7">
        <v>438.299127578735</v>
      </c>
      <c r="G1915" s="7">
        <v>561.663446903228</v>
      </c>
      <c r="H1915" s="7">
        <v>3.0</v>
      </c>
      <c r="I1915" s="15">
        <v>0.810767851437121</v>
      </c>
      <c r="J1915" s="15">
        <v>0.123207685480431</v>
      </c>
      <c r="K1915" s="12">
        <f>AVERAGE(I1912:I1916)</f>
        <v>0.4311176277</v>
      </c>
      <c r="L1915" s="18">
        <v>1817.0</v>
      </c>
      <c r="M1915" s="14">
        <f>STDEV(L1912:L1916)</f>
        <v>35406.22034</v>
      </c>
      <c r="N1915" s="15" t="b">
        <f t="shared" si="1"/>
        <v>0</v>
      </c>
    </row>
    <row r="1916" hidden="1">
      <c r="A1916" s="7" t="s">
        <v>390</v>
      </c>
      <c r="B1916" s="7" t="s">
        <v>268</v>
      </c>
      <c r="C1916" s="7">
        <v>0.5</v>
      </c>
      <c r="D1916" s="7">
        <v>0.5</v>
      </c>
      <c r="E1916" s="7">
        <v>3.0</v>
      </c>
      <c r="F1916" s="7">
        <v>438.299127578735</v>
      </c>
      <c r="G1916" s="7">
        <v>561.663446903228</v>
      </c>
      <c r="H1916" s="7">
        <v>4.0</v>
      </c>
      <c r="I1916" s="15">
        <v>0.362761764661362</v>
      </c>
      <c r="J1916" s="15">
        <v>0.263767297013706</v>
      </c>
      <c r="K1916" s="12">
        <f>AVERAGE(I1912:I1916)</f>
        <v>0.4311176277</v>
      </c>
      <c r="L1916" s="18">
        <v>14661.0</v>
      </c>
      <c r="M1916" s="14">
        <f>STDEV(L1912:L1916)</f>
        <v>35406.22034</v>
      </c>
      <c r="N1916" s="15" t="b">
        <f t="shared" si="1"/>
        <v>0</v>
      </c>
    </row>
    <row r="1917" hidden="1">
      <c r="A1917" s="7" t="s">
        <v>391</v>
      </c>
      <c r="B1917" s="22" t="s">
        <v>268</v>
      </c>
      <c r="C1917" s="22">
        <v>0.5</v>
      </c>
      <c r="D1917" s="22">
        <v>0.5</v>
      </c>
      <c r="E1917" s="22">
        <v>4.0</v>
      </c>
      <c r="F1917" s="7">
        <v>212.882544517517</v>
      </c>
      <c r="G1917" s="7">
        <v>416.274179458618</v>
      </c>
      <c r="H1917" s="7">
        <v>0.0</v>
      </c>
      <c r="I1917" s="15">
        <v>0.0110891643021267</v>
      </c>
      <c r="J1917" s="15">
        <v>0.200502818760979</v>
      </c>
      <c r="K1917" s="12">
        <f>AVERAGE(I1917:I1921)</f>
        <v>0.6507355906</v>
      </c>
      <c r="L1917" s="18">
        <v>113771.0</v>
      </c>
      <c r="M1917" s="14">
        <f>STDEV(L1917:L1921)</f>
        <v>48086.60905</v>
      </c>
      <c r="N1917" s="15" t="b">
        <f t="shared" si="1"/>
        <v>0</v>
      </c>
    </row>
    <row r="1918" hidden="1">
      <c r="A1918" s="7" t="s">
        <v>391</v>
      </c>
      <c r="B1918" s="22" t="s">
        <v>268</v>
      </c>
      <c r="C1918" s="22">
        <v>0.5</v>
      </c>
      <c r="D1918" s="22">
        <v>0.5</v>
      </c>
      <c r="E1918" s="22">
        <v>4.0</v>
      </c>
      <c r="F1918" s="7">
        <v>212.882544517517</v>
      </c>
      <c r="G1918" s="7">
        <v>416.274179458618</v>
      </c>
      <c r="H1918" s="7">
        <v>1.0</v>
      </c>
      <c r="I1918" s="15">
        <v>0.830443130381624</v>
      </c>
      <c r="J1918" s="15">
        <v>0.0631120739329386</v>
      </c>
      <c r="K1918" s="12">
        <f>AVERAGE(I1917:I1921)</f>
        <v>0.6507355906</v>
      </c>
      <c r="L1918" s="18">
        <v>15788.0</v>
      </c>
      <c r="M1918" s="14">
        <f>STDEV(L1917:L1921)</f>
        <v>48086.60905</v>
      </c>
      <c r="N1918" s="15" t="b">
        <f t="shared" si="1"/>
        <v>0</v>
      </c>
    </row>
    <row r="1919" hidden="1">
      <c r="A1919" s="7" t="s">
        <v>391</v>
      </c>
      <c r="B1919" s="22" t="s">
        <v>268</v>
      </c>
      <c r="C1919" s="22">
        <v>0.5</v>
      </c>
      <c r="D1919" s="22">
        <v>0.5</v>
      </c>
      <c r="E1919" s="22">
        <v>4.0</v>
      </c>
      <c r="F1919" s="7">
        <v>212.882544517517</v>
      </c>
      <c r="G1919" s="7">
        <v>416.274179458618</v>
      </c>
      <c r="H1919" s="7">
        <v>2.0</v>
      </c>
      <c r="I1919" s="15">
        <v>0.837333143553574</v>
      </c>
      <c r="J1919" s="15">
        <v>0.100015515387112</v>
      </c>
      <c r="K1919" s="12">
        <f>AVERAGE(I1917:I1921)</f>
        <v>0.6507355906</v>
      </c>
      <c r="L1919" s="18">
        <v>2480.0</v>
      </c>
      <c r="M1919" s="14">
        <f>STDEV(L1917:L1921)</f>
        <v>48086.60905</v>
      </c>
      <c r="N1919" s="15" t="b">
        <f t="shared" si="1"/>
        <v>0</v>
      </c>
    </row>
    <row r="1920" hidden="1">
      <c r="A1920" s="7" t="s">
        <v>391</v>
      </c>
      <c r="B1920" s="22" t="s">
        <v>268</v>
      </c>
      <c r="C1920" s="22">
        <v>0.5</v>
      </c>
      <c r="D1920" s="22">
        <v>0.5</v>
      </c>
      <c r="E1920" s="22">
        <v>4.0</v>
      </c>
      <c r="F1920" s="7">
        <v>212.882544517517</v>
      </c>
      <c r="G1920" s="7">
        <v>416.274179458618</v>
      </c>
      <c r="H1920" s="7">
        <v>3.0</v>
      </c>
      <c r="I1920" s="15">
        <v>0.81076317068049</v>
      </c>
      <c r="J1920" s="15">
        <v>0.121217217201294</v>
      </c>
      <c r="K1920" s="12">
        <f>AVERAGE(I1917:I1921)</f>
        <v>0.6507355906</v>
      </c>
      <c r="L1920" s="18">
        <v>1817.0</v>
      </c>
      <c r="M1920" s="14">
        <f>STDEV(L1917:L1921)</f>
        <v>48086.60905</v>
      </c>
      <c r="N1920" s="15" t="b">
        <f t="shared" si="1"/>
        <v>0</v>
      </c>
    </row>
    <row r="1921" hidden="1">
      <c r="A1921" s="7" t="s">
        <v>391</v>
      </c>
      <c r="B1921" s="22" t="s">
        <v>268</v>
      </c>
      <c r="C1921" s="22">
        <v>0.5</v>
      </c>
      <c r="D1921" s="22">
        <v>0.5</v>
      </c>
      <c r="E1921" s="22">
        <v>4.0</v>
      </c>
      <c r="F1921" s="7">
        <v>212.882544517517</v>
      </c>
      <c r="G1921" s="7">
        <v>416.274179458618</v>
      </c>
      <c r="H1921" s="7">
        <v>4.0</v>
      </c>
      <c r="I1921" s="15">
        <v>0.764049344328346</v>
      </c>
      <c r="J1921" s="15">
        <v>0.135570112820066</v>
      </c>
      <c r="K1921" s="12">
        <f>AVERAGE(I1917:I1921)</f>
        <v>0.6507355906</v>
      </c>
      <c r="L1921" s="18">
        <v>7820.0</v>
      </c>
      <c r="M1921" s="14">
        <f>STDEV(L1917:L1921)</f>
        <v>48086.60905</v>
      </c>
      <c r="N1921" s="15" t="b">
        <f t="shared" si="1"/>
        <v>0</v>
      </c>
    </row>
    <row r="1922" hidden="1">
      <c r="A1922" s="7" t="s">
        <v>392</v>
      </c>
      <c r="B1922" s="7" t="s">
        <v>268</v>
      </c>
      <c r="C1922" s="7">
        <v>0.5</v>
      </c>
      <c r="D1922" s="7">
        <v>0.5</v>
      </c>
      <c r="E1922" s="7">
        <v>5.0</v>
      </c>
      <c r="F1922" s="7">
        <v>253.549865961074</v>
      </c>
      <c r="G1922" s="7">
        <v>394.762972354888</v>
      </c>
      <c r="H1922" s="7">
        <v>0.0</v>
      </c>
      <c r="I1922" s="15">
        <v>0.394785162951222</v>
      </c>
      <c r="J1922" s="15">
        <v>0.131125615962754</v>
      </c>
      <c r="K1922" s="12">
        <f>AVERAGE(I1922:I1926)</f>
        <v>0.4854229078</v>
      </c>
      <c r="L1922" s="18">
        <v>11135.0</v>
      </c>
      <c r="M1922" s="14">
        <f>STDEV(L1922:L1926)</f>
        <v>30859.94055</v>
      </c>
      <c r="N1922" s="15" t="b">
        <f t="shared" si="1"/>
        <v>0</v>
      </c>
    </row>
    <row r="1923" hidden="1">
      <c r="A1923" s="7" t="s">
        <v>392</v>
      </c>
      <c r="B1923" s="7" t="s">
        <v>268</v>
      </c>
      <c r="C1923" s="7">
        <v>0.5</v>
      </c>
      <c r="D1923" s="7">
        <v>0.5</v>
      </c>
      <c r="E1923" s="7">
        <v>5.0</v>
      </c>
      <c r="F1923" s="7">
        <v>253.549865961074</v>
      </c>
      <c r="G1923" s="7">
        <v>394.762972354888</v>
      </c>
      <c r="H1923" s="7">
        <v>1.0</v>
      </c>
      <c r="I1923" s="15">
        <v>0.717926829173635</v>
      </c>
      <c r="J1923" s="15">
        <v>0.147863892364699</v>
      </c>
      <c r="K1923" s="12">
        <f>AVERAGE(I1922:I1926)</f>
        <v>0.4854229078</v>
      </c>
      <c r="L1923" s="18">
        <v>13528.0</v>
      </c>
      <c r="M1923" s="14">
        <f>STDEV(L1922:L1926)</f>
        <v>30859.94055</v>
      </c>
      <c r="N1923" s="15" t="b">
        <f t="shared" si="1"/>
        <v>0</v>
      </c>
    </row>
    <row r="1924" hidden="1">
      <c r="A1924" s="7" t="s">
        <v>392</v>
      </c>
      <c r="B1924" s="7" t="s">
        <v>268</v>
      </c>
      <c r="C1924" s="7">
        <v>0.5</v>
      </c>
      <c r="D1924" s="7">
        <v>0.5</v>
      </c>
      <c r="E1924" s="7">
        <v>5.0</v>
      </c>
      <c r="F1924" s="7">
        <v>253.549865961074</v>
      </c>
      <c r="G1924" s="7">
        <v>394.762972354888</v>
      </c>
      <c r="H1924" s="7">
        <v>2.0</v>
      </c>
      <c r="I1924" s="15">
        <v>0.0517162408472293</v>
      </c>
      <c r="J1924" s="15">
        <v>0.0800374586879823</v>
      </c>
      <c r="K1924" s="12">
        <f>AVERAGE(I1922:I1926)</f>
        <v>0.4854229078</v>
      </c>
      <c r="L1924" s="18">
        <v>80730.0</v>
      </c>
      <c r="M1924" s="14">
        <f>STDEV(L1922:L1926)</f>
        <v>30859.94055</v>
      </c>
      <c r="N1924" s="15" t="b">
        <f t="shared" si="1"/>
        <v>0</v>
      </c>
    </row>
    <row r="1925" hidden="1">
      <c r="A1925" s="7" t="s">
        <v>392</v>
      </c>
      <c r="B1925" s="7" t="s">
        <v>268</v>
      </c>
      <c r="C1925" s="7">
        <v>0.5</v>
      </c>
      <c r="D1925" s="7">
        <v>0.5</v>
      </c>
      <c r="E1925" s="7">
        <v>5.0</v>
      </c>
      <c r="F1925" s="7">
        <v>253.549865961074</v>
      </c>
      <c r="G1925" s="7">
        <v>394.762972354888</v>
      </c>
      <c r="H1925" s="7">
        <v>3.0</v>
      </c>
      <c r="I1925" s="15">
        <v>0.863904524924818</v>
      </c>
      <c r="J1925" s="15">
        <v>0.09487929031691</v>
      </c>
      <c r="K1925" s="12">
        <f>AVERAGE(I1922:I1926)</f>
        <v>0.4854229078</v>
      </c>
      <c r="L1925" s="18">
        <v>5080.0</v>
      </c>
      <c r="M1925" s="14">
        <f>STDEV(L1922:L1926)</f>
        <v>30859.94055</v>
      </c>
      <c r="N1925" s="15" t="b">
        <f t="shared" si="1"/>
        <v>0</v>
      </c>
    </row>
    <row r="1926" hidden="1">
      <c r="A1926" s="7" t="s">
        <v>392</v>
      </c>
      <c r="B1926" s="7" t="s">
        <v>268</v>
      </c>
      <c r="C1926" s="7">
        <v>0.5</v>
      </c>
      <c r="D1926" s="7">
        <v>0.5</v>
      </c>
      <c r="E1926" s="7">
        <v>5.0</v>
      </c>
      <c r="F1926" s="7">
        <v>253.549865961074</v>
      </c>
      <c r="G1926" s="7">
        <v>394.762972354888</v>
      </c>
      <c r="H1926" s="7">
        <v>4.0</v>
      </c>
      <c r="I1926" s="15">
        <v>0.398781780911777</v>
      </c>
      <c r="J1926" s="15">
        <v>0.0610849265586788</v>
      </c>
      <c r="K1926" s="12">
        <f>AVERAGE(I1922:I1926)</f>
        <v>0.4854229078</v>
      </c>
      <c r="L1926" s="18">
        <v>31203.0</v>
      </c>
      <c r="M1926" s="14">
        <f>STDEV(L1922:L1926)</f>
        <v>30859.94055</v>
      </c>
      <c r="N1926" s="15" t="b">
        <f t="shared" si="1"/>
        <v>0</v>
      </c>
    </row>
    <row r="1927" hidden="1">
      <c r="A1927" s="7" t="s">
        <v>393</v>
      </c>
      <c r="B1927" s="7" t="s">
        <v>268</v>
      </c>
      <c r="C1927" s="7">
        <v>0.5</v>
      </c>
      <c r="D1927" s="7">
        <v>0.5</v>
      </c>
      <c r="E1927" s="7">
        <v>6.0</v>
      </c>
      <c r="F1927" s="7">
        <v>191.609974622726</v>
      </c>
      <c r="G1927" s="7">
        <v>406.772131204605</v>
      </c>
      <c r="H1927" s="7">
        <v>0.0</v>
      </c>
      <c r="I1927" s="15">
        <v>0.830251513425668</v>
      </c>
      <c r="J1927" s="15">
        <v>0.063717947731781</v>
      </c>
      <c r="K1927" s="12">
        <f>AVERAGE(I1927:I1931)</f>
        <v>0.5725995674</v>
      </c>
      <c r="L1927" s="18">
        <v>15788.0</v>
      </c>
      <c r="M1927" s="14">
        <f>STDEV(L1927:L1931)</f>
        <v>39114.68942</v>
      </c>
      <c r="N1927" s="15" t="b">
        <f t="shared" si="1"/>
        <v>0</v>
      </c>
    </row>
    <row r="1928" hidden="1">
      <c r="A1928" s="7" t="s">
        <v>393</v>
      </c>
      <c r="B1928" s="7" t="s">
        <v>268</v>
      </c>
      <c r="C1928" s="7">
        <v>0.5</v>
      </c>
      <c r="D1928" s="7">
        <v>0.5</v>
      </c>
      <c r="E1928" s="7">
        <v>6.0</v>
      </c>
      <c r="F1928" s="7">
        <v>191.609974622726</v>
      </c>
      <c r="G1928" s="7">
        <v>406.772131204605</v>
      </c>
      <c r="H1928" s="7">
        <v>1.0</v>
      </c>
      <c r="I1928" s="15">
        <v>0.825602688610338</v>
      </c>
      <c r="J1928" s="15">
        <v>0.092607651756149</v>
      </c>
      <c r="K1928" s="12">
        <f>AVERAGE(I1927:I1931)</f>
        <v>0.5725995674</v>
      </c>
      <c r="L1928" s="18">
        <v>4613.0</v>
      </c>
      <c r="M1928" s="14">
        <f>STDEV(L1927:L1931)</f>
        <v>39114.68942</v>
      </c>
      <c r="N1928" s="15" t="b">
        <f t="shared" si="1"/>
        <v>0</v>
      </c>
    </row>
    <row r="1929" hidden="1">
      <c r="A1929" s="7" t="s">
        <v>393</v>
      </c>
      <c r="B1929" s="7" t="s">
        <v>268</v>
      </c>
      <c r="C1929" s="7">
        <v>0.5</v>
      </c>
      <c r="D1929" s="7">
        <v>0.5</v>
      </c>
      <c r="E1929" s="7">
        <v>6.0</v>
      </c>
      <c r="F1929" s="7">
        <v>191.609974622726</v>
      </c>
      <c r="G1929" s="7">
        <v>406.772131204605</v>
      </c>
      <c r="H1929" s="7">
        <v>2.0</v>
      </c>
      <c r="I1929" s="15">
        <v>0.0550473339021293</v>
      </c>
      <c r="J1929" s="15">
        <v>0.102558653331427</v>
      </c>
      <c r="K1929" s="12">
        <f>AVERAGE(I1927:I1931)</f>
        <v>0.5725995674</v>
      </c>
      <c r="L1929" s="18">
        <v>97109.0</v>
      </c>
      <c r="M1929" s="14">
        <f>STDEV(L1927:L1931)</f>
        <v>39114.68942</v>
      </c>
      <c r="N1929" s="15" t="b">
        <f t="shared" si="1"/>
        <v>0</v>
      </c>
    </row>
    <row r="1930" hidden="1">
      <c r="A1930" s="7" t="s">
        <v>393</v>
      </c>
      <c r="B1930" s="7" t="s">
        <v>268</v>
      </c>
      <c r="C1930" s="7">
        <v>0.5</v>
      </c>
      <c r="D1930" s="7">
        <v>0.5</v>
      </c>
      <c r="E1930" s="7">
        <v>6.0</v>
      </c>
      <c r="F1930" s="7">
        <v>191.609974622726</v>
      </c>
      <c r="G1930" s="7">
        <v>406.772131204605</v>
      </c>
      <c r="H1930" s="7">
        <v>3.0</v>
      </c>
      <c r="I1930" s="15">
        <v>0.722593914008877</v>
      </c>
      <c r="J1930" s="15">
        <v>0.142759682323131</v>
      </c>
      <c r="K1930" s="12">
        <f>AVERAGE(I1927:I1931)</f>
        <v>0.5725995674</v>
      </c>
      <c r="L1930" s="18">
        <v>3670.0</v>
      </c>
      <c r="M1930" s="14">
        <f>STDEV(L1927:L1931)</f>
        <v>39114.68942</v>
      </c>
      <c r="N1930" s="15" t="b">
        <f t="shared" si="1"/>
        <v>0</v>
      </c>
    </row>
    <row r="1931" hidden="1">
      <c r="A1931" s="7" t="s">
        <v>393</v>
      </c>
      <c r="B1931" s="7" t="s">
        <v>268</v>
      </c>
      <c r="C1931" s="7">
        <v>0.5</v>
      </c>
      <c r="D1931" s="7">
        <v>0.5</v>
      </c>
      <c r="E1931" s="7">
        <v>6.0</v>
      </c>
      <c r="F1931" s="7">
        <v>191.609974622726</v>
      </c>
      <c r="G1931" s="7">
        <v>406.772131204605</v>
      </c>
      <c r="H1931" s="7">
        <v>4.0</v>
      </c>
      <c r="I1931" s="15">
        <v>0.429502386937564</v>
      </c>
      <c r="J1931" s="15">
        <v>0.14994893756686</v>
      </c>
      <c r="K1931" s="12">
        <f>AVERAGE(I1927:I1931)</f>
        <v>0.5725995674</v>
      </c>
      <c r="L1931" s="18">
        <v>20496.0</v>
      </c>
      <c r="M1931" s="14">
        <f>STDEV(L1927:L1931)</f>
        <v>39114.68942</v>
      </c>
      <c r="N1931" s="15" t="b">
        <f t="shared" si="1"/>
        <v>0</v>
      </c>
    </row>
    <row r="1932" hidden="1">
      <c r="A1932" s="7" t="s">
        <v>394</v>
      </c>
      <c r="B1932" s="7" t="s">
        <v>268</v>
      </c>
      <c r="C1932" s="7">
        <v>0.5</v>
      </c>
      <c r="D1932" s="7">
        <v>0.5</v>
      </c>
      <c r="E1932" s="7">
        <v>7.0</v>
      </c>
      <c r="F1932" s="7">
        <v>118.204943180084</v>
      </c>
      <c r="G1932" s="7">
        <v>371.117895126342</v>
      </c>
      <c r="H1932" s="7">
        <v>0.0</v>
      </c>
      <c r="I1932" s="15">
        <v>0.864080986811779</v>
      </c>
      <c r="J1932" s="15">
        <v>0.0942811616768609</v>
      </c>
      <c r="K1932" s="12">
        <f>AVERAGE(I1932:I1936)</f>
        <v>0.649976712</v>
      </c>
      <c r="L1932" s="18">
        <v>5080.0</v>
      </c>
      <c r="M1932" s="14">
        <f>STDEV(L1932:L1936)</f>
        <v>43008.63443</v>
      </c>
      <c r="N1932" s="15" t="b">
        <f t="shared" si="1"/>
        <v>0</v>
      </c>
    </row>
    <row r="1933" hidden="1">
      <c r="A1933" s="7" t="s">
        <v>394</v>
      </c>
      <c r="B1933" s="7" t="s">
        <v>268</v>
      </c>
      <c r="C1933" s="7">
        <v>0.5</v>
      </c>
      <c r="D1933" s="7">
        <v>0.5</v>
      </c>
      <c r="E1933" s="7">
        <v>7.0</v>
      </c>
      <c r="F1933" s="7">
        <v>118.204943180084</v>
      </c>
      <c r="G1933" s="7">
        <v>371.117895126342</v>
      </c>
      <c r="H1933" s="7">
        <v>1.0</v>
      </c>
      <c r="I1933" s="15">
        <v>0.800307169281315</v>
      </c>
      <c r="J1933" s="15">
        <v>0.14055055496857</v>
      </c>
      <c r="K1933" s="12">
        <f>AVERAGE(I1932:I1936)</f>
        <v>0.649976712</v>
      </c>
      <c r="L1933" s="18">
        <v>888.0</v>
      </c>
      <c r="M1933" s="14">
        <f>STDEV(L1932:L1936)</f>
        <v>43008.63443</v>
      </c>
      <c r="N1933" s="15" t="b">
        <f t="shared" si="1"/>
        <v>0</v>
      </c>
    </row>
    <row r="1934" hidden="1">
      <c r="A1934" s="7" t="s">
        <v>394</v>
      </c>
      <c r="B1934" s="7" t="s">
        <v>268</v>
      </c>
      <c r="C1934" s="7">
        <v>0.5</v>
      </c>
      <c r="D1934" s="7">
        <v>0.5</v>
      </c>
      <c r="E1934" s="7">
        <v>7.0</v>
      </c>
      <c r="F1934" s="7">
        <v>118.204943180084</v>
      </c>
      <c r="G1934" s="7">
        <v>371.117895126342</v>
      </c>
      <c r="H1934" s="7">
        <v>2.0</v>
      </c>
      <c r="I1934" s="15">
        <v>0.763527550185436</v>
      </c>
      <c r="J1934" s="15">
        <v>0.134118195832862</v>
      </c>
      <c r="K1934" s="12">
        <f>AVERAGE(I1932:I1936)</f>
        <v>0.649976712</v>
      </c>
      <c r="L1934" s="18">
        <v>15660.0</v>
      </c>
      <c r="M1934" s="14">
        <f>STDEV(L1932:L1936)</f>
        <v>43008.63443</v>
      </c>
      <c r="N1934" s="15" t="b">
        <f t="shared" si="1"/>
        <v>0</v>
      </c>
    </row>
    <row r="1935" hidden="1">
      <c r="A1935" s="7" t="s">
        <v>394</v>
      </c>
      <c r="B1935" s="7" t="s">
        <v>268</v>
      </c>
      <c r="C1935" s="7">
        <v>0.5</v>
      </c>
      <c r="D1935" s="7">
        <v>0.5</v>
      </c>
      <c r="E1935" s="7">
        <v>7.0</v>
      </c>
      <c r="F1935" s="7">
        <v>118.204943180084</v>
      </c>
      <c r="G1935" s="7">
        <v>371.117895126342</v>
      </c>
      <c r="H1935" s="7">
        <v>3.0</v>
      </c>
      <c r="I1935" s="15">
        <v>0.0514066030492896</v>
      </c>
      <c r="J1935" s="15">
        <v>0.0709581280831325</v>
      </c>
      <c r="K1935" s="12">
        <f>AVERAGE(I1932:I1936)</f>
        <v>0.649976712</v>
      </c>
      <c r="L1935" s="18">
        <v>104385.0</v>
      </c>
      <c r="M1935" s="14">
        <f>STDEV(L1932:L1936)</f>
        <v>43008.63443</v>
      </c>
      <c r="N1935" s="15" t="b">
        <f t="shared" si="1"/>
        <v>0</v>
      </c>
    </row>
    <row r="1936" hidden="1">
      <c r="A1936" s="7" t="s">
        <v>394</v>
      </c>
      <c r="B1936" s="7" t="s">
        <v>268</v>
      </c>
      <c r="C1936" s="7">
        <v>0.5</v>
      </c>
      <c r="D1936" s="7">
        <v>0.5</v>
      </c>
      <c r="E1936" s="7">
        <v>7.0</v>
      </c>
      <c r="F1936" s="7">
        <v>118.204943180084</v>
      </c>
      <c r="G1936" s="7">
        <v>371.117895126342</v>
      </c>
      <c r="H1936" s="7">
        <v>4.0</v>
      </c>
      <c r="I1936" s="15">
        <v>0.770561250601589</v>
      </c>
      <c r="J1936" s="15">
        <v>0.12034966250696</v>
      </c>
      <c r="K1936" s="12">
        <f>AVERAGE(I1932:I1936)</f>
        <v>0.649976712</v>
      </c>
      <c r="L1936" s="18">
        <v>15663.0</v>
      </c>
      <c r="M1936" s="14">
        <f>STDEV(L1932:L1936)</f>
        <v>43008.63443</v>
      </c>
      <c r="N1936" s="15" t="b">
        <f t="shared" si="1"/>
        <v>0</v>
      </c>
    </row>
    <row r="1937" hidden="1">
      <c r="A1937" s="7" t="s">
        <v>395</v>
      </c>
      <c r="B1937" s="7" t="s">
        <v>268</v>
      </c>
      <c r="C1937" s="7">
        <v>0.5</v>
      </c>
      <c r="D1937" s="7">
        <v>0.5</v>
      </c>
      <c r="E1937" s="7">
        <v>8.0</v>
      </c>
      <c r="F1937" s="7">
        <v>249.543989419937</v>
      </c>
      <c r="G1937" s="7">
        <v>409.282993555068</v>
      </c>
      <c r="H1937" s="7">
        <v>0.0</v>
      </c>
      <c r="I1937" s="15">
        <v>0.185293122197072</v>
      </c>
      <c r="J1937" s="15">
        <v>0.0708267270519162</v>
      </c>
      <c r="K1937" s="12">
        <f>AVERAGE(I1937:I1941)</f>
        <v>0.4150050738</v>
      </c>
      <c r="L1937" s="18">
        <v>51121.0</v>
      </c>
      <c r="M1937" s="14">
        <f>STDEV(L1937:L1941)</f>
        <v>23829.7109</v>
      </c>
      <c r="N1937" s="15" t="b">
        <f t="shared" si="1"/>
        <v>0</v>
      </c>
    </row>
    <row r="1938" hidden="1">
      <c r="A1938" s="7" t="s">
        <v>395</v>
      </c>
      <c r="B1938" s="7" t="s">
        <v>268</v>
      </c>
      <c r="C1938" s="7">
        <v>0.5</v>
      </c>
      <c r="D1938" s="7">
        <v>0.5</v>
      </c>
      <c r="E1938" s="7">
        <v>8.0</v>
      </c>
      <c r="F1938" s="7">
        <v>249.543989419937</v>
      </c>
      <c r="G1938" s="7">
        <v>409.282993555068</v>
      </c>
      <c r="H1938" s="7">
        <v>1.0</v>
      </c>
      <c r="I1938" s="15">
        <v>0.066778266163585</v>
      </c>
      <c r="J1938" s="15">
        <v>0.0655316380605191</v>
      </c>
      <c r="K1938" s="12">
        <f>AVERAGE(I1937:I1941)</f>
        <v>0.4150050738</v>
      </c>
      <c r="L1938" s="18">
        <v>56566.0</v>
      </c>
      <c r="M1938" s="14">
        <f>STDEV(L1937:L1941)</f>
        <v>23829.7109</v>
      </c>
      <c r="N1938" s="15" t="b">
        <f t="shared" si="1"/>
        <v>0</v>
      </c>
    </row>
    <row r="1939" hidden="1">
      <c r="A1939" s="7" t="s">
        <v>395</v>
      </c>
      <c r="B1939" s="7" t="s">
        <v>268</v>
      </c>
      <c r="C1939" s="7">
        <v>0.5</v>
      </c>
      <c r="D1939" s="7">
        <v>0.5</v>
      </c>
      <c r="E1939" s="7">
        <v>8.0</v>
      </c>
      <c r="F1939" s="7">
        <v>249.543989419937</v>
      </c>
      <c r="G1939" s="7">
        <v>409.282993555068</v>
      </c>
      <c r="H1939" s="7">
        <v>2.0</v>
      </c>
      <c r="I1939" s="15">
        <v>0.764872308606885</v>
      </c>
      <c r="J1939" s="15">
        <v>0.134342728982757</v>
      </c>
      <c r="K1939" s="12">
        <f>AVERAGE(I1937:I1941)</f>
        <v>0.4150050738</v>
      </c>
      <c r="L1939" s="18">
        <v>15610.0</v>
      </c>
      <c r="M1939" s="14">
        <f>STDEV(L1937:L1941)</f>
        <v>23829.7109</v>
      </c>
      <c r="N1939" s="15" t="b">
        <f t="shared" si="1"/>
        <v>0</v>
      </c>
    </row>
    <row r="1940" hidden="1">
      <c r="A1940" s="7" t="s">
        <v>395</v>
      </c>
      <c r="B1940" s="7" t="s">
        <v>268</v>
      </c>
      <c r="C1940" s="7">
        <v>0.5</v>
      </c>
      <c r="D1940" s="7">
        <v>0.5</v>
      </c>
      <c r="E1940" s="7">
        <v>8.0</v>
      </c>
      <c r="F1940" s="7">
        <v>249.543989419937</v>
      </c>
      <c r="G1940" s="7">
        <v>409.282993555068</v>
      </c>
      <c r="H1940" s="7">
        <v>3.0</v>
      </c>
      <c r="I1940" s="15">
        <v>0.717865328587705</v>
      </c>
      <c r="J1940" s="15">
        <v>0.143652678928546</v>
      </c>
      <c r="K1940" s="12">
        <f>AVERAGE(I1937:I1941)</f>
        <v>0.4150050738</v>
      </c>
      <c r="L1940" s="18">
        <v>3703.0</v>
      </c>
      <c r="M1940" s="14">
        <f>STDEV(L1937:L1941)</f>
        <v>23829.7109</v>
      </c>
      <c r="N1940" s="15" t="b">
        <f t="shared" si="1"/>
        <v>0</v>
      </c>
    </row>
    <row r="1941" hidden="1">
      <c r="A1941" s="7" t="s">
        <v>395</v>
      </c>
      <c r="B1941" s="7" t="s">
        <v>268</v>
      </c>
      <c r="C1941" s="7">
        <v>0.5</v>
      </c>
      <c r="D1941" s="7">
        <v>0.5</v>
      </c>
      <c r="E1941" s="7">
        <v>8.0</v>
      </c>
      <c r="F1941" s="7">
        <v>249.543989419937</v>
      </c>
      <c r="G1941" s="7">
        <v>409.282993555068</v>
      </c>
      <c r="H1941" s="7">
        <v>4.0</v>
      </c>
      <c r="I1941" s="15">
        <v>0.340216343442703</v>
      </c>
      <c r="J1941" s="15">
        <v>0.301756381205202</v>
      </c>
      <c r="K1941" s="12">
        <f>AVERAGE(I1937:I1941)</f>
        <v>0.4150050738</v>
      </c>
      <c r="L1941" s="18">
        <v>14676.0</v>
      </c>
      <c r="M1941" s="14">
        <f>STDEV(L1937:L1941)</f>
        <v>23829.7109</v>
      </c>
      <c r="N1941" s="15" t="b">
        <f t="shared" si="1"/>
        <v>0</v>
      </c>
    </row>
    <row r="1942" hidden="1">
      <c r="A1942" s="7" t="s">
        <v>396</v>
      </c>
      <c r="B1942" s="21" t="s">
        <v>268</v>
      </c>
      <c r="C1942" s="21">
        <v>0.5</v>
      </c>
      <c r="D1942" s="21">
        <v>0.5</v>
      </c>
      <c r="E1942" s="21">
        <v>9.0</v>
      </c>
      <c r="F1942" s="7">
        <v>95.9595568180084</v>
      </c>
      <c r="G1942" s="7">
        <v>324.699288129806</v>
      </c>
      <c r="H1942" s="7">
        <v>0.0</v>
      </c>
      <c r="I1942" s="15">
        <v>0.765092863543905</v>
      </c>
      <c r="J1942" s="15">
        <v>0.13245454385846</v>
      </c>
      <c r="K1942" s="12">
        <f>AVERAGE(I1942:I1946)</f>
        <v>0.6576721106</v>
      </c>
      <c r="L1942" s="18">
        <v>15686.0</v>
      </c>
      <c r="M1942" s="14">
        <f>STDEV(L1942:L1946)</f>
        <v>48894.02347</v>
      </c>
      <c r="N1942" s="15" t="b">
        <f t="shared" si="1"/>
        <v>1</v>
      </c>
    </row>
    <row r="1943" hidden="1">
      <c r="A1943" s="7" t="s">
        <v>396</v>
      </c>
      <c r="B1943" s="21" t="s">
        <v>268</v>
      </c>
      <c r="C1943" s="21">
        <v>0.5</v>
      </c>
      <c r="D1943" s="21">
        <v>0.5</v>
      </c>
      <c r="E1943" s="21">
        <v>9.0</v>
      </c>
      <c r="F1943" s="7">
        <v>95.9595568180084</v>
      </c>
      <c r="G1943" s="7">
        <v>324.699288129806</v>
      </c>
      <c r="H1943" s="7">
        <v>1.0</v>
      </c>
      <c r="I1943" s="15">
        <v>0.834777640577648</v>
      </c>
      <c r="J1943" s="15">
        <v>0.0938409476136213</v>
      </c>
      <c r="K1943" s="12">
        <f>AVERAGE(I1942:I1946)</f>
        <v>0.6576721106</v>
      </c>
      <c r="L1943" s="18">
        <v>443.0</v>
      </c>
      <c r="M1943" s="14">
        <f>STDEV(L1942:L1946)</f>
        <v>48894.02347</v>
      </c>
      <c r="N1943" s="15" t="b">
        <f t="shared" si="1"/>
        <v>1</v>
      </c>
    </row>
    <row r="1944" hidden="1">
      <c r="A1944" s="7" t="s">
        <v>396</v>
      </c>
      <c r="B1944" s="21" t="s">
        <v>268</v>
      </c>
      <c r="C1944" s="21">
        <v>0.5</v>
      </c>
      <c r="D1944" s="21">
        <v>0.5</v>
      </c>
      <c r="E1944" s="21">
        <v>9.0</v>
      </c>
      <c r="F1944" s="7">
        <v>95.9595568180084</v>
      </c>
      <c r="G1944" s="7">
        <v>324.699288129806</v>
      </c>
      <c r="H1944" s="7">
        <v>2.0</v>
      </c>
      <c r="I1944" s="15">
        <v>0.056337199056781</v>
      </c>
      <c r="J1944" s="15">
        <v>0.0509991011693097</v>
      </c>
      <c r="K1944" s="12">
        <f>AVERAGE(I1942:I1946)</f>
        <v>0.6576721106</v>
      </c>
      <c r="L1944" s="18">
        <v>115225.0</v>
      </c>
      <c r="M1944" s="14">
        <f>STDEV(L1942:L1946)</f>
        <v>48894.02347</v>
      </c>
      <c r="N1944" s="15" t="b">
        <f t="shared" si="1"/>
        <v>1</v>
      </c>
    </row>
    <row r="1945" hidden="1">
      <c r="A1945" s="7" t="s">
        <v>396</v>
      </c>
      <c r="B1945" s="21" t="s">
        <v>268</v>
      </c>
      <c r="C1945" s="21">
        <v>0.5</v>
      </c>
      <c r="D1945" s="21">
        <v>0.5</v>
      </c>
      <c r="E1945" s="21">
        <v>9.0</v>
      </c>
      <c r="F1945" s="7">
        <v>95.9595568180084</v>
      </c>
      <c r="G1945" s="7">
        <v>324.699288129806</v>
      </c>
      <c r="H1945" s="7">
        <v>3.0</v>
      </c>
      <c r="I1945" s="15">
        <v>0.806398204137656</v>
      </c>
      <c r="J1945" s="15">
        <v>0.116458906243513</v>
      </c>
      <c r="K1945" s="12">
        <f>AVERAGE(I1942:I1946)</f>
        <v>0.6576721106</v>
      </c>
      <c r="L1945" s="18">
        <v>5709.0</v>
      </c>
      <c r="M1945" s="14">
        <f>STDEV(L1942:L1946)</f>
        <v>48894.02347</v>
      </c>
      <c r="N1945" s="15" t="b">
        <f t="shared" si="1"/>
        <v>1</v>
      </c>
    </row>
    <row r="1946" hidden="1">
      <c r="A1946" s="7" t="s">
        <v>396</v>
      </c>
      <c r="B1946" s="21" t="s">
        <v>268</v>
      </c>
      <c r="C1946" s="21">
        <v>0.5</v>
      </c>
      <c r="D1946" s="21">
        <v>0.5</v>
      </c>
      <c r="E1946" s="21">
        <v>9.0</v>
      </c>
      <c r="F1946" s="7">
        <v>95.9595568180084</v>
      </c>
      <c r="G1946" s="7">
        <v>324.699288129806</v>
      </c>
      <c r="H1946" s="7">
        <v>4.0</v>
      </c>
      <c r="I1946" s="15">
        <v>0.825754645477583</v>
      </c>
      <c r="J1946" s="15">
        <v>0.0927822444428461</v>
      </c>
      <c r="K1946" s="12">
        <f>AVERAGE(I1942:I1946)</f>
        <v>0.6576721106</v>
      </c>
      <c r="L1946" s="18">
        <v>4613.0</v>
      </c>
      <c r="M1946" s="14">
        <f>STDEV(L1942:L1946)</f>
        <v>48894.02347</v>
      </c>
      <c r="N1946" s="15" t="b">
        <f t="shared" si="1"/>
        <v>1</v>
      </c>
    </row>
    <row r="1947" hidden="1">
      <c r="A1947" s="7" t="s">
        <v>397</v>
      </c>
      <c r="B1947" s="7" t="s">
        <v>268</v>
      </c>
      <c r="C1947" s="7">
        <v>0.5</v>
      </c>
      <c r="D1947" s="7">
        <v>0.5</v>
      </c>
      <c r="E1947" s="7">
        <v>10.0</v>
      </c>
      <c r="F1947" s="7">
        <v>111.592091798782</v>
      </c>
      <c r="G1947" s="7">
        <v>333.715178728103</v>
      </c>
      <c r="H1947" s="7">
        <v>0.0</v>
      </c>
      <c r="I1947" s="15">
        <v>0.164550185865957</v>
      </c>
      <c r="J1947" s="15">
        <v>0.138015753479601</v>
      </c>
      <c r="K1947" s="12">
        <f>AVERAGE(I1947:I1951)</f>
        <v>0.5431792915</v>
      </c>
      <c r="L1947" s="18">
        <v>29967.0</v>
      </c>
      <c r="M1947" s="14">
        <f>STDEV(L1947:L1951)</f>
        <v>34032.55662</v>
      </c>
      <c r="N1947" s="15" t="b">
        <f t="shared" si="1"/>
        <v>0</v>
      </c>
    </row>
    <row r="1948" hidden="1">
      <c r="A1948" s="7" t="s">
        <v>397</v>
      </c>
      <c r="B1948" s="7" t="s">
        <v>268</v>
      </c>
      <c r="C1948" s="7">
        <v>0.5</v>
      </c>
      <c r="D1948" s="7">
        <v>0.5</v>
      </c>
      <c r="E1948" s="7">
        <v>10.0</v>
      </c>
      <c r="F1948" s="7">
        <v>111.592091798782</v>
      </c>
      <c r="G1948" s="7">
        <v>333.715178728103</v>
      </c>
      <c r="H1948" s="7">
        <v>1.0</v>
      </c>
      <c r="I1948" s="15">
        <v>0.772106332288119</v>
      </c>
      <c r="J1948" s="15">
        <v>0.120222188986336</v>
      </c>
      <c r="K1948" s="12">
        <f>AVERAGE(I1947:I1951)</f>
        <v>0.5431792915</v>
      </c>
      <c r="L1948" s="18">
        <v>15663.0</v>
      </c>
      <c r="M1948" s="14">
        <f>STDEV(L1947:L1951)</f>
        <v>34032.55662</v>
      </c>
      <c r="N1948" s="15" t="b">
        <f t="shared" si="1"/>
        <v>0</v>
      </c>
    </row>
    <row r="1949" hidden="1">
      <c r="A1949" s="7" t="s">
        <v>397</v>
      </c>
      <c r="B1949" s="7" t="s">
        <v>268</v>
      </c>
      <c r="C1949" s="7">
        <v>0.5</v>
      </c>
      <c r="D1949" s="7">
        <v>0.5</v>
      </c>
      <c r="E1949" s="7">
        <v>10.0</v>
      </c>
      <c r="F1949" s="7">
        <v>111.592091798782</v>
      </c>
      <c r="G1949" s="7">
        <v>333.715178728103</v>
      </c>
      <c r="H1949" s="7">
        <v>2.0</v>
      </c>
      <c r="I1949" s="15">
        <v>0.826007641848868</v>
      </c>
      <c r="J1949" s="15">
        <v>0.0926610560424128</v>
      </c>
      <c r="K1949" s="12">
        <f>AVERAGE(I1947:I1951)</f>
        <v>0.5431792915</v>
      </c>
      <c r="L1949" s="18">
        <v>4613.0</v>
      </c>
      <c r="M1949" s="14">
        <f>STDEV(L1947:L1951)</f>
        <v>34032.55662</v>
      </c>
      <c r="N1949" s="15" t="b">
        <f t="shared" si="1"/>
        <v>0</v>
      </c>
    </row>
    <row r="1950" hidden="1">
      <c r="A1950" s="7" t="s">
        <v>397</v>
      </c>
      <c r="B1950" s="7" t="s">
        <v>268</v>
      </c>
      <c r="C1950" s="7">
        <v>0.5</v>
      </c>
      <c r="D1950" s="7">
        <v>0.5</v>
      </c>
      <c r="E1950" s="7">
        <v>10.0</v>
      </c>
      <c r="F1950" s="7">
        <v>111.592091798782</v>
      </c>
      <c r="G1950" s="7">
        <v>333.715178728103</v>
      </c>
      <c r="H1950" s="7">
        <v>3.0</v>
      </c>
      <c r="I1950" s="15">
        <v>0.0890485792362614</v>
      </c>
      <c r="J1950" s="15">
        <v>0.0587160512891892</v>
      </c>
      <c r="K1950" s="12">
        <f>AVERAGE(I1947:I1951)</f>
        <v>0.5431792915</v>
      </c>
      <c r="L1950" s="18">
        <v>86353.0</v>
      </c>
      <c r="M1950" s="14">
        <f>STDEV(L1947:L1951)</f>
        <v>34032.55662</v>
      </c>
      <c r="N1950" s="15" t="b">
        <f t="shared" si="1"/>
        <v>0</v>
      </c>
    </row>
    <row r="1951" hidden="1">
      <c r="A1951" s="7" t="s">
        <v>397</v>
      </c>
      <c r="B1951" s="7" t="s">
        <v>268</v>
      </c>
      <c r="C1951" s="7">
        <v>0.5</v>
      </c>
      <c r="D1951" s="7">
        <v>0.5</v>
      </c>
      <c r="E1951" s="7">
        <v>10.0</v>
      </c>
      <c r="F1951" s="7">
        <v>111.592091798782</v>
      </c>
      <c r="G1951" s="7">
        <v>333.715178728103</v>
      </c>
      <c r="H1951" s="7">
        <v>4.0</v>
      </c>
      <c r="I1951" s="15">
        <v>0.864183718497139</v>
      </c>
      <c r="J1951" s="15">
        <v>0.0953251030091304</v>
      </c>
      <c r="K1951" s="12">
        <f>AVERAGE(I1947:I1951)</f>
        <v>0.5431792915</v>
      </c>
      <c r="L1951" s="18">
        <v>5080.0</v>
      </c>
      <c r="M1951" s="14">
        <f>STDEV(L1947:L1951)</f>
        <v>34032.55662</v>
      </c>
      <c r="N1951" s="15" t="b">
        <f t="shared" si="1"/>
        <v>0</v>
      </c>
    </row>
    <row r="1952" hidden="1">
      <c r="A1952" s="7" t="s">
        <v>398</v>
      </c>
      <c r="B1952" s="7" t="s">
        <v>268</v>
      </c>
      <c r="C1952" s="7">
        <v>0.5</v>
      </c>
      <c r="D1952" s="7">
        <v>0.75</v>
      </c>
      <c r="E1952" s="7">
        <v>1.0</v>
      </c>
      <c r="F1952" s="7">
        <v>172.951778650283</v>
      </c>
      <c r="G1952" s="7">
        <v>389.148879528045</v>
      </c>
      <c r="H1952" s="7">
        <v>0.0</v>
      </c>
      <c r="I1952" s="15">
        <v>0.864207540374891</v>
      </c>
      <c r="J1952" s="15">
        <v>0.0945170944585963</v>
      </c>
      <c r="K1952" s="12">
        <f>AVERAGE(I1952:I1956)</f>
        <v>0.4689292134</v>
      </c>
      <c r="L1952" s="18">
        <v>5074.0</v>
      </c>
      <c r="M1952" s="14">
        <f>STDEV(L1952:L1956)</f>
        <v>29978.39447</v>
      </c>
      <c r="N1952" s="15" t="b">
        <f t="shared" si="1"/>
        <v>0</v>
      </c>
    </row>
    <row r="1953" hidden="1">
      <c r="A1953" s="7" t="s">
        <v>398</v>
      </c>
      <c r="B1953" s="7" t="s">
        <v>268</v>
      </c>
      <c r="C1953" s="7">
        <v>0.5</v>
      </c>
      <c r="D1953" s="7">
        <v>0.75</v>
      </c>
      <c r="E1953" s="7">
        <v>1.0</v>
      </c>
      <c r="F1953" s="7">
        <v>172.951778650283</v>
      </c>
      <c r="G1953" s="7">
        <v>389.148879528045</v>
      </c>
      <c r="H1953" s="7">
        <v>1.0</v>
      </c>
      <c r="I1953" s="15">
        <v>0.822631587227797</v>
      </c>
      <c r="J1953" s="15">
        <v>0.100084591523234</v>
      </c>
      <c r="K1953" s="12">
        <f>AVERAGE(I1952:I1956)</f>
        <v>0.4689292134</v>
      </c>
      <c r="L1953" s="18">
        <v>6447.0</v>
      </c>
      <c r="M1953" s="14">
        <f>STDEV(L1952:L1956)</f>
        <v>29978.39447</v>
      </c>
      <c r="N1953" s="15" t="b">
        <f t="shared" si="1"/>
        <v>0</v>
      </c>
    </row>
    <row r="1954" hidden="1">
      <c r="A1954" s="7" t="s">
        <v>398</v>
      </c>
      <c r="B1954" s="7" t="s">
        <v>268</v>
      </c>
      <c r="C1954" s="7">
        <v>0.5</v>
      </c>
      <c r="D1954" s="7">
        <v>0.75</v>
      </c>
      <c r="E1954" s="7">
        <v>1.0</v>
      </c>
      <c r="F1954" s="7">
        <v>172.951778650283</v>
      </c>
      <c r="G1954" s="7">
        <v>389.148879528045</v>
      </c>
      <c r="H1954" s="7">
        <v>2.0</v>
      </c>
      <c r="I1954" s="15">
        <v>0.0707194858868884</v>
      </c>
      <c r="J1954" s="15">
        <v>0.0506360312051157</v>
      </c>
      <c r="K1954" s="12">
        <f>AVERAGE(I1952:I1956)</f>
        <v>0.4689292134</v>
      </c>
      <c r="L1954" s="18">
        <v>78449.0</v>
      </c>
      <c r="M1954" s="14">
        <f>STDEV(L1952:L1956)</f>
        <v>29978.39447</v>
      </c>
      <c r="N1954" s="15" t="b">
        <f t="shared" si="1"/>
        <v>0</v>
      </c>
    </row>
    <row r="1955" hidden="1">
      <c r="A1955" s="7" t="s">
        <v>398</v>
      </c>
      <c r="B1955" s="7" t="s">
        <v>268</v>
      </c>
      <c r="C1955" s="7">
        <v>0.5</v>
      </c>
      <c r="D1955" s="7">
        <v>0.75</v>
      </c>
      <c r="E1955" s="7">
        <v>1.0</v>
      </c>
      <c r="F1955" s="7">
        <v>172.951778650283</v>
      </c>
      <c r="G1955" s="7">
        <v>389.148879528045</v>
      </c>
      <c r="H1955" s="7">
        <v>3.0</v>
      </c>
      <c r="I1955" s="15">
        <v>0.388967710409108</v>
      </c>
      <c r="J1955" s="15">
        <v>0.0663156078002623</v>
      </c>
      <c r="K1955" s="12">
        <f>AVERAGE(I1952:I1956)</f>
        <v>0.4689292134</v>
      </c>
      <c r="L1955" s="18">
        <v>30899.0</v>
      </c>
      <c r="M1955" s="14">
        <f>STDEV(L1952:L1956)</f>
        <v>29978.39447</v>
      </c>
      <c r="N1955" s="15" t="b">
        <f t="shared" si="1"/>
        <v>0</v>
      </c>
    </row>
    <row r="1956" hidden="1">
      <c r="A1956" s="7" t="s">
        <v>398</v>
      </c>
      <c r="B1956" s="7" t="s">
        <v>268</v>
      </c>
      <c r="C1956" s="7">
        <v>0.5</v>
      </c>
      <c r="D1956" s="7">
        <v>0.75</v>
      </c>
      <c r="E1956" s="7">
        <v>1.0</v>
      </c>
      <c r="F1956" s="7">
        <v>172.951778650283</v>
      </c>
      <c r="G1956" s="7">
        <v>389.148879528045</v>
      </c>
      <c r="H1956" s="7">
        <v>4.0</v>
      </c>
      <c r="I1956" s="15">
        <v>0.198119743032854</v>
      </c>
      <c r="J1956" s="15">
        <v>0.230432593088937</v>
      </c>
      <c r="K1956" s="12">
        <f>AVERAGE(I1952:I1956)</f>
        <v>0.4689292134</v>
      </c>
      <c r="L1956" s="18">
        <v>20807.0</v>
      </c>
      <c r="M1956" s="14">
        <f>STDEV(L1952:L1956)</f>
        <v>29978.39447</v>
      </c>
      <c r="N1956" s="15" t="b">
        <f t="shared" si="1"/>
        <v>0</v>
      </c>
    </row>
    <row r="1957" hidden="1">
      <c r="A1957" s="7" t="s">
        <v>399</v>
      </c>
      <c r="B1957" s="7" t="s">
        <v>268</v>
      </c>
      <c r="C1957" s="7">
        <v>0.5</v>
      </c>
      <c r="D1957" s="7">
        <v>0.75</v>
      </c>
      <c r="E1957" s="7">
        <v>2.0</v>
      </c>
      <c r="F1957" s="7">
        <v>205.825915813446</v>
      </c>
      <c r="G1957" s="7">
        <v>378.374632835388</v>
      </c>
      <c r="H1957" s="7">
        <v>0.0</v>
      </c>
      <c r="I1957" s="15">
        <v>0.813723209366781</v>
      </c>
      <c r="J1957" s="15">
        <v>0.0754165277601415</v>
      </c>
      <c r="K1957" s="12">
        <f>AVERAGE(I1957:I1961)</f>
        <v>0.4660476269</v>
      </c>
      <c r="L1957" s="18">
        <v>4040.0</v>
      </c>
      <c r="M1957" s="14">
        <f>STDEV(L1957:L1961)</f>
        <v>22254.73885</v>
      </c>
      <c r="N1957" s="15" t="b">
        <f t="shared" si="1"/>
        <v>0</v>
      </c>
    </row>
    <row r="1958" hidden="1">
      <c r="A1958" s="7" t="s">
        <v>399</v>
      </c>
      <c r="B1958" s="7" t="s">
        <v>268</v>
      </c>
      <c r="C1958" s="7">
        <v>0.5</v>
      </c>
      <c r="D1958" s="7">
        <v>0.75</v>
      </c>
      <c r="E1958" s="7">
        <v>2.0</v>
      </c>
      <c r="F1958" s="7">
        <v>205.825915813446</v>
      </c>
      <c r="G1958" s="7">
        <v>378.374632835388</v>
      </c>
      <c r="H1958" s="7">
        <v>1.0</v>
      </c>
      <c r="I1958" s="15">
        <v>0.0484726031511748</v>
      </c>
      <c r="J1958" s="15">
        <v>0.0336178466632093</v>
      </c>
      <c r="K1958" s="12">
        <f>AVERAGE(I1957:I1961)</f>
        <v>0.4660476269</v>
      </c>
      <c r="L1958" s="18">
        <v>62352.0</v>
      </c>
      <c r="M1958" s="14">
        <f>STDEV(L1957:L1961)</f>
        <v>22254.73885</v>
      </c>
      <c r="N1958" s="15" t="b">
        <f t="shared" si="1"/>
        <v>0</v>
      </c>
    </row>
    <row r="1959" hidden="1">
      <c r="A1959" s="7" t="s">
        <v>399</v>
      </c>
      <c r="B1959" s="7" t="s">
        <v>268</v>
      </c>
      <c r="C1959" s="7">
        <v>0.5</v>
      </c>
      <c r="D1959" s="7">
        <v>0.75</v>
      </c>
      <c r="E1959" s="7">
        <v>2.0</v>
      </c>
      <c r="F1959" s="7">
        <v>205.825915813446</v>
      </c>
      <c r="G1959" s="7">
        <v>378.374632835388</v>
      </c>
      <c r="H1959" s="7">
        <v>2.0</v>
      </c>
      <c r="I1959" s="15">
        <v>0.392149114499593</v>
      </c>
      <c r="J1959" s="15">
        <v>0.0859133721925697</v>
      </c>
      <c r="K1959" s="12">
        <f>AVERAGE(I1957:I1961)</f>
        <v>0.4660476269</v>
      </c>
      <c r="L1959" s="18">
        <v>30742.0</v>
      </c>
      <c r="M1959" s="14">
        <f>STDEV(L1957:L1961)</f>
        <v>22254.73885</v>
      </c>
      <c r="N1959" s="15" t="b">
        <f t="shared" si="1"/>
        <v>0</v>
      </c>
    </row>
    <row r="1960" hidden="1">
      <c r="A1960" s="7" t="s">
        <v>399</v>
      </c>
      <c r="B1960" s="7" t="s">
        <v>268</v>
      </c>
      <c r="C1960" s="7">
        <v>0.5</v>
      </c>
      <c r="D1960" s="7">
        <v>0.75</v>
      </c>
      <c r="E1960" s="7">
        <v>2.0</v>
      </c>
      <c r="F1960" s="7">
        <v>205.825915813446</v>
      </c>
      <c r="G1960" s="7">
        <v>378.374632835388</v>
      </c>
      <c r="H1960" s="7">
        <v>3.0</v>
      </c>
      <c r="I1960" s="15">
        <v>0.721415879783186</v>
      </c>
      <c r="J1960" s="15">
        <v>0.143992668348496</v>
      </c>
      <c r="K1960" s="12">
        <f>AVERAGE(I1957:I1961)</f>
        <v>0.4660476269</v>
      </c>
      <c r="L1960" s="18">
        <v>13486.0</v>
      </c>
      <c r="M1960" s="14">
        <f>STDEV(L1957:L1961)</f>
        <v>22254.73885</v>
      </c>
      <c r="N1960" s="15" t="b">
        <f t="shared" si="1"/>
        <v>0</v>
      </c>
    </row>
    <row r="1961" hidden="1">
      <c r="A1961" s="7" t="s">
        <v>399</v>
      </c>
      <c r="B1961" s="7" t="s">
        <v>268</v>
      </c>
      <c r="C1961" s="7">
        <v>0.5</v>
      </c>
      <c r="D1961" s="7">
        <v>0.75</v>
      </c>
      <c r="E1961" s="7">
        <v>2.0</v>
      </c>
      <c r="F1961" s="7">
        <v>205.825915813446</v>
      </c>
      <c r="G1961" s="7">
        <v>378.374632835388</v>
      </c>
      <c r="H1961" s="7">
        <v>4.0</v>
      </c>
      <c r="I1961" s="15">
        <v>0.354477327783877</v>
      </c>
      <c r="J1961" s="15">
        <v>0.187512235520504</v>
      </c>
      <c r="K1961" s="12">
        <f>AVERAGE(I1957:I1961)</f>
        <v>0.4660476269</v>
      </c>
      <c r="L1961" s="18">
        <v>31056.0</v>
      </c>
      <c r="M1961" s="14">
        <f>STDEV(L1957:L1961)</f>
        <v>22254.73885</v>
      </c>
      <c r="N1961" s="15" t="b">
        <f t="shared" si="1"/>
        <v>0</v>
      </c>
    </row>
    <row r="1962" hidden="1">
      <c r="A1962" s="7" t="s">
        <v>400</v>
      </c>
      <c r="B1962" s="7" t="s">
        <v>268</v>
      </c>
      <c r="C1962" s="7">
        <v>0.5</v>
      </c>
      <c r="D1962" s="7">
        <v>0.75</v>
      </c>
      <c r="E1962" s="7">
        <v>3.0</v>
      </c>
      <c r="F1962" s="7">
        <v>259.274919509887</v>
      </c>
      <c r="G1962" s="7">
        <v>416.994431018829</v>
      </c>
      <c r="H1962" s="7">
        <v>0.0</v>
      </c>
      <c r="I1962" s="15">
        <v>0.828601783304645</v>
      </c>
      <c r="J1962" s="15">
        <v>0.0986503376781906</v>
      </c>
      <c r="K1962" s="12">
        <f>AVERAGE(I1962:I1966)</f>
        <v>0.593120744</v>
      </c>
      <c r="L1962" s="18">
        <v>7464.0</v>
      </c>
      <c r="M1962" s="14">
        <f>STDEV(L1962:L1966)</f>
        <v>46972.37842</v>
      </c>
      <c r="N1962" s="15" t="b">
        <f t="shared" si="1"/>
        <v>0</v>
      </c>
    </row>
    <row r="1963" hidden="1">
      <c r="A1963" s="7" t="s">
        <v>400</v>
      </c>
      <c r="B1963" s="7" t="s">
        <v>268</v>
      </c>
      <c r="C1963" s="7">
        <v>0.5</v>
      </c>
      <c r="D1963" s="7">
        <v>0.75</v>
      </c>
      <c r="E1963" s="7">
        <v>3.0</v>
      </c>
      <c r="F1963" s="7">
        <v>259.274919509887</v>
      </c>
      <c r="G1963" s="7">
        <v>416.994431018829</v>
      </c>
      <c r="H1963" s="7">
        <v>1.0</v>
      </c>
      <c r="I1963" s="15">
        <v>0.0838055335611375</v>
      </c>
      <c r="J1963" s="15">
        <v>0.0570831717666793</v>
      </c>
      <c r="K1963" s="12">
        <f>AVERAGE(I1962:I1966)</f>
        <v>0.593120744</v>
      </c>
      <c r="L1963" s="18">
        <v>111878.0</v>
      </c>
      <c r="M1963" s="14">
        <f>STDEV(L1962:L1966)</f>
        <v>46972.37842</v>
      </c>
      <c r="N1963" s="15" t="b">
        <f t="shared" si="1"/>
        <v>0</v>
      </c>
    </row>
    <row r="1964" hidden="1">
      <c r="A1964" s="7" t="s">
        <v>400</v>
      </c>
      <c r="B1964" s="7" t="s">
        <v>268</v>
      </c>
      <c r="C1964" s="7">
        <v>0.5</v>
      </c>
      <c r="D1964" s="7">
        <v>0.75</v>
      </c>
      <c r="E1964" s="7">
        <v>3.0</v>
      </c>
      <c r="F1964" s="7">
        <v>259.274919509887</v>
      </c>
      <c r="G1964" s="7">
        <v>416.994431018829</v>
      </c>
      <c r="H1964" s="7">
        <v>2.0</v>
      </c>
      <c r="I1964" s="15">
        <v>0.811781856119079</v>
      </c>
      <c r="J1964" s="15">
        <v>0.12091195622734</v>
      </c>
      <c r="K1964" s="12">
        <f>AVERAGE(I1962:I1966)</f>
        <v>0.593120744</v>
      </c>
      <c r="L1964" s="18">
        <v>1817.0</v>
      </c>
      <c r="M1964" s="14">
        <f>STDEV(L1962:L1966)</f>
        <v>46972.37842</v>
      </c>
      <c r="N1964" s="15" t="b">
        <f t="shared" si="1"/>
        <v>0</v>
      </c>
    </row>
    <row r="1965" hidden="1">
      <c r="A1965" s="7" t="s">
        <v>400</v>
      </c>
      <c r="B1965" s="7" t="s">
        <v>268</v>
      </c>
      <c r="C1965" s="7">
        <v>0.5</v>
      </c>
      <c r="D1965" s="7">
        <v>0.75</v>
      </c>
      <c r="E1965" s="7">
        <v>3.0</v>
      </c>
      <c r="F1965" s="7">
        <v>259.274919509887</v>
      </c>
      <c r="G1965" s="7">
        <v>416.994431018829</v>
      </c>
      <c r="H1965" s="7">
        <v>3.0</v>
      </c>
      <c r="I1965" s="15">
        <v>0.375304639097181</v>
      </c>
      <c r="J1965" s="15">
        <v>0.0679428747776949</v>
      </c>
      <c r="K1965" s="12">
        <f>AVERAGE(I1962:I1966)</f>
        <v>0.593120744</v>
      </c>
      <c r="L1965" s="18">
        <v>15448.0</v>
      </c>
      <c r="M1965" s="14">
        <f>STDEV(L1962:L1966)</f>
        <v>46972.37842</v>
      </c>
      <c r="N1965" s="15" t="b">
        <f t="shared" si="1"/>
        <v>0</v>
      </c>
    </row>
    <row r="1966" hidden="1">
      <c r="A1966" s="7" t="s">
        <v>400</v>
      </c>
      <c r="B1966" s="7" t="s">
        <v>268</v>
      </c>
      <c r="C1966" s="7">
        <v>0.5</v>
      </c>
      <c r="D1966" s="7">
        <v>0.75</v>
      </c>
      <c r="E1966" s="7">
        <v>3.0</v>
      </c>
      <c r="F1966" s="7">
        <v>259.274919509887</v>
      </c>
      <c r="G1966" s="7">
        <v>416.994431018829</v>
      </c>
      <c r="H1966" s="7">
        <v>4.0</v>
      </c>
      <c r="I1966" s="15">
        <v>0.866109907869547</v>
      </c>
      <c r="J1966" s="15">
        <v>0.0940059701753106</v>
      </c>
      <c r="K1966" s="12">
        <f>AVERAGE(I1962:I1966)</f>
        <v>0.593120744</v>
      </c>
      <c r="L1966" s="18">
        <v>5069.0</v>
      </c>
      <c r="M1966" s="14">
        <f>STDEV(L1962:L1966)</f>
        <v>46972.37842</v>
      </c>
      <c r="N1966" s="15" t="b">
        <f t="shared" si="1"/>
        <v>0</v>
      </c>
    </row>
    <row r="1967" hidden="1">
      <c r="A1967" s="7" t="s">
        <v>401</v>
      </c>
      <c r="B1967" s="7" t="s">
        <v>268</v>
      </c>
      <c r="C1967" s="7">
        <v>0.5</v>
      </c>
      <c r="D1967" s="7">
        <v>0.75</v>
      </c>
      <c r="E1967" s="7">
        <v>4.0</v>
      </c>
      <c r="F1967" s="7">
        <v>191.408337593078</v>
      </c>
      <c r="G1967" s="7">
        <v>354.74700975418</v>
      </c>
      <c r="H1967" s="7">
        <v>0.0</v>
      </c>
      <c r="I1967" s="15">
        <v>0.149960914933702</v>
      </c>
      <c r="J1967" s="15">
        <v>0.0966869841430604</v>
      </c>
      <c r="K1967" s="12">
        <f>AVERAGE(I1967:I1971)</f>
        <v>0.4482116685</v>
      </c>
      <c r="L1967" s="18">
        <v>55077.0</v>
      </c>
      <c r="M1967" s="14">
        <f>STDEV(L1967:L1971)</f>
        <v>22589.0336</v>
      </c>
      <c r="N1967" s="15" t="b">
        <f t="shared" si="1"/>
        <v>0</v>
      </c>
    </row>
    <row r="1968" hidden="1">
      <c r="A1968" s="7" t="s">
        <v>401</v>
      </c>
      <c r="B1968" s="7" t="s">
        <v>268</v>
      </c>
      <c r="C1968" s="7">
        <v>0.5</v>
      </c>
      <c r="D1968" s="7">
        <v>0.75</v>
      </c>
      <c r="E1968" s="7">
        <v>4.0</v>
      </c>
      <c r="F1968" s="7">
        <v>191.408337593078</v>
      </c>
      <c r="G1968" s="7">
        <v>354.74700975418</v>
      </c>
      <c r="H1968" s="7">
        <v>1.0</v>
      </c>
      <c r="I1968" s="15">
        <v>0.235690050853451</v>
      </c>
      <c r="J1968" s="15">
        <v>0.136175060966642</v>
      </c>
      <c r="K1968" s="12">
        <f>AVERAGE(I1967:I1971)</f>
        <v>0.4482116685</v>
      </c>
      <c r="L1968" s="18">
        <v>32198.0</v>
      </c>
      <c r="M1968" s="14">
        <f>STDEV(L1967:L1971)</f>
        <v>22589.0336</v>
      </c>
      <c r="N1968" s="15" t="b">
        <f t="shared" si="1"/>
        <v>0</v>
      </c>
    </row>
    <row r="1969" hidden="1">
      <c r="A1969" s="7" t="s">
        <v>401</v>
      </c>
      <c r="B1969" s="7" t="s">
        <v>268</v>
      </c>
      <c r="C1969" s="7">
        <v>0.5</v>
      </c>
      <c r="D1969" s="7">
        <v>0.75</v>
      </c>
      <c r="E1969" s="7">
        <v>4.0</v>
      </c>
      <c r="F1969" s="7">
        <v>191.408337593078</v>
      </c>
      <c r="G1969" s="7">
        <v>354.74700975418</v>
      </c>
      <c r="H1969" s="7">
        <v>2.0</v>
      </c>
      <c r="I1969" s="15">
        <v>0.823320891979727</v>
      </c>
      <c r="J1969" s="15">
        <v>0.100532653580705</v>
      </c>
      <c r="K1969" s="12">
        <f>AVERAGE(I1967:I1971)</f>
        <v>0.4482116685</v>
      </c>
      <c r="L1969" s="18">
        <v>6447.0</v>
      </c>
      <c r="M1969" s="14">
        <f>STDEV(L1967:L1971)</f>
        <v>22589.0336</v>
      </c>
      <c r="N1969" s="15" t="b">
        <f t="shared" si="1"/>
        <v>0</v>
      </c>
    </row>
    <row r="1970" hidden="1">
      <c r="A1970" s="7" t="s">
        <v>401</v>
      </c>
      <c r="B1970" s="7" t="s">
        <v>268</v>
      </c>
      <c r="C1970" s="7">
        <v>0.5</v>
      </c>
      <c r="D1970" s="7">
        <v>0.75</v>
      </c>
      <c r="E1970" s="7">
        <v>4.0</v>
      </c>
      <c r="F1970" s="7">
        <v>191.408337593078</v>
      </c>
      <c r="G1970" s="7">
        <v>354.74700975418</v>
      </c>
      <c r="H1970" s="7">
        <v>3.0</v>
      </c>
      <c r="I1970" s="15">
        <v>0.220101349075199</v>
      </c>
      <c r="J1970" s="15">
        <v>0.142092908036452</v>
      </c>
      <c r="K1970" s="12">
        <f>AVERAGE(I1967:I1971)</f>
        <v>0.4482116685</v>
      </c>
      <c r="L1970" s="18">
        <v>43901.0</v>
      </c>
      <c r="M1970" s="14">
        <f>STDEV(L1967:L1971)</f>
        <v>22589.0336</v>
      </c>
      <c r="N1970" s="15" t="b">
        <f t="shared" si="1"/>
        <v>0</v>
      </c>
    </row>
    <row r="1971" hidden="1">
      <c r="A1971" s="7" t="s">
        <v>401</v>
      </c>
      <c r="B1971" s="7" t="s">
        <v>268</v>
      </c>
      <c r="C1971" s="7">
        <v>0.5</v>
      </c>
      <c r="D1971" s="7">
        <v>0.75</v>
      </c>
      <c r="E1971" s="7">
        <v>4.0</v>
      </c>
      <c r="F1971" s="7">
        <v>191.408337593078</v>
      </c>
      <c r="G1971" s="7">
        <v>354.74700975418</v>
      </c>
      <c r="H1971" s="7">
        <v>4.0</v>
      </c>
      <c r="I1971" s="15">
        <v>0.811985135723206</v>
      </c>
      <c r="J1971" s="15">
        <v>0.0795898593289771</v>
      </c>
      <c r="K1971" s="12">
        <f>AVERAGE(I1967:I1971)</f>
        <v>0.4482116685</v>
      </c>
      <c r="L1971" s="18">
        <v>4053.0</v>
      </c>
      <c r="M1971" s="14">
        <f>STDEV(L1967:L1971)</f>
        <v>22589.0336</v>
      </c>
      <c r="N1971" s="15" t="b">
        <f t="shared" si="1"/>
        <v>0</v>
      </c>
    </row>
    <row r="1972" hidden="1">
      <c r="A1972" s="7" t="s">
        <v>402</v>
      </c>
      <c r="B1972" s="7" t="s">
        <v>268</v>
      </c>
      <c r="C1972" s="7">
        <v>0.5</v>
      </c>
      <c r="D1972" s="7">
        <v>0.75</v>
      </c>
      <c r="E1972" s="7">
        <v>5.0</v>
      </c>
      <c r="F1972" s="7">
        <v>237.035818815231</v>
      </c>
      <c r="G1972" s="7">
        <v>380.713009119033</v>
      </c>
      <c r="H1972" s="7">
        <v>0.0</v>
      </c>
      <c r="I1972" s="15">
        <v>0.841422267275032</v>
      </c>
      <c r="J1972" s="15">
        <v>0.044467193287561</v>
      </c>
      <c r="K1972" s="12">
        <f>AVERAGE(I1972:I1976)</f>
        <v>0.6338107955</v>
      </c>
      <c r="L1972" s="18">
        <v>15268.0</v>
      </c>
      <c r="M1972" s="14">
        <f>STDEV(L1972:L1976)</f>
        <v>40021.61659</v>
      </c>
      <c r="N1972" s="15" t="b">
        <f t="shared" si="1"/>
        <v>0</v>
      </c>
    </row>
    <row r="1973" hidden="1">
      <c r="A1973" s="7" t="s">
        <v>402</v>
      </c>
      <c r="B1973" s="7" t="s">
        <v>268</v>
      </c>
      <c r="C1973" s="7">
        <v>0.5</v>
      </c>
      <c r="D1973" s="7">
        <v>0.75</v>
      </c>
      <c r="E1973" s="7">
        <v>5.0</v>
      </c>
      <c r="F1973" s="7">
        <v>237.035818815231</v>
      </c>
      <c r="G1973" s="7">
        <v>380.713009119033</v>
      </c>
      <c r="H1973" s="7">
        <v>1.0</v>
      </c>
      <c r="I1973" s="15">
        <v>0.806104484597768</v>
      </c>
      <c r="J1973" s="15">
        <v>0.117272412526743</v>
      </c>
      <c r="K1973" s="12">
        <f>AVERAGE(I1972:I1976)</f>
        <v>0.6338107955</v>
      </c>
      <c r="L1973" s="18">
        <v>5709.0</v>
      </c>
      <c r="M1973" s="14">
        <f>STDEV(L1972:L1976)</f>
        <v>40021.61659</v>
      </c>
      <c r="N1973" s="15" t="b">
        <f t="shared" si="1"/>
        <v>0</v>
      </c>
    </row>
    <row r="1974" hidden="1">
      <c r="A1974" s="7" t="s">
        <v>402</v>
      </c>
      <c r="B1974" s="7" t="s">
        <v>268</v>
      </c>
      <c r="C1974" s="7">
        <v>0.5</v>
      </c>
      <c r="D1974" s="7">
        <v>0.75</v>
      </c>
      <c r="E1974" s="7">
        <v>5.0</v>
      </c>
      <c r="F1974" s="7">
        <v>237.035818815231</v>
      </c>
      <c r="G1974" s="7">
        <v>380.713009119033</v>
      </c>
      <c r="H1974" s="7">
        <v>2.0</v>
      </c>
      <c r="I1974" s="15">
        <v>0.751988849163485</v>
      </c>
      <c r="J1974" s="15">
        <v>0.131616184238752</v>
      </c>
      <c r="K1974" s="12">
        <f>AVERAGE(I1972:I1976)</f>
        <v>0.6338107955</v>
      </c>
      <c r="L1974" s="18">
        <v>7574.0</v>
      </c>
      <c r="M1974" s="14">
        <f>STDEV(L1972:L1976)</f>
        <v>40021.61659</v>
      </c>
      <c r="N1974" s="15" t="b">
        <f t="shared" si="1"/>
        <v>0</v>
      </c>
    </row>
    <row r="1975" hidden="1">
      <c r="A1975" s="7" t="s">
        <v>402</v>
      </c>
      <c r="B1975" s="7" t="s">
        <v>268</v>
      </c>
      <c r="C1975" s="7">
        <v>0.5</v>
      </c>
      <c r="D1975" s="7">
        <v>0.75</v>
      </c>
      <c r="E1975" s="7">
        <v>5.0</v>
      </c>
      <c r="F1975" s="7">
        <v>237.035818815231</v>
      </c>
      <c r="G1975" s="7">
        <v>380.713009119033</v>
      </c>
      <c r="H1975" s="7">
        <v>3.0</v>
      </c>
      <c r="I1975" s="15">
        <v>0.0493698877966144</v>
      </c>
      <c r="J1975" s="15">
        <v>0.112697056644989</v>
      </c>
      <c r="K1975" s="12">
        <f>AVERAGE(I1972:I1976)</f>
        <v>0.6338107955</v>
      </c>
      <c r="L1975" s="18">
        <v>99572.0</v>
      </c>
      <c r="M1975" s="14">
        <f>STDEV(L1972:L1976)</f>
        <v>40021.61659</v>
      </c>
      <c r="N1975" s="15" t="b">
        <f t="shared" si="1"/>
        <v>0</v>
      </c>
    </row>
    <row r="1976" hidden="1">
      <c r="A1976" s="7" t="s">
        <v>402</v>
      </c>
      <c r="B1976" s="7" t="s">
        <v>268</v>
      </c>
      <c r="C1976" s="7">
        <v>0.5</v>
      </c>
      <c r="D1976" s="7">
        <v>0.75</v>
      </c>
      <c r="E1976" s="7">
        <v>5.0</v>
      </c>
      <c r="F1976" s="7">
        <v>237.035818815231</v>
      </c>
      <c r="G1976" s="7">
        <v>380.713009119033</v>
      </c>
      <c r="H1976" s="7">
        <v>4.0</v>
      </c>
      <c r="I1976" s="15">
        <v>0.720168488736737</v>
      </c>
      <c r="J1976" s="15">
        <v>0.142115150298276</v>
      </c>
      <c r="K1976" s="12">
        <f>AVERAGE(I1972:I1976)</f>
        <v>0.6338107955</v>
      </c>
      <c r="L1976" s="18">
        <v>13553.0</v>
      </c>
      <c r="M1976" s="14">
        <f>STDEV(L1972:L1976)</f>
        <v>40021.61659</v>
      </c>
      <c r="N1976" s="15" t="b">
        <f t="shared" si="1"/>
        <v>0</v>
      </c>
    </row>
    <row r="1977" hidden="1">
      <c r="A1977" s="7" t="s">
        <v>403</v>
      </c>
      <c r="B1977" s="7" t="s">
        <v>268</v>
      </c>
      <c r="C1977" s="7">
        <v>0.5</v>
      </c>
      <c r="D1977" s="7">
        <v>0.75</v>
      </c>
      <c r="E1977" s="7">
        <v>6.0</v>
      </c>
      <c r="F1977" s="7">
        <v>187.864260196685</v>
      </c>
      <c r="G1977" s="7">
        <v>354.108067274093</v>
      </c>
      <c r="H1977" s="7">
        <v>0.0</v>
      </c>
      <c r="I1977" s="15">
        <v>0.824075545832275</v>
      </c>
      <c r="J1977" s="15">
        <v>0.102144381344647</v>
      </c>
      <c r="K1977" s="12">
        <f>AVERAGE(I1977:I1981)</f>
        <v>0.4336025329</v>
      </c>
      <c r="L1977" s="18">
        <v>4613.0</v>
      </c>
      <c r="M1977" s="14">
        <f>STDEV(L1977:L1981)</f>
        <v>38576.04845</v>
      </c>
      <c r="N1977" s="15" t="b">
        <f t="shared" si="1"/>
        <v>0</v>
      </c>
    </row>
    <row r="1978" hidden="1">
      <c r="A1978" s="7" t="s">
        <v>403</v>
      </c>
      <c r="B1978" s="7" t="s">
        <v>268</v>
      </c>
      <c r="C1978" s="7">
        <v>0.5</v>
      </c>
      <c r="D1978" s="7">
        <v>0.75</v>
      </c>
      <c r="E1978" s="7">
        <v>6.0</v>
      </c>
      <c r="F1978" s="7">
        <v>187.864260196685</v>
      </c>
      <c r="G1978" s="7">
        <v>354.108067274093</v>
      </c>
      <c r="H1978" s="7">
        <v>1.0</v>
      </c>
      <c r="I1978" s="15">
        <v>0.731777967078197</v>
      </c>
      <c r="J1978" s="15">
        <v>0.136793312059371</v>
      </c>
      <c r="K1978" s="12">
        <f>AVERAGE(I1977:I1981)</f>
        <v>0.4336025329</v>
      </c>
      <c r="L1978" s="18">
        <v>13396.0</v>
      </c>
      <c r="M1978" s="14">
        <f>STDEV(L1977:L1981)</f>
        <v>38576.04845</v>
      </c>
      <c r="N1978" s="15" t="b">
        <f t="shared" si="1"/>
        <v>0</v>
      </c>
    </row>
    <row r="1979" hidden="1">
      <c r="A1979" s="7" t="s">
        <v>403</v>
      </c>
      <c r="B1979" s="7" t="s">
        <v>268</v>
      </c>
      <c r="C1979" s="7">
        <v>0.5</v>
      </c>
      <c r="D1979" s="7">
        <v>0.75</v>
      </c>
      <c r="E1979" s="7">
        <v>6.0</v>
      </c>
      <c r="F1979" s="7">
        <v>187.864260196685</v>
      </c>
      <c r="G1979" s="7">
        <v>354.108067274093</v>
      </c>
      <c r="H1979" s="7">
        <v>2.0</v>
      </c>
      <c r="I1979" s="15">
        <v>0.0868026042631677</v>
      </c>
      <c r="J1979" s="15">
        <v>0.0638336821538896</v>
      </c>
      <c r="K1979" s="12">
        <f>AVERAGE(I1977:I1981)</f>
        <v>0.4336025329</v>
      </c>
      <c r="L1979" s="18">
        <v>96123.0</v>
      </c>
      <c r="M1979" s="14">
        <f>STDEV(L1977:L1981)</f>
        <v>38576.04845</v>
      </c>
      <c r="N1979" s="15" t="b">
        <f t="shared" si="1"/>
        <v>0</v>
      </c>
    </row>
    <row r="1980" hidden="1">
      <c r="A1980" s="7" t="s">
        <v>403</v>
      </c>
      <c r="B1980" s="7" t="s">
        <v>268</v>
      </c>
      <c r="C1980" s="7">
        <v>0.5</v>
      </c>
      <c r="D1980" s="7">
        <v>0.75</v>
      </c>
      <c r="E1980" s="7">
        <v>6.0</v>
      </c>
      <c r="F1980" s="7">
        <v>187.864260196685</v>
      </c>
      <c r="G1980" s="7">
        <v>354.108067274093</v>
      </c>
      <c r="H1980" s="7">
        <v>3.0</v>
      </c>
      <c r="I1980" s="15">
        <v>0.264694307438247</v>
      </c>
      <c r="J1980" s="15">
        <v>0.124280158161618</v>
      </c>
      <c r="K1980" s="12">
        <f>AVERAGE(I1977:I1981)</f>
        <v>0.4336025329</v>
      </c>
      <c r="L1980" s="18">
        <v>5194.0</v>
      </c>
      <c r="M1980" s="14">
        <f>STDEV(L1977:L1981)</f>
        <v>38576.04845</v>
      </c>
      <c r="N1980" s="15" t="b">
        <f t="shared" si="1"/>
        <v>0</v>
      </c>
    </row>
    <row r="1981" hidden="1">
      <c r="A1981" s="7" t="s">
        <v>403</v>
      </c>
      <c r="B1981" s="7" t="s">
        <v>268</v>
      </c>
      <c r="C1981" s="7">
        <v>0.5</v>
      </c>
      <c r="D1981" s="7">
        <v>0.75</v>
      </c>
      <c r="E1981" s="7">
        <v>6.0</v>
      </c>
      <c r="F1981" s="7">
        <v>187.864260196685</v>
      </c>
      <c r="G1981" s="7">
        <v>354.108067274093</v>
      </c>
      <c r="H1981" s="7">
        <v>4.0</v>
      </c>
      <c r="I1981" s="15">
        <v>0.26066223983703</v>
      </c>
      <c r="J1981" s="15">
        <v>0.0454390790696321</v>
      </c>
      <c r="K1981" s="12">
        <f>AVERAGE(I1977:I1981)</f>
        <v>0.4336025329</v>
      </c>
      <c r="L1981" s="18">
        <v>22350.0</v>
      </c>
      <c r="M1981" s="14">
        <f>STDEV(L1977:L1981)</f>
        <v>38576.04845</v>
      </c>
      <c r="N1981" s="15" t="b">
        <f t="shared" si="1"/>
        <v>0</v>
      </c>
    </row>
    <row r="1982" hidden="1">
      <c r="A1982" s="7" t="s">
        <v>404</v>
      </c>
      <c r="B1982" s="7" t="s">
        <v>268</v>
      </c>
      <c r="C1982" s="7">
        <v>0.5</v>
      </c>
      <c r="D1982" s="7">
        <v>0.75</v>
      </c>
      <c r="E1982" s="7">
        <v>7.0</v>
      </c>
      <c r="F1982" s="7">
        <v>319.433169603347</v>
      </c>
      <c r="G1982" s="7">
        <v>438.073874235153</v>
      </c>
      <c r="H1982" s="7">
        <v>0.0</v>
      </c>
      <c r="I1982" s="15">
        <v>0.80867791434617</v>
      </c>
      <c r="J1982" s="15">
        <v>0.116627383562232</v>
      </c>
      <c r="K1982" s="12">
        <f>AVERAGE(I1982:I1986)</f>
        <v>0.4618176837</v>
      </c>
      <c r="L1982" s="18">
        <v>5675.0</v>
      </c>
      <c r="M1982" s="14">
        <f>STDEV(L1982:L1986)</f>
        <v>31145.21977</v>
      </c>
      <c r="N1982" s="15" t="b">
        <f t="shared" si="1"/>
        <v>0</v>
      </c>
    </row>
    <row r="1983" hidden="1">
      <c r="A1983" s="7" t="s">
        <v>404</v>
      </c>
      <c r="B1983" s="7" t="s">
        <v>268</v>
      </c>
      <c r="C1983" s="7">
        <v>0.5</v>
      </c>
      <c r="D1983" s="7">
        <v>0.75</v>
      </c>
      <c r="E1983" s="7">
        <v>7.0</v>
      </c>
      <c r="F1983" s="7">
        <v>319.433169603347</v>
      </c>
      <c r="G1983" s="7">
        <v>438.073874235153</v>
      </c>
      <c r="H1983" s="7">
        <v>1.0</v>
      </c>
      <c r="I1983" s="15">
        <v>0.288804854578338</v>
      </c>
      <c r="J1983" s="15">
        <v>0.274926454111233</v>
      </c>
      <c r="K1983" s="12">
        <f>AVERAGE(I1982:I1986)</f>
        <v>0.4618176837</v>
      </c>
      <c r="L1983" s="18">
        <v>16128.0</v>
      </c>
      <c r="M1983" s="14">
        <f>STDEV(L1982:L1986)</f>
        <v>31145.21977</v>
      </c>
      <c r="N1983" s="15" t="b">
        <f t="shared" si="1"/>
        <v>0</v>
      </c>
    </row>
    <row r="1984" hidden="1">
      <c r="A1984" s="7" t="s">
        <v>404</v>
      </c>
      <c r="B1984" s="7" t="s">
        <v>268</v>
      </c>
      <c r="C1984" s="7">
        <v>0.5</v>
      </c>
      <c r="D1984" s="7">
        <v>0.75</v>
      </c>
      <c r="E1984" s="7">
        <v>7.0</v>
      </c>
      <c r="F1984" s="7">
        <v>319.433169603347</v>
      </c>
      <c r="G1984" s="7">
        <v>438.073874235153</v>
      </c>
      <c r="H1984" s="7">
        <v>2.0</v>
      </c>
      <c r="I1984" s="15">
        <v>0.0647282735532075</v>
      </c>
      <c r="J1984" s="15">
        <v>0.049968966947749</v>
      </c>
      <c r="K1984" s="12">
        <f>AVERAGE(I1982:I1986)</f>
        <v>0.4618176837</v>
      </c>
      <c r="L1984" s="18">
        <v>81160.0</v>
      </c>
      <c r="M1984" s="14">
        <f>STDEV(L1982:L1986)</f>
        <v>31145.21977</v>
      </c>
      <c r="N1984" s="15" t="b">
        <f t="shared" si="1"/>
        <v>0</v>
      </c>
    </row>
    <row r="1985" hidden="1">
      <c r="A1985" s="7" t="s">
        <v>404</v>
      </c>
      <c r="B1985" s="7" t="s">
        <v>268</v>
      </c>
      <c r="C1985" s="7">
        <v>0.5</v>
      </c>
      <c r="D1985" s="7">
        <v>0.75</v>
      </c>
      <c r="E1985" s="7">
        <v>7.0</v>
      </c>
      <c r="F1985" s="7">
        <v>319.433169603347</v>
      </c>
      <c r="G1985" s="7">
        <v>438.073874235153</v>
      </c>
      <c r="H1985" s="7">
        <v>3.0</v>
      </c>
      <c r="I1985" s="15">
        <v>0.381994068560885</v>
      </c>
      <c r="J1985" s="15">
        <v>0.0691908619833341</v>
      </c>
      <c r="K1985" s="12">
        <f>AVERAGE(I1982:I1986)</f>
        <v>0.4618176837</v>
      </c>
      <c r="L1985" s="18">
        <v>30887.0</v>
      </c>
      <c r="M1985" s="14">
        <f>STDEV(L1982:L1986)</f>
        <v>31145.21977</v>
      </c>
      <c r="N1985" s="15" t="b">
        <f t="shared" si="1"/>
        <v>0</v>
      </c>
    </row>
    <row r="1986" hidden="1">
      <c r="A1986" s="7" t="s">
        <v>404</v>
      </c>
      <c r="B1986" s="7" t="s">
        <v>268</v>
      </c>
      <c r="C1986" s="7">
        <v>0.5</v>
      </c>
      <c r="D1986" s="7">
        <v>0.75</v>
      </c>
      <c r="E1986" s="7">
        <v>7.0</v>
      </c>
      <c r="F1986" s="7">
        <v>319.433169603347</v>
      </c>
      <c r="G1986" s="7">
        <v>438.073874235153</v>
      </c>
      <c r="H1986" s="7">
        <v>4.0</v>
      </c>
      <c r="I1986" s="15">
        <v>0.764883307692431</v>
      </c>
      <c r="J1986" s="15">
        <v>0.134431000312669</v>
      </c>
      <c r="K1986" s="12">
        <f>AVERAGE(I1982:I1986)</f>
        <v>0.4618176837</v>
      </c>
      <c r="L1986" s="18">
        <v>7826.0</v>
      </c>
      <c r="M1986" s="14">
        <f>STDEV(L1982:L1986)</f>
        <v>31145.21977</v>
      </c>
      <c r="N1986" s="15" t="b">
        <f t="shared" si="1"/>
        <v>0</v>
      </c>
    </row>
    <row r="1987" hidden="1">
      <c r="A1987" s="7" t="s">
        <v>405</v>
      </c>
      <c r="B1987" s="7" t="s">
        <v>268</v>
      </c>
      <c r="C1987" s="7">
        <v>0.5</v>
      </c>
      <c r="D1987" s="7">
        <v>0.75</v>
      </c>
      <c r="E1987" s="7">
        <v>8.0</v>
      </c>
      <c r="F1987" s="7">
        <v>275.551503181457</v>
      </c>
      <c r="G1987" s="7">
        <v>396.751704931259</v>
      </c>
      <c r="H1987" s="7">
        <v>0.0</v>
      </c>
      <c r="I1987" s="15">
        <v>0.163676391950608</v>
      </c>
      <c r="J1987" s="15">
        <v>0.0771648978782732</v>
      </c>
      <c r="K1987" s="12">
        <f>AVERAGE(I1987:I1991)</f>
        <v>0.4309635981</v>
      </c>
      <c r="L1987" s="18">
        <v>17976.0</v>
      </c>
      <c r="M1987" s="14">
        <f>STDEV(L1987:L1991)</f>
        <v>34988.20576</v>
      </c>
      <c r="N1987" s="15" t="b">
        <f t="shared" si="1"/>
        <v>0</v>
      </c>
    </row>
    <row r="1988" hidden="1">
      <c r="A1988" s="7" t="s">
        <v>405</v>
      </c>
      <c r="B1988" s="7" t="s">
        <v>268</v>
      </c>
      <c r="C1988" s="7">
        <v>0.5</v>
      </c>
      <c r="D1988" s="7">
        <v>0.75</v>
      </c>
      <c r="E1988" s="7">
        <v>8.0</v>
      </c>
      <c r="F1988" s="7">
        <v>275.551503181457</v>
      </c>
      <c r="G1988" s="7">
        <v>396.751704931259</v>
      </c>
      <c r="H1988" s="7">
        <v>1.0</v>
      </c>
      <c r="I1988" s="15">
        <v>0.401977272234831</v>
      </c>
      <c r="J1988" s="15">
        <v>0.106526699075916</v>
      </c>
      <c r="K1988" s="12">
        <f>AVERAGE(I1987:I1991)</f>
        <v>0.4309635981</v>
      </c>
      <c r="L1988" s="18">
        <v>28847.0</v>
      </c>
      <c r="M1988" s="14">
        <f>STDEV(L1987:L1991)</f>
        <v>34988.20576</v>
      </c>
      <c r="N1988" s="15" t="b">
        <f t="shared" si="1"/>
        <v>0</v>
      </c>
    </row>
    <row r="1989" hidden="1">
      <c r="A1989" s="7" t="s">
        <v>405</v>
      </c>
      <c r="B1989" s="7" t="s">
        <v>268</v>
      </c>
      <c r="C1989" s="7">
        <v>0.5</v>
      </c>
      <c r="D1989" s="7">
        <v>0.75</v>
      </c>
      <c r="E1989" s="7">
        <v>8.0</v>
      </c>
      <c r="F1989" s="7">
        <v>275.551503181457</v>
      </c>
      <c r="G1989" s="7">
        <v>396.751704931259</v>
      </c>
      <c r="H1989" s="7">
        <v>2.0</v>
      </c>
      <c r="I1989" s="15">
        <v>0.679244883900555</v>
      </c>
      <c r="J1989" s="15">
        <v>0.147932803284308</v>
      </c>
      <c r="K1989" s="12">
        <f>AVERAGE(I1987:I1991)</f>
        <v>0.4309635981</v>
      </c>
      <c r="L1989" s="18">
        <v>577.0</v>
      </c>
      <c r="M1989" s="14">
        <f>STDEV(L1987:L1991)</f>
        <v>34988.20576</v>
      </c>
      <c r="N1989" s="15" t="b">
        <f t="shared" si="1"/>
        <v>0</v>
      </c>
    </row>
    <row r="1990" hidden="1">
      <c r="A1990" s="7" t="s">
        <v>405</v>
      </c>
      <c r="B1990" s="7" t="s">
        <v>268</v>
      </c>
      <c r="C1990" s="7">
        <v>0.5</v>
      </c>
      <c r="D1990" s="7">
        <v>0.75</v>
      </c>
      <c r="E1990" s="7">
        <v>8.0</v>
      </c>
      <c r="F1990" s="7">
        <v>275.551503181457</v>
      </c>
      <c r="G1990" s="7">
        <v>396.751704931259</v>
      </c>
      <c r="H1990" s="7">
        <v>3.0</v>
      </c>
      <c r="I1990" s="15">
        <v>0.82255239074271</v>
      </c>
      <c r="J1990" s="15">
        <v>0.101876884416328</v>
      </c>
      <c r="K1990" s="12">
        <f>AVERAGE(I1987:I1991)</f>
        <v>0.4309635981</v>
      </c>
      <c r="L1990" s="18">
        <v>6447.0</v>
      </c>
      <c r="M1990" s="14">
        <f>STDEV(L1987:L1991)</f>
        <v>34988.20576</v>
      </c>
      <c r="N1990" s="15" t="b">
        <f t="shared" si="1"/>
        <v>0</v>
      </c>
    </row>
    <row r="1991" hidden="1">
      <c r="A1991" s="7" t="s">
        <v>405</v>
      </c>
      <c r="B1991" s="7" t="s">
        <v>268</v>
      </c>
      <c r="C1991" s="7">
        <v>0.5</v>
      </c>
      <c r="D1991" s="7">
        <v>0.75</v>
      </c>
      <c r="E1991" s="7">
        <v>8.0</v>
      </c>
      <c r="F1991" s="7">
        <v>275.551503181457</v>
      </c>
      <c r="G1991" s="7">
        <v>396.751704931259</v>
      </c>
      <c r="H1991" s="7">
        <v>4.0</v>
      </c>
      <c r="I1991" s="15">
        <v>0.0873670519005807</v>
      </c>
      <c r="J1991" s="15">
        <v>0.0699570587517675</v>
      </c>
      <c r="K1991" s="12">
        <f>AVERAGE(I1987:I1991)</f>
        <v>0.4309635981</v>
      </c>
      <c r="L1991" s="18">
        <v>87829.0</v>
      </c>
      <c r="M1991" s="14">
        <f>STDEV(L1987:L1991)</f>
        <v>34988.20576</v>
      </c>
      <c r="N1991" s="15" t="b">
        <f t="shared" si="1"/>
        <v>0</v>
      </c>
    </row>
    <row r="1992" hidden="1">
      <c r="A1992" s="7" t="s">
        <v>406</v>
      </c>
      <c r="B1992" s="7" t="s">
        <v>268</v>
      </c>
      <c r="C1992" s="7">
        <v>0.5</v>
      </c>
      <c r="D1992" s="7">
        <v>0.75</v>
      </c>
      <c r="E1992" s="7">
        <v>9.0</v>
      </c>
      <c r="F1992" s="7">
        <v>395.582311868667</v>
      </c>
      <c r="G1992" s="7">
        <v>514.088353157043</v>
      </c>
      <c r="H1992" s="7">
        <v>0.0</v>
      </c>
      <c r="I1992" s="15">
        <v>0.719666289172529</v>
      </c>
      <c r="J1992" s="15">
        <v>0.1445191250263</v>
      </c>
      <c r="K1992" s="12">
        <f>AVERAGE(I1992:I1996)</f>
        <v>0.4393708791</v>
      </c>
      <c r="L1992" s="18">
        <v>13544.0</v>
      </c>
      <c r="M1992" s="14">
        <f>STDEV(L1992:L1996)</f>
        <v>26607.92009</v>
      </c>
      <c r="N1992" s="15" t="b">
        <f t="shared" si="1"/>
        <v>0</v>
      </c>
    </row>
    <row r="1993" hidden="1">
      <c r="A1993" s="7" t="s">
        <v>406</v>
      </c>
      <c r="B1993" s="7" t="s">
        <v>268</v>
      </c>
      <c r="C1993" s="7">
        <v>0.5</v>
      </c>
      <c r="D1993" s="7">
        <v>0.75</v>
      </c>
      <c r="E1993" s="7">
        <v>9.0</v>
      </c>
      <c r="F1993" s="7">
        <v>395.582311868667</v>
      </c>
      <c r="G1993" s="7">
        <v>514.088353157043</v>
      </c>
      <c r="H1993" s="7">
        <v>1.0</v>
      </c>
      <c r="I1993" s="15">
        <v>0.302057793287465</v>
      </c>
      <c r="J1993" s="15">
        <v>0.256926153349501</v>
      </c>
      <c r="K1993" s="12">
        <f>AVERAGE(I1992:I1996)</f>
        <v>0.4393708791</v>
      </c>
      <c r="L1993" s="18">
        <v>16181.0</v>
      </c>
      <c r="M1993" s="14">
        <f>STDEV(L1992:L1996)</f>
        <v>26607.92009</v>
      </c>
      <c r="N1993" s="15" t="b">
        <f t="shared" si="1"/>
        <v>0</v>
      </c>
    </row>
    <row r="1994" hidden="1">
      <c r="A1994" s="7" t="s">
        <v>406</v>
      </c>
      <c r="B1994" s="7" t="s">
        <v>268</v>
      </c>
      <c r="C1994" s="7">
        <v>0.5</v>
      </c>
      <c r="D1994" s="7">
        <v>0.75</v>
      </c>
      <c r="E1994" s="7">
        <v>9.0</v>
      </c>
      <c r="F1994" s="7">
        <v>395.582311868667</v>
      </c>
      <c r="G1994" s="7">
        <v>514.088353157043</v>
      </c>
      <c r="H1994" s="7">
        <v>2.0</v>
      </c>
      <c r="I1994" s="15">
        <v>0.297881696015798</v>
      </c>
      <c r="J1994" s="15">
        <v>0.0998624155387961</v>
      </c>
      <c r="K1994" s="12">
        <f>AVERAGE(I1992:I1996)</f>
        <v>0.4393708791</v>
      </c>
      <c r="L1994" s="18">
        <v>37187.0</v>
      </c>
      <c r="M1994" s="14">
        <f>STDEV(L1992:L1996)</f>
        <v>26607.92009</v>
      </c>
      <c r="N1994" s="15" t="b">
        <f t="shared" si="1"/>
        <v>0</v>
      </c>
    </row>
    <row r="1995" hidden="1">
      <c r="A1995" s="7" t="s">
        <v>406</v>
      </c>
      <c r="B1995" s="7" t="s">
        <v>268</v>
      </c>
      <c r="C1995" s="7">
        <v>0.5</v>
      </c>
      <c r="D1995" s="7">
        <v>0.75</v>
      </c>
      <c r="E1995" s="7">
        <v>9.0</v>
      </c>
      <c r="F1995" s="7">
        <v>395.582311868667</v>
      </c>
      <c r="G1995" s="7">
        <v>514.088353157043</v>
      </c>
      <c r="H1995" s="7">
        <v>3.0</v>
      </c>
      <c r="I1995" s="15">
        <v>0.813919138840603</v>
      </c>
      <c r="J1995" s="15">
        <v>0.0756269501216091</v>
      </c>
      <c r="K1995" s="12">
        <f>AVERAGE(I1992:I1996)</f>
        <v>0.4393708791</v>
      </c>
      <c r="L1995" s="18">
        <v>4040.0</v>
      </c>
      <c r="M1995" s="14">
        <f>STDEV(L1992:L1996)</f>
        <v>26607.92009</v>
      </c>
      <c r="N1995" s="15" t="b">
        <f t="shared" si="1"/>
        <v>0</v>
      </c>
    </row>
    <row r="1996" hidden="1">
      <c r="A1996" s="7" t="s">
        <v>406</v>
      </c>
      <c r="B1996" s="7" t="s">
        <v>268</v>
      </c>
      <c r="C1996" s="7">
        <v>0.5</v>
      </c>
      <c r="D1996" s="7">
        <v>0.75</v>
      </c>
      <c r="E1996" s="7">
        <v>9.0</v>
      </c>
      <c r="F1996" s="7">
        <v>395.582311868667</v>
      </c>
      <c r="G1996" s="7">
        <v>514.088353157043</v>
      </c>
      <c r="H1996" s="7">
        <v>4.0</v>
      </c>
      <c r="I1996" s="15">
        <v>0.0633294780210346</v>
      </c>
      <c r="J1996" s="15">
        <v>0.0452509204075854</v>
      </c>
      <c r="K1996" s="12">
        <f>AVERAGE(I1992:I1996)</f>
        <v>0.4393708791</v>
      </c>
      <c r="L1996" s="18">
        <v>70724.0</v>
      </c>
      <c r="M1996" s="14">
        <f>STDEV(L1992:L1996)</f>
        <v>26607.92009</v>
      </c>
      <c r="N1996" s="15" t="b">
        <f t="shared" si="1"/>
        <v>0</v>
      </c>
    </row>
    <row r="1997" hidden="1">
      <c r="A1997" s="7" t="s">
        <v>407</v>
      </c>
      <c r="B1997" s="7" t="s">
        <v>268</v>
      </c>
      <c r="C1997" s="7">
        <v>0.5</v>
      </c>
      <c r="D1997" s="7">
        <v>0.75</v>
      </c>
      <c r="E1997" s="7">
        <v>10.0</v>
      </c>
      <c r="F1997" s="7">
        <v>339.843404769897</v>
      </c>
      <c r="G1997" s="7">
        <v>439.658128976821</v>
      </c>
      <c r="H1997" s="7">
        <v>0.0</v>
      </c>
      <c r="I1997" s="15">
        <v>0.808429378544812</v>
      </c>
      <c r="J1997" s="15">
        <v>0.119157724424539</v>
      </c>
      <c r="K1997" s="12">
        <f>AVERAGE(I1997:I2001)</f>
        <v>0.4505278551</v>
      </c>
      <c r="L1997" s="18">
        <v>5675.0</v>
      </c>
      <c r="M1997" s="14">
        <f>STDEV(L1997:L2001)</f>
        <v>28813.53189</v>
      </c>
      <c r="N1997" s="15" t="b">
        <f t="shared" si="1"/>
        <v>0</v>
      </c>
    </row>
    <row r="1998" hidden="1">
      <c r="A1998" s="7" t="s">
        <v>407</v>
      </c>
      <c r="B1998" s="7" t="s">
        <v>268</v>
      </c>
      <c r="C1998" s="7">
        <v>0.5</v>
      </c>
      <c r="D1998" s="7">
        <v>0.75</v>
      </c>
      <c r="E1998" s="7">
        <v>10.0</v>
      </c>
      <c r="F1998" s="7">
        <v>339.843404769897</v>
      </c>
      <c r="G1998" s="7">
        <v>439.658128976821</v>
      </c>
      <c r="H1998" s="7">
        <v>1.0</v>
      </c>
      <c r="I1998" s="15">
        <v>0.301891157710655</v>
      </c>
      <c r="J1998" s="15">
        <v>0.100286106823233</v>
      </c>
      <c r="K1998" s="12">
        <f>AVERAGE(I1997:I2001)</f>
        <v>0.4505278551</v>
      </c>
      <c r="L1998" s="18">
        <v>37236.0</v>
      </c>
      <c r="M1998" s="14">
        <f>STDEV(L1997:L2001)</f>
        <v>28813.53189</v>
      </c>
      <c r="N1998" s="15" t="b">
        <f t="shared" si="1"/>
        <v>0</v>
      </c>
    </row>
    <row r="1999" hidden="1">
      <c r="A1999" s="7" t="s">
        <v>407</v>
      </c>
      <c r="B1999" s="7" t="s">
        <v>268</v>
      </c>
      <c r="C1999" s="7">
        <v>0.5</v>
      </c>
      <c r="D1999" s="7">
        <v>0.75</v>
      </c>
      <c r="E1999" s="7">
        <v>10.0</v>
      </c>
      <c r="F1999" s="7">
        <v>339.843404769897</v>
      </c>
      <c r="G1999" s="7">
        <v>439.658128976821</v>
      </c>
      <c r="H1999" s="7">
        <v>2.0</v>
      </c>
      <c r="I1999" s="15">
        <v>0.3087245546442</v>
      </c>
      <c r="J1999" s="15">
        <v>0.242638462363466</v>
      </c>
      <c r="K1999" s="12">
        <f>AVERAGE(I1997:I2001)</f>
        <v>0.4505278551</v>
      </c>
      <c r="L1999" s="18">
        <v>16128.0</v>
      </c>
      <c r="M1999" s="14">
        <f>STDEV(L1997:L2001)</f>
        <v>28813.53189</v>
      </c>
      <c r="N1999" s="15" t="b">
        <f t="shared" si="1"/>
        <v>0</v>
      </c>
    </row>
    <row r="2000" hidden="1">
      <c r="A2000" s="7" t="s">
        <v>407</v>
      </c>
      <c r="B2000" s="7" t="s">
        <v>268</v>
      </c>
      <c r="C2000" s="7">
        <v>0.5</v>
      </c>
      <c r="D2000" s="7">
        <v>0.75</v>
      </c>
      <c r="E2000" s="7">
        <v>10.0</v>
      </c>
      <c r="F2000" s="7">
        <v>339.843404769897</v>
      </c>
      <c r="G2000" s="7">
        <v>439.658128976821</v>
      </c>
      <c r="H2000" s="7">
        <v>3.0</v>
      </c>
      <c r="I2000" s="15">
        <v>0.764453050191962</v>
      </c>
      <c r="J2000" s="15">
        <v>0.135491871446513</v>
      </c>
      <c r="K2000" s="12">
        <f>AVERAGE(I1997:I2001)</f>
        <v>0.4505278551</v>
      </c>
      <c r="L2000" s="18">
        <v>7837.0</v>
      </c>
      <c r="M2000" s="14">
        <f>STDEV(L1997:L2001)</f>
        <v>28813.53189</v>
      </c>
      <c r="N2000" s="15" t="b">
        <f t="shared" si="1"/>
        <v>0</v>
      </c>
    </row>
    <row r="2001" hidden="1">
      <c r="A2001" s="7" t="s">
        <v>407</v>
      </c>
      <c r="B2001" s="7" t="s">
        <v>268</v>
      </c>
      <c r="C2001" s="7">
        <v>0.5</v>
      </c>
      <c r="D2001" s="7">
        <v>0.75</v>
      </c>
      <c r="E2001" s="7">
        <v>10.0</v>
      </c>
      <c r="F2001" s="7">
        <v>339.843404769897</v>
      </c>
      <c r="G2001" s="7">
        <v>439.658128976821</v>
      </c>
      <c r="H2001" s="7">
        <v>4.0</v>
      </c>
      <c r="I2001" s="15">
        <v>0.0691411344467313</v>
      </c>
      <c r="J2001" s="15">
        <v>0.0482124287150213</v>
      </c>
      <c r="K2001" s="12">
        <f>AVERAGE(I1997:I2001)</f>
        <v>0.4505278551</v>
      </c>
      <c r="L2001" s="18">
        <v>74800.0</v>
      </c>
      <c r="M2001" s="14">
        <f>STDEV(L1997:L2001)</f>
        <v>28813.53189</v>
      </c>
      <c r="N2001" s="15" t="b">
        <f t="shared" si="1"/>
        <v>0</v>
      </c>
    </row>
    <row r="2002" hidden="1">
      <c r="A2002" s="7" t="s">
        <v>408</v>
      </c>
      <c r="B2002" s="7" t="s">
        <v>268</v>
      </c>
      <c r="C2002" s="7">
        <v>0.5</v>
      </c>
      <c r="D2002" s="7">
        <v>1.0</v>
      </c>
      <c r="E2002" s="7">
        <v>1.0</v>
      </c>
      <c r="F2002" s="7">
        <v>353.120420932769</v>
      </c>
      <c r="G2002" s="7">
        <v>471.438350439071</v>
      </c>
      <c r="H2002" s="7">
        <v>0.0</v>
      </c>
      <c r="I2002" s="15">
        <v>0.0620440774338977</v>
      </c>
      <c r="J2002" s="15">
        <v>0.0482268642111848</v>
      </c>
      <c r="K2002" s="12">
        <f>AVERAGE(I2002:I2006)</f>
        <v>0.5398722947</v>
      </c>
      <c r="L2002" s="18">
        <v>84431.0</v>
      </c>
      <c r="M2002" s="14">
        <f>STDEV(L2002:L2006)</f>
        <v>32312.04193</v>
      </c>
      <c r="N2002" s="15" t="b">
        <f t="shared" si="1"/>
        <v>0</v>
      </c>
    </row>
    <row r="2003" hidden="1">
      <c r="A2003" s="7" t="s">
        <v>408</v>
      </c>
      <c r="B2003" s="7" t="s">
        <v>268</v>
      </c>
      <c r="C2003" s="7">
        <v>0.5</v>
      </c>
      <c r="D2003" s="7">
        <v>1.0</v>
      </c>
      <c r="E2003" s="7">
        <v>1.0</v>
      </c>
      <c r="F2003" s="7">
        <v>353.120420932769</v>
      </c>
      <c r="G2003" s="7">
        <v>471.438350439071</v>
      </c>
      <c r="H2003" s="7">
        <v>1.0</v>
      </c>
      <c r="I2003" s="15">
        <v>0.838755249444455</v>
      </c>
      <c r="J2003" s="15">
        <v>0.032559572906649</v>
      </c>
      <c r="K2003" s="12">
        <f>AVERAGE(I2002:I2006)</f>
        <v>0.5398722947</v>
      </c>
      <c r="L2003" s="18">
        <v>15070.0</v>
      </c>
      <c r="M2003" s="14">
        <f>STDEV(L2002:L2006)</f>
        <v>32312.04193</v>
      </c>
      <c r="N2003" s="15" t="b">
        <f t="shared" si="1"/>
        <v>0</v>
      </c>
    </row>
    <row r="2004" hidden="1">
      <c r="A2004" s="7" t="s">
        <v>408</v>
      </c>
      <c r="B2004" s="7" t="s">
        <v>268</v>
      </c>
      <c r="C2004" s="7">
        <v>0.5</v>
      </c>
      <c r="D2004" s="7">
        <v>1.0</v>
      </c>
      <c r="E2004" s="7">
        <v>1.0</v>
      </c>
      <c r="F2004" s="7">
        <v>353.120420932769</v>
      </c>
      <c r="G2004" s="7">
        <v>471.438350439071</v>
      </c>
      <c r="H2004" s="7">
        <v>2.0</v>
      </c>
      <c r="I2004" s="15">
        <v>0.15118009429893</v>
      </c>
      <c r="J2004" s="15">
        <v>0.2862808264762</v>
      </c>
      <c r="K2004" s="12">
        <f>AVERAGE(I2002:I2006)</f>
        <v>0.5398722947</v>
      </c>
      <c r="L2004" s="18">
        <v>24188.0</v>
      </c>
      <c r="M2004" s="14">
        <f>STDEV(L2002:L2006)</f>
        <v>32312.04193</v>
      </c>
      <c r="N2004" s="15" t="b">
        <f t="shared" si="1"/>
        <v>0</v>
      </c>
    </row>
    <row r="2005" hidden="1">
      <c r="A2005" s="7" t="s">
        <v>408</v>
      </c>
      <c r="B2005" s="7" t="s">
        <v>268</v>
      </c>
      <c r="C2005" s="7">
        <v>0.5</v>
      </c>
      <c r="D2005" s="7">
        <v>1.0</v>
      </c>
      <c r="E2005" s="7">
        <v>1.0</v>
      </c>
      <c r="F2005" s="7">
        <v>353.120420932769</v>
      </c>
      <c r="G2005" s="7">
        <v>471.438350439071</v>
      </c>
      <c r="H2005" s="7">
        <v>3.0</v>
      </c>
      <c r="I2005" s="15">
        <v>0.763449358972424</v>
      </c>
      <c r="J2005" s="15">
        <v>0.132027846126136</v>
      </c>
      <c r="K2005" s="12">
        <f>AVERAGE(I2002:I2006)</f>
        <v>0.5398722947</v>
      </c>
      <c r="L2005" s="18">
        <v>15633.0</v>
      </c>
      <c r="M2005" s="14">
        <f>STDEV(L2002:L2006)</f>
        <v>32312.04193</v>
      </c>
      <c r="N2005" s="15" t="b">
        <f t="shared" si="1"/>
        <v>0</v>
      </c>
    </row>
    <row r="2006" hidden="1">
      <c r="A2006" s="7" t="s">
        <v>408</v>
      </c>
      <c r="B2006" s="7" t="s">
        <v>268</v>
      </c>
      <c r="C2006" s="7">
        <v>0.5</v>
      </c>
      <c r="D2006" s="7">
        <v>1.0</v>
      </c>
      <c r="E2006" s="7">
        <v>1.0</v>
      </c>
      <c r="F2006" s="7">
        <v>353.120420932769</v>
      </c>
      <c r="G2006" s="7">
        <v>471.438350439071</v>
      </c>
      <c r="H2006" s="7">
        <v>4.0</v>
      </c>
      <c r="I2006" s="15">
        <v>0.883932693136203</v>
      </c>
      <c r="J2006" s="15">
        <v>0.119372521730672</v>
      </c>
      <c r="K2006" s="12">
        <f>AVERAGE(I2002:I2006)</f>
        <v>0.5398722947</v>
      </c>
      <c r="L2006" s="18">
        <v>2354.0</v>
      </c>
      <c r="M2006" s="14">
        <f>STDEV(L2002:L2006)</f>
        <v>32312.04193</v>
      </c>
      <c r="N2006" s="15" t="b">
        <f t="shared" si="1"/>
        <v>0</v>
      </c>
    </row>
    <row r="2007" hidden="1">
      <c r="A2007" s="7" t="s">
        <v>409</v>
      </c>
      <c r="B2007" s="7" t="s">
        <v>268</v>
      </c>
      <c r="C2007" s="7">
        <v>0.5</v>
      </c>
      <c r="D2007" s="7">
        <v>1.0</v>
      </c>
      <c r="E2007" s="7">
        <v>2.0</v>
      </c>
      <c r="F2007" s="7">
        <v>336.047327041626</v>
      </c>
      <c r="G2007" s="7">
        <v>432.426969766616</v>
      </c>
      <c r="H2007" s="7">
        <v>0.0</v>
      </c>
      <c r="I2007" s="15">
        <v>0.826540736979532</v>
      </c>
      <c r="J2007" s="15">
        <v>0.0934590991094834</v>
      </c>
      <c r="K2007" s="12">
        <f>AVERAGE(I2007:I2011)</f>
        <v>0.4988597312</v>
      </c>
      <c r="L2007" s="18">
        <v>4613.0</v>
      </c>
      <c r="M2007" s="14">
        <f>STDEV(L2007:L2011)</f>
        <v>42229.9268</v>
      </c>
      <c r="N2007" s="15" t="b">
        <f t="shared" si="1"/>
        <v>0</v>
      </c>
    </row>
    <row r="2008" hidden="1">
      <c r="A2008" s="7" t="s">
        <v>409</v>
      </c>
      <c r="B2008" s="7" t="s">
        <v>268</v>
      </c>
      <c r="C2008" s="7">
        <v>0.5</v>
      </c>
      <c r="D2008" s="7">
        <v>1.0</v>
      </c>
      <c r="E2008" s="7">
        <v>2.0</v>
      </c>
      <c r="F2008" s="7">
        <v>336.047327041626</v>
      </c>
      <c r="G2008" s="7">
        <v>432.426969766616</v>
      </c>
      <c r="H2008" s="7">
        <v>1.0</v>
      </c>
      <c r="I2008" s="15">
        <v>0.884251983267869</v>
      </c>
      <c r="J2008" s="15">
        <v>0.12059849645774</v>
      </c>
      <c r="K2008" s="12">
        <f>AVERAGE(I2007:I2011)</f>
        <v>0.4988597312</v>
      </c>
      <c r="L2008" s="18">
        <v>2354.0</v>
      </c>
      <c r="M2008" s="14">
        <f>STDEV(L2007:L2011)</f>
        <v>42229.9268</v>
      </c>
      <c r="N2008" s="15" t="b">
        <f t="shared" si="1"/>
        <v>0</v>
      </c>
    </row>
    <row r="2009" hidden="1">
      <c r="A2009" s="7" t="s">
        <v>409</v>
      </c>
      <c r="B2009" s="7" t="s">
        <v>268</v>
      </c>
      <c r="C2009" s="7">
        <v>0.5</v>
      </c>
      <c r="D2009" s="7">
        <v>1.0</v>
      </c>
      <c r="E2009" s="7">
        <v>2.0</v>
      </c>
      <c r="F2009" s="7">
        <v>336.047327041626</v>
      </c>
      <c r="G2009" s="7">
        <v>432.426969766616</v>
      </c>
      <c r="H2009" s="7">
        <v>2.0</v>
      </c>
      <c r="I2009" s="15">
        <v>0.314226549352761</v>
      </c>
      <c r="J2009" s="15">
        <v>0.226176846344966</v>
      </c>
      <c r="K2009" s="12">
        <f>AVERAGE(I2007:I2011)</f>
        <v>0.4988597312</v>
      </c>
      <c r="L2009" s="18">
        <v>16384.0</v>
      </c>
      <c r="M2009" s="14">
        <f>STDEV(L2007:L2011)</f>
        <v>42229.9268</v>
      </c>
      <c r="N2009" s="15" t="b">
        <f t="shared" si="1"/>
        <v>0</v>
      </c>
    </row>
    <row r="2010" hidden="1">
      <c r="A2010" s="7" t="s">
        <v>409</v>
      </c>
      <c r="B2010" s="7" t="s">
        <v>268</v>
      </c>
      <c r="C2010" s="7">
        <v>0.5</v>
      </c>
      <c r="D2010" s="7">
        <v>1.0</v>
      </c>
      <c r="E2010" s="7">
        <v>2.0</v>
      </c>
      <c r="F2010" s="7">
        <v>336.047327041626</v>
      </c>
      <c r="G2010" s="7">
        <v>432.426969766616</v>
      </c>
      <c r="H2010" s="7">
        <v>3.0</v>
      </c>
      <c r="I2010" s="15">
        <v>0.0720415021215862</v>
      </c>
      <c r="J2010" s="15">
        <v>0.0449266591440675</v>
      </c>
      <c r="K2010" s="12">
        <f>AVERAGE(I2007:I2011)</f>
        <v>0.4988597312</v>
      </c>
      <c r="L2010" s="18">
        <v>103050.0</v>
      </c>
      <c r="M2010" s="14">
        <f>STDEV(L2007:L2011)</f>
        <v>42229.9268</v>
      </c>
      <c r="N2010" s="15" t="b">
        <f t="shared" si="1"/>
        <v>0</v>
      </c>
    </row>
    <row r="2011" hidden="1">
      <c r="A2011" s="7" t="s">
        <v>409</v>
      </c>
      <c r="B2011" s="7" t="s">
        <v>268</v>
      </c>
      <c r="C2011" s="7">
        <v>0.5</v>
      </c>
      <c r="D2011" s="7">
        <v>1.0</v>
      </c>
      <c r="E2011" s="7">
        <v>2.0</v>
      </c>
      <c r="F2011" s="7">
        <v>336.047327041626</v>
      </c>
      <c r="G2011" s="7">
        <v>432.426969766616</v>
      </c>
      <c r="H2011" s="7">
        <v>4.0</v>
      </c>
      <c r="I2011" s="15">
        <v>0.397237884439466</v>
      </c>
      <c r="J2011" s="15">
        <v>0.0678017156477021</v>
      </c>
      <c r="K2011" s="12">
        <f>AVERAGE(I2007:I2011)</f>
        <v>0.4988597312</v>
      </c>
      <c r="L2011" s="18">
        <v>15275.0</v>
      </c>
      <c r="M2011" s="14">
        <f>STDEV(L2007:L2011)</f>
        <v>42229.9268</v>
      </c>
      <c r="N2011" s="15" t="b">
        <f t="shared" si="1"/>
        <v>0</v>
      </c>
    </row>
    <row r="2012" hidden="1">
      <c r="A2012" s="7" t="s">
        <v>410</v>
      </c>
      <c r="B2012" s="7" t="s">
        <v>268</v>
      </c>
      <c r="C2012" s="7">
        <v>0.5</v>
      </c>
      <c r="D2012" s="7">
        <v>1.0</v>
      </c>
      <c r="E2012" s="7">
        <v>3.0</v>
      </c>
      <c r="F2012" s="7">
        <v>342.925747394561</v>
      </c>
      <c r="G2012" s="7">
        <v>461.990093708038</v>
      </c>
      <c r="H2012" s="7">
        <v>0.0</v>
      </c>
      <c r="I2012" s="15">
        <v>0.834007778632874</v>
      </c>
      <c r="J2012" s="15">
        <v>0.0334969723799487</v>
      </c>
      <c r="K2012" s="12">
        <f>AVERAGE(I2012:I2016)</f>
        <v>0.4427825766</v>
      </c>
      <c r="L2012" s="18">
        <v>15070.0</v>
      </c>
      <c r="M2012" s="14">
        <f>STDEV(L2012:L2016)</f>
        <v>23508.09643</v>
      </c>
      <c r="N2012" s="15" t="b">
        <f t="shared" si="1"/>
        <v>0</v>
      </c>
    </row>
    <row r="2013" hidden="1">
      <c r="A2013" s="7" t="s">
        <v>410</v>
      </c>
      <c r="B2013" s="7" t="s">
        <v>268</v>
      </c>
      <c r="C2013" s="7">
        <v>0.5</v>
      </c>
      <c r="D2013" s="7">
        <v>1.0</v>
      </c>
      <c r="E2013" s="7">
        <v>3.0</v>
      </c>
      <c r="F2013" s="7">
        <v>342.925747394561</v>
      </c>
      <c r="G2013" s="7">
        <v>461.990093708038</v>
      </c>
      <c r="H2013" s="7">
        <v>1.0</v>
      </c>
      <c r="I2013" s="15">
        <v>0.101254591873234</v>
      </c>
      <c r="J2013" s="15">
        <v>0.0814421252196206</v>
      </c>
      <c r="K2013" s="12">
        <f>AVERAGE(I2012:I2016)</f>
        <v>0.4427825766</v>
      </c>
      <c r="L2013" s="18">
        <v>65400.0</v>
      </c>
      <c r="M2013" s="14">
        <f>STDEV(L2012:L2016)</f>
        <v>23508.09643</v>
      </c>
      <c r="N2013" s="15" t="b">
        <f t="shared" si="1"/>
        <v>0</v>
      </c>
    </row>
    <row r="2014" hidden="1">
      <c r="A2014" s="7" t="s">
        <v>410</v>
      </c>
      <c r="B2014" s="7" t="s">
        <v>268</v>
      </c>
      <c r="C2014" s="7">
        <v>0.5</v>
      </c>
      <c r="D2014" s="7">
        <v>1.0</v>
      </c>
      <c r="E2014" s="7">
        <v>3.0</v>
      </c>
      <c r="F2014" s="7">
        <v>342.925747394561</v>
      </c>
      <c r="G2014" s="7">
        <v>461.990093708038</v>
      </c>
      <c r="H2014" s="7">
        <v>2.0</v>
      </c>
      <c r="I2014" s="15">
        <v>0.828441312960723</v>
      </c>
      <c r="J2014" s="15">
        <v>0.0985283115795497</v>
      </c>
      <c r="K2014" s="12">
        <f>AVERAGE(I2012:I2016)</f>
        <v>0.4427825766</v>
      </c>
      <c r="L2014" s="18">
        <v>7439.0</v>
      </c>
      <c r="M2014" s="14">
        <f>STDEV(L2012:L2016)</f>
        <v>23508.09643</v>
      </c>
      <c r="N2014" s="15" t="b">
        <f t="shared" si="1"/>
        <v>0</v>
      </c>
    </row>
    <row r="2015" hidden="1">
      <c r="A2015" s="7" t="s">
        <v>410</v>
      </c>
      <c r="B2015" s="7" t="s">
        <v>268</v>
      </c>
      <c r="C2015" s="7">
        <v>0.5</v>
      </c>
      <c r="D2015" s="7">
        <v>1.0</v>
      </c>
      <c r="E2015" s="7">
        <v>3.0</v>
      </c>
      <c r="F2015" s="7">
        <v>342.925747394561</v>
      </c>
      <c r="G2015" s="7">
        <v>461.990093708038</v>
      </c>
      <c r="H2015" s="7">
        <v>3.0</v>
      </c>
      <c r="I2015" s="15">
        <v>0.224951601248335</v>
      </c>
      <c r="J2015" s="15">
        <v>0.381598461889488</v>
      </c>
      <c r="K2015" s="12">
        <f>AVERAGE(I2012:I2016)</f>
        <v>0.4427825766</v>
      </c>
      <c r="L2015" s="18">
        <v>16398.0</v>
      </c>
      <c r="M2015" s="14">
        <f>STDEV(L2012:L2016)</f>
        <v>23508.09643</v>
      </c>
      <c r="N2015" s="15" t="b">
        <f t="shared" si="1"/>
        <v>0</v>
      </c>
    </row>
    <row r="2016" hidden="1">
      <c r="A2016" s="7" t="s">
        <v>410</v>
      </c>
      <c r="B2016" s="7" t="s">
        <v>268</v>
      </c>
      <c r="C2016" s="7">
        <v>0.5</v>
      </c>
      <c r="D2016" s="7">
        <v>1.0</v>
      </c>
      <c r="E2016" s="7">
        <v>3.0</v>
      </c>
      <c r="F2016" s="7">
        <v>342.925747394561</v>
      </c>
      <c r="G2016" s="7">
        <v>461.990093708038</v>
      </c>
      <c r="H2016" s="7">
        <v>4.0</v>
      </c>
      <c r="I2016" s="15">
        <v>0.225257598101822</v>
      </c>
      <c r="J2016" s="15">
        <v>0.105817329811811</v>
      </c>
      <c r="K2016" s="12">
        <f>AVERAGE(I2012:I2016)</f>
        <v>0.4427825766</v>
      </c>
      <c r="L2016" s="18">
        <v>37369.0</v>
      </c>
      <c r="M2016" s="14">
        <f>STDEV(L2012:L2016)</f>
        <v>23508.09643</v>
      </c>
      <c r="N2016" s="15" t="b">
        <f t="shared" si="1"/>
        <v>0</v>
      </c>
    </row>
    <row r="2017" hidden="1">
      <c r="A2017" s="7" t="s">
        <v>411</v>
      </c>
      <c r="B2017" s="7" t="s">
        <v>268</v>
      </c>
      <c r="C2017" s="7">
        <v>0.5</v>
      </c>
      <c r="D2017" s="7">
        <v>1.0</v>
      </c>
      <c r="E2017" s="7">
        <v>4.0</v>
      </c>
      <c r="F2017" s="7">
        <v>312.909291267394</v>
      </c>
      <c r="G2017" s="7">
        <v>414.432337999343</v>
      </c>
      <c r="H2017" s="7">
        <v>0.0</v>
      </c>
      <c r="I2017" s="15">
        <v>0.116384702084663</v>
      </c>
      <c r="J2017" s="15">
        <v>0.0919997019888384</v>
      </c>
      <c r="K2017" s="12">
        <f>AVERAGE(I2017:I2021)</f>
        <v>0.4099277927</v>
      </c>
      <c r="L2017" s="18">
        <v>51844.0</v>
      </c>
      <c r="M2017" s="14">
        <f>STDEV(L2017:L2021)</f>
        <v>24752.16606</v>
      </c>
      <c r="N2017" s="15" t="b">
        <f t="shared" si="1"/>
        <v>0</v>
      </c>
    </row>
    <row r="2018" hidden="1">
      <c r="A2018" s="7" t="s">
        <v>411</v>
      </c>
      <c r="B2018" s="7" t="s">
        <v>268</v>
      </c>
      <c r="C2018" s="7">
        <v>0.5</v>
      </c>
      <c r="D2018" s="7">
        <v>1.0</v>
      </c>
      <c r="E2018" s="7">
        <v>4.0</v>
      </c>
      <c r="F2018" s="7">
        <v>312.909291267394</v>
      </c>
      <c r="G2018" s="7">
        <v>414.432337999343</v>
      </c>
      <c r="H2018" s="7">
        <v>1.0</v>
      </c>
      <c r="I2018" s="15">
        <v>0.825858256853304</v>
      </c>
      <c r="J2018" s="15">
        <v>0.0948214475505348</v>
      </c>
      <c r="K2018" s="12">
        <f>AVERAGE(I2017:I2021)</f>
        <v>0.4099277927</v>
      </c>
      <c r="L2018" s="18">
        <v>4613.0</v>
      </c>
      <c r="M2018" s="14">
        <f>STDEV(L2017:L2021)</f>
        <v>24752.16606</v>
      </c>
      <c r="N2018" s="15" t="b">
        <f t="shared" si="1"/>
        <v>0</v>
      </c>
    </row>
    <row r="2019" hidden="1">
      <c r="A2019" s="7" t="s">
        <v>411</v>
      </c>
      <c r="B2019" s="7" t="s">
        <v>268</v>
      </c>
      <c r="C2019" s="7">
        <v>0.5</v>
      </c>
      <c r="D2019" s="7">
        <v>1.0</v>
      </c>
      <c r="E2019" s="7">
        <v>4.0</v>
      </c>
      <c r="F2019" s="7">
        <v>312.909291267394</v>
      </c>
      <c r="G2019" s="7">
        <v>414.432337999343</v>
      </c>
      <c r="H2019" s="7">
        <v>2.0</v>
      </c>
      <c r="I2019" s="15">
        <v>0.277966076246981</v>
      </c>
      <c r="J2019" s="15">
        <v>0.11652144626236</v>
      </c>
      <c r="K2019" s="12">
        <f>AVERAGE(I2017:I2021)</f>
        <v>0.4099277927</v>
      </c>
      <c r="L2019" s="18">
        <v>28932.0</v>
      </c>
      <c r="M2019" s="14">
        <f>STDEV(L2017:L2021)</f>
        <v>24752.16606</v>
      </c>
      <c r="N2019" s="15" t="b">
        <f t="shared" si="1"/>
        <v>0</v>
      </c>
    </row>
    <row r="2020" hidden="1">
      <c r="A2020" s="7" t="s">
        <v>411</v>
      </c>
      <c r="B2020" s="7" t="s">
        <v>268</v>
      </c>
      <c r="C2020" s="7">
        <v>0.5</v>
      </c>
      <c r="D2020" s="7">
        <v>1.0</v>
      </c>
      <c r="E2020" s="7">
        <v>4.0</v>
      </c>
      <c r="F2020" s="7">
        <v>312.909291267394</v>
      </c>
      <c r="G2020" s="7">
        <v>414.432337999343</v>
      </c>
      <c r="H2020" s="7">
        <v>3.0</v>
      </c>
      <c r="I2020" s="15">
        <v>0.648099959367622</v>
      </c>
      <c r="J2020" s="15">
        <v>0.12670535375396</v>
      </c>
      <c r="K2020" s="12">
        <f>AVERAGE(I2017:I2021)</f>
        <v>0.4099277927</v>
      </c>
      <c r="L2020" s="18">
        <v>2309.0</v>
      </c>
      <c r="M2020" s="14">
        <f>STDEV(L2017:L2021)</f>
        <v>24752.16606</v>
      </c>
      <c r="N2020" s="15" t="b">
        <f t="shared" si="1"/>
        <v>0</v>
      </c>
    </row>
    <row r="2021" hidden="1">
      <c r="A2021" s="7" t="s">
        <v>411</v>
      </c>
      <c r="B2021" s="7" t="s">
        <v>268</v>
      </c>
      <c r="C2021" s="7">
        <v>0.5</v>
      </c>
      <c r="D2021" s="7">
        <v>1.0</v>
      </c>
      <c r="E2021" s="7">
        <v>4.0</v>
      </c>
      <c r="F2021" s="7">
        <v>312.909291267394</v>
      </c>
      <c r="G2021" s="7">
        <v>414.432337999343</v>
      </c>
      <c r="H2021" s="7">
        <v>4.0</v>
      </c>
      <c r="I2021" s="15">
        <v>0.181329968924065</v>
      </c>
      <c r="J2021" s="15">
        <v>0.112955799420166</v>
      </c>
      <c r="K2021" s="12">
        <f>AVERAGE(I2017:I2021)</f>
        <v>0.4099277927</v>
      </c>
      <c r="L2021" s="18">
        <v>53978.0</v>
      </c>
      <c r="M2021" s="14">
        <f>STDEV(L2017:L2021)</f>
        <v>24752.16606</v>
      </c>
      <c r="N2021" s="15" t="b">
        <f t="shared" si="1"/>
        <v>0</v>
      </c>
    </row>
    <row r="2022" hidden="1">
      <c r="A2022" s="7" t="s">
        <v>412</v>
      </c>
      <c r="B2022" s="7" t="s">
        <v>268</v>
      </c>
      <c r="C2022" s="7">
        <v>0.5</v>
      </c>
      <c r="D2022" s="7">
        <v>1.0</v>
      </c>
      <c r="E2022" s="7">
        <v>5.0</v>
      </c>
      <c r="F2022" s="7">
        <v>261.646429777145</v>
      </c>
      <c r="G2022" s="7">
        <v>372.576365232467</v>
      </c>
      <c r="H2022" s="7">
        <v>0.0</v>
      </c>
      <c r="I2022" s="15">
        <v>0.738095748679697</v>
      </c>
      <c r="J2022" s="15">
        <v>0.154296365971803</v>
      </c>
      <c r="K2022" s="12">
        <f>AVERAGE(I2022:I2026)</f>
        <v>0.6104241077</v>
      </c>
      <c r="L2022" s="18">
        <v>1699.0</v>
      </c>
      <c r="M2022" s="14">
        <f>STDEV(L2022:L2026)</f>
        <v>48547.74635</v>
      </c>
      <c r="N2022" s="15" t="b">
        <f t="shared" si="1"/>
        <v>0</v>
      </c>
    </row>
    <row r="2023" hidden="1">
      <c r="A2023" s="7" t="s">
        <v>412</v>
      </c>
      <c r="B2023" s="7" t="s">
        <v>268</v>
      </c>
      <c r="C2023" s="7">
        <v>0.5</v>
      </c>
      <c r="D2023" s="7">
        <v>1.0</v>
      </c>
      <c r="E2023" s="7">
        <v>5.0</v>
      </c>
      <c r="F2023" s="7">
        <v>261.646429777145</v>
      </c>
      <c r="G2023" s="7">
        <v>372.576365232467</v>
      </c>
      <c r="H2023" s="7">
        <v>1.0</v>
      </c>
      <c r="I2023" s="15">
        <v>0.0642858482895751</v>
      </c>
      <c r="J2023" s="15">
        <v>0.0627130828408547</v>
      </c>
      <c r="K2023" s="12">
        <f>AVERAGE(I2022:I2026)</f>
        <v>0.6104241077</v>
      </c>
      <c r="L2023" s="18">
        <v>114604.0</v>
      </c>
      <c r="M2023" s="14">
        <f>STDEV(L2022:L2026)</f>
        <v>48547.74635</v>
      </c>
      <c r="N2023" s="15" t="b">
        <f t="shared" si="1"/>
        <v>0</v>
      </c>
    </row>
    <row r="2024" hidden="1">
      <c r="A2024" s="7" t="s">
        <v>412</v>
      </c>
      <c r="B2024" s="7" t="s">
        <v>268</v>
      </c>
      <c r="C2024" s="7">
        <v>0.5</v>
      </c>
      <c r="D2024" s="7">
        <v>1.0</v>
      </c>
      <c r="E2024" s="7">
        <v>5.0</v>
      </c>
      <c r="F2024" s="7">
        <v>261.646429777145</v>
      </c>
      <c r="G2024" s="7">
        <v>372.576365232467</v>
      </c>
      <c r="H2024" s="7">
        <v>2.0</v>
      </c>
      <c r="I2024" s="15">
        <v>0.648833701968457</v>
      </c>
      <c r="J2024" s="15">
        <v>0.125124244336257</v>
      </c>
      <c r="K2024" s="12">
        <f>AVERAGE(I2022:I2026)</f>
        <v>0.6104241077</v>
      </c>
      <c r="L2024" s="18">
        <v>2306.0</v>
      </c>
      <c r="M2024" s="14">
        <f>STDEV(L2022:L2026)</f>
        <v>48547.74635</v>
      </c>
      <c r="N2024" s="15" t="b">
        <f t="shared" si="1"/>
        <v>0</v>
      </c>
    </row>
    <row r="2025" hidden="1">
      <c r="A2025" s="7" t="s">
        <v>412</v>
      </c>
      <c r="B2025" s="7" t="s">
        <v>268</v>
      </c>
      <c r="C2025" s="7">
        <v>0.5</v>
      </c>
      <c r="D2025" s="7">
        <v>1.0</v>
      </c>
      <c r="E2025" s="7">
        <v>5.0</v>
      </c>
      <c r="F2025" s="7">
        <v>261.646429777145</v>
      </c>
      <c r="G2025" s="7">
        <v>372.576365232467</v>
      </c>
      <c r="H2025" s="7">
        <v>3.0</v>
      </c>
      <c r="I2025" s="15">
        <v>0.7716321551136</v>
      </c>
      <c r="J2025" s="15">
        <v>0.12563047355138</v>
      </c>
      <c r="K2025" s="12">
        <f>AVERAGE(I2022:I2026)</f>
        <v>0.6104241077</v>
      </c>
      <c r="L2025" s="18">
        <v>15634.0</v>
      </c>
      <c r="M2025" s="14">
        <f>STDEV(L2022:L2026)</f>
        <v>48547.74635</v>
      </c>
      <c r="N2025" s="15" t="b">
        <f t="shared" si="1"/>
        <v>0</v>
      </c>
    </row>
    <row r="2026" hidden="1">
      <c r="A2026" s="7" t="s">
        <v>412</v>
      </c>
      <c r="B2026" s="7" t="s">
        <v>268</v>
      </c>
      <c r="C2026" s="7">
        <v>0.5</v>
      </c>
      <c r="D2026" s="7">
        <v>1.0</v>
      </c>
      <c r="E2026" s="7">
        <v>5.0</v>
      </c>
      <c r="F2026" s="7">
        <v>261.646429777145</v>
      </c>
      <c r="G2026" s="7">
        <v>372.576365232467</v>
      </c>
      <c r="H2026" s="7">
        <v>4.0</v>
      </c>
      <c r="I2026" s="15">
        <v>0.829273084271561</v>
      </c>
      <c r="J2026" s="15">
        <v>0.100406435491127</v>
      </c>
      <c r="K2026" s="12">
        <f>AVERAGE(I2022:I2026)</f>
        <v>0.6104241077</v>
      </c>
      <c r="L2026" s="18">
        <v>7433.0</v>
      </c>
      <c r="M2026" s="14">
        <f>STDEV(L2022:L2026)</f>
        <v>48547.74635</v>
      </c>
      <c r="N2026" s="15" t="b">
        <f t="shared" si="1"/>
        <v>0</v>
      </c>
    </row>
    <row r="2027" hidden="1">
      <c r="A2027" s="7" t="s">
        <v>413</v>
      </c>
      <c r="B2027" s="7" t="s">
        <v>268</v>
      </c>
      <c r="C2027" s="7">
        <v>0.5</v>
      </c>
      <c r="D2027" s="7">
        <v>1.0</v>
      </c>
      <c r="E2027" s="7">
        <v>6.0</v>
      </c>
      <c r="F2027" s="7">
        <v>312.845899581909</v>
      </c>
      <c r="G2027" s="7">
        <v>423.939998149871</v>
      </c>
      <c r="H2027" s="7">
        <v>0.0</v>
      </c>
      <c r="I2027" s="15">
        <v>0.885473107023156</v>
      </c>
      <c r="J2027" s="15">
        <v>0.12141223880185</v>
      </c>
      <c r="K2027" s="12">
        <f>AVERAGE(I2027:I2031)</f>
        <v>0.5519399455</v>
      </c>
      <c r="L2027" s="18">
        <v>2343.0</v>
      </c>
      <c r="M2027" s="14">
        <f>STDEV(L2027:L2031)</f>
        <v>35958.90084</v>
      </c>
      <c r="N2027" s="15" t="b">
        <f t="shared" si="1"/>
        <v>0</v>
      </c>
    </row>
    <row r="2028" hidden="1">
      <c r="A2028" s="7" t="s">
        <v>413</v>
      </c>
      <c r="B2028" s="7" t="s">
        <v>268</v>
      </c>
      <c r="C2028" s="7">
        <v>0.5</v>
      </c>
      <c r="D2028" s="7">
        <v>1.0</v>
      </c>
      <c r="E2028" s="7">
        <v>6.0</v>
      </c>
      <c r="F2028" s="7">
        <v>312.845899581909</v>
      </c>
      <c r="G2028" s="7">
        <v>423.939998149871</v>
      </c>
      <c r="H2028" s="7">
        <v>1.0</v>
      </c>
      <c r="I2028" s="15">
        <v>0.764923059453953</v>
      </c>
      <c r="J2028" s="15">
        <v>0.135479026250411</v>
      </c>
      <c r="K2028" s="12">
        <f>AVERAGE(I2027:I2031)</f>
        <v>0.5519399455</v>
      </c>
      <c r="L2028" s="18">
        <v>7825.0</v>
      </c>
      <c r="M2028" s="14">
        <f>STDEV(L2027:L2031)</f>
        <v>35958.90084</v>
      </c>
      <c r="N2028" s="15" t="b">
        <f t="shared" si="1"/>
        <v>0</v>
      </c>
    </row>
    <row r="2029" hidden="1">
      <c r="A2029" s="7" t="s">
        <v>413</v>
      </c>
      <c r="B2029" s="7" t="s">
        <v>268</v>
      </c>
      <c r="C2029" s="7">
        <v>0.5</v>
      </c>
      <c r="D2029" s="7">
        <v>1.0</v>
      </c>
      <c r="E2029" s="7">
        <v>6.0</v>
      </c>
      <c r="F2029" s="7">
        <v>312.845899581909</v>
      </c>
      <c r="G2029" s="7">
        <v>423.939998149871</v>
      </c>
      <c r="H2029" s="7">
        <v>2.0</v>
      </c>
      <c r="I2029" s="15">
        <v>0.192521386633646</v>
      </c>
      <c r="J2029" s="15">
        <v>0.0800627581780786</v>
      </c>
      <c r="K2029" s="12">
        <f>AVERAGE(I2027:I2031)</f>
        <v>0.5519399455</v>
      </c>
      <c r="L2029" s="18">
        <v>46072.0</v>
      </c>
      <c r="M2029" s="14">
        <f>STDEV(L2027:L2031)</f>
        <v>35958.90084</v>
      </c>
      <c r="N2029" s="15" t="b">
        <f t="shared" si="1"/>
        <v>0</v>
      </c>
    </row>
    <row r="2030" hidden="1">
      <c r="A2030" s="7" t="s">
        <v>413</v>
      </c>
      <c r="B2030" s="7" t="s">
        <v>268</v>
      </c>
      <c r="C2030" s="7">
        <v>0.5</v>
      </c>
      <c r="D2030" s="7">
        <v>1.0</v>
      </c>
      <c r="E2030" s="7">
        <v>6.0</v>
      </c>
      <c r="F2030" s="7">
        <v>312.845899581909</v>
      </c>
      <c r="G2030" s="7">
        <v>423.939998149871</v>
      </c>
      <c r="H2030" s="7">
        <v>3.0</v>
      </c>
      <c r="I2030" s="15">
        <v>0.816480377357423</v>
      </c>
      <c r="J2030" s="15">
        <v>0.119335894483596</v>
      </c>
      <c r="K2030" s="12">
        <f>AVERAGE(I2027:I2031)</f>
        <v>0.5519399455</v>
      </c>
      <c r="L2030" s="18">
        <v>1806.0</v>
      </c>
      <c r="M2030" s="14">
        <f>STDEV(L2027:L2031)</f>
        <v>35958.90084</v>
      </c>
      <c r="N2030" s="15" t="b">
        <f t="shared" si="1"/>
        <v>0</v>
      </c>
    </row>
    <row r="2031" hidden="1">
      <c r="A2031" s="7" t="s">
        <v>413</v>
      </c>
      <c r="B2031" s="7" t="s">
        <v>268</v>
      </c>
      <c r="C2031" s="7">
        <v>0.5</v>
      </c>
      <c r="D2031" s="7">
        <v>1.0</v>
      </c>
      <c r="E2031" s="7">
        <v>6.0</v>
      </c>
      <c r="F2031" s="7">
        <v>312.845899581909</v>
      </c>
      <c r="G2031" s="7">
        <v>423.939998149871</v>
      </c>
      <c r="H2031" s="7">
        <v>4.0</v>
      </c>
      <c r="I2031" s="15">
        <v>0.100301796993873</v>
      </c>
      <c r="J2031" s="15">
        <v>0.0766840925261204</v>
      </c>
      <c r="K2031" s="12">
        <f>AVERAGE(I2027:I2031)</f>
        <v>0.5519399455</v>
      </c>
      <c r="L2031" s="18">
        <v>83630.0</v>
      </c>
      <c r="M2031" s="14">
        <f>STDEV(L2027:L2031)</f>
        <v>35958.90084</v>
      </c>
      <c r="N2031" s="15" t="b">
        <f t="shared" si="1"/>
        <v>0</v>
      </c>
    </row>
    <row r="2032" hidden="1">
      <c r="A2032" s="7" t="s">
        <v>414</v>
      </c>
      <c r="B2032" s="7" t="s">
        <v>268</v>
      </c>
      <c r="C2032" s="7">
        <v>0.5</v>
      </c>
      <c r="D2032" s="7">
        <v>1.0</v>
      </c>
      <c r="E2032" s="7">
        <v>7.0</v>
      </c>
      <c r="F2032" s="7">
        <v>320.771704196929</v>
      </c>
      <c r="G2032" s="7">
        <v>414.092035531997</v>
      </c>
      <c r="H2032" s="7">
        <v>0.0</v>
      </c>
      <c r="I2032" s="15">
        <v>0.765517943487829</v>
      </c>
      <c r="J2032" s="15">
        <v>0.135038116719667</v>
      </c>
      <c r="K2032" s="12">
        <f>AVERAGE(I2032:I2036)</f>
        <v>0.6238006533</v>
      </c>
      <c r="L2032" s="18">
        <v>15467.0</v>
      </c>
      <c r="M2032" s="14">
        <f>STDEV(L2032:L2036)</f>
        <v>39526.85048</v>
      </c>
      <c r="N2032" s="15" t="b">
        <f t="shared" si="1"/>
        <v>0</v>
      </c>
    </row>
    <row r="2033" hidden="1">
      <c r="A2033" s="7" t="s">
        <v>414</v>
      </c>
      <c r="B2033" s="7" t="s">
        <v>268</v>
      </c>
      <c r="C2033" s="7">
        <v>0.5</v>
      </c>
      <c r="D2033" s="7">
        <v>1.0</v>
      </c>
      <c r="E2033" s="7">
        <v>7.0</v>
      </c>
      <c r="F2033" s="7">
        <v>320.771704196929</v>
      </c>
      <c r="G2033" s="7">
        <v>414.092035531997</v>
      </c>
      <c r="H2033" s="7">
        <v>1.0</v>
      </c>
      <c r="I2033" s="15">
        <v>0.0623950367986137</v>
      </c>
      <c r="J2033" s="15">
        <v>0.0729760456134366</v>
      </c>
      <c r="K2033" s="12">
        <f>AVERAGE(I2032:I2036)</f>
        <v>0.6238006533</v>
      </c>
      <c r="L2033" s="18">
        <v>98711.0</v>
      </c>
      <c r="M2033" s="14">
        <f>STDEV(L2032:L2036)</f>
        <v>39526.85048</v>
      </c>
      <c r="N2033" s="15" t="b">
        <f t="shared" si="1"/>
        <v>0</v>
      </c>
    </row>
    <row r="2034" hidden="1">
      <c r="A2034" s="7" t="s">
        <v>414</v>
      </c>
      <c r="B2034" s="7" t="s">
        <v>268</v>
      </c>
      <c r="C2034" s="7">
        <v>0.5</v>
      </c>
      <c r="D2034" s="7">
        <v>1.0</v>
      </c>
      <c r="E2034" s="7">
        <v>7.0</v>
      </c>
      <c r="F2034" s="7">
        <v>320.771704196929</v>
      </c>
      <c r="G2034" s="7">
        <v>414.092035531997</v>
      </c>
      <c r="H2034" s="7">
        <v>2.0</v>
      </c>
      <c r="I2034" s="15">
        <v>0.822745434220885</v>
      </c>
      <c r="J2034" s="15">
        <v>0.102495927639724</v>
      </c>
      <c r="K2034" s="12">
        <f>AVERAGE(I2032:I2036)</f>
        <v>0.6238006533</v>
      </c>
      <c r="L2034" s="18">
        <v>6438.0</v>
      </c>
      <c r="M2034" s="14">
        <f>STDEV(L2032:L2036)</f>
        <v>39526.85048</v>
      </c>
      <c r="N2034" s="15" t="b">
        <f t="shared" si="1"/>
        <v>0</v>
      </c>
    </row>
    <row r="2035" hidden="1">
      <c r="A2035" s="7" t="s">
        <v>414</v>
      </c>
      <c r="B2035" s="7" t="s">
        <v>268</v>
      </c>
      <c r="C2035" s="7">
        <v>0.5</v>
      </c>
      <c r="D2035" s="7">
        <v>1.0</v>
      </c>
      <c r="E2035" s="7">
        <v>7.0</v>
      </c>
      <c r="F2035" s="7">
        <v>320.771704196929</v>
      </c>
      <c r="G2035" s="7">
        <v>414.092035531997</v>
      </c>
      <c r="H2035" s="7">
        <v>3.0</v>
      </c>
      <c r="I2035" s="15">
        <v>0.75250657064769</v>
      </c>
      <c r="J2035" s="15">
        <v>0.132144660037389</v>
      </c>
      <c r="K2035" s="12">
        <f>AVERAGE(I2032:I2036)</f>
        <v>0.6238006533</v>
      </c>
      <c r="L2035" s="18">
        <v>7563.0</v>
      </c>
      <c r="M2035" s="14">
        <f>STDEV(L2032:L2036)</f>
        <v>39526.85048</v>
      </c>
      <c r="N2035" s="15" t="b">
        <f t="shared" si="1"/>
        <v>0</v>
      </c>
    </row>
    <row r="2036" hidden="1">
      <c r="A2036" s="7" t="s">
        <v>414</v>
      </c>
      <c r="B2036" s="7" t="s">
        <v>268</v>
      </c>
      <c r="C2036" s="7">
        <v>0.5</v>
      </c>
      <c r="D2036" s="7">
        <v>1.0</v>
      </c>
      <c r="E2036" s="7">
        <v>7.0</v>
      </c>
      <c r="F2036" s="7">
        <v>320.771704196929</v>
      </c>
      <c r="G2036" s="7">
        <v>414.092035531997</v>
      </c>
      <c r="H2036" s="7">
        <v>4.0</v>
      </c>
      <c r="I2036" s="15">
        <v>0.715838281434099</v>
      </c>
      <c r="J2036" s="15">
        <v>0.154407421012629</v>
      </c>
      <c r="K2036" s="12">
        <f>AVERAGE(I2032:I2036)</f>
        <v>0.6238006533</v>
      </c>
      <c r="L2036" s="18">
        <v>13497.0</v>
      </c>
      <c r="M2036" s="14">
        <f>STDEV(L2032:L2036)</f>
        <v>39526.85048</v>
      </c>
      <c r="N2036" s="15" t="b">
        <f t="shared" si="1"/>
        <v>0</v>
      </c>
    </row>
    <row r="2037" hidden="1">
      <c r="A2037" s="7" t="s">
        <v>415</v>
      </c>
      <c r="B2037" s="7" t="s">
        <v>268</v>
      </c>
      <c r="C2037" s="7">
        <v>0.5</v>
      </c>
      <c r="D2037" s="7">
        <v>1.0</v>
      </c>
      <c r="E2037" s="7">
        <v>8.0</v>
      </c>
      <c r="F2037" s="7">
        <v>367.621818780899</v>
      </c>
      <c r="G2037" s="7">
        <v>486.803414821624</v>
      </c>
      <c r="H2037" s="7">
        <v>0.0</v>
      </c>
      <c r="I2037" s="15">
        <v>0.288022491976827</v>
      </c>
      <c r="J2037" s="15">
        <v>0.0821684962916312</v>
      </c>
      <c r="K2037" s="12">
        <f>AVERAGE(I2037:I2041)</f>
        <v>0.4478905098</v>
      </c>
      <c r="L2037" s="18">
        <v>34607.0</v>
      </c>
      <c r="M2037" s="14">
        <f>STDEV(L2037:L2041)</f>
        <v>29120.575</v>
      </c>
      <c r="N2037" s="15" t="b">
        <f t="shared" si="1"/>
        <v>0</v>
      </c>
    </row>
    <row r="2038" hidden="1">
      <c r="A2038" s="7" t="s">
        <v>415</v>
      </c>
      <c r="B2038" s="7" t="s">
        <v>268</v>
      </c>
      <c r="C2038" s="7">
        <v>0.5</v>
      </c>
      <c r="D2038" s="7">
        <v>1.0</v>
      </c>
      <c r="E2038" s="7">
        <v>8.0</v>
      </c>
      <c r="F2038" s="7">
        <v>367.621818780899</v>
      </c>
      <c r="G2038" s="7">
        <v>486.803414821624</v>
      </c>
      <c r="H2038" s="7">
        <v>1.0</v>
      </c>
      <c r="I2038" s="15">
        <v>0.089666975388842</v>
      </c>
      <c r="J2038" s="15">
        <v>0.0722775023290059</v>
      </c>
      <c r="K2038" s="12">
        <f>AVERAGE(I2037:I2041)</f>
        <v>0.4478905098</v>
      </c>
      <c r="L2038" s="18">
        <v>76403.0</v>
      </c>
      <c r="M2038" s="14">
        <f>STDEV(L2037:L2041)</f>
        <v>29120.575</v>
      </c>
      <c r="N2038" s="15" t="b">
        <f t="shared" si="1"/>
        <v>0</v>
      </c>
    </row>
    <row r="2039" hidden="1">
      <c r="A2039" s="7" t="s">
        <v>415</v>
      </c>
      <c r="B2039" s="7" t="s">
        <v>268</v>
      </c>
      <c r="C2039" s="7">
        <v>0.5</v>
      </c>
      <c r="D2039" s="7">
        <v>1.0</v>
      </c>
      <c r="E2039" s="7">
        <v>8.0</v>
      </c>
      <c r="F2039" s="7">
        <v>367.621818780899</v>
      </c>
      <c r="G2039" s="7">
        <v>486.803414821624</v>
      </c>
      <c r="H2039" s="7">
        <v>2.0</v>
      </c>
      <c r="I2039" s="15">
        <v>0.763082907095574</v>
      </c>
      <c r="J2039" s="15">
        <v>0.135755929019826</v>
      </c>
      <c r="K2039" s="12">
        <f>AVERAGE(I2037:I2041)</f>
        <v>0.4478905098</v>
      </c>
      <c r="L2039" s="18">
        <v>7835.0</v>
      </c>
      <c r="M2039" s="14">
        <f>STDEV(L2037:L2041)</f>
        <v>29120.575</v>
      </c>
      <c r="N2039" s="15" t="b">
        <f t="shared" si="1"/>
        <v>0</v>
      </c>
    </row>
    <row r="2040" hidden="1">
      <c r="A2040" s="7" t="s">
        <v>415</v>
      </c>
      <c r="B2040" s="7" t="s">
        <v>268</v>
      </c>
      <c r="C2040" s="7">
        <v>0.5</v>
      </c>
      <c r="D2040" s="7">
        <v>1.0</v>
      </c>
      <c r="E2040" s="7">
        <v>8.0</v>
      </c>
      <c r="F2040" s="7">
        <v>367.621818780899</v>
      </c>
      <c r="G2040" s="7">
        <v>486.803414821624</v>
      </c>
      <c r="H2040" s="7">
        <v>3.0</v>
      </c>
      <c r="I2040" s="15">
        <v>0.822649276241656</v>
      </c>
      <c r="J2040" s="15">
        <v>0.101965665231999</v>
      </c>
      <c r="K2040" s="12">
        <f>AVERAGE(I2037:I2041)</f>
        <v>0.4478905098</v>
      </c>
      <c r="L2040" s="18">
        <v>6447.0</v>
      </c>
      <c r="M2040" s="14">
        <f>STDEV(L2037:L2041)</f>
        <v>29120.575</v>
      </c>
      <c r="N2040" s="15" t="b">
        <f t="shared" si="1"/>
        <v>0</v>
      </c>
    </row>
    <row r="2041" hidden="1">
      <c r="A2041" s="7" t="s">
        <v>415</v>
      </c>
      <c r="B2041" s="7" t="s">
        <v>268</v>
      </c>
      <c r="C2041" s="7">
        <v>0.5</v>
      </c>
      <c r="D2041" s="7">
        <v>1.0</v>
      </c>
      <c r="E2041" s="7">
        <v>8.0</v>
      </c>
      <c r="F2041" s="7">
        <v>367.621818780899</v>
      </c>
      <c r="G2041" s="7">
        <v>486.803414821624</v>
      </c>
      <c r="H2041" s="7">
        <v>4.0</v>
      </c>
      <c r="I2041" s="15">
        <v>0.276030898427787</v>
      </c>
      <c r="J2041" s="15">
        <v>0.285512941138814</v>
      </c>
      <c r="K2041" s="12">
        <f>AVERAGE(I2037:I2041)</f>
        <v>0.4478905098</v>
      </c>
      <c r="L2041" s="18">
        <v>16384.0</v>
      </c>
      <c r="M2041" s="14">
        <f>STDEV(L2037:L2041)</f>
        <v>29120.575</v>
      </c>
      <c r="N2041" s="15" t="b">
        <f t="shared" si="1"/>
        <v>0</v>
      </c>
    </row>
    <row r="2042" hidden="1">
      <c r="A2042" s="7" t="s">
        <v>416</v>
      </c>
      <c r="B2042" s="22" t="s">
        <v>268</v>
      </c>
      <c r="C2042" s="22">
        <v>0.5</v>
      </c>
      <c r="D2042" s="22">
        <v>1.0</v>
      </c>
      <c r="E2042" s="22">
        <v>9.0</v>
      </c>
      <c r="F2042" s="7">
        <v>329.375871181488</v>
      </c>
      <c r="G2042" s="7">
        <v>441.950152158737</v>
      </c>
      <c r="H2042" s="7">
        <v>0.0</v>
      </c>
      <c r="I2042" s="15">
        <v>0.774014430924302</v>
      </c>
      <c r="J2042" s="15">
        <v>0.125969138577968</v>
      </c>
      <c r="K2042" s="12">
        <f>AVERAGE(I2042:I2046)</f>
        <v>0.6367012512</v>
      </c>
      <c r="L2042" s="18">
        <v>15543.0</v>
      </c>
      <c r="M2042" s="14">
        <f>STDEV(L2042:L2046)</f>
        <v>49209.03793</v>
      </c>
      <c r="N2042" s="15" t="b">
        <f t="shared" si="1"/>
        <v>0</v>
      </c>
    </row>
    <row r="2043" hidden="1">
      <c r="A2043" s="7" t="s">
        <v>416</v>
      </c>
      <c r="B2043" s="22" t="s">
        <v>268</v>
      </c>
      <c r="C2043" s="22">
        <v>0.5</v>
      </c>
      <c r="D2043" s="22">
        <v>1.0</v>
      </c>
      <c r="E2043" s="22">
        <v>9.0</v>
      </c>
      <c r="F2043" s="7">
        <v>329.375871181488</v>
      </c>
      <c r="G2043" s="7">
        <v>441.950152158737</v>
      </c>
      <c r="H2043" s="7">
        <v>1.0</v>
      </c>
      <c r="I2043" s="15">
        <v>0.885427747922657</v>
      </c>
      <c r="J2043" s="15">
        <v>0.119850801190277</v>
      </c>
      <c r="K2043" s="12">
        <f>AVERAGE(I2042:I2046)</f>
        <v>0.6367012512</v>
      </c>
      <c r="L2043" s="18">
        <v>2349.0</v>
      </c>
      <c r="M2043" s="14">
        <f>STDEV(L2042:L2046)</f>
        <v>49209.03793</v>
      </c>
      <c r="N2043" s="15" t="b">
        <f t="shared" si="1"/>
        <v>0</v>
      </c>
    </row>
    <row r="2044" hidden="1">
      <c r="A2044" s="7" t="s">
        <v>416</v>
      </c>
      <c r="B2044" s="22" t="s">
        <v>268</v>
      </c>
      <c r="C2044" s="22">
        <v>0.5</v>
      </c>
      <c r="D2044" s="22">
        <v>1.0</v>
      </c>
      <c r="E2044" s="22">
        <v>9.0</v>
      </c>
      <c r="F2044" s="7">
        <v>329.375871181488</v>
      </c>
      <c r="G2044" s="7">
        <v>441.950152158737</v>
      </c>
      <c r="H2044" s="7">
        <v>2.0</v>
      </c>
      <c r="I2044" s="15">
        <v>0.650163862882786</v>
      </c>
      <c r="J2044" s="15">
        <v>0.124591331757279</v>
      </c>
      <c r="K2044" s="12">
        <f>AVERAGE(I2042:I2046)</f>
        <v>0.6367012512</v>
      </c>
      <c r="L2044" s="18">
        <v>2296.0</v>
      </c>
      <c r="M2044" s="14">
        <f>STDEV(L2042:L2046)</f>
        <v>49209.03793</v>
      </c>
      <c r="N2044" s="15" t="b">
        <f t="shared" si="1"/>
        <v>0</v>
      </c>
    </row>
    <row r="2045" hidden="1">
      <c r="A2045" s="7" t="s">
        <v>416</v>
      </c>
      <c r="B2045" s="22" t="s">
        <v>268</v>
      </c>
      <c r="C2045" s="22">
        <v>0.5</v>
      </c>
      <c r="D2045" s="22">
        <v>1.0</v>
      </c>
      <c r="E2045" s="22">
        <v>9.0</v>
      </c>
      <c r="F2045" s="7">
        <v>329.375871181488</v>
      </c>
      <c r="G2045" s="7">
        <v>441.950152158737</v>
      </c>
      <c r="H2045" s="7">
        <v>3.0</v>
      </c>
      <c r="I2045" s="15">
        <v>0.0659363413941548</v>
      </c>
      <c r="J2045" s="15">
        <v>0.0647804213481393</v>
      </c>
      <c r="K2045" s="12">
        <f>AVERAGE(I2042:I2046)</f>
        <v>0.6367012512</v>
      </c>
      <c r="L2045" s="18">
        <v>115828.0</v>
      </c>
      <c r="M2045" s="14">
        <f>STDEV(L2042:L2046)</f>
        <v>49209.03793</v>
      </c>
      <c r="N2045" s="15" t="b">
        <f t="shared" si="1"/>
        <v>0</v>
      </c>
    </row>
    <row r="2046" hidden="1">
      <c r="A2046" s="7" t="s">
        <v>416</v>
      </c>
      <c r="B2046" s="22" t="s">
        <v>268</v>
      </c>
      <c r="C2046" s="22">
        <v>0.5</v>
      </c>
      <c r="D2046" s="22">
        <v>1.0</v>
      </c>
      <c r="E2046" s="22">
        <v>9.0</v>
      </c>
      <c r="F2046" s="7">
        <v>329.375871181488</v>
      </c>
      <c r="G2046" s="7">
        <v>441.950152158737</v>
      </c>
      <c r="H2046" s="7">
        <v>4.0</v>
      </c>
      <c r="I2046" s="15">
        <v>0.807963872756972</v>
      </c>
      <c r="J2046" s="15">
        <v>0.126501655503007</v>
      </c>
      <c r="K2046" s="12">
        <f>AVERAGE(I2042:I2046)</f>
        <v>0.6367012512</v>
      </c>
      <c r="L2046" s="18">
        <v>5660.0</v>
      </c>
      <c r="M2046" s="14">
        <f>STDEV(L2042:L2046)</f>
        <v>49209.03793</v>
      </c>
      <c r="N2046" s="15" t="b">
        <f t="shared" si="1"/>
        <v>0</v>
      </c>
    </row>
    <row r="2047" hidden="1">
      <c r="A2047" s="7" t="s">
        <v>417</v>
      </c>
      <c r="B2047" s="7" t="s">
        <v>268</v>
      </c>
      <c r="C2047" s="7">
        <v>0.5</v>
      </c>
      <c r="D2047" s="7">
        <v>1.0</v>
      </c>
      <c r="E2047" s="7">
        <v>10.0</v>
      </c>
      <c r="F2047" s="7">
        <v>329.066320896148</v>
      </c>
      <c r="G2047" s="7">
        <v>450.746163606643</v>
      </c>
      <c r="H2047" s="7">
        <v>0.0</v>
      </c>
      <c r="I2047" s="15">
        <v>0.801651021705833</v>
      </c>
      <c r="J2047" s="15">
        <v>0.138019654111055</v>
      </c>
      <c r="K2047" s="12">
        <f>AVERAGE(I2047:I2051)</f>
        <v>0.5375447752</v>
      </c>
      <c r="L2047" s="18">
        <v>888.0</v>
      </c>
      <c r="M2047" s="14">
        <f>STDEV(L2047:L2051)</f>
        <v>34024.54985</v>
      </c>
      <c r="N2047" s="15" t="b">
        <f t="shared" si="1"/>
        <v>0</v>
      </c>
    </row>
    <row r="2048" hidden="1">
      <c r="A2048" s="7" t="s">
        <v>417</v>
      </c>
      <c r="B2048" s="7" t="s">
        <v>268</v>
      </c>
      <c r="C2048" s="7">
        <v>0.5</v>
      </c>
      <c r="D2048" s="7">
        <v>1.0</v>
      </c>
      <c r="E2048" s="7">
        <v>10.0</v>
      </c>
      <c r="F2048" s="7">
        <v>329.066320896148</v>
      </c>
      <c r="G2048" s="7">
        <v>450.746163606643</v>
      </c>
      <c r="H2048" s="7">
        <v>1.0</v>
      </c>
      <c r="I2048" s="15">
        <v>0.299641208498739</v>
      </c>
      <c r="J2048" s="15">
        <v>0.209138469286334</v>
      </c>
      <c r="K2048" s="12">
        <f>AVERAGE(I2047:I2051)</f>
        <v>0.5375447752</v>
      </c>
      <c r="L2048" s="18">
        <v>32138.0</v>
      </c>
      <c r="M2048" s="14">
        <f>STDEV(L2047:L2051)</f>
        <v>34024.54985</v>
      </c>
      <c r="N2048" s="15" t="b">
        <f t="shared" si="1"/>
        <v>0</v>
      </c>
    </row>
    <row r="2049" hidden="1">
      <c r="A2049" s="7" t="s">
        <v>417</v>
      </c>
      <c r="B2049" s="7" t="s">
        <v>268</v>
      </c>
      <c r="C2049" s="7">
        <v>0.5</v>
      </c>
      <c r="D2049" s="7">
        <v>1.0</v>
      </c>
      <c r="E2049" s="7">
        <v>10.0</v>
      </c>
      <c r="F2049" s="7">
        <v>329.066320896148</v>
      </c>
      <c r="G2049" s="7">
        <v>450.746163606643</v>
      </c>
      <c r="H2049" s="7">
        <v>2.0</v>
      </c>
      <c r="I2049" s="15">
        <v>0.772217684204373</v>
      </c>
      <c r="J2049" s="15">
        <v>0.120517509138715</v>
      </c>
      <c r="K2049" s="12">
        <f>AVERAGE(I2047:I2051)</f>
        <v>0.5375447752</v>
      </c>
      <c r="L2049" s="18">
        <v>15575.0</v>
      </c>
      <c r="M2049" s="14">
        <f>STDEV(L2047:L2051)</f>
        <v>34024.54985</v>
      </c>
      <c r="N2049" s="15" t="b">
        <f t="shared" si="1"/>
        <v>0</v>
      </c>
    </row>
    <row r="2050" hidden="1">
      <c r="A2050" s="7" t="s">
        <v>417</v>
      </c>
      <c r="B2050" s="7" t="s">
        <v>268</v>
      </c>
      <c r="C2050" s="7">
        <v>0.5</v>
      </c>
      <c r="D2050" s="7">
        <v>1.0</v>
      </c>
      <c r="E2050" s="7">
        <v>10.0</v>
      </c>
      <c r="F2050" s="7">
        <v>329.066320896148</v>
      </c>
      <c r="G2050" s="7">
        <v>450.746163606643</v>
      </c>
      <c r="H2050" s="7">
        <v>3.0</v>
      </c>
      <c r="I2050" s="15">
        <v>0.751407581827369</v>
      </c>
      <c r="J2050" s="15">
        <v>0.136343416471862</v>
      </c>
      <c r="K2050" s="12">
        <f>AVERAGE(I2047:I2051)</f>
        <v>0.5375447752</v>
      </c>
      <c r="L2050" s="18">
        <v>7567.0</v>
      </c>
      <c r="M2050" s="14">
        <f>STDEV(L2047:L2051)</f>
        <v>34024.54985</v>
      </c>
      <c r="N2050" s="15" t="b">
        <f t="shared" si="1"/>
        <v>0</v>
      </c>
    </row>
    <row r="2051" hidden="1">
      <c r="A2051" s="7" t="s">
        <v>417</v>
      </c>
      <c r="B2051" s="7" t="s">
        <v>268</v>
      </c>
      <c r="C2051" s="7">
        <v>0.5</v>
      </c>
      <c r="D2051" s="7">
        <v>1.0</v>
      </c>
      <c r="E2051" s="7">
        <v>10.0</v>
      </c>
      <c r="F2051" s="7">
        <v>329.066320896148</v>
      </c>
      <c r="G2051" s="7">
        <v>450.746163606643</v>
      </c>
      <c r="H2051" s="7">
        <v>4.0</v>
      </c>
      <c r="I2051" s="15">
        <v>0.0628063797979867</v>
      </c>
      <c r="J2051" s="15">
        <v>0.0441927261906841</v>
      </c>
      <c r="K2051" s="12">
        <f>AVERAGE(I2047:I2051)</f>
        <v>0.5375447752</v>
      </c>
      <c r="L2051" s="18">
        <v>85508.0</v>
      </c>
      <c r="M2051" s="14">
        <f>STDEV(L2047:L2051)</f>
        <v>34024.54985</v>
      </c>
      <c r="N2051" s="15" t="b">
        <f t="shared" si="1"/>
        <v>0</v>
      </c>
    </row>
    <row r="2052" hidden="1">
      <c r="A2052" s="7" t="s">
        <v>418</v>
      </c>
      <c r="B2052" s="7" t="s">
        <v>268</v>
      </c>
      <c r="C2052" s="7">
        <v>0.75</v>
      </c>
      <c r="D2052" s="7">
        <v>0.1</v>
      </c>
      <c r="E2052" s="7">
        <v>1.0</v>
      </c>
      <c r="F2052" s="7">
        <v>305.179858446121</v>
      </c>
      <c r="G2052" s="7">
        <v>403.989971637725</v>
      </c>
      <c r="H2052" s="7">
        <v>0.0</v>
      </c>
      <c r="I2052" s="15">
        <v>0.721049293855984</v>
      </c>
      <c r="J2052" s="15">
        <v>0.138084444837748</v>
      </c>
      <c r="K2052" s="12">
        <f>AVERAGE(I2052:I2056)</f>
        <v>0.5202320099</v>
      </c>
      <c r="L2052" s="18">
        <v>3706.0</v>
      </c>
      <c r="M2052" s="14">
        <f>STDEV(L2052:L2056)</f>
        <v>40526.10287</v>
      </c>
      <c r="N2052" s="15" t="b">
        <f t="shared" si="1"/>
        <v>0</v>
      </c>
    </row>
    <row r="2053" hidden="1">
      <c r="A2053" s="7" t="s">
        <v>418</v>
      </c>
      <c r="B2053" s="7" t="s">
        <v>268</v>
      </c>
      <c r="C2053" s="7">
        <v>0.75</v>
      </c>
      <c r="D2053" s="7">
        <v>0.1</v>
      </c>
      <c r="E2053" s="7">
        <v>1.0</v>
      </c>
      <c r="F2053" s="7">
        <v>305.179858446121</v>
      </c>
      <c r="G2053" s="7">
        <v>403.989971637725</v>
      </c>
      <c r="H2053" s="7">
        <v>1.0</v>
      </c>
      <c r="I2053" s="15">
        <v>0.183047591147721</v>
      </c>
      <c r="J2053" s="15">
        <v>0.428217837695488</v>
      </c>
      <c r="K2053" s="12">
        <f>AVERAGE(I2052:I2056)</f>
        <v>0.5202320099</v>
      </c>
      <c r="L2053" s="18">
        <v>17734.0</v>
      </c>
      <c r="M2053" s="14">
        <f>STDEV(L2052:L2056)</f>
        <v>40526.10287</v>
      </c>
      <c r="N2053" s="15" t="b">
        <f t="shared" si="1"/>
        <v>0</v>
      </c>
    </row>
    <row r="2054" hidden="1">
      <c r="A2054" s="7" t="s">
        <v>418</v>
      </c>
      <c r="B2054" s="7" t="s">
        <v>268</v>
      </c>
      <c r="C2054" s="7">
        <v>0.75</v>
      </c>
      <c r="D2054" s="7">
        <v>0.1</v>
      </c>
      <c r="E2054" s="7">
        <v>1.0</v>
      </c>
      <c r="F2054" s="7">
        <v>305.179858446121</v>
      </c>
      <c r="G2054" s="7">
        <v>403.989971637725</v>
      </c>
      <c r="H2054" s="7">
        <v>2.0</v>
      </c>
      <c r="I2054" s="15">
        <v>0.069626307426828</v>
      </c>
      <c r="J2054" s="15">
        <v>0.0505500063140052</v>
      </c>
      <c r="K2054" s="12">
        <f>AVERAGE(I2052:I2056)</f>
        <v>0.5202320099</v>
      </c>
      <c r="L2054" s="18">
        <v>100140.0</v>
      </c>
      <c r="M2054" s="14">
        <f>STDEV(L2052:L2056)</f>
        <v>40526.10287</v>
      </c>
      <c r="N2054" s="15" t="b">
        <f t="shared" si="1"/>
        <v>0</v>
      </c>
    </row>
    <row r="2055" hidden="1">
      <c r="A2055" s="7" t="s">
        <v>418</v>
      </c>
      <c r="B2055" s="7" t="s">
        <v>268</v>
      </c>
      <c r="C2055" s="7">
        <v>0.75</v>
      </c>
      <c r="D2055" s="7">
        <v>0.1</v>
      </c>
      <c r="E2055" s="7">
        <v>1.0</v>
      </c>
      <c r="F2055" s="7">
        <v>305.179858446121</v>
      </c>
      <c r="G2055" s="7">
        <v>403.989971637725</v>
      </c>
      <c r="H2055" s="7">
        <v>3.0</v>
      </c>
      <c r="I2055" s="15">
        <v>0.822304506897887</v>
      </c>
      <c r="J2055" s="15">
        <v>0.100375337887693</v>
      </c>
      <c r="K2055" s="12">
        <f>AVERAGE(I2052:I2056)</f>
        <v>0.5202320099</v>
      </c>
      <c r="L2055" s="18">
        <v>6463.0</v>
      </c>
      <c r="M2055" s="14">
        <f>STDEV(L2052:L2056)</f>
        <v>40526.10287</v>
      </c>
      <c r="N2055" s="15" t="b">
        <f t="shared" si="1"/>
        <v>0</v>
      </c>
    </row>
    <row r="2056" hidden="1">
      <c r="A2056" s="7" t="s">
        <v>418</v>
      </c>
      <c r="B2056" s="7" t="s">
        <v>268</v>
      </c>
      <c r="C2056" s="7">
        <v>0.75</v>
      </c>
      <c r="D2056" s="7">
        <v>0.1</v>
      </c>
      <c r="E2056" s="7">
        <v>1.0</v>
      </c>
      <c r="F2056" s="7">
        <v>305.179858446121</v>
      </c>
      <c r="G2056" s="7">
        <v>403.989971637725</v>
      </c>
      <c r="H2056" s="7">
        <v>4.0</v>
      </c>
      <c r="I2056" s="15">
        <v>0.805132350184229</v>
      </c>
      <c r="J2056" s="15">
        <v>0.0823765595155963</v>
      </c>
      <c r="K2056" s="12">
        <f>AVERAGE(I2052:I2056)</f>
        <v>0.5202320099</v>
      </c>
      <c r="L2056" s="18">
        <v>13633.0</v>
      </c>
      <c r="M2056" s="14">
        <f>STDEV(L2052:L2056)</f>
        <v>40526.10287</v>
      </c>
      <c r="N2056" s="15" t="b">
        <f t="shared" si="1"/>
        <v>0</v>
      </c>
    </row>
    <row r="2057" hidden="1">
      <c r="A2057" s="7" t="s">
        <v>419</v>
      </c>
      <c r="B2057" s="7" t="s">
        <v>268</v>
      </c>
      <c r="C2057" s="7">
        <v>0.75</v>
      </c>
      <c r="D2057" s="7">
        <v>0.1</v>
      </c>
      <c r="E2057" s="7">
        <v>2.0</v>
      </c>
      <c r="F2057" s="7">
        <v>314.483336687088</v>
      </c>
      <c r="G2057" s="7">
        <v>425.462647676467</v>
      </c>
      <c r="H2057" s="7">
        <v>0.0</v>
      </c>
      <c r="I2057" s="15">
        <v>0.885836941320191</v>
      </c>
      <c r="J2057" s="15">
        <v>0.119742236229283</v>
      </c>
      <c r="K2057" s="12">
        <f>AVERAGE(I2057:I2061)</f>
        <v>0.5578371026</v>
      </c>
      <c r="L2057" s="18">
        <v>2343.0</v>
      </c>
      <c r="M2057" s="14">
        <f>STDEV(L2057:L2061)</f>
        <v>42917.34967</v>
      </c>
      <c r="N2057" s="15" t="b">
        <f t="shared" si="1"/>
        <v>0</v>
      </c>
    </row>
    <row r="2058" hidden="1">
      <c r="A2058" s="7" t="s">
        <v>419</v>
      </c>
      <c r="B2058" s="7" t="s">
        <v>268</v>
      </c>
      <c r="C2058" s="7">
        <v>0.75</v>
      </c>
      <c r="D2058" s="7">
        <v>0.1</v>
      </c>
      <c r="E2058" s="7">
        <v>2.0</v>
      </c>
      <c r="F2058" s="7">
        <v>314.483336687088</v>
      </c>
      <c r="G2058" s="7">
        <v>425.462647676467</v>
      </c>
      <c r="H2058" s="7">
        <v>1.0</v>
      </c>
      <c r="I2058" s="15">
        <v>0.0667107729822096</v>
      </c>
      <c r="J2058" s="15">
        <v>0.0495971265955308</v>
      </c>
      <c r="K2058" s="12">
        <f>AVERAGE(I2057:I2061)</f>
        <v>0.5578371026</v>
      </c>
      <c r="L2058" s="18">
        <v>104252.0</v>
      </c>
      <c r="M2058" s="14">
        <f>STDEV(L2057:L2061)</f>
        <v>42917.34967</v>
      </c>
      <c r="N2058" s="15" t="b">
        <f t="shared" si="1"/>
        <v>0</v>
      </c>
    </row>
    <row r="2059" hidden="1">
      <c r="A2059" s="7" t="s">
        <v>419</v>
      </c>
      <c r="B2059" s="7" t="s">
        <v>268</v>
      </c>
      <c r="C2059" s="7">
        <v>0.75</v>
      </c>
      <c r="D2059" s="7">
        <v>0.1</v>
      </c>
      <c r="E2059" s="7">
        <v>2.0</v>
      </c>
      <c r="F2059" s="7">
        <v>314.483336687088</v>
      </c>
      <c r="G2059" s="7">
        <v>425.462647676467</v>
      </c>
      <c r="H2059" s="7">
        <v>2.0</v>
      </c>
      <c r="I2059" s="15">
        <v>0.762902253835028</v>
      </c>
      <c r="J2059" s="15">
        <v>0.13753355355301</v>
      </c>
      <c r="K2059" s="12">
        <f>AVERAGE(I2057:I2061)</f>
        <v>0.5578371026</v>
      </c>
      <c r="L2059" s="18">
        <v>7851.0</v>
      </c>
      <c r="M2059" s="14">
        <f>STDEV(L2057:L2061)</f>
        <v>42917.34967</v>
      </c>
      <c r="N2059" s="15" t="b">
        <f t="shared" si="1"/>
        <v>0</v>
      </c>
    </row>
    <row r="2060" hidden="1">
      <c r="A2060" s="7" t="s">
        <v>419</v>
      </c>
      <c r="B2060" s="7" t="s">
        <v>268</v>
      </c>
      <c r="C2060" s="7">
        <v>0.75</v>
      </c>
      <c r="D2060" s="7">
        <v>0.1</v>
      </c>
      <c r="E2060" s="7">
        <v>2.0</v>
      </c>
      <c r="F2060" s="7">
        <v>314.483336687088</v>
      </c>
      <c r="G2060" s="7">
        <v>425.462647676467</v>
      </c>
      <c r="H2060" s="7">
        <v>3.0</v>
      </c>
      <c r="I2060" s="15">
        <v>0.245518787629894</v>
      </c>
      <c r="J2060" s="15">
        <v>0.195941123074978</v>
      </c>
      <c r="K2060" s="12">
        <f>AVERAGE(I2057:I2061)</f>
        <v>0.5578371026</v>
      </c>
      <c r="L2060" s="18">
        <v>19766.0</v>
      </c>
      <c r="M2060" s="14">
        <f>STDEV(L2057:L2061)</f>
        <v>42917.34967</v>
      </c>
      <c r="N2060" s="15" t="b">
        <f t="shared" si="1"/>
        <v>0</v>
      </c>
    </row>
    <row r="2061" hidden="1">
      <c r="A2061" s="7" t="s">
        <v>419</v>
      </c>
      <c r="B2061" s="7" t="s">
        <v>268</v>
      </c>
      <c r="C2061" s="7">
        <v>0.75</v>
      </c>
      <c r="D2061" s="7">
        <v>0.1</v>
      </c>
      <c r="E2061" s="7">
        <v>2.0</v>
      </c>
      <c r="F2061" s="7">
        <v>314.483336687088</v>
      </c>
      <c r="G2061" s="7">
        <v>425.462647676467</v>
      </c>
      <c r="H2061" s="7">
        <v>4.0</v>
      </c>
      <c r="I2061" s="15">
        <v>0.828216757338471</v>
      </c>
      <c r="J2061" s="15">
        <v>0.10014672218823</v>
      </c>
      <c r="K2061" s="12">
        <f>AVERAGE(I2057:I2061)</f>
        <v>0.5578371026</v>
      </c>
      <c r="L2061" s="18">
        <v>7464.0</v>
      </c>
      <c r="M2061" s="14">
        <f>STDEV(L2057:L2061)</f>
        <v>42917.34967</v>
      </c>
      <c r="N2061" s="15" t="b">
        <f t="shared" si="1"/>
        <v>0</v>
      </c>
    </row>
    <row r="2062" hidden="1">
      <c r="A2062" s="7" t="s">
        <v>420</v>
      </c>
      <c r="B2062" s="7" t="s">
        <v>268</v>
      </c>
      <c r="C2062" s="7">
        <v>0.75</v>
      </c>
      <c r="D2062" s="7">
        <v>0.1</v>
      </c>
      <c r="E2062" s="7">
        <v>3.0</v>
      </c>
      <c r="F2062" s="7">
        <v>284.020007371902</v>
      </c>
      <c r="G2062" s="7">
        <v>394.655927181243</v>
      </c>
      <c r="H2062" s="7">
        <v>0.0</v>
      </c>
      <c r="I2062" s="15">
        <v>0.751716157472819</v>
      </c>
      <c r="J2062" s="15">
        <v>0.132221945208731</v>
      </c>
      <c r="K2062" s="12">
        <f>AVERAGE(I2062:I2066)</f>
        <v>0.5709441202</v>
      </c>
      <c r="L2062" s="18">
        <v>7577.0</v>
      </c>
      <c r="M2062" s="14">
        <f>STDEV(L2062:L2066)</f>
        <v>38751.32901</v>
      </c>
      <c r="N2062" s="15" t="b">
        <f t="shared" si="1"/>
        <v>0</v>
      </c>
    </row>
    <row r="2063" hidden="1">
      <c r="A2063" s="7" t="s">
        <v>420</v>
      </c>
      <c r="B2063" s="7" t="s">
        <v>268</v>
      </c>
      <c r="C2063" s="7">
        <v>0.75</v>
      </c>
      <c r="D2063" s="7">
        <v>0.1</v>
      </c>
      <c r="E2063" s="7">
        <v>3.0</v>
      </c>
      <c r="F2063" s="7">
        <v>284.020007371902</v>
      </c>
      <c r="G2063" s="7">
        <v>394.655927181243</v>
      </c>
      <c r="H2063" s="7">
        <v>1.0</v>
      </c>
      <c r="I2063" s="15">
        <v>0.402769360561924</v>
      </c>
      <c r="J2063" s="15">
        <v>0.105971991182539</v>
      </c>
      <c r="K2063" s="12">
        <f>AVERAGE(I2062:I2066)</f>
        <v>0.5709441202</v>
      </c>
      <c r="L2063" s="18">
        <v>28864.0</v>
      </c>
      <c r="M2063" s="14">
        <f>STDEV(L2062:L2066)</f>
        <v>38751.32901</v>
      </c>
      <c r="N2063" s="15" t="b">
        <f t="shared" si="1"/>
        <v>0</v>
      </c>
    </row>
    <row r="2064" hidden="1">
      <c r="A2064" s="7" t="s">
        <v>420</v>
      </c>
      <c r="B2064" s="7" t="s">
        <v>268</v>
      </c>
      <c r="C2064" s="7">
        <v>0.75</v>
      </c>
      <c r="D2064" s="7">
        <v>0.1</v>
      </c>
      <c r="E2064" s="7">
        <v>3.0</v>
      </c>
      <c r="F2064" s="7">
        <v>284.020007371902</v>
      </c>
      <c r="G2064" s="7">
        <v>394.655927181243</v>
      </c>
      <c r="H2064" s="7">
        <v>2.0</v>
      </c>
      <c r="I2064" s="15">
        <v>0.0507170097329236</v>
      </c>
      <c r="J2064" s="15">
        <v>0.148407618732598</v>
      </c>
      <c r="K2064" s="12">
        <f>AVERAGE(I2062:I2066)</f>
        <v>0.5709441202</v>
      </c>
      <c r="L2064" s="18">
        <v>95289.0</v>
      </c>
      <c r="M2064" s="14">
        <f>STDEV(L2062:L2066)</f>
        <v>38751.32901</v>
      </c>
      <c r="N2064" s="15" t="b">
        <f t="shared" si="1"/>
        <v>0</v>
      </c>
    </row>
    <row r="2065" hidden="1">
      <c r="A2065" s="7" t="s">
        <v>420</v>
      </c>
      <c r="B2065" s="7" t="s">
        <v>268</v>
      </c>
      <c r="C2065" s="7">
        <v>0.75</v>
      </c>
      <c r="D2065" s="7">
        <v>0.1</v>
      </c>
      <c r="E2065" s="7">
        <v>3.0</v>
      </c>
      <c r="F2065" s="7">
        <v>284.020007371902</v>
      </c>
      <c r="G2065" s="7">
        <v>394.655927181243</v>
      </c>
      <c r="H2065" s="7">
        <v>3.0</v>
      </c>
      <c r="I2065" s="15">
        <v>0.806459760436276</v>
      </c>
      <c r="J2065" s="15">
        <v>0.117310338908523</v>
      </c>
      <c r="K2065" s="12">
        <f>AVERAGE(I2062:I2066)</f>
        <v>0.5709441202</v>
      </c>
      <c r="L2065" s="18">
        <v>5709.0</v>
      </c>
      <c r="M2065" s="14">
        <f>STDEV(L2062:L2066)</f>
        <v>38751.32901</v>
      </c>
      <c r="N2065" s="15" t="b">
        <f t="shared" si="1"/>
        <v>0</v>
      </c>
    </row>
    <row r="2066" hidden="1">
      <c r="A2066" s="7" t="s">
        <v>420</v>
      </c>
      <c r="B2066" s="7" t="s">
        <v>268</v>
      </c>
      <c r="C2066" s="7">
        <v>0.75</v>
      </c>
      <c r="D2066" s="7">
        <v>0.1</v>
      </c>
      <c r="E2066" s="7">
        <v>3.0</v>
      </c>
      <c r="F2066" s="7">
        <v>284.020007371902</v>
      </c>
      <c r="G2066" s="7">
        <v>394.655927181243</v>
      </c>
      <c r="H2066" s="7">
        <v>4.0</v>
      </c>
      <c r="I2066" s="15">
        <v>0.843058312900325</v>
      </c>
      <c r="J2066" s="15">
        <v>0.098306465978669</v>
      </c>
      <c r="K2066" s="12">
        <f>AVERAGE(I2062:I2066)</f>
        <v>0.5709441202</v>
      </c>
      <c r="L2066" s="18">
        <v>4237.0</v>
      </c>
      <c r="M2066" s="14">
        <f>STDEV(L2062:L2066)</f>
        <v>38751.32901</v>
      </c>
      <c r="N2066" s="15" t="b">
        <f t="shared" si="1"/>
        <v>0</v>
      </c>
    </row>
    <row r="2067" hidden="1">
      <c r="A2067" s="7" t="s">
        <v>421</v>
      </c>
      <c r="B2067" s="7" t="s">
        <v>268</v>
      </c>
      <c r="C2067" s="7">
        <v>0.75</v>
      </c>
      <c r="D2067" s="7">
        <v>0.1</v>
      </c>
      <c r="E2067" s="7">
        <v>4.0</v>
      </c>
      <c r="F2067" s="7">
        <v>279.401240348815</v>
      </c>
      <c r="G2067" s="7">
        <v>387.339354276657</v>
      </c>
      <c r="H2067" s="7">
        <v>0.0</v>
      </c>
      <c r="I2067" s="15">
        <v>0.079040205168817</v>
      </c>
      <c r="J2067" s="15">
        <v>0.0658738024228954</v>
      </c>
      <c r="K2067" s="12">
        <f>AVERAGE(I2067:I2071)</f>
        <v>0.5564732489</v>
      </c>
      <c r="L2067" s="18">
        <v>101571.0</v>
      </c>
      <c r="M2067" s="14">
        <f>STDEV(L2067:L2071)</f>
        <v>41053.78539</v>
      </c>
      <c r="N2067" s="15" t="b">
        <f t="shared" si="1"/>
        <v>0</v>
      </c>
    </row>
    <row r="2068" hidden="1">
      <c r="A2068" s="7" t="s">
        <v>421</v>
      </c>
      <c r="B2068" s="7" t="s">
        <v>268</v>
      </c>
      <c r="C2068" s="7">
        <v>0.75</v>
      </c>
      <c r="D2068" s="7">
        <v>0.1</v>
      </c>
      <c r="E2068" s="7">
        <v>4.0</v>
      </c>
      <c r="F2068" s="7">
        <v>279.401240348815</v>
      </c>
      <c r="G2068" s="7">
        <v>387.339354276657</v>
      </c>
      <c r="H2068" s="7">
        <v>1.0</v>
      </c>
      <c r="I2068" s="15">
        <v>0.40623191309779</v>
      </c>
      <c r="J2068" s="15">
        <v>0.109671342914421</v>
      </c>
      <c r="K2068" s="12">
        <f>AVERAGE(I2067:I2071)</f>
        <v>0.5564732489</v>
      </c>
      <c r="L2068" s="18">
        <v>12522.0</v>
      </c>
      <c r="M2068" s="14">
        <f>STDEV(L2067:L2071)</f>
        <v>41053.78539</v>
      </c>
      <c r="N2068" s="15" t="b">
        <f t="shared" si="1"/>
        <v>0</v>
      </c>
    </row>
    <row r="2069" hidden="1">
      <c r="A2069" s="7" t="s">
        <v>421</v>
      </c>
      <c r="B2069" s="7" t="s">
        <v>268</v>
      </c>
      <c r="C2069" s="7">
        <v>0.75</v>
      </c>
      <c r="D2069" s="7">
        <v>0.1</v>
      </c>
      <c r="E2069" s="7">
        <v>4.0</v>
      </c>
      <c r="F2069" s="7">
        <v>279.401240348815</v>
      </c>
      <c r="G2069" s="7">
        <v>387.339354276657</v>
      </c>
      <c r="H2069" s="7">
        <v>2.0</v>
      </c>
      <c r="I2069" s="15">
        <v>0.722366735163569</v>
      </c>
      <c r="J2069" s="15">
        <v>0.142666642067835</v>
      </c>
      <c r="K2069" s="12">
        <f>AVERAGE(I2067:I2071)</f>
        <v>0.5564732489</v>
      </c>
      <c r="L2069" s="18">
        <v>13542.0</v>
      </c>
      <c r="M2069" s="14">
        <f>STDEV(L2067:L2071)</f>
        <v>41053.78539</v>
      </c>
      <c r="N2069" s="15" t="b">
        <f t="shared" si="1"/>
        <v>0</v>
      </c>
    </row>
    <row r="2070" hidden="1">
      <c r="A2070" s="7" t="s">
        <v>421</v>
      </c>
      <c r="B2070" s="7" t="s">
        <v>268</v>
      </c>
      <c r="C2070" s="7">
        <v>0.75</v>
      </c>
      <c r="D2070" s="7">
        <v>0.1</v>
      </c>
      <c r="E2070" s="7">
        <v>4.0</v>
      </c>
      <c r="F2070" s="7">
        <v>279.401240348815</v>
      </c>
      <c r="G2070" s="7">
        <v>387.339354276657</v>
      </c>
      <c r="H2070" s="7">
        <v>3.0</v>
      </c>
      <c r="I2070" s="15">
        <v>0.751566815825116</v>
      </c>
      <c r="J2070" s="15">
        <v>0.13370276876365</v>
      </c>
      <c r="K2070" s="12">
        <f>AVERAGE(I2067:I2071)</f>
        <v>0.5564732489</v>
      </c>
      <c r="L2070" s="18">
        <v>7587.0</v>
      </c>
      <c r="M2070" s="14">
        <f>STDEV(L2067:L2071)</f>
        <v>41053.78539</v>
      </c>
      <c r="N2070" s="15" t="b">
        <f t="shared" si="1"/>
        <v>0</v>
      </c>
    </row>
    <row r="2071" hidden="1">
      <c r="A2071" s="7" t="s">
        <v>421</v>
      </c>
      <c r="B2071" s="7" t="s">
        <v>268</v>
      </c>
      <c r="C2071" s="7">
        <v>0.75</v>
      </c>
      <c r="D2071" s="7">
        <v>0.1</v>
      </c>
      <c r="E2071" s="7">
        <v>4.0</v>
      </c>
      <c r="F2071" s="7">
        <v>279.401240348815</v>
      </c>
      <c r="G2071" s="7">
        <v>387.339354276657</v>
      </c>
      <c r="H2071" s="7">
        <v>4.0</v>
      </c>
      <c r="I2071" s="15">
        <v>0.823160575207358</v>
      </c>
      <c r="J2071" s="15">
        <v>0.102520813109416</v>
      </c>
      <c r="K2071" s="12">
        <f>AVERAGE(I2067:I2071)</f>
        <v>0.5564732489</v>
      </c>
      <c r="L2071" s="18">
        <v>6454.0</v>
      </c>
      <c r="M2071" s="14">
        <f>STDEV(L2067:L2071)</f>
        <v>41053.78539</v>
      </c>
      <c r="N2071" s="15" t="b">
        <f t="shared" si="1"/>
        <v>0</v>
      </c>
    </row>
    <row r="2072" hidden="1">
      <c r="A2072" s="7" t="s">
        <v>422</v>
      </c>
      <c r="B2072" s="7" t="s">
        <v>268</v>
      </c>
      <c r="C2072" s="7">
        <v>0.75</v>
      </c>
      <c r="D2072" s="7">
        <v>0.1</v>
      </c>
      <c r="E2072" s="7">
        <v>5.0</v>
      </c>
      <c r="F2072" s="7">
        <v>320.10151720047</v>
      </c>
      <c r="G2072" s="7">
        <v>455.182849884033</v>
      </c>
      <c r="H2072" s="7">
        <v>0.0</v>
      </c>
      <c r="I2072" s="15">
        <v>0.283852741046456</v>
      </c>
      <c r="J2072" s="15">
        <v>0.165712187457697</v>
      </c>
      <c r="K2072" s="12">
        <f>AVERAGE(I2072:I2076)</f>
        <v>0.5570823641</v>
      </c>
      <c r="L2072" s="18">
        <v>36007.0</v>
      </c>
      <c r="M2072" s="14">
        <f>STDEV(L2072:L2076)</f>
        <v>31473.83074</v>
      </c>
      <c r="N2072" s="15" t="b">
        <f t="shared" si="1"/>
        <v>0</v>
      </c>
    </row>
    <row r="2073" hidden="1">
      <c r="A2073" s="7" t="s">
        <v>422</v>
      </c>
      <c r="B2073" s="7" t="s">
        <v>268</v>
      </c>
      <c r="C2073" s="7">
        <v>0.75</v>
      </c>
      <c r="D2073" s="7">
        <v>0.1</v>
      </c>
      <c r="E2073" s="7">
        <v>5.0</v>
      </c>
      <c r="F2073" s="7">
        <v>320.10151720047</v>
      </c>
      <c r="G2073" s="7">
        <v>455.182849884033</v>
      </c>
      <c r="H2073" s="7">
        <v>1.0</v>
      </c>
      <c r="I2073" s="15">
        <v>0.77062488053338</v>
      </c>
      <c r="J2073" s="15">
        <v>0.120614443384821</v>
      </c>
      <c r="K2073" s="12">
        <f>AVERAGE(I2072:I2076)</f>
        <v>0.5570823641</v>
      </c>
      <c r="L2073" s="18">
        <v>15673.0</v>
      </c>
      <c r="M2073" s="14">
        <f>STDEV(L2072:L2076)</f>
        <v>31473.83074</v>
      </c>
      <c r="N2073" s="15" t="b">
        <f t="shared" si="1"/>
        <v>0</v>
      </c>
    </row>
    <row r="2074" hidden="1">
      <c r="A2074" s="7" t="s">
        <v>422</v>
      </c>
      <c r="B2074" s="7" t="s">
        <v>268</v>
      </c>
      <c r="C2074" s="7">
        <v>0.75</v>
      </c>
      <c r="D2074" s="7">
        <v>0.1</v>
      </c>
      <c r="E2074" s="7">
        <v>5.0</v>
      </c>
      <c r="F2074" s="7">
        <v>320.10151720047</v>
      </c>
      <c r="G2074" s="7">
        <v>455.182849884033</v>
      </c>
      <c r="H2074" s="7">
        <v>2.0</v>
      </c>
      <c r="I2074" s="15">
        <v>0.0821955492114318</v>
      </c>
      <c r="J2074" s="15">
        <v>0.0688115940665843</v>
      </c>
      <c r="K2074" s="12">
        <f>AVERAGE(I2072:I2076)</f>
        <v>0.5570823641</v>
      </c>
      <c r="L2074" s="18">
        <v>79796.0</v>
      </c>
      <c r="M2074" s="14">
        <f>STDEV(L2072:L2076)</f>
        <v>31473.83074</v>
      </c>
      <c r="N2074" s="15" t="b">
        <f t="shared" si="1"/>
        <v>0</v>
      </c>
    </row>
    <row r="2075" hidden="1">
      <c r="A2075" s="7" t="s">
        <v>422</v>
      </c>
      <c r="B2075" s="7" t="s">
        <v>268</v>
      </c>
      <c r="C2075" s="7">
        <v>0.75</v>
      </c>
      <c r="D2075" s="7">
        <v>0.1</v>
      </c>
      <c r="E2075" s="7">
        <v>5.0</v>
      </c>
      <c r="F2075" s="7">
        <v>320.10151720047</v>
      </c>
      <c r="G2075" s="7">
        <v>455.182849884033</v>
      </c>
      <c r="H2075" s="7">
        <v>3.0</v>
      </c>
      <c r="I2075" s="15">
        <v>0.761270082128298</v>
      </c>
      <c r="J2075" s="15">
        <v>0.137555240608638</v>
      </c>
      <c r="K2075" s="12">
        <f>AVERAGE(I2072:I2076)</f>
        <v>0.5570823641</v>
      </c>
      <c r="L2075" s="18">
        <v>7862.0</v>
      </c>
      <c r="M2075" s="14">
        <f>STDEV(L2072:L2076)</f>
        <v>31473.83074</v>
      </c>
      <c r="N2075" s="15" t="b">
        <f t="shared" si="1"/>
        <v>0</v>
      </c>
    </row>
    <row r="2076" hidden="1">
      <c r="A2076" s="7" t="s">
        <v>422</v>
      </c>
      <c r="B2076" s="7" t="s">
        <v>268</v>
      </c>
      <c r="C2076" s="7">
        <v>0.75</v>
      </c>
      <c r="D2076" s="7">
        <v>0.1</v>
      </c>
      <c r="E2076" s="7">
        <v>5.0</v>
      </c>
      <c r="F2076" s="7">
        <v>320.10151720047</v>
      </c>
      <c r="G2076" s="7">
        <v>455.182849884033</v>
      </c>
      <c r="H2076" s="7">
        <v>4.0</v>
      </c>
      <c r="I2076" s="15">
        <v>0.887468567578181</v>
      </c>
      <c r="J2076" s="15">
        <v>0.117524924632701</v>
      </c>
      <c r="K2076" s="12">
        <f>AVERAGE(I2072:I2076)</f>
        <v>0.5570823641</v>
      </c>
      <c r="L2076" s="18">
        <v>2338.0</v>
      </c>
      <c r="M2076" s="14">
        <f>STDEV(L2072:L2076)</f>
        <v>31473.83074</v>
      </c>
      <c r="N2076" s="15" t="b">
        <f t="shared" si="1"/>
        <v>0</v>
      </c>
    </row>
    <row r="2077" hidden="1">
      <c r="A2077" s="7" t="s">
        <v>423</v>
      </c>
      <c r="B2077" s="7" t="s">
        <v>268</v>
      </c>
      <c r="C2077" s="7">
        <v>0.75</v>
      </c>
      <c r="D2077" s="7">
        <v>0.1</v>
      </c>
      <c r="E2077" s="7">
        <v>6.0</v>
      </c>
      <c r="F2077" s="7">
        <v>293.576534986496</v>
      </c>
      <c r="G2077" s="7">
        <v>404.796088695526</v>
      </c>
      <c r="H2077" s="7">
        <v>0.0</v>
      </c>
      <c r="I2077" s="15">
        <v>0.912558206864541</v>
      </c>
      <c r="J2077" s="15">
        <v>0.0342944562324252</v>
      </c>
      <c r="K2077" s="12">
        <f>AVERAGE(I2077:I2081)</f>
        <v>0.4898410966</v>
      </c>
      <c r="L2077" s="18">
        <v>2043.0</v>
      </c>
      <c r="M2077" s="14">
        <f>STDEV(L2077:L2081)</f>
        <v>34720.76121</v>
      </c>
      <c r="N2077" s="15" t="b">
        <f t="shared" si="1"/>
        <v>0</v>
      </c>
    </row>
    <row r="2078" hidden="1">
      <c r="A2078" s="7" t="s">
        <v>423</v>
      </c>
      <c r="B2078" s="7" t="s">
        <v>268</v>
      </c>
      <c r="C2078" s="7">
        <v>0.75</v>
      </c>
      <c r="D2078" s="7">
        <v>0.1</v>
      </c>
      <c r="E2078" s="7">
        <v>6.0</v>
      </c>
      <c r="F2078" s="7">
        <v>293.576534986496</v>
      </c>
      <c r="G2078" s="7">
        <v>404.796088695526</v>
      </c>
      <c r="H2078" s="7">
        <v>1.0</v>
      </c>
      <c r="I2078" s="15">
        <v>0.0592346842922836</v>
      </c>
      <c r="J2078" s="15">
        <v>0.0473208301173729</v>
      </c>
      <c r="K2078" s="12">
        <f>AVERAGE(I2077:I2081)</f>
        <v>0.4898410966</v>
      </c>
      <c r="L2078" s="18">
        <v>87557.0</v>
      </c>
      <c r="M2078" s="14">
        <f>STDEV(L2077:L2081)</f>
        <v>34720.76121</v>
      </c>
      <c r="N2078" s="15" t="b">
        <f t="shared" si="1"/>
        <v>0</v>
      </c>
    </row>
    <row r="2079" hidden="1">
      <c r="A2079" s="7" t="s">
        <v>423</v>
      </c>
      <c r="B2079" s="7" t="s">
        <v>268</v>
      </c>
      <c r="C2079" s="7">
        <v>0.75</v>
      </c>
      <c r="D2079" s="7">
        <v>0.1</v>
      </c>
      <c r="E2079" s="7">
        <v>6.0</v>
      </c>
      <c r="F2079" s="7">
        <v>293.576534986496</v>
      </c>
      <c r="G2079" s="7">
        <v>404.796088695526</v>
      </c>
      <c r="H2079" s="7">
        <v>2.0</v>
      </c>
      <c r="I2079" s="15">
        <v>0.360973255722802</v>
      </c>
      <c r="J2079" s="15">
        <v>0.0903552037077609</v>
      </c>
      <c r="K2079" s="12">
        <f>AVERAGE(I2077:I2081)</f>
        <v>0.4898410966</v>
      </c>
      <c r="L2079" s="18">
        <v>29291.0</v>
      </c>
      <c r="M2079" s="14">
        <f>STDEV(L2077:L2081)</f>
        <v>34720.76121</v>
      </c>
      <c r="N2079" s="15" t="b">
        <f t="shared" si="1"/>
        <v>0</v>
      </c>
    </row>
    <row r="2080" hidden="1">
      <c r="A2080" s="7" t="s">
        <v>423</v>
      </c>
      <c r="B2080" s="7" t="s">
        <v>268</v>
      </c>
      <c r="C2080" s="7">
        <v>0.75</v>
      </c>
      <c r="D2080" s="7">
        <v>0.1</v>
      </c>
      <c r="E2080" s="7">
        <v>6.0</v>
      </c>
      <c r="F2080" s="7">
        <v>293.576534986496</v>
      </c>
      <c r="G2080" s="7">
        <v>404.796088695526</v>
      </c>
      <c r="H2080" s="7">
        <v>3.0</v>
      </c>
      <c r="I2080" s="15">
        <v>0.822398554506333</v>
      </c>
      <c r="J2080" s="15">
        <v>0.100022424822013</v>
      </c>
      <c r="K2080" s="12">
        <f>AVERAGE(I2077:I2081)</f>
        <v>0.4898410966</v>
      </c>
      <c r="L2080" s="18">
        <v>6463.0</v>
      </c>
      <c r="M2080" s="14">
        <f>STDEV(L2077:L2081)</f>
        <v>34720.76121</v>
      </c>
      <c r="N2080" s="15" t="b">
        <f t="shared" si="1"/>
        <v>0</v>
      </c>
    </row>
    <row r="2081" hidden="1">
      <c r="A2081" s="7" t="s">
        <v>423</v>
      </c>
      <c r="B2081" s="7" t="s">
        <v>268</v>
      </c>
      <c r="C2081" s="7">
        <v>0.75</v>
      </c>
      <c r="D2081" s="7">
        <v>0.1</v>
      </c>
      <c r="E2081" s="7">
        <v>6.0</v>
      </c>
      <c r="F2081" s="7">
        <v>293.576534986496</v>
      </c>
      <c r="G2081" s="7">
        <v>404.796088695526</v>
      </c>
      <c r="H2081" s="7">
        <v>4.0</v>
      </c>
      <c r="I2081" s="15">
        <v>0.294040781366352</v>
      </c>
      <c r="J2081" s="15">
        <v>0.330695740167388</v>
      </c>
      <c r="K2081" s="12">
        <f>AVERAGE(I2077:I2081)</f>
        <v>0.4898410966</v>
      </c>
      <c r="L2081" s="18">
        <v>16322.0</v>
      </c>
      <c r="M2081" s="14">
        <f>STDEV(L2077:L2081)</f>
        <v>34720.76121</v>
      </c>
      <c r="N2081" s="15" t="b">
        <f t="shared" si="1"/>
        <v>0</v>
      </c>
    </row>
    <row r="2082" hidden="1">
      <c r="A2082" s="7" t="s">
        <v>424</v>
      </c>
      <c r="B2082" s="20" t="s">
        <v>268</v>
      </c>
      <c r="C2082" s="20">
        <v>0.75</v>
      </c>
      <c r="D2082" s="20">
        <v>0.1</v>
      </c>
      <c r="E2082" s="20">
        <v>7.0</v>
      </c>
      <c r="F2082" s="7">
        <v>289.572472810745</v>
      </c>
      <c r="G2082" s="7">
        <v>392.514290809631</v>
      </c>
      <c r="H2082" s="7">
        <v>0.0</v>
      </c>
      <c r="I2082" s="15">
        <v>0.765186245036937</v>
      </c>
      <c r="J2082" s="15">
        <v>0.136552815393045</v>
      </c>
      <c r="K2082" s="12">
        <f>AVERAGE(I2082:I2086)</f>
        <v>0.6899773515</v>
      </c>
      <c r="L2082" s="18">
        <v>7824.0</v>
      </c>
      <c r="M2082" s="14">
        <f>STDEV(L2082:L2086)</f>
        <v>52686.61073</v>
      </c>
      <c r="N2082" s="15" t="b">
        <f t="shared" si="1"/>
        <v>1</v>
      </c>
    </row>
    <row r="2083" hidden="1">
      <c r="A2083" s="7" t="s">
        <v>424</v>
      </c>
      <c r="B2083" s="20" t="s">
        <v>268</v>
      </c>
      <c r="C2083" s="20">
        <v>0.75</v>
      </c>
      <c r="D2083" s="20">
        <v>0.1</v>
      </c>
      <c r="E2083" s="20">
        <v>7.0</v>
      </c>
      <c r="F2083" s="7">
        <v>289.572472810745</v>
      </c>
      <c r="G2083" s="7">
        <v>392.514290809631</v>
      </c>
      <c r="H2083" s="7">
        <v>1.0</v>
      </c>
      <c r="I2083" s="15">
        <v>0.865403037177842</v>
      </c>
      <c r="J2083" s="15">
        <v>0.0963017109845048</v>
      </c>
      <c r="K2083" s="12">
        <f>AVERAGE(I2082:I2086)</f>
        <v>0.6899773515</v>
      </c>
      <c r="L2083" s="18">
        <v>5081.0</v>
      </c>
      <c r="M2083" s="14">
        <f>STDEV(L2082:L2086)</f>
        <v>52686.61073</v>
      </c>
      <c r="N2083" s="15" t="b">
        <f t="shared" si="1"/>
        <v>1</v>
      </c>
    </row>
    <row r="2084" hidden="1">
      <c r="A2084" s="7" t="s">
        <v>424</v>
      </c>
      <c r="B2084" s="20" t="s">
        <v>268</v>
      </c>
      <c r="C2084" s="20">
        <v>0.75</v>
      </c>
      <c r="D2084" s="20">
        <v>0.1</v>
      </c>
      <c r="E2084" s="20">
        <v>7.0</v>
      </c>
      <c r="F2084" s="7">
        <v>289.572472810745</v>
      </c>
      <c r="G2084" s="7">
        <v>392.514290809631</v>
      </c>
      <c r="H2084" s="7">
        <v>2.0</v>
      </c>
      <c r="I2084" s="15">
        <v>0.913187169961931</v>
      </c>
      <c r="J2084" s="15">
        <v>0.0341825978929528</v>
      </c>
      <c r="K2084" s="12">
        <f>AVERAGE(I2082:I2086)</f>
        <v>0.6899773515</v>
      </c>
      <c r="L2084" s="18">
        <v>2043.0</v>
      </c>
      <c r="M2084" s="14">
        <f>STDEV(L2082:L2086)</f>
        <v>52686.61073</v>
      </c>
      <c r="N2084" s="15" t="b">
        <f t="shared" si="1"/>
        <v>1</v>
      </c>
    </row>
    <row r="2085" hidden="1">
      <c r="A2085" s="7" t="s">
        <v>424</v>
      </c>
      <c r="B2085" s="20" t="s">
        <v>268</v>
      </c>
      <c r="C2085" s="20">
        <v>0.75</v>
      </c>
      <c r="D2085" s="20">
        <v>0.1</v>
      </c>
      <c r="E2085" s="20">
        <v>7.0</v>
      </c>
      <c r="F2085" s="7">
        <v>289.572472810745</v>
      </c>
      <c r="G2085" s="7">
        <v>392.514290809631</v>
      </c>
      <c r="H2085" s="7">
        <v>3.0</v>
      </c>
      <c r="I2085" s="15">
        <v>0.0619556423637275</v>
      </c>
      <c r="J2085" s="15">
        <v>0.125129097785986</v>
      </c>
      <c r="K2085" s="12">
        <f>AVERAGE(I2082:I2086)</f>
        <v>0.6899773515</v>
      </c>
      <c r="L2085" s="18">
        <v>122511.0</v>
      </c>
      <c r="M2085" s="14">
        <f>STDEV(L2082:L2086)</f>
        <v>52686.61073</v>
      </c>
      <c r="N2085" s="15" t="b">
        <f t="shared" si="1"/>
        <v>1</v>
      </c>
    </row>
    <row r="2086" hidden="1">
      <c r="A2086" s="7" t="s">
        <v>424</v>
      </c>
      <c r="B2086" s="20" t="s">
        <v>268</v>
      </c>
      <c r="C2086" s="20">
        <v>0.75</v>
      </c>
      <c r="D2086" s="20">
        <v>0.1</v>
      </c>
      <c r="E2086" s="20">
        <v>7.0</v>
      </c>
      <c r="F2086" s="7">
        <v>289.572472810745</v>
      </c>
      <c r="G2086" s="7">
        <v>392.514290809631</v>
      </c>
      <c r="H2086" s="7">
        <v>4.0</v>
      </c>
      <c r="I2086" s="15">
        <v>0.844154663108358</v>
      </c>
      <c r="J2086" s="15">
        <v>0.0994215585862644</v>
      </c>
      <c r="K2086" s="12">
        <f>AVERAGE(I2082:I2086)</f>
        <v>0.6899773515</v>
      </c>
      <c r="L2086" s="18">
        <v>4217.0</v>
      </c>
      <c r="M2086" s="14">
        <f>STDEV(L2082:L2086)</f>
        <v>52686.61073</v>
      </c>
      <c r="N2086" s="15" t="b">
        <f t="shared" si="1"/>
        <v>1</v>
      </c>
    </row>
    <row r="2087" hidden="1">
      <c r="A2087" s="7" t="s">
        <v>425</v>
      </c>
      <c r="B2087" s="7" t="s">
        <v>268</v>
      </c>
      <c r="C2087" s="7">
        <v>0.75</v>
      </c>
      <c r="D2087" s="7">
        <v>0.1</v>
      </c>
      <c r="E2087" s="7">
        <v>8.0</v>
      </c>
      <c r="F2087" s="7">
        <v>265.805553913116</v>
      </c>
      <c r="G2087" s="7">
        <v>373.873035192489</v>
      </c>
      <c r="H2087" s="7">
        <v>0.0</v>
      </c>
      <c r="I2087" s="15">
        <v>0.518390644382707</v>
      </c>
      <c r="J2087" s="15">
        <v>0.272835138408331</v>
      </c>
      <c r="K2087" s="12">
        <f>AVERAGE(I2087:I2091)</f>
        <v>0.5537921952</v>
      </c>
      <c r="L2087" s="18">
        <v>25685.0</v>
      </c>
      <c r="M2087" s="14">
        <f>STDEV(L2087:L2091)</f>
        <v>37603.18563</v>
      </c>
      <c r="N2087" s="15" t="b">
        <f t="shared" si="1"/>
        <v>0</v>
      </c>
    </row>
    <row r="2088" hidden="1">
      <c r="A2088" s="7" t="s">
        <v>425</v>
      </c>
      <c r="B2088" s="7" t="s">
        <v>268</v>
      </c>
      <c r="C2088" s="7">
        <v>0.75</v>
      </c>
      <c r="D2088" s="7">
        <v>0.1</v>
      </c>
      <c r="E2088" s="7">
        <v>8.0</v>
      </c>
      <c r="F2088" s="7">
        <v>265.805553913116</v>
      </c>
      <c r="G2088" s="7">
        <v>373.873035192489</v>
      </c>
      <c r="H2088" s="7">
        <v>1.0</v>
      </c>
      <c r="I2088" s="15">
        <v>0.72181332084901</v>
      </c>
      <c r="J2088" s="15">
        <v>0.141744832538628</v>
      </c>
      <c r="K2088" s="12">
        <f>AVERAGE(I2087:I2091)</f>
        <v>0.5537921952</v>
      </c>
      <c r="L2088" s="18">
        <v>13521.0</v>
      </c>
      <c r="M2088" s="14">
        <f>STDEV(L2087:L2091)</f>
        <v>37603.18563</v>
      </c>
      <c r="N2088" s="15" t="b">
        <f t="shared" si="1"/>
        <v>0</v>
      </c>
    </row>
    <row r="2089" hidden="1">
      <c r="A2089" s="7" t="s">
        <v>425</v>
      </c>
      <c r="B2089" s="7" t="s">
        <v>268</v>
      </c>
      <c r="C2089" s="7">
        <v>0.75</v>
      </c>
      <c r="D2089" s="7">
        <v>0.1</v>
      </c>
      <c r="E2089" s="7">
        <v>8.0</v>
      </c>
      <c r="F2089" s="7">
        <v>265.805553913116</v>
      </c>
      <c r="G2089" s="7">
        <v>373.873035192489</v>
      </c>
      <c r="H2089" s="7">
        <v>2.0</v>
      </c>
      <c r="I2089" s="15">
        <v>0.82088007470527</v>
      </c>
      <c r="J2089" s="15">
        <v>0.105792384541921</v>
      </c>
      <c r="K2089" s="12">
        <f>AVERAGE(I2087:I2091)</f>
        <v>0.5537921952</v>
      </c>
      <c r="L2089" s="18">
        <v>6463.0</v>
      </c>
      <c r="M2089" s="14">
        <f>STDEV(L2087:L2091)</f>
        <v>37603.18563</v>
      </c>
      <c r="N2089" s="15" t="b">
        <f t="shared" si="1"/>
        <v>0</v>
      </c>
    </row>
    <row r="2090" hidden="1">
      <c r="A2090" s="7" t="s">
        <v>425</v>
      </c>
      <c r="B2090" s="7" t="s">
        <v>268</v>
      </c>
      <c r="C2090" s="7">
        <v>0.75</v>
      </c>
      <c r="D2090" s="7">
        <v>0.1</v>
      </c>
      <c r="E2090" s="7">
        <v>8.0</v>
      </c>
      <c r="F2090" s="7">
        <v>265.805553913116</v>
      </c>
      <c r="G2090" s="7">
        <v>373.873035192489</v>
      </c>
      <c r="H2090" s="7">
        <v>3.0</v>
      </c>
      <c r="I2090" s="15">
        <v>0.649302941050221</v>
      </c>
      <c r="J2090" s="15">
        <v>0.125533492000928</v>
      </c>
      <c r="K2090" s="12">
        <f>AVERAGE(I2087:I2091)</f>
        <v>0.5537921952</v>
      </c>
      <c r="L2090" s="18">
        <v>2301.0</v>
      </c>
      <c r="M2090" s="14">
        <f>STDEV(L2087:L2091)</f>
        <v>37603.18563</v>
      </c>
      <c r="N2090" s="15" t="b">
        <f t="shared" si="1"/>
        <v>0</v>
      </c>
    </row>
    <row r="2091" hidden="1">
      <c r="A2091" s="7" t="s">
        <v>425</v>
      </c>
      <c r="B2091" s="7" t="s">
        <v>268</v>
      </c>
      <c r="C2091" s="7">
        <v>0.75</v>
      </c>
      <c r="D2091" s="7">
        <v>0.1</v>
      </c>
      <c r="E2091" s="7">
        <v>8.0</v>
      </c>
      <c r="F2091" s="7">
        <v>265.805553913116</v>
      </c>
      <c r="G2091" s="7">
        <v>373.873035192489</v>
      </c>
      <c r="H2091" s="7">
        <v>4.0</v>
      </c>
      <c r="I2091" s="15">
        <v>0.0585739950939442</v>
      </c>
      <c r="J2091" s="15">
        <v>0.0608079043413563</v>
      </c>
      <c r="K2091" s="12">
        <f>AVERAGE(I2087:I2091)</f>
        <v>0.5537921952</v>
      </c>
      <c r="L2091" s="18">
        <v>93706.0</v>
      </c>
      <c r="M2091" s="14">
        <f>STDEV(L2087:L2091)</f>
        <v>37603.18563</v>
      </c>
      <c r="N2091" s="15" t="b">
        <f t="shared" si="1"/>
        <v>0</v>
      </c>
    </row>
    <row r="2092" hidden="1">
      <c r="A2092" s="7" t="s">
        <v>426</v>
      </c>
      <c r="B2092" s="21" t="s">
        <v>268</v>
      </c>
      <c r="C2092" s="21">
        <v>0.75</v>
      </c>
      <c r="D2092" s="21">
        <v>0.1</v>
      </c>
      <c r="E2092" s="21">
        <v>9.0</v>
      </c>
      <c r="F2092" s="7">
        <v>238.606628656387</v>
      </c>
      <c r="G2092" s="7">
        <v>354.377363204956</v>
      </c>
      <c r="H2092" s="7">
        <v>0.0</v>
      </c>
      <c r="I2092" s="15">
        <v>0.913195915745148</v>
      </c>
      <c r="J2092" s="15">
        <v>0.0341565072988385</v>
      </c>
      <c r="K2092" s="12">
        <f>AVERAGE(I2092:I2096)</f>
        <v>0.676948887</v>
      </c>
      <c r="L2092" s="18">
        <v>2043.0</v>
      </c>
      <c r="M2092" s="14">
        <f>STDEV(L2092:L2096)</f>
        <v>56301.23624</v>
      </c>
      <c r="N2092" s="15" t="b">
        <f t="shared" si="1"/>
        <v>1</v>
      </c>
    </row>
    <row r="2093" hidden="1">
      <c r="A2093" s="7" t="s">
        <v>426</v>
      </c>
      <c r="B2093" s="21" t="s">
        <v>268</v>
      </c>
      <c r="C2093" s="21">
        <v>0.75</v>
      </c>
      <c r="D2093" s="21">
        <v>0.1</v>
      </c>
      <c r="E2093" s="21">
        <v>9.0</v>
      </c>
      <c r="F2093" s="7">
        <v>238.606628656387</v>
      </c>
      <c r="G2093" s="7">
        <v>354.377363204956</v>
      </c>
      <c r="H2093" s="7">
        <v>1.0</v>
      </c>
      <c r="I2093" s="15">
        <v>0.864609784989853</v>
      </c>
      <c r="J2093" s="15">
        <v>0.0946512399480436</v>
      </c>
      <c r="K2093" s="12">
        <f>AVERAGE(I2092:I2096)</f>
        <v>0.676948887</v>
      </c>
      <c r="L2093" s="18">
        <v>5086.0</v>
      </c>
      <c r="M2093" s="14">
        <f>STDEV(L2092:L2096)</f>
        <v>56301.23624</v>
      </c>
      <c r="N2093" s="15" t="b">
        <f t="shared" si="1"/>
        <v>1</v>
      </c>
    </row>
    <row r="2094" hidden="1">
      <c r="A2094" s="7" t="s">
        <v>426</v>
      </c>
      <c r="B2094" s="21" t="s">
        <v>268</v>
      </c>
      <c r="C2094" s="21">
        <v>0.75</v>
      </c>
      <c r="D2094" s="21">
        <v>0.1</v>
      </c>
      <c r="E2094" s="21">
        <v>9.0</v>
      </c>
      <c r="F2094" s="7">
        <v>238.606628656387</v>
      </c>
      <c r="G2094" s="7">
        <v>354.377363204956</v>
      </c>
      <c r="H2094" s="7">
        <v>2.0</v>
      </c>
      <c r="I2094" s="15">
        <v>0.723573241473902</v>
      </c>
      <c r="J2094" s="15">
        <v>0.13733732769672</v>
      </c>
      <c r="K2094" s="12">
        <f>AVERAGE(I2092:I2096)</f>
        <v>0.676948887</v>
      </c>
      <c r="L2094" s="18">
        <v>3699.0</v>
      </c>
      <c r="M2094" s="14">
        <f>STDEV(L2092:L2096)</f>
        <v>56301.23624</v>
      </c>
      <c r="N2094" s="15" t="b">
        <f t="shared" si="1"/>
        <v>1</v>
      </c>
    </row>
    <row r="2095" hidden="1">
      <c r="A2095" s="7" t="s">
        <v>426</v>
      </c>
      <c r="B2095" s="21" t="s">
        <v>268</v>
      </c>
      <c r="C2095" s="21">
        <v>0.75</v>
      </c>
      <c r="D2095" s="21">
        <v>0.1</v>
      </c>
      <c r="E2095" s="21">
        <v>9.0</v>
      </c>
      <c r="F2095" s="7">
        <v>238.606628656387</v>
      </c>
      <c r="G2095" s="7">
        <v>354.377363204956</v>
      </c>
      <c r="H2095" s="7">
        <v>3.0</v>
      </c>
      <c r="I2095" s="15">
        <v>0.0753062885895581</v>
      </c>
      <c r="J2095" s="15">
        <v>0.0510006627839064</v>
      </c>
      <c r="K2095" s="12">
        <f>AVERAGE(I2092:I2096)</f>
        <v>0.676948887</v>
      </c>
      <c r="L2095" s="18">
        <v>129022.0</v>
      </c>
      <c r="M2095" s="14">
        <f>STDEV(L2092:L2096)</f>
        <v>56301.23624</v>
      </c>
      <c r="N2095" s="15" t="b">
        <f t="shared" si="1"/>
        <v>1</v>
      </c>
    </row>
    <row r="2096" hidden="1">
      <c r="A2096" s="7" t="s">
        <v>426</v>
      </c>
      <c r="B2096" s="21" t="s">
        <v>268</v>
      </c>
      <c r="C2096" s="21">
        <v>0.75</v>
      </c>
      <c r="D2096" s="21">
        <v>0.1</v>
      </c>
      <c r="E2096" s="21">
        <v>9.0</v>
      </c>
      <c r="F2096" s="7">
        <v>238.606628656387</v>
      </c>
      <c r="G2096" s="7">
        <v>354.377363204956</v>
      </c>
      <c r="H2096" s="7">
        <v>4.0</v>
      </c>
      <c r="I2096" s="15">
        <v>0.808059204430748</v>
      </c>
      <c r="J2096" s="15">
        <v>0.125544434123535</v>
      </c>
      <c r="K2096" s="12">
        <f>AVERAGE(I2092:I2096)</f>
        <v>0.676948887</v>
      </c>
      <c r="L2096" s="18">
        <v>1826.0</v>
      </c>
      <c r="M2096" s="14">
        <f>STDEV(L2092:L2096)</f>
        <v>56301.23624</v>
      </c>
      <c r="N2096" s="15" t="b">
        <f t="shared" si="1"/>
        <v>1</v>
      </c>
    </row>
    <row r="2097" hidden="1">
      <c r="A2097" s="7" t="s">
        <v>427</v>
      </c>
      <c r="B2097" s="7" t="s">
        <v>268</v>
      </c>
      <c r="C2097" s="7">
        <v>0.75</v>
      </c>
      <c r="D2097" s="7">
        <v>0.1</v>
      </c>
      <c r="E2097" s="7">
        <v>10.0</v>
      </c>
      <c r="F2097" s="7">
        <v>500.296011924743</v>
      </c>
      <c r="G2097" s="7">
        <v>704.860610246658</v>
      </c>
      <c r="H2097" s="7">
        <v>0.0</v>
      </c>
      <c r="I2097" s="15">
        <v>0.874779483934939</v>
      </c>
      <c r="J2097" s="15">
        <v>0.051762569889662</v>
      </c>
      <c r="K2097" s="12">
        <f>AVERAGE(I2097:I2101)</f>
        <v>0.4612986836</v>
      </c>
      <c r="L2097" s="18">
        <v>4119.0</v>
      </c>
      <c r="M2097" s="14">
        <f>STDEV(L2097:L2101)</f>
        <v>37174.61094</v>
      </c>
      <c r="N2097" s="15" t="b">
        <f t="shared" si="1"/>
        <v>0</v>
      </c>
    </row>
    <row r="2098" hidden="1">
      <c r="A2098" s="7" t="s">
        <v>427</v>
      </c>
      <c r="B2098" s="7" t="s">
        <v>268</v>
      </c>
      <c r="C2098" s="7">
        <v>0.75</v>
      </c>
      <c r="D2098" s="7">
        <v>0.1</v>
      </c>
      <c r="E2098" s="7">
        <v>10.0</v>
      </c>
      <c r="F2098" s="7">
        <v>500.296011924743</v>
      </c>
      <c r="G2098" s="7">
        <v>704.860610246658</v>
      </c>
      <c r="H2098" s="7">
        <v>1.0</v>
      </c>
      <c r="I2098" s="15">
        <v>0.0645183490613942</v>
      </c>
      <c r="J2098" s="15">
        <v>0.0440725615725863</v>
      </c>
      <c r="K2098" s="12">
        <f>AVERAGE(I2097:I2101)</f>
        <v>0.4612986836</v>
      </c>
      <c r="L2098" s="18">
        <v>45946.0</v>
      </c>
      <c r="M2098" s="14">
        <f>STDEV(L2097:L2101)</f>
        <v>37174.61094</v>
      </c>
      <c r="N2098" s="15" t="b">
        <f t="shared" si="1"/>
        <v>0</v>
      </c>
    </row>
    <row r="2099" hidden="1">
      <c r="A2099" s="7" t="s">
        <v>427</v>
      </c>
      <c r="B2099" s="7" t="s">
        <v>268</v>
      </c>
      <c r="C2099" s="7">
        <v>0.75</v>
      </c>
      <c r="D2099" s="7">
        <v>0.1</v>
      </c>
      <c r="E2099" s="7">
        <v>10.0</v>
      </c>
      <c r="F2099" s="7">
        <v>500.296011924743</v>
      </c>
      <c r="G2099" s="7">
        <v>704.860610246658</v>
      </c>
      <c r="H2099" s="7">
        <v>2.0</v>
      </c>
      <c r="I2099" s="15">
        <v>0.912805210480497</v>
      </c>
      <c r="J2099" s="15">
        <v>0.034491901892093</v>
      </c>
      <c r="K2099" s="12">
        <f>AVERAGE(I2097:I2101)</f>
        <v>0.4612986836</v>
      </c>
      <c r="L2099" s="18">
        <v>2043.0</v>
      </c>
      <c r="M2099" s="14">
        <f>STDEV(L2097:L2101)</f>
        <v>37174.61094</v>
      </c>
      <c r="N2099" s="15" t="b">
        <f t="shared" si="1"/>
        <v>0</v>
      </c>
    </row>
    <row r="2100" hidden="1">
      <c r="A2100" s="7" t="s">
        <v>427</v>
      </c>
      <c r="B2100" s="7" t="s">
        <v>268</v>
      </c>
      <c r="C2100" s="7">
        <v>0.75</v>
      </c>
      <c r="D2100" s="7">
        <v>0.1</v>
      </c>
      <c r="E2100" s="7">
        <v>10.0</v>
      </c>
      <c r="F2100" s="7">
        <v>500.296011924743</v>
      </c>
      <c r="G2100" s="7">
        <v>704.860610246658</v>
      </c>
      <c r="H2100" s="7">
        <v>3.0</v>
      </c>
      <c r="I2100" s="15">
        <v>0.340694431760174</v>
      </c>
      <c r="J2100" s="15">
        <v>0.0998744184535952</v>
      </c>
      <c r="K2100" s="12">
        <f>AVERAGE(I2097:I2101)</f>
        <v>0.4612986836</v>
      </c>
      <c r="L2100" s="18">
        <v>3560.0</v>
      </c>
      <c r="M2100" s="14">
        <f>STDEV(L2097:L2101)</f>
        <v>37174.61094</v>
      </c>
      <c r="N2100" s="15" t="b">
        <f t="shared" si="1"/>
        <v>0</v>
      </c>
    </row>
    <row r="2101" hidden="1">
      <c r="A2101" s="7" t="s">
        <v>427</v>
      </c>
      <c r="B2101" s="7" t="s">
        <v>268</v>
      </c>
      <c r="C2101" s="7">
        <v>0.75</v>
      </c>
      <c r="D2101" s="7">
        <v>0.1</v>
      </c>
      <c r="E2101" s="7">
        <v>10.0</v>
      </c>
      <c r="F2101" s="7">
        <v>500.296011924743</v>
      </c>
      <c r="G2101" s="7">
        <v>704.860610246658</v>
      </c>
      <c r="H2101" s="7">
        <v>4.0</v>
      </c>
      <c r="I2101" s="15">
        <v>0.113695942822423</v>
      </c>
      <c r="J2101" s="15">
        <v>0.157246481089484</v>
      </c>
      <c r="K2101" s="12">
        <f>AVERAGE(I2097:I2101)</f>
        <v>0.4612986836</v>
      </c>
      <c r="L2101" s="18">
        <v>86008.0</v>
      </c>
      <c r="M2101" s="14">
        <f>STDEV(L2097:L2101)</f>
        <v>37174.61094</v>
      </c>
      <c r="N2101" s="15" t="b">
        <f t="shared" si="1"/>
        <v>0</v>
      </c>
    </row>
    <row r="2102" hidden="1">
      <c r="A2102" s="7" t="s">
        <v>428</v>
      </c>
      <c r="B2102" s="7" t="s">
        <v>268</v>
      </c>
      <c r="C2102" s="7">
        <v>0.75</v>
      </c>
      <c r="D2102" s="7">
        <v>0.25</v>
      </c>
      <c r="E2102" s="7">
        <v>1.0</v>
      </c>
      <c r="F2102" s="7">
        <v>181.215506315231</v>
      </c>
      <c r="G2102" s="7">
        <v>298.533630609512</v>
      </c>
      <c r="H2102" s="7">
        <v>0.0</v>
      </c>
      <c r="I2102" s="15">
        <v>0.778889920394114</v>
      </c>
      <c r="J2102" s="15">
        <v>0.11404271020358</v>
      </c>
      <c r="K2102" s="12">
        <f>AVERAGE(I2102:I2106)</f>
        <v>0.4324370343</v>
      </c>
      <c r="L2102" s="18">
        <v>15443.0</v>
      </c>
      <c r="M2102" s="14">
        <f>STDEV(L2102:L2106)</f>
        <v>36669.26012</v>
      </c>
      <c r="N2102" s="15" t="b">
        <f t="shared" si="1"/>
        <v>0</v>
      </c>
    </row>
    <row r="2103" hidden="1">
      <c r="A2103" s="7" t="s">
        <v>428</v>
      </c>
      <c r="B2103" s="7" t="s">
        <v>268</v>
      </c>
      <c r="C2103" s="7">
        <v>0.75</v>
      </c>
      <c r="D2103" s="7">
        <v>0.25</v>
      </c>
      <c r="E2103" s="7">
        <v>1.0</v>
      </c>
      <c r="F2103" s="7">
        <v>181.215506315231</v>
      </c>
      <c r="G2103" s="7">
        <v>298.533630609512</v>
      </c>
      <c r="H2103" s="7">
        <v>1.0</v>
      </c>
      <c r="I2103" s="15">
        <v>0.30015923313004</v>
      </c>
      <c r="J2103" s="15">
        <v>0.276992440334073</v>
      </c>
      <c r="K2103" s="12">
        <f>AVERAGE(I2102:I2106)</f>
        <v>0.4324370343</v>
      </c>
      <c r="L2103" s="18">
        <v>17124.0</v>
      </c>
      <c r="M2103" s="14">
        <f>STDEV(L2102:L2106)</f>
        <v>36669.26012</v>
      </c>
      <c r="N2103" s="15" t="b">
        <f t="shared" si="1"/>
        <v>0</v>
      </c>
    </row>
    <row r="2104" hidden="1">
      <c r="A2104" s="7" t="s">
        <v>428</v>
      </c>
      <c r="B2104" s="7" t="s">
        <v>268</v>
      </c>
      <c r="C2104" s="7">
        <v>0.75</v>
      </c>
      <c r="D2104" s="7">
        <v>0.25</v>
      </c>
      <c r="E2104" s="7">
        <v>1.0</v>
      </c>
      <c r="F2104" s="7">
        <v>181.215506315231</v>
      </c>
      <c r="G2104" s="7">
        <v>298.533630609512</v>
      </c>
      <c r="H2104" s="7">
        <v>2.0</v>
      </c>
      <c r="I2104" s="15">
        <v>0.301919866029525</v>
      </c>
      <c r="J2104" s="15">
        <v>0.104860940587425</v>
      </c>
      <c r="K2104" s="12">
        <f>AVERAGE(I2102:I2106)</f>
        <v>0.4324370343</v>
      </c>
      <c r="L2104" s="18">
        <v>2841.0</v>
      </c>
      <c r="M2104" s="14">
        <f>STDEV(L2102:L2106)</f>
        <v>36669.26012</v>
      </c>
      <c r="N2104" s="15" t="b">
        <f t="shared" si="1"/>
        <v>0</v>
      </c>
    </row>
    <row r="2105" hidden="1">
      <c r="A2105" s="7" t="s">
        <v>428</v>
      </c>
      <c r="B2105" s="7" t="s">
        <v>268</v>
      </c>
      <c r="C2105" s="7">
        <v>0.75</v>
      </c>
      <c r="D2105" s="7">
        <v>0.25</v>
      </c>
      <c r="E2105" s="7">
        <v>1.0</v>
      </c>
      <c r="F2105" s="7">
        <v>181.215506315231</v>
      </c>
      <c r="G2105" s="7">
        <v>298.533630609512</v>
      </c>
      <c r="H2105" s="7">
        <v>3.0</v>
      </c>
      <c r="I2105" s="15">
        <v>0.0413158670215018</v>
      </c>
      <c r="J2105" s="15">
        <v>0.0586871239530594</v>
      </c>
      <c r="K2105" s="12">
        <f>AVERAGE(I2102:I2106)</f>
        <v>0.4324370343</v>
      </c>
      <c r="L2105" s="18">
        <v>93176.0</v>
      </c>
      <c r="M2105" s="14">
        <f>STDEV(L2102:L2106)</f>
        <v>36669.26012</v>
      </c>
      <c r="N2105" s="15" t="b">
        <f t="shared" si="1"/>
        <v>0</v>
      </c>
    </row>
    <row r="2106" hidden="1">
      <c r="A2106" s="7" t="s">
        <v>428</v>
      </c>
      <c r="B2106" s="7" t="s">
        <v>268</v>
      </c>
      <c r="C2106" s="7">
        <v>0.75</v>
      </c>
      <c r="D2106" s="7">
        <v>0.25</v>
      </c>
      <c r="E2106" s="7">
        <v>1.0</v>
      </c>
      <c r="F2106" s="7">
        <v>181.215506315231</v>
      </c>
      <c r="G2106" s="7">
        <v>298.533630609512</v>
      </c>
      <c r="H2106" s="7">
        <v>4.0</v>
      </c>
      <c r="I2106" s="15">
        <v>0.73990028497204</v>
      </c>
      <c r="J2106" s="15">
        <v>0.13549547048072</v>
      </c>
      <c r="K2106" s="12">
        <f>AVERAGE(I2102:I2106)</f>
        <v>0.4324370343</v>
      </c>
      <c r="L2106" s="18">
        <v>13092.0</v>
      </c>
      <c r="M2106" s="14">
        <f>STDEV(L2102:L2106)</f>
        <v>36669.26012</v>
      </c>
      <c r="N2106" s="15" t="b">
        <f t="shared" si="1"/>
        <v>0</v>
      </c>
    </row>
    <row r="2107" hidden="1">
      <c r="A2107" s="7" t="s">
        <v>429</v>
      </c>
      <c r="B2107" s="7" t="s">
        <v>268</v>
      </c>
      <c r="C2107" s="7">
        <v>0.75</v>
      </c>
      <c r="D2107" s="7">
        <v>0.25</v>
      </c>
      <c r="E2107" s="7">
        <v>2.0</v>
      </c>
      <c r="F2107" s="7">
        <v>188.920107603073</v>
      </c>
      <c r="G2107" s="7">
        <v>308.300423383712</v>
      </c>
      <c r="H2107" s="7">
        <v>0.0</v>
      </c>
      <c r="I2107" s="15">
        <v>0.821674264375921</v>
      </c>
      <c r="J2107" s="15">
        <v>0.103301595434053</v>
      </c>
      <c r="K2107" s="12">
        <f>AVERAGE(I2107:I2111)</f>
        <v>0.6353374958</v>
      </c>
      <c r="L2107" s="18">
        <v>6463.0</v>
      </c>
      <c r="M2107" s="14">
        <f>STDEV(L2107:L2111)</f>
        <v>41805.85459</v>
      </c>
      <c r="N2107" s="15" t="b">
        <f t="shared" si="1"/>
        <v>0</v>
      </c>
    </row>
    <row r="2108" hidden="1">
      <c r="A2108" s="7" t="s">
        <v>429</v>
      </c>
      <c r="B2108" s="7" t="s">
        <v>268</v>
      </c>
      <c r="C2108" s="7">
        <v>0.75</v>
      </c>
      <c r="D2108" s="7">
        <v>0.25</v>
      </c>
      <c r="E2108" s="7">
        <v>2.0</v>
      </c>
      <c r="F2108" s="7">
        <v>188.920107603073</v>
      </c>
      <c r="G2108" s="7">
        <v>308.300423383712</v>
      </c>
      <c r="H2108" s="7">
        <v>1.0</v>
      </c>
      <c r="I2108" s="15">
        <v>0.716449006669255</v>
      </c>
      <c r="J2108" s="15">
        <v>0.152656079632648</v>
      </c>
      <c r="K2108" s="12">
        <f>AVERAGE(I2107:I2111)</f>
        <v>0.6353374958</v>
      </c>
      <c r="L2108" s="18">
        <v>13502.0</v>
      </c>
      <c r="M2108" s="14">
        <f>STDEV(L2107:L2111)</f>
        <v>41805.85459</v>
      </c>
      <c r="N2108" s="15" t="b">
        <f t="shared" si="1"/>
        <v>0</v>
      </c>
    </row>
    <row r="2109" hidden="1">
      <c r="A2109" s="7" t="s">
        <v>429</v>
      </c>
      <c r="B2109" s="7" t="s">
        <v>268</v>
      </c>
      <c r="C2109" s="7">
        <v>0.75</v>
      </c>
      <c r="D2109" s="7">
        <v>0.25</v>
      </c>
      <c r="E2109" s="7">
        <v>2.0</v>
      </c>
      <c r="F2109" s="7">
        <v>188.920107603073</v>
      </c>
      <c r="G2109" s="7">
        <v>308.300423383712</v>
      </c>
      <c r="H2109" s="7">
        <v>2.0</v>
      </c>
      <c r="I2109" s="15">
        <v>0.76559243882721</v>
      </c>
      <c r="J2109" s="15">
        <v>0.134601141256269</v>
      </c>
      <c r="K2109" s="12">
        <f>AVERAGE(I2107:I2111)</f>
        <v>0.6353374958</v>
      </c>
      <c r="L2109" s="18">
        <v>15476.0</v>
      </c>
      <c r="M2109" s="14">
        <f>STDEV(L2107:L2111)</f>
        <v>41805.85459</v>
      </c>
      <c r="N2109" s="15" t="b">
        <f t="shared" si="1"/>
        <v>0</v>
      </c>
    </row>
    <row r="2110" hidden="1">
      <c r="A2110" s="7" t="s">
        <v>429</v>
      </c>
      <c r="B2110" s="7" t="s">
        <v>268</v>
      </c>
      <c r="C2110" s="7">
        <v>0.75</v>
      </c>
      <c r="D2110" s="7">
        <v>0.25</v>
      </c>
      <c r="E2110" s="7">
        <v>2.0</v>
      </c>
      <c r="F2110" s="7">
        <v>188.920107603073</v>
      </c>
      <c r="G2110" s="7">
        <v>308.300423383712</v>
      </c>
      <c r="H2110" s="7">
        <v>3.0</v>
      </c>
      <c r="I2110" s="15">
        <v>0.840565113050758</v>
      </c>
      <c r="J2110" s="15">
        <v>0.0978978475595586</v>
      </c>
      <c r="K2110" s="12">
        <f>AVERAGE(I2107:I2111)</f>
        <v>0.6353374958</v>
      </c>
      <c r="L2110" s="18">
        <v>3626.0</v>
      </c>
      <c r="M2110" s="14">
        <f>STDEV(L2107:L2111)</f>
        <v>41805.85459</v>
      </c>
      <c r="N2110" s="15" t="b">
        <f t="shared" si="1"/>
        <v>0</v>
      </c>
    </row>
    <row r="2111" hidden="1">
      <c r="A2111" s="7" t="s">
        <v>429</v>
      </c>
      <c r="B2111" s="7" t="s">
        <v>268</v>
      </c>
      <c r="C2111" s="7">
        <v>0.75</v>
      </c>
      <c r="D2111" s="7">
        <v>0.25</v>
      </c>
      <c r="E2111" s="7">
        <v>2.0</v>
      </c>
      <c r="F2111" s="7">
        <v>188.920107603073</v>
      </c>
      <c r="G2111" s="7">
        <v>308.300423383712</v>
      </c>
      <c r="H2111" s="7">
        <v>4.0</v>
      </c>
      <c r="I2111" s="15">
        <v>0.032406656231171</v>
      </c>
      <c r="J2111" s="15">
        <v>0.169045710662312</v>
      </c>
      <c r="K2111" s="12">
        <f>AVERAGE(I2107:I2111)</f>
        <v>0.6353374958</v>
      </c>
      <c r="L2111" s="18">
        <v>102609.0</v>
      </c>
      <c r="M2111" s="14">
        <f>STDEV(L2107:L2111)</f>
        <v>41805.85459</v>
      </c>
      <c r="N2111" s="15" t="b">
        <f t="shared" si="1"/>
        <v>0</v>
      </c>
    </row>
    <row r="2112" hidden="1">
      <c r="A2112" s="7" t="s">
        <v>430</v>
      </c>
      <c r="B2112" s="7" t="s">
        <v>268</v>
      </c>
      <c r="C2112" s="7">
        <v>0.75</v>
      </c>
      <c r="D2112" s="7">
        <v>0.25</v>
      </c>
      <c r="E2112" s="7">
        <v>3.0</v>
      </c>
      <c r="F2112" s="7">
        <v>230.951501607894</v>
      </c>
      <c r="G2112" s="7">
        <v>370.479832410812</v>
      </c>
      <c r="H2112" s="7">
        <v>0.0</v>
      </c>
      <c r="I2112" s="15">
        <v>0.811560445999147</v>
      </c>
      <c r="J2112" s="15">
        <v>0.121510460316193</v>
      </c>
      <c r="K2112" s="12">
        <f>AVERAGE(I2112:I2116)</f>
        <v>0.5654539583</v>
      </c>
      <c r="L2112" s="18">
        <v>1815.0</v>
      </c>
      <c r="M2112" s="14">
        <f>STDEV(L2112:L2116)</f>
        <v>53789.42711</v>
      </c>
      <c r="N2112" s="15" t="b">
        <f t="shared" si="1"/>
        <v>0</v>
      </c>
    </row>
    <row r="2113" hidden="1">
      <c r="A2113" s="7" t="s">
        <v>430</v>
      </c>
      <c r="B2113" s="7" t="s">
        <v>268</v>
      </c>
      <c r="C2113" s="7">
        <v>0.75</v>
      </c>
      <c r="D2113" s="7">
        <v>0.25</v>
      </c>
      <c r="E2113" s="7">
        <v>3.0</v>
      </c>
      <c r="F2113" s="7">
        <v>230.951501607894</v>
      </c>
      <c r="G2113" s="7">
        <v>370.479832410812</v>
      </c>
      <c r="H2113" s="7">
        <v>1.0</v>
      </c>
      <c r="I2113" s="15">
        <v>0.913174203870354</v>
      </c>
      <c r="J2113" s="15">
        <v>0.0341892463063671</v>
      </c>
      <c r="K2113" s="12">
        <f>AVERAGE(I2112:I2116)</f>
        <v>0.5654539583</v>
      </c>
      <c r="L2113" s="18">
        <v>2043.0</v>
      </c>
      <c r="M2113" s="14">
        <f>STDEV(L2112:L2116)</f>
        <v>53789.42711</v>
      </c>
      <c r="N2113" s="15" t="b">
        <f t="shared" si="1"/>
        <v>0</v>
      </c>
    </row>
    <row r="2114" hidden="1">
      <c r="A2114" s="7" t="s">
        <v>430</v>
      </c>
      <c r="B2114" s="7" t="s">
        <v>268</v>
      </c>
      <c r="C2114" s="7">
        <v>0.75</v>
      </c>
      <c r="D2114" s="7">
        <v>0.25</v>
      </c>
      <c r="E2114" s="7">
        <v>3.0</v>
      </c>
      <c r="F2114" s="7">
        <v>230.951501607894</v>
      </c>
      <c r="G2114" s="7">
        <v>370.479832410812</v>
      </c>
      <c r="H2114" s="7">
        <v>2.0</v>
      </c>
      <c r="I2114" s="15">
        <v>0.066524011868005</v>
      </c>
      <c r="J2114" s="15">
        <v>0.0876186287279635</v>
      </c>
      <c r="K2114" s="12">
        <f>AVERAGE(I2112:I2116)</f>
        <v>0.5654539583</v>
      </c>
      <c r="L2114" s="18">
        <v>124294.0</v>
      </c>
      <c r="M2114" s="14">
        <f>STDEV(L2112:L2116)</f>
        <v>53789.42711</v>
      </c>
      <c r="N2114" s="15" t="b">
        <f t="shared" si="1"/>
        <v>0</v>
      </c>
    </row>
    <row r="2115" hidden="1">
      <c r="A2115" s="7" t="s">
        <v>430</v>
      </c>
      <c r="B2115" s="7" t="s">
        <v>268</v>
      </c>
      <c r="C2115" s="7">
        <v>0.75</v>
      </c>
      <c r="D2115" s="7">
        <v>0.25</v>
      </c>
      <c r="E2115" s="7">
        <v>3.0</v>
      </c>
      <c r="F2115" s="7">
        <v>230.951501607894</v>
      </c>
      <c r="G2115" s="7">
        <v>370.479832410812</v>
      </c>
      <c r="H2115" s="7">
        <v>3.0</v>
      </c>
      <c r="I2115" s="15">
        <v>0.649921100667682</v>
      </c>
      <c r="J2115" s="15">
        <v>0.125198817777477</v>
      </c>
      <c r="K2115" s="12">
        <f>AVERAGE(I2112:I2116)</f>
        <v>0.5654539583</v>
      </c>
      <c r="L2115" s="18">
        <v>2306.0</v>
      </c>
      <c r="M2115" s="14">
        <f>STDEV(L2112:L2116)</f>
        <v>53789.42711</v>
      </c>
      <c r="N2115" s="15" t="b">
        <f t="shared" si="1"/>
        <v>0</v>
      </c>
    </row>
    <row r="2116" hidden="1">
      <c r="A2116" s="7" t="s">
        <v>430</v>
      </c>
      <c r="B2116" s="7" t="s">
        <v>268</v>
      </c>
      <c r="C2116" s="7">
        <v>0.75</v>
      </c>
      <c r="D2116" s="7">
        <v>0.25</v>
      </c>
      <c r="E2116" s="7">
        <v>3.0</v>
      </c>
      <c r="F2116" s="7">
        <v>230.951501607894</v>
      </c>
      <c r="G2116" s="7">
        <v>370.479832410812</v>
      </c>
      <c r="H2116" s="7">
        <v>4.0</v>
      </c>
      <c r="I2116" s="15">
        <v>0.386090028890608</v>
      </c>
      <c r="J2116" s="15">
        <v>0.0662929534195731</v>
      </c>
      <c r="K2116" s="12">
        <f>AVERAGE(I2112:I2116)</f>
        <v>0.5654539583</v>
      </c>
      <c r="L2116" s="18">
        <v>11218.0</v>
      </c>
      <c r="M2116" s="14">
        <f>STDEV(L2112:L2116)</f>
        <v>53789.42711</v>
      </c>
      <c r="N2116" s="15" t="b">
        <f t="shared" si="1"/>
        <v>0</v>
      </c>
    </row>
    <row r="2117" hidden="1">
      <c r="A2117" s="7" t="s">
        <v>431</v>
      </c>
      <c r="B2117" s="7" t="s">
        <v>268</v>
      </c>
      <c r="C2117" s="7">
        <v>0.75</v>
      </c>
      <c r="D2117" s="7">
        <v>0.25</v>
      </c>
      <c r="E2117" s="7">
        <v>4.0</v>
      </c>
      <c r="F2117" s="7">
        <v>150.576335191726</v>
      </c>
      <c r="G2117" s="7">
        <v>270.30460858345</v>
      </c>
      <c r="H2117" s="7">
        <v>0.0</v>
      </c>
      <c r="I2117" s="15">
        <v>0.772316696159764</v>
      </c>
      <c r="J2117" s="15">
        <v>0.119802157680205</v>
      </c>
      <c r="K2117" s="12">
        <f>AVERAGE(I2117:I2121)</f>
        <v>0.6241620251</v>
      </c>
      <c r="L2117" s="18">
        <v>15648.0</v>
      </c>
      <c r="M2117" s="14">
        <f>STDEV(L2117:L2121)</f>
        <v>43898.24455</v>
      </c>
      <c r="N2117" s="15" t="b">
        <f t="shared" si="1"/>
        <v>0</v>
      </c>
    </row>
    <row r="2118" hidden="1">
      <c r="A2118" s="7" t="s">
        <v>431</v>
      </c>
      <c r="B2118" s="7" t="s">
        <v>268</v>
      </c>
      <c r="C2118" s="7">
        <v>0.75</v>
      </c>
      <c r="D2118" s="7">
        <v>0.25</v>
      </c>
      <c r="E2118" s="7">
        <v>4.0</v>
      </c>
      <c r="F2118" s="7">
        <v>150.576335191726</v>
      </c>
      <c r="G2118" s="7">
        <v>270.30460858345</v>
      </c>
      <c r="H2118" s="7">
        <v>1.0</v>
      </c>
      <c r="I2118" s="15">
        <v>0.0638818342268318</v>
      </c>
      <c r="J2118" s="15">
        <v>0.0657997074321772</v>
      </c>
      <c r="K2118" s="12">
        <f>AVERAGE(I2117:I2121)</f>
        <v>0.6241620251</v>
      </c>
      <c r="L2118" s="18">
        <v>106159.0</v>
      </c>
      <c r="M2118" s="14">
        <f>STDEV(L2117:L2121)</f>
        <v>43898.24455</v>
      </c>
      <c r="N2118" s="15" t="b">
        <f t="shared" si="1"/>
        <v>0</v>
      </c>
    </row>
    <row r="2119" hidden="1">
      <c r="A2119" s="7" t="s">
        <v>431</v>
      </c>
      <c r="B2119" s="7" t="s">
        <v>268</v>
      </c>
      <c r="C2119" s="7">
        <v>0.75</v>
      </c>
      <c r="D2119" s="7">
        <v>0.25</v>
      </c>
      <c r="E2119" s="7">
        <v>4.0</v>
      </c>
      <c r="F2119" s="7">
        <v>150.576335191726</v>
      </c>
      <c r="G2119" s="7">
        <v>270.30460858345</v>
      </c>
      <c r="H2119" s="7">
        <v>2.0</v>
      </c>
      <c r="I2119" s="15">
        <v>0.827480830147832</v>
      </c>
      <c r="J2119" s="15">
        <v>0.090749206785946</v>
      </c>
      <c r="K2119" s="12">
        <f>AVERAGE(I2117:I2121)</f>
        <v>0.6241620251</v>
      </c>
      <c r="L2119" s="18">
        <v>4608.0</v>
      </c>
      <c r="M2119" s="14">
        <f>STDEV(L2117:L2121)</f>
        <v>43898.24455</v>
      </c>
      <c r="N2119" s="15" t="b">
        <f t="shared" si="1"/>
        <v>0</v>
      </c>
    </row>
    <row r="2120" hidden="1">
      <c r="A2120" s="7" t="s">
        <v>431</v>
      </c>
      <c r="B2120" s="7" t="s">
        <v>268</v>
      </c>
      <c r="C2120" s="7">
        <v>0.75</v>
      </c>
      <c r="D2120" s="7">
        <v>0.25</v>
      </c>
      <c r="E2120" s="7">
        <v>4.0</v>
      </c>
      <c r="F2120" s="7">
        <v>150.576335191726</v>
      </c>
      <c r="G2120" s="7">
        <v>270.30460858345</v>
      </c>
      <c r="H2120" s="7">
        <v>3.0</v>
      </c>
      <c r="I2120" s="15">
        <v>0.736785015770771</v>
      </c>
      <c r="J2120" s="15">
        <v>0.157793692926554</v>
      </c>
      <c r="K2120" s="12">
        <f>AVERAGE(I2117:I2121)</f>
        <v>0.6241620251</v>
      </c>
      <c r="L2120" s="18">
        <v>1699.0</v>
      </c>
      <c r="M2120" s="14">
        <f>STDEV(L2117:L2121)</f>
        <v>43898.24455</v>
      </c>
      <c r="N2120" s="15" t="b">
        <f t="shared" si="1"/>
        <v>0</v>
      </c>
    </row>
    <row r="2121" hidden="1">
      <c r="A2121" s="7" t="s">
        <v>431</v>
      </c>
      <c r="B2121" s="7" t="s">
        <v>268</v>
      </c>
      <c r="C2121" s="7">
        <v>0.75</v>
      </c>
      <c r="D2121" s="7">
        <v>0.25</v>
      </c>
      <c r="E2121" s="7">
        <v>4.0</v>
      </c>
      <c r="F2121" s="7">
        <v>150.576335191726</v>
      </c>
      <c r="G2121" s="7">
        <v>270.30460858345</v>
      </c>
      <c r="H2121" s="7">
        <v>4.0</v>
      </c>
      <c r="I2121" s="15">
        <v>0.720345749218702</v>
      </c>
      <c r="J2121" s="15">
        <v>0.143316046666012</v>
      </c>
      <c r="K2121" s="12">
        <f>AVERAGE(I2117:I2121)</f>
        <v>0.6241620251</v>
      </c>
      <c r="L2121" s="18">
        <v>13562.0</v>
      </c>
      <c r="M2121" s="14">
        <f>STDEV(L2117:L2121)</f>
        <v>43898.24455</v>
      </c>
      <c r="N2121" s="15" t="b">
        <f t="shared" si="1"/>
        <v>0</v>
      </c>
    </row>
    <row r="2122" hidden="1">
      <c r="A2122" s="7" t="s">
        <v>432</v>
      </c>
      <c r="B2122" s="7" t="s">
        <v>268</v>
      </c>
      <c r="C2122" s="7">
        <v>0.75</v>
      </c>
      <c r="D2122" s="7">
        <v>0.25</v>
      </c>
      <c r="E2122" s="7">
        <v>5.0</v>
      </c>
      <c r="F2122" s="7">
        <v>193.831270694732</v>
      </c>
      <c r="G2122" s="7">
        <v>327.577467918396</v>
      </c>
      <c r="H2122" s="7">
        <v>0.0</v>
      </c>
      <c r="I2122" s="15">
        <v>0.247663264266983</v>
      </c>
      <c r="J2122" s="15">
        <v>0.336891248348735</v>
      </c>
      <c r="K2122" s="12">
        <f>AVERAGE(I2122:I2126)</f>
        <v>0.4432225528</v>
      </c>
      <c r="L2122" s="18">
        <v>17134.0</v>
      </c>
      <c r="M2122" s="14">
        <f>STDEV(L2122:L2126)</f>
        <v>28938.01261</v>
      </c>
      <c r="N2122" s="15" t="b">
        <f t="shared" si="1"/>
        <v>0</v>
      </c>
    </row>
    <row r="2123" hidden="1">
      <c r="A2123" s="7" t="s">
        <v>432</v>
      </c>
      <c r="B2123" s="7" t="s">
        <v>268</v>
      </c>
      <c r="C2123" s="7">
        <v>0.75</v>
      </c>
      <c r="D2123" s="7">
        <v>0.25</v>
      </c>
      <c r="E2123" s="7">
        <v>5.0</v>
      </c>
      <c r="F2123" s="7">
        <v>193.831270694732</v>
      </c>
      <c r="G2123" s="7">
        <v>327.577467918396</v>
      </c>
      <c r="H2123" s="7">
        <v>1.0</v>
      </c>
      <c r="I2123" s="15">
        <v>0.825847748077142</v>
      </c>
      <c r="J2123" s="15">
        <v>0.0926489210754804</v>
      </c>
      <c r="K2123" s="12">
        <f>AVERAGE(I2122:I2126)</f>
        <v>0.4432225528</v>
      </c>
      <c r="L2123" s="18">
        <v>4613.0</v>
      </c>
      <c r="M2123" s="14">
        <f>STDEV(L2122:L2126)</f>
        <v>28938.01261</v>
      </c>
      <c r="N2123" s="15" t="b">
        <f t="shared" si="1"/>
        <v>0</v>
      </c>
    </row>
    <row r="2124" hidden="1">
      <c r="A2124" s="7" t="s">
        <v>432</v>
      </c>
      <c r="B2124" s="7" t="s">
        <v>268</v>
      </c>
      <c r="C2124" s="7">
        <v>0.75</v>
      </c>
      <c r="D2124" s="7">
        <v>0.25</v>
      </c>
      <c r="E2124" s="7">
        <v>5.0</v>
      </c>
      <c r="F2124" s="7">
        <v>193.831270694732</v>
      </c>
      <c r="G2124" s="7">
        <v>327.577467918396</v>
      </c>
      <c r="H2124" s="7">
        <v>2.0</v>
      </c>
      <c r="I2124" s="15">
        <v>0.069496764836103</v>
      </c>
      <c r="J2124" s="15">
        <v>0.068621815947222</v>
      </c>
      <c r="K2124" s="12">
        <f>AVERAGE(I2122:I2126)</f>
        <v>0.4432225528</v>
      </c>
      <c r="L2124" s="18">
        <v>77755.0</v>
      </c>
      <c r="M2124" s="14">
        <f>STDEV(L2122:L2126)</f>
        <v>28938.01261</v>
      </c>
      <c r="N2124" s="15" t="b">
        <f t="shared" si="1"/>
        <v>0</v>
      </c>
    </row>
    <row r="2125" hidden="1">
      <c r="A2125" s="7" t="s">
        <v>432</v>
      </c>
      <c r="B2125" s="7" t="s">
        <v>268</v>
      </c>
      <c r="C2125" s="7">
        <v>0.75</v>
      </c>
      <c r="D2125" s="7">
        <v>0.25</v>
      </c>
      <c r="E2125" s="7">
        <v>5.0</v>
      </c>
      <c r="F2125" s="7">
        <v>193.831270694732</v>
      </c>
      <c r="G2125" s="7">
        <v>327.577467918396</v>
      </c>
      <c r="H2125" s="7">
        <v>3.0</v>
      </c>
      <c r="I2125" s="15">
        <v>0.351113176745256</v>
      </c>
      <c r="J2125" s="15">
        <v>0.0540487898945699</v>
      </c>
      <c r="K2125" s="12">
        <f>AVERAGE(I2122:I2126)</f>
        <v>0.4432225528</v>
      </c>
      <c r="L2125" s="18">
        <v>28638.0</v>
      </c>
      <c r="M2125" s="14">
        <f>STDEV(L2122:L2126)</f>
        <v>28938.01261</v>
      </c>
      <c r="N2125" s="15" t="b">
        <f t="shared" si="1"/>
        <v>0</v>
      </c>
    </row>
    <row r="2126" hidden="1">
      <c r="A2126" s="7" t="s">
        <v>432</v>
      </c>
      <c r="B2126" s="7" t="s">
        <v>268</v>
      </c>
      <c r="C2126" s="7">
        <v>0.75</v>
      </c>
      <c r="D2126" s="7">
        <v>0.25</v>
      </c>
      <c r="E2126" s="7">
        <v>5.0</v>
      </c>
      <c r="F2126" s="7">
        <v>193.831270694732</v>
      </c>
      <c r="G2126" s="7">
        <v>327.577467918396</v>
      </c>
      <c r="H2126" s="7">
        <v>4.0</v>
      </c>
      <c r="I2126" s="15">
        <v>0.721991810291889</v>
      </c>
      <c r="J2126" s="15">
        <v>0.140480684489929</v>
      </c>
      <c r="K2126" s="12">
        <f>AVERAGE(I2122:I2126)</f>
        <v>0.4432225528</v>
      </c>
      <c r="L2126" s="18">
        <v>13536.0</v>
      </c>
      <c r="M2126" s="14">
        <f>STDEV(L2122:L2126)</f>
        <v>28938.01261</v>
      </c>
      <c r="N2126" s="15" t="b">
        <f t="shared" si="1"/>
        <v>0</v>
      </c>
    </row>
    <row r="2127" hidden="1">
      <c r="A2127" s="7" t="s">
        <v>433</v>
      </c>
      <c r="B2127" s="7" t="s">
        <v>268</v>
      </c>
      <c r="C2127" s="7">
        <v>0.75</v>
      </c>
      <c r="D2127" s="7">
        <v>0.25</v>
      </c>
      <c r="E2127" s="7">
        <v>6.0</v>
      </c>
      <c r="F2127" s="7">
        <v>182.205943584442</v>
      </c>
      <c r="G2127" s="7">
        <v>320.955087184906</v>
      </c>
      <c r="H2127" s="7">
        <v>0.0</v>
      </c>
      <c r="I2127" s="15">
        <v>0.828519768921011</v>
      </c>
      <c r="J2127" s="15">
        <v>0.0991224840109901</v>
      </c>
      <c r="K2127" s="12">
        <f>AVERAGE(I2127:I2131)</f>
        <v>0.5358541985</v>
      </c>
      <c r="L2127" s="18">
        <v>7459.0</v>
      </c>
      <c r="M2127" s="14">
        <f>STDEV(L2127:L2131)</f>
        <v>32780.03223</v>
      </c>
      <c r="N2127" s="15" t="b">
        <f t="shared" si="1"/>
        <v>0</v>
      </c>
    </row>
    <row r="2128" hidden="1">
      <c r="A2128" s="7" t="s">
        <v>433</v>
      </c>
      <c r="B2128" s="7" t="s">
        <v>268</v>
      </c>
      <c r="C2128" s="7">
        <v>0.75</v>
      </c>
      <c r="D2128" s="7">
        <v>0.25</v>
      </c>
      <c r="E2128" s="7">
        <v>6.0</v>
      </c>
      <c r="F2128" s="7">
        <v>182.205943584442</v>
      </c>
      <c r="G2128" s="7">
        <v>320.955087184906</v>
      </c>
      <c r="H2128" s="7">
        <v>1.0</v>
      </c>
      <c r="I2128" s="15">
        <v>0.223672308388787</v>
      </c>
      <c r="J2128" s="15">
        <v>0.0728103586529599</v>
      </c>
      <c r="K2128" s="12">
        <f>AVERAGE(I2127:I2131)</f>
        <v>0.5358541985</v>
      </c>
      <c r="L2128" s="18">
        <v>50742.0</v>
      </c>
      <c r="M2128" s="14">
        <f>STDEV(L2127:L2131)</f>
        <v>32780.03223</v>
      </c>
      <c r="N2128" s="15" t="b">
        <f t="shared" si="1"/>
        <v>0</v>
      </c>
    </row>
    <row r="2129" hidden="1">
      <c r="A2129" s="7" t="s">
        <v>433</v>
      </c>
      <c r="B2129" s="7" t="s">
        <v>268</v>
      </c>
      <c r="C2129" s="7">
        <v>0.75</v>
      </c>
      <c r="D2129" s="7">
        <v>0.25</v>
      </c>
      <c r="E2129" s="7">
        <v>6.0</v>
      </c>
      <c r="F2129" s="7">
        <v>182.205943584442</v>
      </c>
      <c r="G2129" s="7">
        <v>320.955087184906</v>
      </c>
      <c r="H2129" s="7">
        <v>2.0</v>
      </c>
      <c r="I2129" s="15">
        <v>0.0825961199986652</v>
      </c>
      <c r="J2129" s="15">
        <v>0.0762827937058928</v>
      </c>
      <c r="K2129" s="12">
        <f>AVERAGE(I2127:I2131)</f>
        <v>0.5358541985</v>
      </c>
      <c r="L2129" s="18">
        <v>75147.0</v>
      </c>
      <c r="M2129" s="14">
        <f>STDEV(L2127:L2131)</f>
        <v>32780.03223</v>
      </c>
      <c r="N2129" s="15" t="b">
        <f t="shared" si="1"/>
        <v>0</v>
      </c>
    </row>
    <row r="2130" hidden="1">
      <c r="A2130" s="7" t="s">
        <v>433</v>
      </c>
      <c r="B2130" s="7" t="s">
        <v>268</v>
      </c>
      <c r="C2130" s="7">
        <v>0.75</v>
      </c>
      <c r="D2130" s="7">
        <v>0.25</v>
      </c>
      <c r="E2130" s="7">
        <v>6.0</v>
      </c>
      <c r="F2130" s="7">
        <v>182.205943584442</v>
      </c>
      <c r="G2130" s="7">
        <v>320.955087184906</v>
      </c>
      <c r="H2130" s="7">
        <v>3.0</v>
      </c>
      <c r="I2130" s="15">
        <v>0.718695446132133</v>
      </c>
      <c r="J2130" s="15">
        <v>0.142038867726218</v>
      </c>
      <c r="K2130" s="12">
        <f>AVERAGE(I2127:I2131)</f>
        <v>0.5358541985</v>
      </c>
      <c r="L2130" s="18">
        <v>3715.0</v>
      </c>
      <c r="M2130" s="14">
        <f>STDEV(L2127:L2131)</f>
        <v>32780.03223</v>
      </c>
      <c r="N2130" s="15" t="b">
        <f t="shared" si="1"/>
        <v>0</v>
      </c>
    </row>
    <row r="2131" hidden="1">
      <c r="A2131" s="7" t="s">
        <v>433</v>
      </c>
      <c r="B2131" s="7" t="s">
        <v>268</v>
      </c>
      <c r="C2131" s="7">
        <v>0.75</v>
      </c>
      <c r="D2131" s="7">
        <v>0.25</v>
      </c>
      <c r="E2131" s="7">
        <v>6.0</v>
      </c>
      <c r="F2131" s="7">
        <v>182.205943584442</v>
      </c>
      <c r="G2131" s="7">
        <v>320.955087184906</v>
      </c>
      <c r="H2131" s="7">
        <v>4.0</v>
      </c>
      <c r="I2131" s="15">
        <v>0.825787349304436</v>
      </c>
      <c r="J2131" s="15">
        <v>0.0938122076999049</v>
      </c>
      <c r="K2131" s="12">
        <f>AVERAGE(I2127:I2131)</f>
        <v>0.5358541985</v>
      </c>
      <c r="L2131" s="18">
        <v>4613.0</v>
      </c>
      <c r="M2131" s="14">
        <f>STDEV(L2127:L2131)</f>
        <v>32780.03223</v>
      </c>
      <c r="N2131" s="15" t="b">
        <f t="shared" si="1"/>
        <v>0</v>
      </c>
    </row>
    <row r="2132" hidden="1">
      <c r="A2132" s="7" t="s">
        <v>434</v>
      </c>
      <c r="B2132" s="7" t="s">
        <v>268</v>
      </c>
      <c r="C2132" s="7">
        <v>0.75</v>
      </c>
      <c r="D2132" s="7">
        <v>0.25</v>
      </c>
      <c r="E2132" s="7">
        <v>7.0</v>
      </c>
      <c r="F2132" s="7">
        <v>289.01889014244</v>
      </c>
      <c r="G2132" s="7">
        <v>400.172843217849</v>
      </c>
      <c r="H2132" s="7">
        <v>0.0</v>
      </c>
      <c r="I2132" s="15">
        <v>0.0778345739285287</v>
      </c>
      <c r="J2132" s="15">
        <v>0.0560209397091688</v>
      </c>
      <c r="K2132" s="12">
        <f>AVERAGE(I2132:I2136)</f>
        <v>0.4828730192</v>
      </c>
      <c r="L2132" s="18">
        <v>95560.0</v>
      </c>
      <c r="M2132" s="14">
        <f>STDEV(L2132:L2136)</f>
        <v>38793.01219</v>
      </c>
      <c r="N2132" s="15" t="b">
        <f t="shared" si="1"/>
        <v>0</v>
      </c>
    </row>
    <row r="2133" hidden="1">
      <c r="A2133" s="7" t="s">
        <v>434</v>
      </c>
      <c r="B2133" s="7" t="s">
        <v>268</v>
      </c>
      <c r="C2133" s="7">
        <v>0.75</v>
      </c>
      <c r="D2133" s="7">
        <v>0.25</v>
      </c>
      <c r="E2133" s="7">
        <v>7.0</v>
      </c>
      <c r="F2133" s="7">
        <v>289.01889014244</v>
      </c>
      <c r="G2133" s="7">
        <v>400.172843217849</v>
      </c>
      <c r="H2133" s="7">
        <v>1.0</v>
      </c>
      <c r="I2133" s="15">
        <v>0.462272791567972</v>
      </c>
      <c r="J2133" s="15">
        <v>0.139760715702325</v>
      </c>
      <c r="K2133" s="12">
        <f>AVERAGE(I2132:I2136)</f>
        <v>0.4828730192</v>
      </c>
      <c r="L2133" s="18">
        <v>20032.0</v>
      </c>
      <c r="M2133" s="14">
        <f>STDEV(L2132:L2136)</f>
        <v>38793.01219</v>
      </c>
      <c r="N2133" s="15" t="b">
        <f t="shared" si="1"/>
        <v>0</v>
      </c>
    </row>
    <row r="2134" hidden="1">
      <c r="A2134" s="7" t="s">
        <v>434</v>
      </c>
      <c r="B2134" s="7" t="s">
        <v>268</v>
      </c>
      <c r="C2134" s="7">
        <v>0.75</v>
      </c>
      <c r="D2134" s="7">
        <v>0.25</v>
      </c>
      <c r="E2134" s="7">
        <v>7.0</v>
      </c>
      <c r="F2134" s="7">
        <v>289.01889014244</v>
      </c>
      <c r="G2134" s="7">
        <v>400.172843217849</v>
      </c>
      <c r="H2134" s="7">
        <v>2.0</v>
      </c>
      <c r="I2134" s="15">
        <v>0.153544395808905</v>
      </c>
      <c r="J2134" s="15">
        <v>0.297482822842894</v>
      </c>
      <c r="K2134" s="12">
        <f>AVERAGE(I2132:I2136)</f>
        <v>0.4828730192</v>
      </c>
      <c r="L2134" s="18">
        <v>22215.0</v>
      </c>
      <c r="M2134" s="14">
        <f>STDEV(L2132:L2136)</f>
        <v>38793.01219</v>
      </c>
      <c r="N2134" s="15" t="b">
        <f t="shared" si="1"/>
        <v>0</v>
      </c>
    </row>
    <row r="2135" hidden="1">
      <c r="A2135" s="7" t="s">
        <v>434</v>
      </c>
      <c r="B2135" s="7" t="s">
        <v>268</v>
      </c>
      <c r="C2135" s="7">
        <v>0.75</v>
      </c>
      <c r="D2135" s="7">
        <v>0.25</v>
      </c>
      <c r="E2135" s="7">
        <v>7.0</v>
      </c>
      <c r="F2135" s="7">
        <v>289.01889014244</v>
      </c>
      <c r="G2135" s="7">
        <v>400.172843217849</v>
      </c>
      <c r="H2135" s="7">
        <v>3.0</v>
      </c>
      <c r="I2135" s="15">
        <v>0.912791515004804</v>
      </c>
      <c r="J2135" s="15">
        <v>0.0342612160528465</v>
      </c>
      <c r="K2135" s="12">
        <f>AVERAGE(I2132:I2136)</f>
        <v>0.4828730192</v>
      </c>
      <c r="L2135" s="18">
        <v>2043.0</v>
      </c>
      <c r="M2135" s="14">
        <f>STDEV(L2132:L2136)</f>
        <v>38793.01219</v>
      </c>
      <c r="N2135" s="15" t="b">
        <f t="shared" si="1"/>
        <v>0</v>
      </c>
    </row>
    <row r="2136" hidden="1">
      <c r="A2136" s="7" t="s">
        <v>434</v>
      </c>
      <c r="B2136" s="7" t="s">
        <v>268</v>
      </c>
      <c r="C2136" s="7">
        <v>0.75</v>
      </c>
      <c r="D2136" s="7">
        <v>0.25</v>
      </c>
      <c r="E2136" s="7">
        <v>7.0</v>
      </c>
      <c r="F2136" s="7">
        <v>289.01889014244</v>
      </c>
      <c r="G2136" s="7">
        <v>400.172843217849</v>
      </c>
      <c r="H2136" s="7">
        <v>4.0</v>
      </c>
      <c r="I2136" s="15">
        <v>0.807921819939757</v>
      </c>
      <c r="J2136" s="15">
        <v>0.12438664913063</v>
      </c>
      <c r="K2136" s="12">
        <f>AVERAGE(I2132:I2136)</f>
        <v>0.4828730192</v>
      </c>
      <c r="L2136" s="18">
        <v>1826.0</v>
      </c>
      <c r="M2136" s="14">
        <f>STDEV(L2132:L2136)</f>
        <v>38793.01219</v>
      </c>
      <c r="N2136" s="15" t="b">
        <f t="shared" si="1"/>
        <v>0</v>
      </c>
    </row>
    <row r="2137" hidden="1">
      <c r="A2137" s="7" t="s">
        <v>435</v>
      </c>
      <c r="B2137" s="7" t="s">
        <v>268</v>
      </c>
      <c r="C2137" s="7">
        <v>0.75</v>
      </c>
      <c r="D2137" s="7">
        <v>0.25</v>
      </c>
      <c r="E2137" s="7">
        <v>8.0</v>
      </c>
      <c r="F2137" s="7">
        <v>140.994344234466</v>
      </c>
      <c r="G2137" s="7">
        <v>262.364321231842</v>
      </c>
      <c r="H2137" s="7">
        <v>0.0</v>
      </c>
      <c r="I2137" s="15">
        <v>0.0822065270108515</v>
      </c>
      <c r="J2137" s="15">
        <v>0.0596192540141598</v>
      </c>
      <c r="K2137" s="12">
        <f>AVERAGE(I2137:I2141)</f>
        <v>0.650724091</v>
      </c>
      <c r="L2137" s="18">
        <v>112344.0</v>
      </c>
      <c r="M2137" s="14">
        <f>STDEV(L2137:L2141)</f>
        <v>46965.26877</v>
      </c>
      <c r="N2137" s="15" t="b">
        <f t="shared" si="1"/>
        <v>0</v>
      </c>
    </row>
    <row r="2138" hidden="1">
      <c r="A2138" s="7" t="s">
        <v>435</v>
      </c>
      <c r="B2138" s="7" t="s">
        <v>268</v>
      </c>
      <c r="C2138" s="7">
        <v>0.75</v>
      </c>
      <c r="D2138" s="7">
        <v>0.25</v>
      </c>
      <c r="E2138" s="7">
        <v>8.0</v>
      </c>
      <c r="F2138" s="7">
        <v>140.994344234466</v>
      </c>
      <c r="G2138" s="7">
        <v>262.364321231842</v>
      </c>
      <c r="H2138" s="7">
        <v>1.0</v>
      </c>
      <c r="I2138" s="15">
        <v>0.829320801575373</v>
      </c>
      <c r="J2138" s="15">
        <v>0.0979824073954484</v>
      </c>
      <c r="K2138" s="12">
        <f>AVERAGE(I2137:I2141)</f>
        <v>0.650724091</v>
      </c>
      <c r="L2138" s="18">
        <v>7459.0</v>
      </c>
      <c r="M2138" s="14">
        <f>STDEV(L2137:L2141)</f>
        <v>46965.26877</v>
      </c>
      <c r="N2138" s="15" t="b">
        <f t="shared" si="1"/>
        <v>0</v>
      </c>
    </row>
    <row r="2139" hidden="1">
      <c r="A2139" s="7" t="s">
        <v>435</v>
      </c>
      <c r="B2139" s="7" t="s">
        <v>268</v>
      </c>
      <c r="C2139" s="7">
        <v>0.75</v>
      </c>
      <c r="D2139" s="7">
        <v>0.25</v>
      </c>
      <c r="E2139" s="7">
        <v>8.0</v>
      </c>
      <c r="F2139" s="7">
        <v>140.994344234466</v>
      </c>
      <c r="G2139" s="7">
        <v>262.364321231842</v>
      </c>
      <c r="H2139" s="7">
        <v>2.0</v>
      </c>
      <c r="I2139" s="15">
        <v>0.824097489385884</v>
      </c>
      <c r="J2139" s="15">
        <v>0.100341668549664</v>
      </c>
      <c r="K2139" s="12">
        <f>AVERAGE(I2137:I2141)</f>
        <v>0.650724091</v>
      </c>
      <c r="L2139" s="18">
        <v>6454.0</v>
      </c>
      <c r="M2139" s="14">
        <f>STDEV(L2137:L2141)</f>
        <v>46965.26877</v>
      </c>
      <c r="N2139" s="15" t="b">
        <f t="shared" si="1"/>
        <v>0</v>
      </c>
    </row>
    <row r="2140" hidden="1">
      <c r="A2140" s="7" t="s">
        <v>435</v>
      </c>
      <c r="B2140" s="7" t="s">
        <v>268</v>
      </c>
      <c r="C2140" s="7">
        <v>0.75</v>
      </c>
      <c r="D2140" s="7">
        <v>0.25</v>
      </c>
      <c r="E2140" s="7">
        <v>8.0</v>
      </c>
      <c r="F2140" s="7">
        <v>140.994344234466</v>
      </c>
      <c r="G2140" s="7">
        <v>262.364321231842</v>
      </c>
      <c r="H2140" s="7">
        <v>3.0</v>
      </c>
      <c r="I2140" s="15">
        <v>0.766149902772289</v>
      </c>
      <c r="J2140" s="15">
        <v>0.133568815081067</v>
      </c>
      <c r="K2140" s="12">
        <f>AVERAGE(I2137:I2141)</f>
        <v>0.650724091</v>
      </c>
      <c r="L2140" s="18">
        <v>7823.0</v>
      </c>
      <c r="M2140" s="14">
        <f>STDEV(L2137:L2141)</f>
        <v>46965.26877</v>
      </c>
      <c r="N2140" s="15" t="b">
        <f t="shared" si="1"/>
        <v>0</v>
      </c>
    </row>
    <row r="2141" hidden="1">
      <c r="A2141" s="7" t="s">
        <v>435</v>
      </c>
      <c r="B2141" s="7" t="s">
        <v>268</v>
      </c>
      <c r="C2141" s="7">
        <v>0.75</v>
      </c>
      <c r="D2141" s="7">
        <v>0.25</v>
      </c>
      <c r="E2141" s="7">
        <v>8.0</v>
      </c>
      <c r="F2141" s="7">
        <v>140.994344234466</v>
      </c>
      <c r="G2141" s="7">
        <v>262.364321231842</v>
      </c>
      <c r="H2141" s="7">
        <v>4.0</v>
      </c>
      <c r="I2141" s="15">
        <v>0.751845734467051</v>
      </c>
      <c r="J2141" s="15">
        <v>0.13377244422893</v>
      </c>
      <c r="K2141" s="12">
        <f>AVERAGE(I2137:I2141)</f>
        <v>0.650724091</v>
      </c>
      <c r="L2141" s="18">
        <v>7596.0</v>
      </c>
      <c r="M2141" s="14">
        <f>STDEV(L2137:L2141)</f>
        <v>46965.26877</v>
      </c>
      <c r="N2141" s="15" t="b">
        <f t="shared" si="1"/>
        <v>0</v>
      </c>
    </row>
    <row r="2142" hidden="1">
      <c r="A2142" s="7" t="s">
        <v>436</v>
      </c>
      <c r="B2142" s="7" t="s">
        <v>268</v>
      </c>
      <c r="C2142" s="7">
        <v>0.75</v>
      </c>
      <c r="D2142" s="7">
        <v>0.25</v>
      </c>
      <c r="E2142" s="7">
        <v>9.0</v>
      </c>
      <c r="F2142" s="7">
        <v>310.939987182617</v>
      </c>
      <c r="G2142" s="7">
        <v>425.118416786193</v>
      </c>
      <c r="H2142" s="7">
        <v>0.0</v>
      </c>
      <c r="I2142" s="15">
        <v>0.400951170639014</v>
      </c>
      <c r="J2142" s="15">
        <v>0.10545158958757</v>
      </c>
      <c r="K2142" s="12">
        <f>AVERAGE(I2142:I2146)</f>
        <v>0.4632471662</v>
      </c>
      <c r="L2142" s="18">
        <v>28854.0</v>
      </c>
      <c r="M2142" s="14">
        <f>STDEV(L2142:L2146)</f>
        <v>30768.61896</v>
      </c>
      <c r="N2142" s="15" t="b">
        <f t="shared" si="1"/>
        <v>0</v>
      </c>
    </row>
    <row r="2143" hidden="1">
      <c r="A2143" s="7" t="s">
        <v>436</v>
      </c>
      <c r="B2143" s="7" t="s">
        <v>268</v>
      </c>
      <c r="C2143" s="7">
        <v>0.75</v>
      </c>
      <c r="D2143" s="7">
        <v>0.25</v>
      </c>
      <c r="E2143" s="7">
        <v>9.0</v>
      </c>
      <c r="F2143" s="7">
        <v>310.939987182617</v>
      </c>
      <c r="G2143" s="7">
        <v>425.118416786193</v>
      </c>
      <c r="H2143" s="7">
        <v>1.0</v>
      </c>
      <c r="I2143" s="15">
        <v>0.76404839306457</v>
      </c>
      <c r="J2143" s="15">
        <v>0.134812494095974</v>
      </c>
      <c r="K2143" s="12">
        <f>AVERAGE(I2142:I2146)</f>
        <v>0.4632471662</v>
      </c>
      <c r="L2143" s="18">
        <v>7830.0</v>
      </c>
      <c r="M2143" s="14">
        <f>STDEV(L2142:L2146)</f>
        <v>30768.61896</v>
      </c>
      <c r="N2143" s="15" t="b">
        <f t="shared" si="1"/>
        <v>0</v>
      </c>
    </row>
    <row r="2144" hidden="1">
      <c r="A2144" s="7" t="s">
        <v>436</v>
      </c>
      <c r="B2144" s="7" t="s">
        <v>268</v>
      </c>
      <c r="C2144" s="7">
        <v>0.75</v>
      </c>
      <c r="D2144" s="7">
        <v>0.25</v>
      </c>
      <c r="E2144" s="7">
        <v>9.0</v>
      </c>
      <c r="F2144" s="7">
        <v>310.939987182617</v>
      </c>
      <c r="G2144" s="7">
        <v>425.118416786193</v>
      </c>
      <c r="H2144" s="7">
        <v>2.0</v>
      </c>
      <c r="I2144" s="15">
        <v>0.0630332554392325</v>
      </c>
      <c r="J2144" s="15">
        <v>0.0900809072964723</v>
      </c>
      <c r="K2144" s="12">
        <f>AVERAGE(I2142:I2146)</f>
        <v>0.4632471662</v>
      </c>
      <c r="L2144" s="18">
        <v>79063.0</v>
      </c>
      <c r="M2144" s="14">
        <f>STDEV(L2142:L2146)</f>
        <v>30768.61896</v>
      </c>
      <c r="N2144" s="15" t="b">
        <f t="shared" si="1"/>
        <v>0</v>
      </c>
    </row>
    <row r="2145" hidden="1">
      <c r="A2145" s="7" t="s">
        <v>436</v>
      </c>
      <c r="B2145" s="7" t="s">
        <v>268</v>
      </c>
      <c r="C2145" s="7">
        <v>0.75</v>
      </c>
      <c r="D2145" s="7">
        <v>0.25</v>
      </c>
      <c r="E2145" s="7">
        <v>9.0</v>
      </c>
      <c r="F2145" s="7">
        <v>310.939987182617</v>
      </c>
      <c r="G2145" s="7">
        <v>425.118416786193</v>
      </c>
      <c r="H2145" s="7">
        <v>3.0</v>
      </c>
      <c r="I2145" s="15">
        <v>0.771266234254997</v>
      </c>
      <c r="J2145" s="15">
        <v>0.138772505972656</v>
      </c>
      <c r="K2145" s="12">
        <f>AVERAGE(I2142:I2146)</f>
        <v>0.4632471662</v>
      </c>
      <c r="L2145" s="18">
        <v>310.0</v>
      </c>
      <c r="M2145" s="14">
        <f>STDEV(L2142:L2146)</f>
        <v>30768.61896</v>
      </c>
      <c r="N2145" s="15" t="b">
        <f t="shared" si="1"/>
        <v>0</v>
      </c>
    </row>
    <row r="2146" hidden="1">
      <c r="A2146" s="7" t="s">
        <v>436</v>
      </c>
      <c r="B2146" s="7" t="s">
        <v>268</v>
      </c>
      <c r="C2146" s="7">
        <v>0.75</v>
      </c>
      <c r="D2146" s="7">
        <v>0.25</v>
      </c>
      <c r="E2146" s="7">
        <v>9.0</v>
      </c>
      <c r="F2146" s="7">
        <v>310.939987182617</v>
      </c>
      <c r="G2146" s="7">
        <v>425.118416786193</v>
      </c>
      <c r="H2146" s="7">
        <v>4.0</v>
      </c>
      <c r="I2146" s="15">
        <v>0.316936777818786</v>
      </c>
      <c r="J2146" s="15">
        <v>0.13871212701903</v>
      </c>
      <c r="K2146" s="12">
        <f>AVERAGE(I2142:I2146)</f>
        <v>0.4632471662</v>
      </c>
      <c r="L2146" s="18">
        <v>25619.0</v>
      </c>
      <c r="M2146" s="14">
        <f>STDEV(L2142:L2146)</f>
        <v>30768.61896</v>
      </c>
      <c r="N2146" s="15" t="b">
        <f t="shared" si="1"/>
        <v>0</v>
      </c>
    </row>
    <row r="2147" hidden="1">
      <c r="A2147" s="7" t="s">
        <v>437</v>
      </c>
      <c r="B2147" s="22" t="s">
        <v>268</v>
      </c>
      <c r="C2147" s="22">
        <v>0.75</v>
      </c>
      <c r="D2147" s="22">
        <v>0.25</v>
      </c>
      <c r="E2147" s="22">
        <v>10.0</v>
      </c>
      <c r="F2147" s="7">
        <v>193.711706638336</v>
      </c>
      <c r="G2147" s="7">
        <v>347.252300500869</v>
      </c>
      <c r="H2147" s="7">
        <v>0.0</v>
      </c>
      <c r="I2147" s="15">
        <v>0.829411957806951</v>
      </c>
      <c r="J2147" s="15">
        <v>0.0987938651064783</v>
      </c>
      <c r="K2147" s="12">
        <f>AVERAGE(I2147:I2151)</f>
        <v>0.6163253749</v>
      </c>
      <c r="L2147" s="18">
        <v>7439.0</v>
      </c>
      <c r="M2147" s="14">
        <f>STDEV(L2147:L2151)</f>
        <v>44177.87051</v>
      </c>
      <c r="N2147" s="15" t="b">
        <f t="shared" si="1"/>
        <v>0</v>
      </c>
    </row>
    <row r="2148" hidden="1">
      <c r="A2148" s="7" t="s">
        <v>437</v>
      </c>
      <c r="B2148" s="22" t="s">
        <v>268</v>
      </c>
      <c r="C2148" s="22">
        <v>0.75</v>
      </c>
      <c r="D2148" s="22">
        <v>0.25</v>
      </c>
      <c r="E2148" s="22">
        <v>10.0</v>
      </c>
      <c r="F2148" s="7">
        <v>193.711706638336</v>
      </c>
      <c r="G2148" s="7">
        <v>347.252300500869</v>
      </c>
      <c r="H2148" s="7">
        <v>1.0</v>
      </c>
      <c r="I2148" s="15">
        <v>0.476076716360425</v>
      </c>
      <c r="J2148" s="15">
        <v>0.167896903299926</v>
      </c>
      <c r="K2148" s="12">
        <f>AVERAGE(I2147:I2151)</f>
        <v>0.6163253749</v>
      </c>
      <c r="L2148" s="18">
        <v>22179.0</v>
      </c>
      <c r="M2148" s="14">
        <f>STDEV(L2147:L2151)</f>
        <v>44177.87051</v>
      </c>
      <c r="N2148" s="15" t="b">
        <f t="shared" si="1"/>
        <v>0</v>
      </c>
    </row>
    <row r="2149" hidden="1">
      <c r="A2149" s="7" t="s">
        <v>437</v>
      </c>
      <c r="B2149" s="22" t="s">
        <v>268</v>
      </c>
      <c r="C2149" s="22">
        <v>0.75</v>
      </c>
      <c r="D2149" s="22">
        <v>0.25</v>
      </c>
      <c r="E2149" s="22">
        <v>10.0</v>
      </c>
      <c r="F2149" s="7">
        <v>193.711706638336</v>
      </c>
      <c r="G2149" s="7">
        <v>347.252300500869</v>
      </c>
      <c r="H2149" s="7">
        <v>2.0</v>
      </c>
      <c r="I2149" s="15">
        <v>0.0494419047401761</v>
      </c>
      <c r="J2149" s="15">
        <v>0.164238620697124</v>
      </c>
      <c r="K2149" s="12">
        <f>AVERAGE(I2147:I2151)</f>
        <v>0.6163253749</v>
      </c>
      <c r="L2149" s="18">
        <v>106091.0</v>
      </c>
      <c r="M2149" s="14">
        <f>STDEV(L2147:L2151)</f>
        <v>44177.87051</v>
      </c>
      <c r="N2149" s="15" t="b">
        <f t="shared" si="1"/>
        <v>0</v>
      </c>
    </row>
    <row r="2150" hidden="1">
      <c r="A2150" s="7" t="s">
        <v>437</v>
      </c>
      <c r="B2150" s="22" t="s">
        <v>268</v>
      </c>
      <c r="C2150" s="22">
        <v>0.75</v>
      </c>
      <c r="D2150" s="22">
        <v>0.25</v>
      </c>
      <c r="E2150" s="22">
        <v>10.0</v>
      </c>
      <c r="F2150" s="7">
        <v>193.711706638336</v>
      </c>
      <c r="G2150" s="7">
        <v>347.252300500869</v>
      </c>
      <c r="H2150" s="7">
        <v>3.0</v>
      </c>
      <c r="I2150" s="15">
        <v>0.886349753176374</v>
      </c>
      <c r="J2150" s="15">
        <v>0.116815321868588</v>
      </c>
      <c r="K2150" s="12">
        <f>AVERAGE(I2147:I2151)</f>
        <v>0.6163253749</v>
      </c>
      <c r="L2150" s="18">
        <v>2349.0</v>
      </c>
      <c r="M2150" s="14">
        <f>STDEV(L2147:L2151)</f>
        <v>44177.87051</v>
      </c>
      <c r="N2150" s="15" t="b">
        <f t="shared" si="1"/>
        <v>0</v>
      </c>
    </row>
    <row r="2151" hidden="1">
      <c r="A2151" s="7" t="s">
        <v>437</v>
      </c>
      <c r="B2151" s="22" t="s">
        <v>268</v>
      </c>
      <c r="C2151" s="22">
        <v>0.75</v>
      </c>
      <c r="D2151" s="22">
        <v>0.25</v>
      </c>
      <c r="E2151" s="22">
        <v>10.0</v>
      </c>
      <c r="F2151" s="7">
        <v>193.711706638336</v>
      </c>
      <c r="G2151" s="7">
        <v>347.252300500869</v>
      </c>
      <c r="H2151" s="7">
        <v>4.0</v>
      </c>
      <c r="I2151" s="15">
        <v>0.840346542472861</v>
      </c>
      <c r="J2151" s="15">
        <v>0.0984573910610509</v>
      </c>
      <c r="K2151" s="12">
        <f>AVERAGE(I2147:I2151)</f>
        <v>0.6163253749</v>
      </c>
      <c r="L2151" s="18">
        <v>3618.0</v>
      </c>
      <c r="M2151" s="14">
        <f>STDEV(L2147:L2151)</f>
        <v>44177.87051</v>
      </c>
      <c r="N2151" s="15" t="b">
        <f t="shared" si="1"/>
        <v>0</v>
      </c>
    </row>
    <row r="2152" hidden="1">
      <c r="A2152" s="7" t="s">
        <v>438</v>
      </c>
      <c r="B2152" s="7" t="s">
        <v>268</v>
      </c>
      <c r="C2152" s="7">
        <v>0.75</v>
      </c>
      <c r="D2152" s="7">
        <v>0.5</v>
      </c>
      <c r="E2152" s="7">
        <v>1.0</v>
      </c>
      <c r="F2152" s="7">
        <v>162.149416446685</v>
      </c>
      <c r="G2152" s="7">
        <v>309.154572725295</v>
      </c>
      <c r="H2152" s="7">
        <v>0.0</v>
      </c>
      <c r="I2152" s="15">
        <v>0.0645286122874647</v>
      </c>
      <c r="J2152" s="15">
        <v>0.0737159488526736</v>
      </c>
      <c r="K2152" s="12">
        <f>AVERAGE(I2152:I2156)</f>
        <v>0.5501224732</v>
      </c>
      <c r="L2152" s="18">
        <v>84978.0</v>
      </c>
      <c r="M2152" s="14">
        <f>STDEV(L2152:L2156)</f>
        <v>33268.59502</v>
      </c>
      <c r="N2152" s="15" t="b">
        <f t="shared" si="1"/>
        <v>0</v>
      </c>
    </row>
    <row r="2153" hidden="1">
      <c r="A2153" s="7" t="s">
        <v>438</v>
      </c>
      <c r="B2153" s="7" t="s">
        <v>268</v>
      </c>
      <c r="C2153" s="7">
        <v>0.75</v>
      </c>
      <c r="D2153" s="7">
        <v>0.5</v>
      </c>
      <c r="E2153" s="7">
        <v>1.0</v>
      </c>
      <c r="F2153" s="7">
        <v>162.149416446685</v>
      </c>
      <c r="G2153" s="7">
        <v>309.154572725295</v>
      </c>
      <c r="H2153" s="7">
        <v>1.0</v>
      </c>
      <c r="I2153" s="15">
        <v>0.751355078160864</v>
      </c>
      <c r="J2153" s="15">
        <v>0.134132764981704</v>
      </c>
      <c r="K2153" s="12">
        <f>AVERAGE(I2152:I2156)</f>
        <v>0.5501224732</v>
      </c>
      <c r="L2153" s="18">
        <v>7576.0</v>
      </c>
      <c r="M2153" s="14">
        <f>STDEV(L2152:L2156)</f>
        <v>33268.59502</v>
      </c>
      <c r="N2153" s="15" t="b">
        <f t="shared" si="1"/>
        <v>0</v>
      </c>
    </row>
    <row r="2154" hidden="1">
      <c r="A2154" s="7" t="s">
        <v>438</v>
      </c>
      <c r="B2154" s="7" t="s">
        <v>268</v>
      </c>
      <c r="C2154" s="7">
        <v>0.75</v>
      </c>
      <c r="D2154" s="7">
        <v>0.5</v>
      </c>
      <c r="E2154" s="7">
        <v>1.0</v>
      </c>
      <c r="F2154" s="7">
        <v>162.149416446685</v>
      </c>
      <c r="G2154" s="7">
        <v>309.154572725295</v>
      </c>
      <c r="H2154" s="7">
        <v>2.0</v>
      </c>
      <c r="I2154" s="15">
        <v>0.825957576967043</v>
      </c>
      <c r="J2154" s="15">
        <v>0.0922618923424454</v>
      </c>
      <c r="K2154" s="12">
        <f>AVERAGE(I2152:I2156)</f>
        <v>0.5501224732</v>
      </c>
      <c r="L2154" s="18">
        <v>4613.0</v>
      </c>
      <c r="M2154" s="14">
        <f>STDEV(L2152:L2156)</f>
        <v>33268.59502</v>
      </c>
      <c r="N2154" s="15" t="b">
        <f t="shared" si="1"/>
        <v>0</v>
      </c>
    </row>
    <row r="2155" hidden="1">
      <c r="A2155" s="7" t="s">
        <v>438</v>
      </c>
      <c r="B2155" s="7" t="s">
        <v>268</v>
      </c>
      <c r="C2155" s="7">
        <v>0.75</v>
      </c>
      <c r="D2155" s="7">
        <v>0.5</v>
      </c>
      <c r="E2155" s="7">
        <v>1.0</v>
      </c>
      <c r="F2155" s="7">
        <v>162.149416446685</v>
      </c>
      <c r="G2155" s="7">
        <v>309.154572725295</v>
      </c>
      <c r="H2155" s="7">
        <v>3.0</v>
      </c>
      <c r="I2155" s="15">
        <v>0.391311710796859</v>
      </c>
      <c r="J2155" s="15">
        <v>0.0867207946114325</v>
      </c>
      <c r="K2155" s="12">
        <f>AVERAGE(I2152:I2156)</f>
        <v>0.5501224732</v>
      </c>
      <c r="L2155" s="18">
        <v>30948.0</v>
      </c>
      <c r="M2155" s="14">
        <f>STDEV(L2152:L2156)</f>
        <v>33268.59502</v>
      </c>
      <c r="N2155" s="15" t="b">
        <f t="shared" si="1"/>
        <v>0</v>
      </c>
    </row>
    <row r="2156" hidden="1">
      <c r="A2156" s="7" t="s">
        <v>438</v>
      </c>
      <c r="B2156" s="7" t="s">
        <v>268</v>
      </c>
      <c r="C2156" s="7">
        <v>0.75</v>
      </c>
      <c r="D2156" s="7">
        <v>0.5</v>
      </c>
      <c r="E2156" s="7">
        <v>1.0</v>
      </c>
      <c r="F2156" s="7">
        <v>162.149416446685</v>
      </c>
      <c r="G2156" s="7">
        <v>309.154572725295</v>
      </c>
      <c r="H2156" s="7">
        <v>4.0</v>
      </c>
      <c r="I2156" s="15">
        <v>0.71745938795853</v>
      </c>
      <c r="J2156" s="15">
        <v>0.147811079746706</v>
      </c>
      <c r="K2156" s="12">
        <f>AVERAGE(I2152:I2156)</f>
        <v>0.5501224732</v>
      </c>
      <c r="L2156" s="18">
        <v>13561.0</v>
      </c>
      <c r="M2156" s="14">
        <f>STDEV(L2152:L2156)</f>
        <v>33268.59502</v>
      </c>
      <c r="N2156" s="15" t="b">
        <f t="shared" si="1"/>
        <v>0</v>
      </c>
    </row>
    <row r="2157" hidden="1">
      <c r="A2157" s="7" t="s">
        <v>439</v>
      </c>
      <c r="B2157" s="7" t="s">
        <v>268</v>
      </c>
      <c r="C2157" s="7">
        <v>0.75</v>
      </c>
      <c r="D2157" s="7">
        <v>0.5</v>
      </c>
      <c r="E2157" s="7">
        <v>2.0</v>
      </c>
      <c r="F2157" s="7">
        <v>146.083725214004</v>
      </c>
      <c r="G2157" s="7">
        <v>285.965610980987</v>
      </c>
      <c r="H2157" s="7">
        <v>0.0</v>
      </c>
      <c r="I2157" s="15">
        <v>0.0173326604909908</v>
      </c>
      <c r="J2157" s="15">
        <v>0.158765419159535</v>
      </c>
      <c r="K2157" s="12">
        <f>AVERAGE(I2157:I2161)</f>
        <v>0.6518543681</v>
      </c>
      <c r="L2157" s="18">
        <v>105540.0</v>
      </c>
      <c r="M2157" s="14">
        <f>STDEV(L2157:L2161)</f>
        <v>43436.26924</v>
      </c>
      <c r="N2157" s="15" t="b">
        <f t="shared" si="1"/>
        <v>0</v>
      </c>
    </row>
    <row r="2158" hidden="1">
      <c r="A2158" s="7" t="s">
        <v>439</v>
      </c>
      <c r="B2158" s="7" t="s">
        <v>268</v>
      </c>
      <c r="C2158" s="7">
        <v>0.75</v>
      </c>
      <c r="D2158" s="7">
        <v>0.5</v>
      </c>
      <c r="E2158" s="7">
        <v>2.0</v>
      </c>
      <c r="F2158" s="7">
        <v>146.083725214004</v>
      </c>
      <c r="G2158" s="7">
        <v>285.965610980987</v>
      </c>
      <c r="H2158" s="7">
        <v>1.0</v>
      </c>
      <c r="I2158" s="15">
        <v>0.763059047337637</v>
      </c>
      <c r="J2158" s="15">
        <v>0.131674341320772</v>
      </c>
      <c r="K2158" s="12">
        <f>AVERAGE(I2157:I2161)</f>
        <v>0.6518543681</v>
      </c>
      <c r="L2158" s="18">
        <v>15668.0</v>
      </c>
      <c r="M2158" s="14">
        <f>STDEV(L2157:L2161)</f>
        <v>43436.26924</v>
      </c>
      <c r="N2158" s="15" t="b">
        <f t="shared" si="1"/>
        <v>0</v>
      </c>
    </row>
    <row r="2159" hidden="1">
      <c r="A2159" s="7" t="s">
        <v>439</v>
      </c>
      <c r="B2159" s="7" t="s">
        <v>268</v>
      </c>
      <c r="C2159" s="7">
        <v>0.75</v>
      </c>
      <c r="D2159" s="7">
        <v>0.5</v>
      </c>
      <c r="E2159" s="7">
        <v>2.0</v>
      </c>
      <c r="F2159" s="7">
        <v>146.083725214004</v>
      </c>
      <c r="G2159" s="7">
        <v>285.965610980987</v>
      </c>
      <c r="H2159" s="7">
        <v>2.0</v>
      </c>
      <c r="I2159" s="15">
        <v>0.812474660558224</v>
      </c>
      <c r="J2159" s="15">
        <v>0.0807623035538369</v>
      </c>
      <c r="K2159" s="12">
        <f>AVERAGE(I2157:I2161)</f>
        <v>0.6518543681</v>
      </c>
      <c r="L2159" s="18">
        <v>4055.0</v>
      </c>
      <c r="M2159" s="14">
        <f>STDEV(L2157:L2161)</f>
        <v>43436.26924</v>
      </c>
      <c r="N2159" s="15" t="b">
        <f t="shared" si="1"/>
        <v>0</v>
      </c>
    </row>
    <row r="2160" hidden="1">
      <c r="A2160" s="7" t="s">
        <v>439</v>
      </c>
      <c r="B2160" s="7" t="s">
        <v>268</v>
      </c>
      <c r="C2160" s="7">
        <v>0.75</v>
      </c>
      <c r="D2160" s="7">
        <v>0.5</v>
      </c>
      <c r="E2160" s="7">
        <v>2.0</v>
      </c>
      <c r="F2160" s="7">
        <v>146.083725214004</v>
      </c>
      <c r="G2160" s="7">
        <v>285.965610980987</v>
      </c>
      <c r="H2160" s="7">
        <v>3.0</v>
      </c>
      <c r="I2160" s="15">
        <v>0.827096356093724</v>
      </c>
      <c r="J2160" s="15">
        <v>0.0906397724714825</v>
      </c>
      <c r="K2160" s="12">
        <f>AVERAGE(I2157:I2161)</f>
        <v>0.6518543681</v>
      </c>
      <c r="L2160" s="18">
        <v>4605.0</v>
      </c>
      <c r="M2160" s="14">
        <f>STDEV(L2157:L2161)</f>
        <v>43436.26924</v>
      </c>
      <c r="N2160" s="15" t="b">
        <f t="shared" si="1"/>
        <v>0</v>
      </c>
    </row>
    <row r="2161" hidden="1">
      <c r="A2161" s="7" t="s">
        <v>439</v>
      </c>
      <c r="B2161" s="7" t="s">
        <v>268</v>
      </c>
      <c r="C2161" s="7">
        <v>0.75</v>
      </c>
      <c r="D2161" s="7">
        <v>0.5</v>
      </c>
      <c r="E2161" s="7">
        <v>2.0</v>
      </c>
      <c r="F2161" s="7">
        <v>146.083725214004</v>
      </c>
      <c r="G2161" s="7">
        <v>285.965610980987</v>
      </c>
      <c r="H2161" s="7">
        <v>4.0</v>
      </c>
      <c r="I2161" s="15">
        <v>0.839309116224876</v>
      </c>
      <c r="J2161" s="15">
        <v>0.0684790442507446</v>
      </c>
      <c r="K2161" s="12">
        <f>AVERAGE(I2157:I2161)</f>
        <v>0.6518543681</v>
      </c>
      <c r="L2161" s="18">
        <v>11808.0</v>
      </c>
      <c r="M2161" s="14">
        <f>STDEV(L2157:L2161)</f>
        <v>43436.26924</v>
      </c>
      <c r="N2161" s="15" t="b">
        <f t="shared" si="1"/>
        <v>0</v>
      </c>
    </row>
    <row r="2162" hidden="1">
      <c r="A2162" s="7" t="s">
        <v>440</v>
      </c>
      <c r="B2162" s="7" t="s">
        <v>268</v>
      </c>
      <c r="C2162" s="7">
        <v>0.75</v>
      </c>
      <c r="D2162" s="7">
        <v>0.5</v>
      </c>
      <c r="E2162" s="7">
        <v>3.0</v>
      </c>
      <c r="F2162" s="7">
        <v>157.907480239868</v>
      </c>
      <c r="G2162" s="7">
        <v>311.062137126922</v>
      </c>
      <c r="H2162" s="7">
        <v>0.0</v>
      </c>
      <c r="I2162" s="15">
        <v>0.318601901158552</v>
      </c>
      <c r="J2162" s="15">
        <v>0.328503999379245</v>
      </c>
      <c r="K2162" s="12">
        <f>AVERAGE(I2162:I2166)</f>
        <v>0.4578668591</v>
      </c>
      <c r="L2162" s="18">
        <v>30248.0</v>
      </c>
      <c r="M2162" s="14">
        <f>STDEV(L2162:L2166)</f>
        <v>38230.24911</v>
      </c>
      <c r="N2162" s="15" t="b">
        <f t="shared" si="1"/>
        <v>0</v>
      </c>
    </row>
    <row r="2163" hidden="1">
      <c r="A2163" s="7" t="s">
        <v>440</v>
      </c>
      <c r="B2163" s="7" t="s">
        <v>268</v>
      </c>
      <c r="C2163" s="7">
        <v>0.75</v>
      </c>
      <c r="D2163" s="7">
        <v>0.5</v>
      </c>
      <c r="E2163" s="7">
        <v>3.0</v>
      </c>
      <c r="F2163" s="7">
        <v>157.907480239868</v>
      </c>
      <c r="G2163" s="7">
        <v>311.062137126922</v>
      </c>
      <c r="H2163" s="7">
        <v>1.0</v>
      </c>
      <c r="I2163" s="15">
        <v>0.822230363735557</v>
      </c>
      <c r="J2163" s="15">
        <v>0.101380767645344</v>
      </c>
      <c r="K2163" s="12">
        <f>AVERAGE(I2162:I2166)</f>
        <v>0.4578668591</v>
      </c>
      <c r="L2163" s="18">
        <v>996.0</v>
      </c>
      <c r="M2163" s="14">
        <f>STDEV(L2162:L2166)</f>
        <v>38230.24911</v>
      </c>
      <c r="N2163" s="15" t="b">
        <f t="shared" si="1"/>
        <v>0</v>
      </c>
    </row>
    <row r="2164" hidden="1">
      <c r="A2164" s="7" t="s">
        <v>440</v>
      </c>
      <c r="B2164" s="7" t="s">
        <v>268</v>
      </c>
      <c r="C2164" s="7">
        <v>0.75</v>
      </c>
      <c r="D2164" s="7">
        <v>0.5</v>
      </c>
      <c r="E2164" s="7">
        <v>3.0</v>
      </c>
      <c r="F2164" s="7">
        <v>157.907480239868</v>
      </c>
      <c r="G2164" s="7">
        <v>311.062137126922</v>
      </c>
      <c r="H2164" s="7">
        <v>2.0</v>
      </c>
      <c r="I2164" s="15">
        <v>0.067439252415254</v>
      </c>
      <c r="J2164" s="15">
        <v>0.056345212642208</v>
      </c>
      <c r="K2164" s="12">
        <f>AVERAGE(I2162:I2166)</f>
        <v>0.4578668591</v>
      </c>
      <c r="L2164" s="18">
        <v>93560.0</v>
      </c>
      <c r="M2164" s="14">
        <f>STDEV(L2162:L2166)</f>
        <v>38230.24911</v>
      </c>
      <c r="N2164" s="15" t="b">
        <f t="shared" si="1"/>
        <v>0</v>
      </c>
    </row>
    <row r="2165" hidden="1">
      <c r="A2165" s="7" t="s">
        <v>440</v>
      </c>
      <c r="B2165" s="7" t="s">
        <v>268</v>
      </c>
      <c r="C2165" s="7">
        <v>0.75</v>
      </c>
      <c r="D2165" s="7">
        <v>0.5</v>
      </c>
      <c r="E2165" s="7">
        <v>3.0</v>
      </c>
      <c r="F2165" s="7">
        <v>157.907480239868</v>
      </c>
      <c r="G2165" s="7">
        <v>311.062137126922</v>
      </c>
      <c r="H2165" s="7">
        <v>3.0</v>
      </c>
      <c r="I2165" s="15">
        <v>0.348822508114185</v>
      </c>
      <c r="J2165" s="15">
        <v>0.0848392270976266</v>
      </c>
      <c r="K2165" s="12">
        <f>AVERAGE(I2162:I2166)</f>
        <v>0.4578668591</v>
      </c>
      <c r="L2165" s="18">
        <v>3492.0</v>
      </c>
      <c r="M2165" s="14">
        <f>STDEV(L2162:L2166)</f>
        <v>38230.24911</v>
      </c>
      <c r="N2165" s="15" t="b">
        <f t="shared" si="1"/>
        <v>0</v>
      </c>
    </row>
    <row r="2166" hidden="1">
      <c r="A2166" s="7" t="s">
        <v>440</v>
      </c>
      <c r="B2166" s="7" t="s">
        <v>268</v>
      </c>
      <c r="C2166" s="7">
        <v>0.75</v>
      </c>
      <c r="D2166" s="7">
        <v>0.5</v>
      </c>
      <c r="E2166" s="7">
        <v>3.0</v>
      </c>
      <c r="F2166" s="7">
        <v>157.907480239868</v>
      </c>
      <c r="G2166" s="7">
        <v>311.062137126922</v>
      </c>
      <c r="H2166" s="7">
        <v>4.0</v>
      </c>
      <c r="I2166" s="15">
        <v>0.732240269897</v>
      </c>
      <c r="J2166" s="15">
        <v>0.134986781679178</v>
      </c>
      <c r="K2166" s="12">
        <f>AVERAGE(I2162:I2166)</f>
        <v>0.4578668591</v>
      </c>
      <c r="L2166" s="18">
        <v>13380.0</v>
      </c>
      <c r="M2166" s="14">
        <f>STDEV(L2162:L2166)</f>
        <v>38230.24911</v>
      </c>
      <c r="N2166" s="15" t="b">
        <f t="shared" si="1"/>
        <v>0</v>
      </c>
    </row>
    <row r="2167" hidden="1">
      <c r="A2167" s="7" t="s">
        <v>441</v>
      </c>
      <c r="B2167" s="7" t="s">
        <v>268</v>
      </c>
      <c r="C2167" s="7">
        <v>0.75</v>
      </c>
      <c r="D2167" s="7">
        <v>0.5</v>
      </c>
      <c r="E2167" s="7">
        <v>4.0</v>
      </c>
      <c r="F2167" s="7">
        <v>150.009834051132</v>
      </c>
      <c r="G2167" s="7">
        <v>296.330950975418</v>
      </c>
      <c r="H2167" s="7">
        <v>0.0</v>
      </c>
      <c r="I2167" s="15">
        <v>0.839302848072428</v>
      </c>
      <c r="J2167" s="15">
        <v>0.067892112422258</v>
      </c>
      <c r="K2167" s="12">
        <f>AVERAGE(I2167:I2171)</f>
        <v>0.633069708</v>
      </c>
      <c r="L2167" s="18">
        <v>11804.0</v>
      </c>
      <c r="M2167" s="14">
        <f>STDEV(L2167:L2171)</f>
        <v>37525.58062</v>
      </c>
      <c r="N2167" s="15" t="b">
        <f t="shared" si="1"/>
        <v>0</v>
      </c>
    </row>
    <row r="2168" hidden="1">
      <c r="A2168" s="7" t="s">
        <v>441</v>
      </c>
      <c r="B2168" s="7" t="s">
        <v>268</v>
      </c>
      <c r="C2168" s="7">
        <v>0.75</v>
      </c>
      <c r="D2168" s="7">
        <v>0.5</v>
      </c>
      <c r="E2168" s="7">
        <v>4.0</v>
      </c>
      <c r="F2168" s="7">
        <v>150.009834051132</v>
      </c>
      <c r="G2168" s="7">
        <v>296.330950975418</v>
      </c>
      <c r="H2168" s="7">
        <v>1.0</v>
      </c>
      <c r="I2168" s="15">
        <v>0.808304359556121</v>
      </c>
      <c r="J2168" s="15">
        <v>0.124144644163629</v>
      </c>
      <c r="K2168" s="12">
        <f>AVERAGE(I2167:I2171)</f>
        <v>0.633069708</v>
      </c>
      <c r="L2168" s="18">
        <v>5660.0</v>
      </c>
      <c r="M2168" s="14">
        <f>STDEV(L2167:L2171)</f>
        <v>37525.58062</v>
      </c>
      <c r="N2168" s="15" t="b">
        <f t="shared" si="1"/>
        <v>0</v>
      </c>
    </row>
    <row r="2169" hidden="1">
      <c r="A2169" s="7" t="s">
        <v>441</v>
      </c>
      <c r="B2169" s="7" t="s">
        <v>268</v>
      </c>
      <c r="C2169" s="7">
        <v>0.75</v>
      </c>
      <c r="D2169" s="7">
        <v>0.5</v>
      </c>
      <c r="E2169" s="7">
        <v>4.0</v>
      </c>
      <c r="F2169" s="7">
        <v>150.009834051132</v>
      </c>
      <c r="G2169" s="7">
        <v>296.330950975418</v>
      </c>
      <c r="H2169" s="7">
        <v>2.0</v>
      </c>
      <c r="I2169" s="15">
        <v>0.0222415531484951</v>
      </c>
      <c r="J2169" s="15">
        <v>0.173704933782671</v>
      </c>
      <c r="K2169" s="12">
        <f>AVERAGE(I2167:I2171)</f>
        <v>0.633069708</v>
      </c>
      <c r="L2169" s="18">
        <v>95137.0</v>
      </c>
      <c r="M2169" s="14">
        <f>STDEV(L2167:L2171)</f>
        <v>37525.58062</v>
      </c>
      <c r="N2169" s="15" t="b">
        <f t="shared" si="1"/>
        <v>0</v>
      </c>
    </row>
    <row r="2170" hidden="1">
      <c r="A2170" s="7" t="s">
        <v>441</v>
      </c>
      <c r="B2170" s="7" t="s">
        <v>268</v>
      </c>
      <c r="C2170" s="7">
        <v>0.75</v>
      </c>
      <c r="D2170" s="7">
        <v>0.5</v>
      </c>
      <c r="E2170" s="7">
        <v>4.0</v>
      </c>
      <c r="F2170" s="7">
        <v>150.009834051132</v>
      </c>
      <c r="G2170" s="7">
        <v>296.330950975418</v>
      </c>
      <c r="H2170" s="7">
        <v>3.0</v>
      </c>
      <c r="I2170" s="15">
        <v>0.774061946716399</v>
      </c>
      <c r="J2170" s="15">
        <v>0.119986891472404</v>
      </c>
      <c r="K2170" s="12">
        <f>AVERAGE(I2167:I2171)</f>
        <v>0.633069708</v>
      </c>
      <c r="L2170" s="18">
        <v>15537.0</v>
      </c>
      <c r="M2170" s="14">
        <f>STDEV(L2167:L2171)</f>
        <v>37525.58062</v>
      </c>
      <c r="N2170" s="15" t="b">
        <f t="shared" si="1"/>
        <v>0</v>
      </c>
    </row>
    <row r="2171" hidden="1">
      <c r="A2171" s="7" t="s">
        <v>441</v>
      </c>
      <c r="B2171" s="7" t="s">
        <v>268</v>
      </c>
      <c r="C2171" s="7">
        <v>0.75</v>
      </c>
      <c r="D2171" s="7">
        <v>0.5</v>
      </c>
      <c r="E2171" s="7">
        <v>4.0</v>
      </c>
      <c r="F2171" s="7">
        <v>150.009834051132</v>
      </c>
      <c r="G2171" s="7">
        <v>296.330950975418</v>
      </c>
      <c r="H2171" s="7">
        <v>4.0</v>
      </c>
      <c r="I2171" s="15">
        <v>0.721437832549731</v>
      </c>
      <c r="J2171" s="15">
        <v>0.141145789977911</v>
      </c>
      <c r="K2171" s="12">
        <f>AVERAGE(I2167:I2171)</f>
        <v>0.633069708</v>
      </c>
      <c r="L2171" s="18">
        <v>13538.0</v>
      </c>
      <c r="M2171" s="14">
        <f>STDEV(L2167:L2171)</f>
        <v>37525.58062</v>
      </c>
      <c r="N2171" s="15" t="b">
        <f t="shared" si="1"/>
        <v>0</v>
      </c>
    </row>
    <row r="2172" hidden="1">
      <c r="A2172" s="7" t="s">
        <v>442</v>
      </c>
      <c r="B2172" s="7" t="s">
        <v>268</v>
      </c>
      <c r="C2172" s="7">
        <v>0.75</v>
      </c>
      <c r="D2172" s="7">
        <v>0.5</v>
      </c>
      <c r="E2172" s="7">
        <v>5.0</v>
      </c>
      <c r="F2172" s="7">
        <v>172.13925743103</v>
      </c>
      <c r="G2172" s="7">
        <v>299.835499763488</v>
      </c>
      <c r="H2172" s="7">
        <v>0.0</v>
      </c>
      <c r="I2172" s="15">
        <v>0.344789951654268</v>
      </c>
      <c r="J2172" s="15">
        <v>0.143662942679374</v>
      </c>
      <c r="K2172" s="12">
        <f>AVERAGE(I2172:I2176)</f>
        <v>0.536822862</v>
      </c>
      <c r="L2172" s="18">
        <v>23737.0</v>
      </c>
      <c r="M2172" s="14">
        <f>STDEV(L2172:L2176)</f>
        <v>32029.20639</v>
      </c>
      <c r="N2172" s="15" t="b">
        <f t="shared" si="1"/>
        <v>0</v>
      </c>
    </row>
    <row r="2173" hidden="1">
      <c r="A2173" s="7" t="s">
        <v>442</v>
      </c>
      <c r="B2173" s="7" t="s">
        <v>268</v>
      </c>
      <c r="C2173" s="7">
        <v>0.75</v>
      </c>
      <c r="D2173" s="7">
        <v>0.5</v>
      </c>
      <c r="E2173" s="7">
        <v>5.0</v>
      </c>
      <c r="F2173" s="7">
        <v>172.13925743103</v>
      </c>
      <c r="G2173" s="7">
        <v>299.835499763488</v>
      </c>
      <c r="H2173" s="7">
        <v>1.0</v>
      </c>
      <c r="I2173" s="15">
        <v>0.765185884119376</v>
      </c>
      <c r="J2173" s="15">
        <v>0.13524924710214</v>
      </c>
      <c r="K2173" s="12">
        <f>AVERAGE(I2172:I2176)</f>
        <v>0.536822862</v>
      </c>
      <c r="L2173" s="18">
        <v>15485.0</v>
      </c>
      <c r="M2173" s="14">
        <f>STDEV(L2172:L2176)</f>
        <v>32029.20639</v>
      </c>
      <c r="N2173" s="15" t="b">
        <f t="shared" si="1"/>
        <v>0</v>
      </c>
    </row>
    <row r="2174" hidden="1">
      <c r="A2174" s="7" t="s">
        <v>442</v>
      </c>
      <c r="B2174" s="7" t="s">
        <v>268</v>
      </c>
      <c r="C2174" s="7">
        <v>0.75</v>
      </c>
      <c r="D2174" s="7">
        <v>0.5</v>
      </c>
      <c r="E2174" s="7">
        <v>5.0</v>
      </c>
      <c r="F2174" s="7">
        <v>172.13925743103</v>
      </c>
      <c r="G2174" s="7">
        <v>299.835499763488</v>
      </c>
      <c r="H2174" s="7">
        <v>2.0</v>
      </c>
      <c r="I2174" s="15">
        <v>0.825837818709301</v>
      </c>
      <c r="J2174" s="15">
        <v>0.0922936980553409</v>
      </c>
      <c r="K2174" s="12">
        <f>AVERAGE(I2172:I2176)</f>
        <v>0.536822862</v>
      </c>
      <c r="L2174" s="18">
        <v>4613.0</v>
      </c>
      <c r="M2174" s="14">
        <f>STDEV(L2172:L2176)</f>
        <v>32029.20639</v>
      </c>
      <c r="N2174" s="15" t="b">
        <f t="shared" si="1"/>
        <v>0</v>
      </c>
    </row>
    <row r="2175" hidden="1">
      <c r="A2175" s="7" t="s">
        <v>442</v>
      </c>
      <c r="B2175" s="7" t="s">
        <v>268</v>
      </c>
      <c r="C2175" s="7">
        <v>0.75</v>
      </c>
      <c r="D2175" s="7">
        <v>0.5</v>
      </c>
      <c r="E2175" s="7">
        <v>5.0</v>
      </c>
      <c r="F2175" s="7">
        <v>172.13925743103</v>
      </c>
      <c r="G2175" s="7">
        <v>299.835499763488</v>
      </c>
      <c r="H2175" s="7">
        <v>3.0</v>
      </c>
      <c r="I2175" s="15">
        <v>0.0324999428498503</v>
      </c>
      <c r="J2175" s="15">
        <v>0.117405398019752</v>
      </c>
      <c r="K2175" s="12">
        <f>AVERAGE(I2172:I2176)</f>
        <v>0.536822862</v>
      </c>
      <c r="L2175" s="18">
        <v>84325.0</v>
      </c>
      <c r="M2175" s="14">
        <f>STDEV(L2172:L2176)</f>
        <v>32029.20639</v>
      </c>
      <c r="N2175" s="15" t="b">
        <f t="shared" si="1"/>
        <v>0</v>
      </c>
    </row>
    <row r="2176" hidden="1">
      <c r="A2176" s="7" t="s">
        <v>442</v>
      </c>
      <c r="B2176" s="7" t="s">
        <v>268</v>
      </c>
      <c r="C2176" s="7">
        <v>0.75</v>
      </c>
      <c r="D2176" s="7">
        <v>0.5</v>
      </c>
      <c r="E2176" s="7">
        <v>5.0</v>
      </c>
      <c r="F2176" s="7">
        <v>172.13925743103</v>
      </c>
      <c r="G2176" s="7">
        <v>299.835499763488</v>
      </c>
      <c r="H2176" s="7">
        <v>4.0</v>
      </c>
      <c r="I2176" s="15">
        <v>0.715800712804721</v>
      </c>
      <c r="J2176" s="15">
        <v>0.153024098373177</v>
      </c>
      <c r="K2176" s="12">
        <f>AVERAGE(I2172:I2176)</f>
        <v>0.536822862</v>
      </c>
      <c r="L2176" s="18">
        <v>13516.0</v>
      </c>
      <c r="M2176" s="14">
        <f>STDEV(L2172:L2176)</f>
        <v>32029.20639</v>
      </c>
      <c r="N2176" s="15" t="b">
        <f t="shared" si="1"/>
        <v>0</v>
      </c>
    </row>
    <row r="2177" hidden="1">
      <c r="A2177" s="7" t="s">
        <v>443</v>
      </c>
      <c r="B2177" s="7" t="s">
        <v>268</v>
      </c>
      <c r="C2177" s="7">
        <v>0.75</v>
      </c>
      <c r="D2177" s="7">
        <v>0.5</v>
      </c>
      <c r="E2177" s="7">
        <v>6.0</v>
      </c>
      <c r="F2177" s="7">
        <v>157.553885221481</v>
      </c>
      <c r="G2177" s="7">
        <v>306.180555820465</v>
      </c>
      <c r="H2177" s="7">
        <v>0.0</v>
      </c>
      <c r="I2177" s="15">
        <v>0.752690324284533</v>
      </c>
      <c r="J2177" s="15">
        <v>0.130352631122847</v>
      </c>
      <c r="K2177" s="12">
        <f>AVERAGE(I2177:I2181)</f>
        <v>0.5471075403</v>
      </c>
      <c r="L2177" s="18">
        <v>7572.0</v>
      </c>
      <c r="M2177" s="14">
        <f>STDEV(L2177:L2181)</f>
        <v>31693.02611</v>
      </c>
      <c r="N2177" s="15" t="b">
        <f t="shared" si="1"/>
        <v>0</v>
      </c>
    </row>
    <row r="2178" hidden="1">
      <c r="A2178" s="7" t="s">
        <v>443</v>
      </c>
      <c r="B2178" s="7" t="s">
        <v>268</v>
      </c>
      <c r="C2178" s="7">
        <v>0.75</v>
      </c>
      <c r="D2178" s="7">
        <v>0.5</v>
      </c>
      <c r="E2178" s="7">
        <v>6.0</v>
      </c>
      <c r="F2178" s="7">
        <v>157.553885221481</v>
      </c>
      <c r="G2178" s="7">
        <v>306.180555820465</v>
      </c>
      <c r="H2178" s="7">
        <v>1.0</v>
      </c>
      <c r="I2178" s="15">
        <v>0.283716890239378</v>
      </c>
      <c r="J2178" s="15">
        <v>0.127426152885214</v>
      </c>
      <c r="K2178" s="12">
        <f>AVERAGE(I2177:I2181)</f>
        <v>0.5471075403</v>
      </c>
      <c r="L2178" s="18">
        <v>43596.0</v>
      </c>
      <c r="M2178" s="14">
        <f>STDEV(L2177:L2181)</f>
        <v>31693.02611</v>
      </c>
      <c r="N2178" s="15" t="b">
        <f t="shared" si="1"/>
        <v>0</v>
      </c>
    </row>
    <row r="2179" hidden="1">
      <c r="A2179" s="7" t="s">
        <v>443</v>
      </c>
      <c r="B2179" s="7" t="s">
        <v>268</v>
      </c>
      <c r="C2179" s="7">
        <v>0.75</v>
      </c>
      <c r="D2179" s="7">
        <v>0.5</v>
      </c>
      <c r="E2179" s="7">
        <v>6.0</v>
      </c>
      <c r="F2179" s="7">
        <v>157.553885221481</v>
      </c>
      <c r="G2179" s="7">
        <v>306.180555820465</v>
      </c>
      <c r="H2179" s="7">
        <v>2.0</v>
      </c>
      <c r="I2179" s="15">
        <v>0.0614120057115517</v>
      </c>
      <c r="J2179" s="15">
        <v>0.0592026896925493</v>
      </c>
      <c r="K2179" s="12">
        <f>AVERAGE(I2177:I2181)</f>
        <v>0.5471075403</v>
      </c>
      <c r="L2179" s="18">
        <v>77372.0</v>
      </c>
      <c r="M2179" s="14">
        <f>STDEV(L2177:L2181)</f>
        <v>31693.02611</v>
      </c>
      <c r="N2179" s="15" t="b">
        <f t="shared" si="1"/>
        <v>0</v>
      </c>
    </row>
    <row r="2180" hidden="1">
      <c r="A2180" s="7" t="s">
        <v>443</v>
      </c>
      <c r="B2180" s="7" t="s">
        <v>268</v>
      </c>
      <c r="C2180" s="7">
        <v>0.75</v>
      </c>
      <c r="D2180" s="7">
        <v>0.5</v>
      </c>
      <c r="E2180" s="7">
        <v>6.0</v>
      </c>
      <c r="F2180" s="7">
        <v>157.553885221481</v>
      </c>
      <c r="G2180" s="7">
        <v>306.180555820465</v>
      </c>
      <c r="H2180" s="7">
        <v>3.0</v>
      </c>
      <c r="I2180" s="15">
        <v>0.809217391093591</v>
      </c>
      <c r="J2180" s="15">
        <v>0.114344640379303</v>
      </c>
      <c r="K2180" s="12">
        <f>AVERAGE(I2177:I2181)</f>
        <v>0.5471075403</v>
      </c>
      <c r="L2180" s="18">
        <v>5685.0</v>
      </c>
      <c r="M2180" s="14">
        <f>STDEV(L2177:L2181)</f>
        <v>31693.02611</v>
      </c>
      <c r="N2180" s="15" t="b">
        <f t="shared" si="1"/>
        <v>0</v>
      </c>
    </row>
    <row r="2181" hidden="1">
      <c r="A2181" s="7" t="s">
        <v>443</v>
      </c>
      <c r="B2181" s="7" t="s">
        <v>268</v>
      </c>
      <c r="C2181" s="7">
        <v>0.75</v>
      </c>
      <c r="D2181" s="7">
        <v>0.5</v>
      </c>
      <c r="E2181" s="7">
        <v>6.0</v>
      </c>
      <c r="F2181" s="7">
        <v>157.553885221481</v>
      </c>
      <c r="G2181" s="7">
        <v>306.180555820465</v>
      </c>
      <c r="H2181" s="7">
        <v>4.0</v>
      </c>
      <c r="I2181" s="15">
        <v>0.828501090197581</v>
      </c>
      <c r="J2181" s="15">
        <v>0.0976272184677111</v>
      </c>
      <c r="K2181" s="12">
        <f>AVERAGE(I2177:I2181)</f>
        <v>0.5471075403</v>
      </c>
      <c r="L2181" s="18">
        <v>7451.0</v>
      </c>
      <c r="M2181" s="14">
        <f>STDEV(L2177:L2181)</f>
        <v>31693.02611</v>
      </c>
      <c r="N2181" s="15" t="b">
        <f t="shared" si="1"/>
        <v>0</v>
      </c>
    </row>
    <row r="2182" hidden="1">
      <c r="A2182" s="7" t="s">
        <v>444</v>
      </c>
      <c r="B2182" s="21" t="s">
        <v>268</v>
      </c>
      <c r="C2182" s="21">
        <v>0.75</v>
      </c>
      <c r="D2182" s="21">
        <v>0.5</v>
      </c>
      <c r="E2182" s="21">
        <v>7.0</v>
      </c>
      <c r="F2182" s="7">
        <v>135.141284704208</v>
      </c>
      <c r="G2182" s="7">
        <v>246.560455083847</v>
      </c>
      <c r="H2182" s="7">
        <v>0.0</v>
      </c>
      <c r="I2182" s="15">
        <v>0.751927271081782</v>
      </c>
      <c r="J2182" s="15">
        <v>0.131030938332234</v>
      </c>
      <c r="K2182" s="12">
        <f>AVERAGE(I2182:I2186)</f>
        <v>0.6632759955</v>
      </c>
      <c r="L2182" s="18">
        <v>7585.0</v>
      </c>
      <c r="M2182" s="14">
        <f>STDEV(L2182:L2186)</f>
        <v>45296.46485</v>
      </c>
      <c r="N2182" s="15" t="b">
        <f t="shared" si="1"/>
        <v>1</v>
      </c>
    </row>
    <row r="2183" hidden="1">
      <c r="A2183" s="7" t="s">
        <v>444</v>
      </c>
      <c r="B2183" s="21" t="s">
        <v>268</v>
      </c>
      <c r="C2183" s="21">
        <v>0.75</v>
      </c>
      <c r="D2183" s="21">
        <v>0.5</v>
      </c>
      <c r="E2183" s="21">
        <v>7.0</v>
      </c>
      <c r="F2183" s="7">
        <v>135.141284704208</v>
      </c>
      <c r="G2183" s="7">
        <v>246.560455083847</v>
      </c>
      <c r="H2183" s="7">
        <v>1.0</v>
      </c>
      <c r="I2183" s="15">
        <v>0.912572133819499</v>
      </c>
      <c r="J2183" s="15">
        <v>0.0342312405544341</v>
      </c>
      <c r="K2183" s="12">
        <f>AVERAGE(I2182:I2186)</f>
        <v>0.6632759955</v>
      </c>
      <c r="L2183" s="18">
        <v>2043.0</v>
      </c>
      <c r="M2183" s="14">
        <f>STDEV(L2182:L2186)</f>
        <v>45296.46485</v>
      </c>
      <c r="N2183" s="15" t="b">
        <f t="shared" si="1"/>
        <v>1</v>
      </c>
    </row>
    <row r="2184" hidden="1">
      <c r="A2184" s="7" t="s">
        <v>444</v>
      </c>
      <c r="B2184" s="21" t="s">
        <v>268</v>
      </c>
      <c r="C2184" s="21">
        <v>0.75</v>
      </c>
      <c r="D2184" s="21">
        <v>0.5</v>
      </c>
      <c r="E2184" s="21">
        <v>7.0</v>
      </c>
      <c r="F2184" s="7">
        <v>135.141284704208</v>
      </c>
      <c r="G2184" s="7">
        <v>246.560455083847</v>
      </c>
      <c r="H2184" s="7">
        <v>2.0</v>
      </c>
      <c r="I2184" s="15">
        <v>0.827472044543844</v>
      </c>
      <c r="J2184" s="15">
        <v>0.0985649813106207</v>
      </c>
      <c r="K2184" s="12">
        <f>AVERAGE(I2182:I2186)</f>
        <v>0.6632759955</v>
      </c>
      <c r="L2184" s="18">
        <v>7464.0</v>
      </c>
      <c r="M2184" s="14">
        <f>STDEV(L2182:L2186)</f>
        <v>45296.46485</v>
      </c>
      <c r="N2184" s="15" t="b">
        <f t="shared" si="1"/>
        <v>1</v>
      </c>
    </row>
    <row r="2185" hidden="1">
      <c r="A2185" s="7" t="s">
        <v>444</v>
      </c>
      <c r="B2185" s="21" t="s">
        <v>268</v>
      </c>
      <c r="C2185" s="21">
        <v>0.75</v>
      </c>
      <c r="D2185" s="21">
        <v>0.5</v>
      </c>
      <c r="E2185" s="21">
        <v>7.0</v>
      </c>
      <c r="F2185" s="7">
        <v>135.141284704208</v>
      </c>
      <c r="G2185" s="7">
        <v>246.560455083847</v>
      </c>
      <c r="H2185" s="7">
        <v>3.0</v>
      </c>
      <c r="I2185" s="15">
        <v>0.764400567235371</v>
      </c>
      <c r="J2185" s="15">
        <v>0.133802313586244</v>
      </c>
      <c r="K2185" s="12">
        <f>AVERAGE(I2182:I2186)</f>
        <v>0.6632759955</v>
      </c>
      <c r="L2185" s="18">
        <v>15690.0</v>
      </c>
      <c r="M2185" s="14">
        <f>STDEV(L2182:L2186)</f>
        <v>45296.46485</v>
      </c>
      <c r="N2185" s="15" t="b">
        <f t="shared" si="1"/>
        <v>1</v>
      </c>
    </row>
    <row r="2186" hidden="1">
      <c r="A2186" s="7" t="s">
        <v>444</v>
      </c>
      <c r="B2186" s="21" t="s">
        <v>268</v>
      </c>
      <c r="C2186" s="21">
        <v>0.75</v>
      </c>
      <c r="D2186" s="21">
        <v>0.5</v>
      </c>
      <c r="E2186" s="21">
        <v>7.0</v>
      </c>
      <c r="F2186" s="7">
        <v>135.141284704208</v>
      </c>
      <c r="G2186" s="7">
        <v>246.560455083847</v>
      </c>
      <c r="H2186" s="7">
        <v>4.0</v>
      </c>
      <c r="I2186" s="15">
        <v>0.0600079609891299</v>
      </c>
      <c r="J2186" s="15">
        <v>0.060157040833827</v>
      </c>
      <c r="K2186" s="12">
        <f>AVERAGE(I2182:I2186)</f>
        <v>0.6632759955</v>
      </c>
      <c r="L2186" s="18">
        <v>108894.0</v>
      </c>
      <c r="M2186" s="14">
        <f>STDEV(L2182:L2186)</f>
        <v>45296.46485</v>
      </c>
      <c r="N2186" s="15" t="b">
        <f t="shared" si="1"/>
        <v>1</v>
      </c>
    </row>
    <row r="2187" hidden="1">
      <c r="A2187" s="7" t="s">
        <v>445</v>
      </c>
      <c r="B2187" s="7" t="s">
        <v>268</v>
      </c>
      <c r="C2187" s="7">
        <v>0.75</v>
      </c>
      <c r="D2187" s="7">
        <v>0.5</v>
      </c>
      <c r="E2187" s="7">
        <v>8.0</v>
      </c>
      <c r="F2187" s="7">
        <v>179.184789657592</v>
      </c>
      <c r="G2187" s="7">
        <v>325.721382856369</v>
      </c>
      <c r="H2187" s="7">
        <v>0.0</v>
      </c>
      <c r="I2187" s="15">
        <v>0.719874484137322</v>
      </c>
      <c r="J2187" s="15">
        <v>0.14536383937233</v>
      </c>
      <c r="K2187" s="12">
        <f>AVERAGE(I2187:I2191)</f>
        <v>0.5435418562</v>
      </c>
      <c r="L2187" s="18">
        <v>13508.0</v>
      </c>
      <c r="M2187" s="14">
        <f>STDEV(L2187:L2191)</f>
        <v>37327.30633</v>
      </c>
      <c r="N2187" s="15" t="b">
        <f t="shared" si="1"/>
        <v>0</v>
      </c>
    </row>
    <row r="2188" hidden="1">
      <c r="A2188" s="7" t="s">
        <v>445</v>
      </c>
      <c r="B2188" s="7" t="s">
        <v>268</v>
      </c>
      <c r="C2188" s="7">
        <v>0.75</v>
      </c>
      <c r="D2188" s="7">
        <v>0.5</v>
      </c>
      <c r="E2188" s="7">
        <v>8.0</v>
      </c>
      <c r="F2188" s="7">
        <v>179.184789657592</v>
      </c>
      <c r="G2188" s="7">
        <v>325.721382856369</v>
      </c>
      <c r="H2188" s="7">
        <v>1.0</v>
      </c>
      <c r="I2188" s="15">
        <v>0.0331775192516261</v>
      </c>
      <c r="J2188" s="15">
        <v>0.0916193766087191</v>
      </c>
      <c r="K2188" s="12">
        <f>AVERAGE(I2187:I2191)</f>
        <v>0.5435418562</v>
      </c>
      <c r="L2188" s="18">
        <v>92862.0</v>
      </c>
      <c r="M2188" s="14">
        <f>STDEV(L2187:L2191)</f>
        <v>37327.30633</v>
      </c>
      <c r="N2188" s="15" t="b">
        <f t="shared" si="1"/>
        <v>0</v>
      </c>
    </row>
    <row r="2189" hidden="1">
      <c r="A2189" s="7" t="s">
        <v>445</v>
      </c>
      <c r="B2189" s="7" t="s">
        <v>268</v>
      </c>
      <c r="C2189" s="7">
        <v>0.75</v>
      </c>
      <c r="D2189" s="7">
        <v>0.5</v>
      </c>
      <c r="E2189" s="7">
        <v>8.0</v>
      </c>
      <c r="F2189" s="7">
        <v>179.184789657592</v>
      </c>
      <c r="G2189" s="7">
        <v>325.721382856369</v>
      </c>
      <c r="H2189" s="7">
        <v>2.0</v>
      </c>
      <c r="I2189" s="15">
        <v>0.82160635219271</v>
      </c>
      <c r="J2189" s="15">
        <v>0.10333147635423</v>
      </c>
      <c r="K2189" s="12">
        <f>AVERAGE(I2187:I2191)</f>
        <v>0.5435418562</v>
      </c>
      <c r="L2189" s="18">
        <v>6463.0</v>
      </c>
      <c r="M2189" s="14">
        <f>STDEV(L2187:L2191)</f>
        <v>37327.30633</v>
      </c>
      <c r="N2189" s="15" t="b">
        <f t="shared" si="1"/>
        <v>0</v>
      </c>
    </row>
    <row r="2190" hidden="1">
      <c r="A2190" s="7" t="s">
        <v>445</v>
      </c>
      <c r="B2190" s="7" t="s">
        <v>268</v>
      </c>
      <c r="C2190" s="7">
        <v>0.75</v>
      </c>
      <c r="D2190" s="7">
        <v>0.5</v>
      </c>
      <c r="E2190" s="7">
        <v>8.0</v>
      </c>
      <c r="F2190" s="7">
        <v>179.184789657592</v>
      </c>
      <c r="G2190" s="7">
        <v>325.721382856369</v>
      </c>
      <c r="H2190" s="7">
        <v>3.0</v>
      </c>
      <c r="I2190" s="15">
        <v>0.401354012509705</v>
      </c>
      <c r="J2190" s="15">
        <v>0.0764796508844415</v>
      </c>
      <c r="K2190" s="12">
        <f>AVERAGE(I2187:I2191)</f>
        <v>0.5435418562</v>
      </c>
      <c r="L2190" s="18">
        <v>27153.0</v>
      </c>
      <c r="M2190" s="14">
        <f>STDEV(L2187:L2191)</f>
        <v>37327.30633</v>
      </c>
      <c r="N2190" s="15" t="b">
        <f t="shared" si="1"/>
        <v>0</v>
      </c>
    </row>
    <row r="2191" hidden="1">
      <c r="A2191" s="7" t="s">
        <v>445</v>
      </c>
      <c r="B2191" s="7" t="s">
        <v>268</v>
      </c>
      <c r="C2191" s="7">
        <v>0.75</v>
      </c>
      <c r="D2191" s="7">
        <v>0.5</v>
      </c>
      <c r="E2191" s="7">
        <v>8.0</v>
      </c>
      <c r="F2191" s="7">
        <v>179.184789657592</v>
      </c>
      <c r="G2191" s="7">
        <v>325.721382856369</v>
      </c>
      <c r="H2191" s="7">
        <v>4.0</v>
      </c>
      <c r="I2191" s="15">
        <v>0.741696913096512</v>
      </c>
      <c r="J2191" s="15">
        <v>0.151801352147474</v>
      </c>
      <c r="K2191" s="12">
        <f>AVERAGE(I2187:I2191)</f>
        <v>0.5435418562</v>
      </c>
      <c r="L2191" s="18">
        <v>1690.0</v>
      </c>
      <c r="M2191" s="14">
        <f>STDEV(L2187:L2191)</f>
        <v>37327.30633</v>
      </c>
      <c r="N2191" s="15" t="b">
        <f t="shared" si="1"/>
        <v>0</v>
      </c>
    </row>
    <row r="2192" hidden="1">
      <c r="A2192" s="7" t="s">
        <v>446</v>
      </c>
      <c r="B2192" s="7" t="s">
        <v>268</v>
      </c>
      <c r="C2192" s="7">
        <v>0.75</v>
      </c>
      <c r="D2192" s="7">
        <v>0.5</v>
      </c>
      <c r="E2192" s="7">
        <v>9.0</v>
      </c>
      <c r="F2192" s="7">
        <v>151.670590162277</v>
      </c>
      <c r="G2192" s="7">
        <v>293.958544015884</v>
      </c>
      <c r="H2192" s="7">
        <v>0.0</v>
      </c>
      <c r="I2192" s="15">
        <v>0.73728818229845</v>
      </c>
      <c r="J2192" s="15">
        <v>0.157479344721166</v>
      </c>
      <c r="K2192" s="12">
        <f>AVERAGE(I2192:I2196)</f>
        <v>0.5337956131</v>
      </c>
      <c r="L2192" s="18">
        <v>1699.0</v>
      </c>
      <c r="M2192" s="14">
        <f>STDEV(L2192:L2196)</f>
        <v>38025.26257</v>
      </c>
      <c r="N2192" s="15" t="b">
        <f t="shared" si="1"/>
        <v>0</v>
      </c>
    </row>
    <row r="2193" hidden="1">
      <c r="A2193" s="7" t="s">
        <v>446</v>
      </c>
      <c r="B2193" s="7" t="s">
        <v>268</v>
      </c>
      <c r="C2193" s="7">
        <v>0.75</v>
      </c>
      <c r="D2193" s="7">
        <v>0.5</v>
      </c>
      <c r="E2193" s="7">
        <v>9.0</v>
      </c>
      <c r="F2193" s="7">
        <v>151.670590162277</v>
      </c>
      <c r="G2193" s="7">
        <v>293.958544015884</v>
      </c>
      <c r="H2193" s="7">
        <v>1.0</v>
      </c>
      <c r="I2193" s="15">
        <v>0.101953286593746</v>
      </c>
      <c r="J2193" s="15">
        <v>0.0603922111001211</v>
      </c>
      <c r="K2193" s="12">
        <f>AVERAGE(I2192:I2196)</f>
        <v>0.5337956131</v>
      </c>
      <c r="L2193" s="18">
        <v>91366.0</v>
      </c>
      <c r="M2193" s="14">
        <f>STDEV(L2192:L2196)</f>
        <v>38025.26257</v>
      </c>
      <c r="N2193" s="15" t="b">
        <f t="shared" si="1"/>
        <v>0</v>
      </c>
    </row>
    <row r="2194" hidden="1">
      <c r="A2194" s="7" t="s">
        <v>446</v>
      </c>
      <c r="B2194" s="7" t="s">
        <v>268</v>
      </c>
      <c r="C2194" s="7">
        <v>0.75</v>
      </c>
      <c r="D2194" s="7">
        <v>0.5</v>
      </c>
      <c r="E2194" s="7">
        <v>9.0</v>
      </c>
      <c r="F2194" s="7">
        <v>151.670590162277</v>
      </c>
      <c r="G2194" s="7">
        <v>293.958544015884</v>
      </c>
      <c r="H2194" s="7">
        <v>2.0</v>
      </c>
      <c r="I2194" s="15">
        <v>0.188801220922653</v>
      </c>
      <c r="J2194" s="15">
        <v>0.0980872945358257</v>
      </c>
      <c r="K2194" s="12">
        <f>AVERAGE(I2192:I2196)</f>
        <v>0.5337956131</v>
      </c>
      <c r="L2194" s="18">
        <v>37085.0</v>
      </c>
      <c r="M2194" s="14">
        <f>STDEV(L2192:L2196)</f>
        <v>38025.26257</v>
      </c>
      <c r="N2194" s="15" t="b">
        <f t="shared" si="1"/>
        <v>0</v>
      </c>
    </row>
    <row r="2195" hidden="1">
      <c r="A2195" s="7" t="s">
        <v>446</v>
      </c>
      <c r="B2195" s="7" t="s">
        <v>268</v>
      </c>
      <c r="C2195" s="7">
        <v>0.75</v>
      </c>
      <c r="D2195" s="7">
        <v>0.5</v>
      </c>
      <c r="E2195" s="7">
        <v>9.0</v>
      </c>
      <c r="F2195" s="7">
        <v>151.670590162277</v>
      </c>
      <c r="G2195" s="7">
        <v>293.958544015884</v>
      </c>
      <c r="H2195" s="7">
        <v>3.0</v>
      </c>
      <c r="I2195" s="15">
        <v>0.82918166485934</v>
      </c>
      <c r="J2195" s="15">
        <v>0.0984348067340878</v>
      </c>
      <c r="K2195" s="12">
        <f>AVERAGE(I2192:I2196)</f>
        <v>0.5337956131</v>
      </c>
      <c r="L2195" s="18">
        <v>7458.0</v>
      </c>
      <c r="M2195" s="14">
        <f>STDEV(L2192:L2196)</f>
        <v>38025.26257</v>
      </c>
      <c r="N2195" s="15" t="b">
        <f t="shared" si="1"/>
        <v>0</v>
      </c>
    </row>
    <row r="2196" hidden="1">
      <c r="A2196" s="7" t="s">
        <v>446</v>
      </c>
      <c r="B2196" s="7" t="s">
        <v>268</v>
      </c>
      <c r="C2196" s="7">
        <v>0.75</v>
      </c>
      <c r="D2196" s="7">
        <v>0.5</v>
      </c>
      <c r="E2196" s="7">
        <v>9.0</v>
      </c>
      <c r="F2196" s="7">
        <v>151.670590162277</v>
      </c>
      <c r="G2196" s="7">
        <v>293.958544015884</v>
      </c>
      <c r="H2196" s="7">
        <v>4.0</v>
      </c>
      <c r="I2196" s="15">
        <v>0.811753711014678</v>
      </c>
      <c r="J2196" s="15">
        <v>0.0802918806767254</v>
      </c>
      <c r="K2196" s="12">
        <f>AVERAGE(I2192:I2196)</f>
        <v>0.5337956131</v>
      </c>
      <c r="L2196" s="18">
        <v>4068.0</v>
      </c>
      <c r="M2196" s="14">
        <f>STDEV(L2192:L2196)</f>
        <v>38025.26257</v>
      </c>
      <c r="N2196" s="15" t="b">
        <f t="shared" si="1"/>
        <v>0</v>
      </c>
    </row>
    <row r="2197" hidden="1">
      <c r="A2197" s="7" t="s">
        <v>447</v>
      </c>
      <c r="B2197" s="7" t="s">
        <v>268</v>
      </c>
      <c r="C2197" s="7">
        <v>0.75</v>
      </c>
      <c r="D2197" s="7">
        <v>0.5</v>
      </c>
      <c r="E2197" s="7">
        <v>10.0</v>
      </c>
      <c r="F2197" s="7">
        <v>186.147723436355</v>
      </c>
      <c r="G2197" s="7">
        <v>322.482154846191</v>
      </c>
      <c r="H2197" s="7">
        <v>0.0</v>
      </c>
      <c r="I2197" s="15">
        <v>0.825404451404004</v>
      </c>
      <c r="J2197" s="15">
        <v>0.114377330928226</v>
      </c>
      <c r="K2197" s="12">
        <f>AVERAGE(I2197:I2201)</f>
        <v>0.448445111</v>
      </c>
      <c r="L2197" s="18">
        <v>7439.0</v>
      </c>
      <c r="M2197" s="14">
        <f>STDEV(L2197:L2201)</f>
        <v>31315.17148</v>
      </c>
      <c r="N2197" s="15" t="b">
        <f t="shared" si="1"/>
        <v>0</v>
      </c>
    </row>
    <row r="2198" hidden="1">
      <c r="A2198" s="7" t="s">
        <v>447</v>
      </c>
      <c r="B2198" s="7" t="s">
        <v>268</v>
      </c>
      <c r="C2198" s="7">
        <v>0.75</v>
      </c>
      <c r="D2198" s="7">
        <v>0.5</v>
      </c>
      <c r="E2198" s="7">
        <v>10.0</v>
      </c>
      <c r="F2198" s="7">
        <v>186.147723436355</v>
      </c>
      <c r="G2198" s="7">
        <v>322.482154846191</v>
      </c>
      <c r="H2198" s="7">
        <v>1.0</v>
      </c>
      <c r="I2198" s="15">
        <v>0.294413231269016</v>
      </c>
      <c r="J2198" s="15">
        <v>0.156732918951702</v>
      </c>
      <c r="K2198" s="12">
        <f>AVERAGE(I2197:I2201)</f>
        <v>0.448445111</v>
      </c>
      <c r="L2198" s="18">
        <v>33168.0</v>
      </c>
      <c r="M2198" s="14">
        <f>STDEV(L2197:L2201)</f>
        <v>31315.17148</v>
      </c>
      <c r="N2198" s="15" t="b">
        <f t="shared" si="1"/>
        <v>0</v>
      </c>
    </row>
    <row r="2199" hidden="1">
      <c r="A2199" s="7" t="s">
        <v>447</v>
      </c>
      <c r="B2199" s="7" t="s">
        <v>268</v>
      </c>
      <c r="C2199" s="7">
        <v>0.75</v>
      </c>
      <c r="D2199" s="7">
        <v>0.5</v>
      </c>
      <c r="E2199" s="7">
        <v>10.0</v>
      </c>
      <c r="F2199" s="7">
        <v>186.147723436355</v>
      </c>
      <c r="G2199" s="7">
        <v>322.482154846191</v>
      </c>
      <c r="H2199" s="7">
        <v>2.0</v>
      </c>
      <c r="I2199" s="15">
        <v>0.079141555776424</v>
      </c>
      <c r="J2199" s="15">
        <v>0.085585488454857</v>
      </c>
      <c r="K2199" s="12">
        <f>AVERAGE(I2197:I2201)</f>
        <v>0.448445111</v>
      </c>
      <c r="L2199" s="18">
        <v>80782.0</v>
      </c>
      <c r="M2199" s="14">
        <f>STDEV(L2197:L2201)</f>
        <v>31315.17148</v>
      </c>
      <c r="N2199" s="15" t="b">
        <f t="shared" si="1"/>
        <v>0</v>
      </c>
    </row>
    <row r="2200" hidden="1">
      <c r="A2200" s="7" t="s">
        <v>447</v>
      </c>
      <c r="B2200" s="7" t="s">
        <v>268</v>
      </c>
      <c r="C2200" s="7">
        <v>0.75</v>
      </c>
      <c r="D2200" s="7">
        <v>0.5</v>
      </c>
      <c r="E2200" s="7">
        <v>10.0</v>
      </c>
      <c r="F2200" s="7">
        <v>186.147723436355</v>
      </c>
      <c r="G2200" s="7">
        <v>322.482154846191</v>
      </c>
      <c r="H2200" s="7">
        <v>3.0</v>
      </c>
      <c r="I2200" s="15">
        <v>0.800086718956691</v>
      </c>
      <c r="J2200" s="15">
        <v>0.0975924662593226</v>
      </c>
      <c r="K2200" s="12">
        <f>AVERAGE(I2197:I2201)</f>
        <v>0.448445111</v>
      </c>
      <c r="L2200" s="18">
        <v>15144.0</v>
      </c>
      <c r="M2200" s="14">
        <f>STDEV(L2197:L2201)</f>
        <v>31315.17148</v>
      </c>
      <c r="N2200" s="15" t="b">
        <f t="shared" si="1"/>
        <v>0</v>
      </c>
    </row>
    <row r="2201" hidden="1">
      <c r="A2201" s="7" t="s">
        <v>447</v>
      </c>
      <c r="B2201" s="7" t="s">
        <v>268</v>
      </c>
      <c r="C2201" s="7">
        <v>0.75</v>
      </c>
      <c r="D2201" s="7">
        <v>0.5</v>
      </c>
      <c r="E2201" s="7">
        <v>10.0</v>
      </c>
      <c r="F2201" s="7">
        <v>186.147723436355</v>
      </c>
      <c r="G2201" s="7">
        <v>322.482154846191</v>
      </c>
      <c r="H2201" s="7">
        <v>4.0</v>
      </c>
      <c r="I2201" s="15">
        <v>0.243179597762272</v>
      </c>
      <c r="J2201" s="15">
        <v>0.140142625073335</v>
      </c>
      <c r="K2201" s="12">
        <f>AVERAGE(I2197:I2201)</f>
        <v>0.448445111</v>
      </c>
      <c r="L2201" s="18">
        <v>5143.0</v>
      </c>
      <c r="M2201" s="14">
        <f>STDEV(L2197:L2201)</f>
        <v>31315.17148</v>
      </c>
      <c r="N2201" s="15" t="b">
        <f t="shared" si="1"/>
        <v>0</v>
      </c>
    </row>
    <row r="2202" hidden="1">
      <c r="A2202" s="7" t="s">
        <v>448</v>
      </c>
      <c r="B2202" s="7" t="s">
        <v>268</v>
      </c>
      <c r="C2202" s="7">
        <v>0.75</v>
      </c>
      <c r="D2202" s="7">
        <v>0.75</v>
      </c>
      <c r="E2202" s="7">
        <v>1.0</v>
      </c>
      <c r="F2202" s="7">
        <v>152.338141202926</v>
      </c>
      <c r="G2202" s="7">
        <v>291.720934867858</v>
      </c>
      <c r="H2202" s="7">
        <v>0.0</v>
      </c>
      <c r="I2202" s="15">
        <v>0.859957672050039</v>
      </c>
      <c r="J2202" s="15">
        <v>0.0464777346503923</v>
      </c>
      <c r="K2202" s="12">
        <f>AVERAGE(I2202:I2206)</f>
        <v>0.6405913192</v>
      </c>
      <c r="L2202" s="18">
        <v>9947.0</v>
      </c>
      <c r="M2202" s="14">
        <f>STDEV(L2202:L2206)</f>
        <v>41673.7733</v>
      </c>
      <c r="N2202" s="15" t="b">
        <f t="shared" si="1"/>
        <v>0</v>
      </c>
    </row>
    <row r="2203" hidden="1">
      <c r="A2203" s="7" t="s">
        <v>448</v>
      </c>
      <c r="B2203" s="7" t="s">
        <v>268</v>
      </c>
      <c r="C2203" s="7">
        <v>0.75</v>
      </c>
      <c r="D2203" s="7">
        <v>0.75</v>
      </c>
      <c r="E2203" s="7">
        <v>1.0</v>
      </c>
      <c r="F2203" s="7">
        <v>152.338141202926</v>
      </c>
      <c r="G2203" s="7">
        <v>291.720934867858</v>
      </c>
      <c r="H2203" s="7">
        <v>1.0</v>
      </c>
      <c r="I2203" s="15">
        <v>0.767244164702854</v>
      </c>
      <c r="J2203" s="15">
        <v>0.131699090955337</v>
      </c>
      <c r="K2203" s="12">
        <f>AVERAGE(I2202:I2206)</f>
        <v>0.6405913192</v>
      </c>
      <c r="L2203" s="18">
        <v>7800.0</v>
      </c>
      <c r="M2203" s="14">
        <f>STDEV(L2202:L2206)</f>
        <v>41673.7733</v>
      </c>
      <c r="N2203" s="15" t="b">
        <f t="shared" si="1"/>
        <v>0</v>
      </c>
    </row>
    <row r="2204" hidden="1">
      <c r="A2204" s="7" t="s">
        <v>448</v>
      </c>
      <c r="B2204" s="7" t="s">
        <v>268</v>
      </c>
      <c r="C2204" s="7">
        <v>0.75</v>
      </c>
      <c r="D2204" s="7">
        <v>0.75</v>
      </c>
      <c r="E2204" s="7">
        <v>1.0</v>
      </c>
      <c r="F2204" s="7">
        <v>152.338141202926</v>
      </c>
      <c r="G2204" s="7">
        <v>291.720934867858</v>
      </c>
      <c r="H2204" s="7">
        <v>2.0</v>
      </c>
      <c r="I2204" s="15">
        <v>0.763440648412312</v>
      </c>
      <c r="J2204" s="15">
        <v>0.131623100202753</v>
      </c>
      <c r="K2204" s="12">
        <f>AVERAGE(I2202:I2206)</f>
        <v>0.6405913192</v>
      </c>
      <c r="L2204" s="18">
        <v>15642.0</v>
      </c>
      <c r="M2204" s="14">
        <f>STDEV(L2202:L2206)</f>
        <v>41673.7733</v>
      </c>
      <c r="N2204" s="15" t="b">
        <f t="shared" si="1"/>
        <v>0</v>
      </c>
    </row>
    <row r="2205" hidden="1">
      <c r="A2205" s="7" t="s">
        <v>448</v>
      </c>
      <c r="B2205" s="7" t="s">
        <v>268</v>
      </c>
      <c r="C2205" s="7">
        <v>0.75</v>
      </c>
      <c r="D2205" s="7">
        <v>0.75</v>
      </c>
      <c r="E2205" s="7">
        <v>1.0</v>
      </c>
      <c r="F2205" s="7">
        <v>152.338141202926</v>
      </c>
      <c r="G2205" s="7">
        <v>291.720934867858</v>
      </c>
      <c r="H2205" s="7">
        <v>3.0</v>
      </c>
      <c r="I2205" s="15">
        <v>0.806174881007387</v>
      </c>
      <c r="J2205" s="15">
        <v>0.11890708437378</v>
      </c>
      <c r="K2205" s="12">
        <f>AVERAGE(I2202:I2206)</f>
        <v>0.6405913192</v>
      </c>
      <c r="L2205" s="18">
        <v>5699.0</v>
      </c>
      <c r="M2205" s="14">
        <f>STDEV(L2202:L2206)</f>
        <v>41673.7733</v>
      </c>
      <c r="N2205" s="15" t="b">
        <f t="shared" si="1"/>
        <v>0</v>
      </c>
    </row>
    <row r="2206" hidden="1">
      <c r="A2206" s="7" t="s">
        <v>448</v>
      </c>
      <c r="B2206" s="7" t="s">
        <v>268</v>
      </c>
      <c r="C2206" s="7">
        <v>0.75</v>
      </c>
      <c r="D2206" s="7">
        <v>0.75</v>
      </c>
      <c r="E2206" s="7">
        <v>1.0</v>
      </c>
      <c r="F2206" s="7">
        <v>152.338141202926</v>
      </c>
      <c r="G2206" s="7">
        <v>291.720934867858</v>
      </c>
      <c r="H2206" s="7">
        <v>4.0</v>
      </c>
      <c r="I2206" s="15">
        <v>0.00613922982534998</v>
      </c>
      <c r="J2206" s="15">
        <v>0.186004946694969</v>
      </c>
      <c r="K2206" s="12">
        <f>AVERAGE(I2202:I2206)</f>
        <v>0.6405913192</v>
      </c>
      <c r="L2206" s="18">
        <v>102588.0</v>
      </c>
      <c r="M2206" s="14">
        <f>STDEV(L2202:L2206)</f>
        <v>41673.7733</v>
      </c>
      <c r="N2206" s="15" t="b">
        <f t="shared" si="1"/>
        <v>0</v>
      </c>
    </row>
    <row r="2207" hidden="1">
      <c r="A2207" s="7" t="s">
        <v>449</v>
      </c>
      <c r="B2207" s="7" t="s">
        <v>268</v>
      </c>
      <c r="C2207" s="7">
        <v>0.75</v>
      </c>
      <c r="D2207" s="7">
        <v>0.75</v>
      </c>
      <c r="E2207" s="7">
        <v>2.0</v>
      </c>
      <c r="F2207" s="7">
        <v>186.078493595123</v>
      </c>
      <c r="G2207" s="7">
        <v>312.216970205307</v>
      </c>
      <c r="H2207" s="7">
        <v>0.0</v>
      </c>
      <c r="I2207" s="15">
        <v>0.354106375372893</v>
      </c>
      <c r="J2207" s="15">
        <v>0.194172350166656</v>
      </c>
      <c r="K2207" s="12">
        <f>AVERAGE(I2207:I2211)</f>
        <v>0.5687448951</v>
      </c>
      <c r="L2207" s="18">
        <v>31077.0</v>
      </c>
      <c r="M2207" s="14">
        <f>STDEV(L2207:L2211)</f>
        <v>32547.49071</v>
      </c>
      <c r="N2207" s="15" t="b">
        <f t="shared" si="1"/>
        <v>0</v>
      </c>
    </row>
    <row r="2208" hidden="1">
      <c r="A2208" s="7" t="s">
        <v>449</v>
      </c>
      <c r="B2208" s="7" t="s">
        <v>268</v>
      </c>
      <c r="C2208" s="7">
        <v>0.75</v>
      </c>
      <c r="D2208" s="7">
        <v>0.75</v>
      </c>
      <c r="E2208" s="7">
        <v>2.0</v>
      </c>
      <c r="F2208" s="7">
        <v>186.078493595123</v>
      </c>
      <c r="G2208" s="7">
        <v>312.216970205307</v>
      </c>
      <c r="H2208" s="7">
        <v>1.0</v>
      </c>
      <c r="I2208" s="15">
        <v>0.813651579409781</v>
      </c>
      <c r="J2208" s="15">
        <v>0.076110108907421</v>
      </c>
      <c r="K2208" s="12">
        <f>AVERAGE(I2207:I2211)</f>
        <v>0.5687448951</v>
      </c>
      <c r="L2208" s="18">
        <v>4040.0</v>
      </c>
      <c r="M2208" s="14">
        <f>STDEV(L2207:L2211)</f>
        <v>32547.49071</v>
      </c>
      <c r="N2208" s="15" t="b">
        <f t="shared" si="1"/>
        <v>0</v>
      </c>
    </row>
    <row r="2209" hidden="1">
      <c r="A2209" s="7" t="s">
        <v>449</v>
      </c>
      <c r="B2209" s="7" t="s">
        <v>268</v>
      </c>
      <c r="C2209" s="7">
        <v>0.75</v>
      </c>
      <c r="D2209" s="7">
        <v>0.75</v>
      </c>
      <c r="E2209" s="7">
        <v>2.0</v>
      </c>
      <c r="F2209" s="7">
        <v>186.078493595123</v>
      </c>
      <c r="G2209" s="7">
        <v>312.216970205307</v>
      </c>
      <c r="H2209" s="7">
        <v>2.0</v>
      </c>
      <c r="I2209" s="15">
        <v>0.770910683573717</v>
      </c>
      <c r="J2209" s="15">
        <v>0.120319917211741</v>
      </c>
      <c r="K2209" s="12">
        <f>AVERAGE(I2207:I2211)</f>
        <v>0.5687448951</v>
      </c>
      <c r="L2209" s="18">
        <v>15634.0</v>
      </c>
      <c r="M2209" s="14">
        <f>STDEV(L2207:L2211)</f>
        <v>32547.49071</v>
      </c>
      <c r="N2209" s="15" t="b">
        <f t="shared" si="1"/>
        <v>0</v>
      </c>
    </row>
    <row r="2210" hidden="1">
      <c r="A2210" s="7" t="s">
        <v>449</v>
      </c>
      <c r="B2210" s="7" t="s">
        <v>268</v>
      </c>
      <c r="C2210" s="7">
        <v>0.75</v>
      </c>
      <c r="D2210" s="7">
        <v>0.75</v>
      </c>
      <c r="E2210" s="7">
        <v>2.0</v>
      </c>
      <c r="F2210" s="7">
        <v>186.078493595123</v>
      </c>
      <c r="G2210" s="7">
        <v>312.216970205307</v>
      </c>
      <c r="H2210" s="7">
        <v>3.0</v>
      </c>
      <c r="I2210" s="15">
        <v>0.828982552744512</v>
      </c>
      <c r="J2210" s="15">
        <v>0.0984328448311366</v>
      </c>
      <c r="K2210" s="12">
        <f>AVERAGE(I2207:I2211)</f>
        <v>0.5687448951</v>
      </c>
      <c r="L2210" s="18">
        <v>7439.0</v>
      </c>
      <c r="M2210" s="14">
        <f>STDEV(L2207:L2211)</f>
        <v>32547.49071</v>
      </c>
      <c r="N2210" s="15" t="b">
        <f t="shared" si="1"/>
        <v>0</v>
      </c>
    </row>
    <row r="2211" hidden="1">
      <c r="A2211" s="7" t="s">
        <v>449</v>
      </c>
      <c r="B2211" s="7" t="s">
        <v>268</v>
      </c>
      <c r="C2211" s="7">
        <v>0.75</v>
      </c>
      <c r="D2211" s="7">
        <v>0.75</v>
      </c>
      <c r="E2211" s="7">
        <v>2.0</v>
      </c>
      <c r="F2211" s="7">
        <v>186.078493595123</v>
      </c>
      <c r="G2211" s="7">
        <v>312.216970205307</v>
      </c>
      <c r="H2211" s="7">
        <v>4.0</v>
      </c>
      <c r="I2211" s="15">
        <v>0.0760732845090941</v>
      </c>
      <c r="J2211" s="15">
        <v>0.0617295312777814</v>
      </c>
      <c r="K2211" s="12">
        <f>AVERAGE(I2207:I2211)</f>
        <v>0.5687448951</v>
      </c>
      <c r="L2211" s="18">
        <v>83486.0</v>
      </c>
      <c r="M2211" s="14">
        <f>STDEV(L2207:L2211)</f>
        <v>32547.49071</v>
      </c>
      <c r="N2211" s="15" t="b">
        <f t="shared" si="1"/>
        <v>0</v>
      </c>
    </row>
    <row r="2212" hidden="1">
      <c r="A2212" s="7" t="s">
        <v>450</v>
      </c>
      <c r="B2212" s="7" t="s">
        <v>268</v>
      </c>
      <c r="C2212" s="7">
        <v>0.75</v>
      </c>
      <c r="D2212" s="7">
        <v>0.75</v>
      </c>
      <c r="E2212" s="7">
        <v>3.0</v>
      </c>
      <c r="F2212" s="7">
        <v>187.636380434036</v>
      </c>
      <c r="G2212" s="7">
        <v>322.526485443115</v>
      </c>
      <c r="H2212" s="7">
        <v>0.0</v>
      </c>
      <c r="I2212" s="15">
        <v>0.0992196047385854</v>
      </c>
      <c r="J2212" s="15">
        <v>0.0765731709356307</v>
      </c>
      <c r="K2212" s="12">
        <f>AVERAGE(I2212:I2216)</f>
        <v>0.5601092486</v>
      </c>
      <c r="L2212" s="18">
        <v>71521.0</v>
      </c>
      <c r="M2212" s="14">
        <f>STDEV(L2212:L2216)</f>
        <v>31764.16566</v>
      </c>
      <c r="N2212" s="15" t="b">
        <f t="shared" si="1"/>
        <v>0</v>
      </c>
    </row>
    <row r="2213" hidden="1">
      <c r="A2213" s="7" t="s">
        <v>450</v>
      </c>
      <c r="B2213" s="7" t="s">
        <v>268</v>
      </c>
      <c r="C2213" s="7">
        <v>0.75</v>
      </c>
      <c r="D2213" s="7">
        <v>0.75</v>
      </c>
      <c r="E2213" s="7">
        <v>3.0</v>
      </c>
      <c r="F2213" s="7">
        <v>187.636380434036</v>
      </c>
      <c r="G2213" s="7">
        <v>322.526485443115</v>
      </c>
      <c r="H2213" s="7">
        <v>1.0</v>
      </c>
      <c r="I2213" s="15">
        <v>0.828870648534147</v>
      </c>
      <c r="J2213" s="15">
        <v>0.0981172041136154</v>
      </c>
      <c r="K2213" s="12">
        <f>AVERAGE(I2212:I2216)</f>
        <v>0.5601092486</v>
      </c>
      <c r="L2213" s="18">
        <v>7451.0</v>
      </c>
      <c r="M2213" s="14">
        <f>STDEV(L2212:L2216)</f>
        <v>31764.16566</v>
      </c>
      <c r="N2213" s="15" t="b">
        <f t="shared" si="1"/>
        <v>0</v>
      </c>
    </row>
    <row r="2214" hidden="1">
      <c r="A2214" s="7" t="s">
        <v>450</v>
      </c>
      <c r="B2214" s="7" t="s">
        <v>268</v>
      </c>
      <c r="C2214" s="7">
        <v>0.75</v>
      </c>
      <c r="D2214" s="7">
        <v>0.75</v>
      </c>
      <c r="E2214" s="7">
        <v>3.0</v>
      </c>
      <c r="F2214" s="7">
        <v>187.636380434036</v>
      </c>
      <c r="G2214" s="7">
        <v>322.526485443115</v>
      </c>
      <c r="H2214" s="7">
        <v>2.0</v>
      </c>
      <c r="I2214" s="15">
        <v>0.912890368689096</v>
      </c>
      <c r="J2214" s="15">
        <v>0.0346872606066385</v>
      </c>
      <c r="K2214" s="12">
        <f>AVERAGE(I2212:I2216)</f>
        <v>0.5601092486</v>
      </c>
      <c r="L2214" s="18">
        <v>2043.0</v>
      </c>
      <c r="M2214" s="14">
        <f>STDEV(L2212:L2216)</f>
        <v>31764.16566</v>
      </c>
      <c r="N2214" s="15" t="b">
        <f t="shared" si="1"/>
        <v>0</v>
      </c>
    </row>
    <row r="2215" hidden="1">
      <c r="A2215" s="7" t="s">
        <v>450</v>
      </c>
      <c r="B2215" s="7" t="s">
        <v>268</v>
      </c>
      <c r="C2215" s="7">
        <v>0.75</v>
      </c>
      <c r="D2215" s="7">
        <v>0.75</v>
      </c>
      <c r="E2215" s="7">
        <v>3.0</v>
      </c>
      <c r="F2215" s="7">
        <v>187.636380434036</v>
      </c>
      <c r="G2215" s="7">
        <v>322.526485443115</v>
      </c>
      <c r="H2215" s="7">
        <v>3.0</v>
      </c>
      <c r="I2215" s="15">
        <v>0.752088148309506</v>
      </c>
      <c r="J2215" s="15">
        <v>0.13199724365221</v>
      </c>
      <c r="K2215" s="12">
        <f>AVERAGE(I2212:I2216)</f>
        <v>0.5601092486</v>
      </c>
      <c r="L2215" s="18">
        <v>7577.0</v>
      </c>
      <c r="M2215" s="14">
        <f>STDEV(L2212:L2216)</f>
        <v>31764.16566</v>
      </c>
      <c r="N2215" s="15" t="b">
        <f t="shared" si="1"/>
        <v>0</v>
      </c>
    </row>
    <row r="2216" hidden="1">
      <c r="A2216" s="7" t="s">
        <v>450</v>
      </c>
      <c r="B2216" s="7" t="s">
        <v>268</v>
      </c>
      <c r="C2216" s="7">
        <v>0.75</v>
      </c>
      <c r="D2216" s="7">
        <v>0.75</v>
      </c>
      <c r="E2216" s="7">
        <v>3.0</v>
      </c>
      <c r="F2216" s="7">
        <v>187.636380434036</v>
      </c>
      <c r="G2216" s="7">
        <v>322.526485443115</v>
      </c>
      <c r="H2216" s="7">
        <v>4.0</v>
      </c>
      <c r="I2216" s="15">
        <v>0.207477472793022</v>
      </c>
      <c r="J2216" s="15">
        <v>0.0976019868040451</v>
      </c>
      <c r="K2216" s="12">
        <f>AVERAGE(I2212:I2216)</f>
        <v>0.5601092486</v>
      </c>
      <c r="L2216" s="18">
        <v>53084.0</v>
      </c>
      <c r="M2216" s="14">
        <f>STDEV(L2212:L2216)</f>
        <v>31764.16566</v>
      </c>
      <c r="N2216" s="15" t="b">
        <f t="shared" si="1"/>
        <v>0</v>
      </c>
    </row>
    <row r="2217" hidden="1">
      <c r="A2217" s="7" t="s">
        <v>451</v>
      </c>
      <c r="B2217" s="7" t="s">
        <v>268</v>
      </c>
      <c r="C2217" s="7">
        <v>0.75</v>
      </c>
      <c r="D2217" s="7">
        <v>0.75</v>
      </c>
      <c r="E2217" s="7">
        <v>4.0</v>
      </c>
      <c r="F2217" s="7">
        <v>200.705491304397</v>
      </c>
      <c r="G2217" s="7">
        <v>336.164436817169</v>
      </c>
      <c r="H2217" s="7">
        <v>0.0</v>
      </c>
      <c r="I2217" s="15">
        <v>0.858826637851034</v>
      </c>
      <c r="J2217" s="15">
        <v>0.0492205549705294</v>
      </c>
      <c r="K2217" s="12">
        <f>AVERAGE(I2217:I2221)</f>
        <v>0.5198790791</v>
      </c>
      <c r="L2217" s="18">
        <v>9951.0</v>
      </c>
      <c r="M2217" s="14">
        <f>STDEV(L2217:L2221)</f>
        <v>39511.77358</v>
      </c>
      <c r="N2217" s="15" t="b">
        <f t="shared" si="1"/>
        <v>0</v>
      </c>
    </row>
    <row r="2218" hidden="1">
      <c r="A2218" s="7" t="s">
        <v>451</v>
      </c>
      <c r="B2218" s="7" t="s">
        <v>268</v>
      </c>
      <c r="C2218" s="7">
        <v>0.75</v>
      </c>
      <c r="D2218" s="7">
        <v>0.75</v>
      </c>
      <c r="E2218" s="7">
        <v>4.0</v>
      </c>
      <c r="F2218" s="7">
        <v>200.705491304397</v>
      </c>
      <c r="G2218" s="7">
        <v>336.164436817169</v>
      </c>
      <c r="H2218" s="7">
        <v>1.0</v>
      </c>
      <c r="I2218" s="15">
        <v>0.192900740329332</v>
      </c>
      <c r="J2218" s="15">
        <v>0.050141351580967</v>
      </c>
      <c r="K2218" s="12">
        <f>AVERAGE(I2217:I2221)</f>
        <v>0.5198790791</v>
      </c>
      <c r="L2218" s="18">
        <v>27551.0</v>
      </c>
      <c r="M2218" s="14">
        <f>STDEV(L2217:L2221)</f>
        <v>39511.77358</v>
      </c>
      <c r="N2218" s="15" t="b">
        <f t="shared" si="1"/>
        <v>0</v>
      </c>
    </row>
    <row r="2219" hidden="1">
      <c r="A2219" s="7" t="s">
        <v>451</v>
      </c>
      <c r="B2219" s="7" t="s">
        <v>268</v>
      </c>
      <c r="C2219" s="7">
        <v>0.75</v>
      </c>
      <c r="D2219" s="7">
        <v>0.75</v>
      </c>
      <c r="E2219" s="7">
        <v>4.0</v>
      </c>
      <c r="F2219" s="7">
        <v>200.705491304397</v>
      </c>
      <c r="G2219" s="7">
        <v>336.164436817169</v>
      </c>
      <c r="H2219" s="7">
        <v>2.0</v>
      </c>
      <c r="I2219" s="15">
        <v>0.0342452257258465</v>
      </c>
      <c r="J2219" s="15">
        <v>0.192858139961618</v>
      </c>
      <c r="K2219" s="12">
        <f>AVERAGE(I2217:I2221)</f>
        <v>0.5198790791</v>
      </c>
      <c r="L2219" s="18">
        <v>96799.0</v>
      </c>
      <c r="M2219" s="14">
        <f>STDEV(L2217:L2221)</f>
        <v>39511.77358</v>
      </c>
      <c r="N2219" s="15" t="b">
        <f t="shared" si="1"/>
        <v>0</v>
      </c>
    </row>
    <row r="2220" hidden="1">
      <c r="A2220" s="7" t="s">
        <v>451</v>
      </c>
      <c r="B2220" s="7" t="s">
        <v>268</v>
      </c>
      <c r="C2220" s="7">
        <v>0.75</v>
      </c>
      <c r="D2220" s="7">
        <v>0.75</v>
      </c>
      <c r="E2220" s="7">
        <v>4.0</v>
      </c>
      <c r="F2220" s="7">
        <v>200.705491304397</v>
      </c>
      <c r="G2220" s="7">
        <v>336.164436817169</v>
      </c>
      <c r="H2220" s="7">
        <v>3.0</v>
      </c>
      <c r="I2220" s="15">
        <v>0.865109107979436</v>
      </c>
      <c r="J2220" s="15">
        <v>0.0945500378105564</v>
      </c>
      <c r="K2220" s="12">
        <f>AVERAGE(I2217:I2221)</f>
        <v>0.5198790791</v>
      </c>
      <c r="L2220" s="18">
        <v>5069.0</v>
      </c>
      <c r="M2220" s="14">
        <f>STDEV(L2217:L2221)</f>
        <v>39511.77358</v>
      </c>
      <c r="N2220" s="15" t="b">
        <f t="shared" si="1"/>
        <v>0</v>
      </c>
    </row>
    <row r="2221" hidden="1">
      <c r="A2221" s="7" t="s">
        <v>451</v>
      </c>
      <c r="B2221" s="7" t="s">
        <v>268</v>
      </c>
      <c r="C2221" s="7">
        <v>0.75</v>
      </c>
      <c r="D2221" s="7">
        <v>0.75</v>
      </c>
      <c r="E2221" s="7">
        <v>4.0</v>
      </c>
      <c r="F2221" s="7">
        <v>200.705491304397</v>
      </c>
      <c r="G2221" s="7">
        <v>336.164436817169</v>
      </c>
      <c r="H2221" s="7">
        <v>4.0</v>
      </c>
      <c r="I2221" s="15">
        <v>0.648313683678147</v>
      </c>
      <c r="J2221" s="15">
        <v>0.124596453884529</v>
      </c>
      <c r="K2221" s="12">
        <f>AVERAGE(I2217:I2221)</f>
        <v>0.5198790791</v>
      </c>
      <c r="L2221" s="18">
        <v>2306.0</v>
      </c>
      <c r="M2221" s="14">
        <f>STDEV(L2217:L2221)</f>
        <v>39511.77358</v>
      </c>
      <c r="N2221" s="15" t="b">
        <f t="shared" si="1"/>
        <v>0</v>
      </c>
    </row>
    <row r="2222" hidden="1">
      <c r="A2222" s="7" t="s">
        <v>452</v>
      </c>
      <c r="B2222" s="7" t="s">
        <v>268</v>
      </c>
      <c r="C2222" s="7">
        <v>0.75</v>
      </c>
      <c r="D2222" s="7">
        <v>0.75</v>
      </c>
      <c r="E2222" s="7">
        <v>5.0</v>
      </c>
      <c r="F2222" s="7">
        <v>172.453516483306</v>
      </c>
      <c r="G2222" s="7">
        <v>309.464659452438</v>
      </c>
      <c r="H2222" s="7">
        <v>0.0</v>
      </c>
      <c r="I2222" s="15">
        <v>0.360745451675946</v>
      </c>
      <c r="J2222" s="15">
        <v>0.186789768218451</v>
      </c>
      <c r="K2222" s="12">
        <f>AVERAGE(I2222:I2226)</f>
        <v>0.5444105843</v>
      </c>
      <c r="L2222" s="18">
        <v>31077.0</v>
      </c>
      <c r="M2222" s="14">
        <f>STDEV(L2222:L2226)</f>
        <v>40491.79192</v>
      </c>
      <c r="N2222" s="15" t="b">
        <f t="shared" si="1"/>
        <v>0</v>
      </c>
    </row>
    <row r="2223" hidden="1">
      <c r="A2223" s="7" t="s">
        <v>452</v>
      </c>
      <c r="B2223" s="7" t="s">
        <v>268</v>
      </c>
      <c r="C2223" s="7">
        <v>0.75</v>
      </c>
      <c r="D2223" s="7">
        <v>0.75</v>
      </c>
      <c r="E2223" s="7">
        <v>5.0</v>
      </c>
      <c r="F2223" s="7">
        <v>172.453516483306</v>
      </c>
      <c r="G2223" s="7">
        <v>309.464659452438</v>
      </c>
      <c r="H2223" s="7">
        <v>1.0</v>
      </c>
      <c r="I2223" s="15">
        <v>0.750593382755029</v>
      </c>
      <c r="J2223" s="15">
        <v>0.134234208831328</v>
      </c>
      <c r="K2223" s="12">
        <f>AVERAGE(I2222:I2226)</f>
        <v>0.5444105843</v>
      </c>
      <c r="L2223" s="18">
        <v>7596.0</v>
      </c>
      <c r="M2223" s="14">
        <f>STDEV(L2222:L2226)</f>
        <v>40491.79192</v>
      </c>
      <c r="N2223" s="15" t="b">
        <f t="shared" si="1"/>
        <v>0</v>
      </c>
    </row>
    <row r="2224" hidden="1">
      <c r="A2224" s="7" t="s">
        <v>452</v>
      </c>
      <c r="B2224" s="7" t="s">
        <v>268</v>
      </c>
      <c r="C2224" s="7">
        <v>0.75</v>
      </c>
      <c r="D2224" s="7">
        <v>0.75</v>
      </c>
      <c r="E2224" s="7">
        <v>5.0</v>
      </c>
      <c r="F2224" s="7">
        <v>172.453516483306</v>
      </c>
      <c r="G2224" s="7">
        <v>309.464659452438</v>
      </c>
      <c r="H2224" s="7">
        <v>2.0</v>
      </c>
      <c r="I2224" s="15">
        <v>0.0723915986471118</v>
      </c>
      <c r="J2224" s="15">
        <v>0.0518733212954024</v>
      </c>
      <c r="K2224" s="12">
        <f>AVERAGE(I2222:I2226)</f>
        <v>0.5444105843</v>
      </c>
      <c r="L2224" s="18">
        <v>97588.0</v>
      </c>
      <c r="M2224" s="14">
        <f>STDEV(L2222:L2226)</f>
        <v>40491.79192</v>
      </c>
      <c r="N2224" s="15" t="b">
        <f t="shared" si="1"/>
        <v>0</v>
      </c>
    </row>
    <row r="2225" hidden="1">
      <c r="A2225" s="7" t="s">
        <v>452</v>
      </c>
      <c r="B2225" s="7" t="s">
        <v>268</v>
      </c>
      <c r="C2225" s="7">
        <v>0.75</v>
      </c>
      <c r="D2225" s="7">
        <v>0.75</v>
      </c>
      <c r="E2225" s="7">
        <v>5.0</v>
      </c>
      <c r="F2225" s="7">
        <v>172.453516483306</v>
      </c>
      <c r="G2225" s="7">
        <v>309.464659452438</v>
      </c>
      <c r="H2225" s="7">
        <v>3.0</v>
      </c>
      <c r="I2225" s="15">
        <v>0.674313936306235</v>
      </c>
      <c r="J2225" s="15">
        <v>0.138486829710083</v>
      </c>
      <c r="K2225" s="12">
        <f>AVERAGE(I2222:I2226)</f>
        <v>0.5444105843</v>
      </c>
      <c r="L2225" s="18">
        <v>341.0</v>
      </c>
      <c r="M2225" s="14">
        <f>STDEV(L2222:L2226)</f>
        <v>40491.79192</v>
      </c>
      <c r="N2225" s="15" t="b">
        <f t="shared" si="1"/>
        <v>0</v>
      </c>
    </row>
    <row r="2226" hidden="1">
      <c r="A2226" s="7" t="s">
        <v>452</v>
      </c>
      <c r="B2226" s="7" t="s">
        <v>268</v>
      </c>
      <c r="C2226" s="7">
        <v>0.75</v>
      </c>
      <c r="D2226" s="7">
        <v>0.75</v>
      </c>
      <c r="E2226" s="7">
        <v>5.0</v>
      </c>
      <c r="F2226" s="7">
        <v>172.453516483306</v>
      </c>
      <c r="G2226" s="7">
        <v>309.464659452438</v>
      </c>
      <c r="H2226" s="7">
        <v>4.0</v>
      </c>
      <c r="I2226" s="15">
        <v>0.86400855211093</v>
      </c>
      <c r="J2226" s="15">
        <v>0.0963707941647897</v>
      </c>
      <c r="K2226" s="12">
        <f>AVERAGE(I2222:I2226)</f>
        <v>0.5444105843</v>
      </c>
      <c r="L2226" s="18">
        <v>5074.0</v>
      </c>
      <c r="M2226" s="14">
        <f>STDEV(L2222:L2226)</f>
        <v>40491.79192</v>
      </c>
      <c r="N2226" s="15" t="b">
        <f t="shared" si="1"/>
        <v>0</v>
      </c>
    </row>
    <row r="2227" hidden="1">
      <c r="A2227" s="7" t="s">
        <v>453</v>
      </c>
      <c r="B2227" s="7" t="s">
        <v>268</v>
      </c>
      <c r="C2227" s="7">
        <v>0.75</v>
      </c>
      <c r="D2227" s="7">
        <v>0.75</v>
      </c>
      <c r="E2227" s="7">
        <v>6.0</v>
      </c>
      <c r="F2227" s="7">
        <v>177.574473381042</v>
      </c>
      <c r="G2227" s="7">
        <v>323.179903745651</v>
      </c>
      <c r="H2227" s="7">
        <v>0.0</v>
      </c>
      <c r="I2227" s="15">
        <v>0.810242846118935</v>
      </c>
      <c r="J2227" s="15">
        <v>0.113397633344638</v>
      </c>
      <c r="K2227" s="12">
        <f>AVERAGE(I2227:I2231)</f>
        <v>0.5552083213</v>
      </c>
      <c r="L2227" s="18">
        <v>5672.0</v>
      </c>
      <c r="M2227" s="14">
        <f>STDEV(L2227:L2231)</f>
        <v>32720.92361</v>
      </c>
      <c r="N2227" s="15" t="b">
        <f t="shared" si="1"/>
        <v>0</v>
      </c>
    </row>
    <row r="2228" hidden="1">
      <c r="A2228" s="7" t="s">
        <v>453</v>
      </c>
      <c r="B2228" s="7" t="s">
        <v>268</v>
      </c>
      <c r="C2228" s="7">
        <v>0.75</v>
      </c>
      <c r="D2228" s="7">
        <v>0.75</v>
      </c>
      <c r="E2228" s="7">
        <v>6.0</v>
      </c>
      <c r="F2228" s="7">
        <v>177.574473381042</v>
      </c>
      <c r="G2228" s="7">
        <v>323.179903745651</v>
      </c>
      <c r="H2228" s="7">
        <v>1.0</v>
      </c>
      <c r="I2228" s="15">
        <v>0.0497329238278758</v>
      </c>
      <c r="J2228" s="15">
        <v>0.0858959331073936</v>
      </c>
      <c r="K2228" s="12">
        <f>AVERAGE(I2227:I2231)</f>
        <v>0.5552083213</v>
      </c>
      <c r="L2228" s="18">
        <v>78474.0</v>
      </c>
      <c r="M2228" s="14">
        <f>STDEV(L2227:L2231)</f>
        <v>32720.92361</v>
      </c>
      <c r="N2228" s="15" t="b">
        <f t="shared" si="1"/>
        <v>0</v>
      </c>
    </row>
    <row r="2229" hidden="1">
      <c r="A2229" s="7" t="s">
        <v>453</v>
      </c>
      <c r="B2229" s="7" t="s">
        <v>268</v>
      </c>
      <c r="C2229" s="7">
        <v>0.75</v>
      </c>
      <c r="D2229" s="7">
        <v>0.75</v>
      </c>
      <c r="E2229" s="7">
        <v>6.0</v>
      </c>
      <c r="F2229" s="7">
        <v>177.574473381042</v>
      </c>
      <c r="G2229" s="7">
        <v>323.179903745651</v>
      </c>
      <c r="H2229" s="7">
        <v>2.0</v>
      </c>
      <c r="I2229" s="15">
        <v>0.828643162855991</v>
      </c>
      <c r="J2229" s="15">
        <v>0.0977576902857176</v>
      </c>
      <c r="K2229" s="12">
        <f>AVERAGE(I2227:I2231)</f>
        <v>0.5552083213</v>
      </c>
      <c r="L2229" s="18">
        <v>7451.0</v>
      </c>
      <c r="M2229" s="14">
        <f>STDEV(L2227:L2231)</f>
        <v>32720.92361</v>
      </c>
      <c r="N2229" s="15" t="b">
        <f t="shared" si="1"/>
        <v>0</v>
      </c>
    </row>
    <row r="2230" hidden="1">
      <c r="A2230" s="7" t="s">
        <v>453</v>
      </c>
      <c r="B2230" s="7" t="s">
        <v>268</v>
      </c>
      <c r="C2230" s="7">
        <v>0.75</v>
      </c>
      <c r="D2230" s="7">
        <v>0.75</v>
      </c>
      <c r="E2230" s="7">
        <v>6.0</v>
      </c>
      <c r="F2230" s="7">
        <v>177.574473381042</v>
      </c>
      <c r="G2230" s="7">
        <v>323.179903745651</v>
      </c>
      <c r="H2230" s="7">
        <v>3.0</v>
      </c>
      <c r="I2230" s="15">
        <v>0.222865817926747</v>
      </c>
      <c r="J2230" s="15">
        <v>0.0748238006719913</v>
      </c>
      <c r="K2230" s="12">
        <f>AVERAGE(I2227:I2231)</f>
        <v>0.5552083213</v>
      </c>
      <c r="L2230" s="18">
        <v>45005.0</v>
      </c>
      <c r="M2230" s="14">
        <f>STDEV(L2227:L2231)</f>
        <v>32720.92361</v>
      </c>
      <c r="N2230" s="15" t="b">
        <f t="shared" si="1"/>
        <v>0</v>
      </c>
    </row>
    <row r="2231" hidden="1">
      <c r="A2231" s="7" t="s">
        <v>453</v>
      </c>
      <c r="B2231" s="7" t="s">
        <v>268</v>
      </c>
      <c r="C2231" s="7">
        <v>0.75</v>
      </c>
      <c r="D2231" s="7">
        <v>0.75</v>
      </c>
      <c r="E2231" s="7">
        <v>6.0</v>
      </c>
      <c r="F2231" s="7">
        <v>177.574473381042</v>
      </c>
      <c r="G2231" s="7">
        <v>323.179903745651</v>
      </c>
      <c r="H2231" s="7">
        <v>4.0</v>
      </c>
      <c r="I2231" s="15">
        <v>0.864556855541946</v>
      </c>
      <c r="J2231" s="15">
        <v>0.0945016708994444</v>
      </c>
      <c r="K2231" s="12">
        <f>AVERAGE(I2227:I2231)</f>
        <v>0.5552083213</v>
      </c>
      <c r="L2231" s="18">
        <v>5074.0</v>
      </c>
      <c r="M2231" s="14">
        <f>STDEV(L2227:L2231)</f>
        <v>32720.92361</v>
      </c>
      <c r="N2231" s="15" t="b">
        <f t="shared" si="1"/>
        <v>0</v>
      </c>
    </row>
    <row r="2232" hidden="1">
      <c r="A2232" s="7" t="s">
        <v>454</v>
      </c>
      <c r="B2232" s="7" t="s">
        <v>268</v>
      </c>
      <c r="C2232" s="7">
        <v>0.75</v>
      </c>
      <c r="D2232" s="7">
        <v>0.75</v>
      </c>
      <c r="E2232" s="7">
        <v>7.0</v>
      </c>
      <c r="F2232" s="7">
        <v>168.203372478485</v>
      </c>
      <c r="G2232" s="7">
        <v>319.81967639923</v>
      </c>
      <c r="H2232" s="7">
        <v>0.0</v>
      </c>
      <c r="I2232" s="15">
        <v>0.811399664905264</v>
      </c>
      <c r="J2232" s="15">
        <v>0.0802655962139942</v>
      </c>
      <c r="K2232" s="12">
        <f>AVERAGE(I2232:I2236)</f>
        <v>0.4809024072</v>
      </c>
      <c r="L2232" s="18">
        <v>4053.0</v>
      </c>
      <c r="M2232" s="14">
        <f>STDEV(L2232:L2236)</f>
        <v>26022.41108</v>
      </c>
      <c r="N2232" s="15" t="b">
        <f t="shared" si="1"/>
        <v>0</v>
      </c>
    </row>
    <row r="2233" hidden="1">
      <c r="A2233" s="7" t="s">
        <v>454</v>
      </c>
      <c r="B2233" s="7" t="s">
        <v>268</v>
      </c>
      <c r="C2233" s="7">
        <v>0.75</v>
      </c>
      <c r="D2233" s="7">
        <v>0.75</v>
      </c>
      <c r="E2233" s="7">
        <v>7.0</v>
      </c>
      <c r="F2233" s="7">
        <v>168.203372478485</v>
      </c>
      <c r="G2233" s="7">
        <v>319.81967639923</v>
      </c>
      <c r="H2233" s="7">
        <v>1.0</v>
      </c>
      <c r="I2233" s="15">
        <v>0.829239729724452</v>
      </c>
      <c r="J2233" s="15">
        <v>0.098085036587919</v>
      </c>
      <c r="K2233" s="12">
        <f>AVERAGE(I2232:I2236)</f>
        <v>0.4809024072</v>
      </c>
      <c r="L2233" s="18">
        <v>7439.0</v>
      </c>
      <c r="M2233" s="14">
        <f>STDEV(L2232:L2236)</f>
        <v>26022.41108</v>
      </c>
      <c r="N2233" s="15" t="b">
        <f t="shared" si="1"/>
        <v>0</v>
      </c>
    </row>
    <row r="2234" hidden="1">
      <c r="A2234" s="7" t="s">
        <v>454</v>
      </c>
      <c r="B2234" s="7" t="s">
        <v>268</v>
      </c>
      <c r="C2234" s="7">
        <v>0.75</v>
      </c>
      <c r="D2234" s="7">
        <v>0.75</v>
      </c>
      <c r="E2234" s="7">
        <v>7.0</v>
      </c>
      <c r="F2234" s="7">
        <v>168.203372478485</v>
      </c>
      <c r="G2234" s="7">
        <v>319.81967639923</v>
      </c>
      <c r="H2234" s="7">
        <v>2.0</v>
      </c>
      <c r="I2234" s="15">
        <v>0.35981927210103</v>
      </c>
      <c r="J2234" s="15">
        <v>0.182374294936754</v>
      </c>
      <c r="K2234" s="12">
        <f>AVERAGE(I2232:I2236)</f>
        <v>0.4809024072</v>
      </c>
      <c r="L2234" s="18">
        <v>31089.0</v>
      </c>
      <c r="M2234" s="14">
        <f>STDEV(L2232:L2236)</f>
        <v>26022.41108</v>
      </c>
      <c r="N2234" s="15" t="b">
        <f t="shared" si="1"/>
        <v>0</v>
      </c>
    </row>
    <row r="2235" hidden="1">
      <c r="A2235" s="7" t="s">
        <v>454</v>
      </c>
      <c r="B2235" s="7" t="s">
        <v>268</v>
      </c>
      <c r="C2235" s="7">
        <v>0.75</v>
      </c>
      <c r="D2235" s="7">
        <v>0.75</v>
      </c>
      <c r="E2235" s="7">
        <v>7.0</v>
      </c>
      <c r="F2235" s="7">
        <v>168.203372478485</v>
      </c>
      <c r="G2235" s="7">
        <v>319.81967639923</v>
      </c>
      <c r="H2235" s="7">
        <v>3.0</v>
      </c>
      <c r="I2235" s="15">
        <v>0.306454986721576</v>
      </c>
      <c r="J2235" s="15">
        <v>0.128596432845322</v>
      </c>
      <c r="K2235" s="12">
        <f>AVERAGE(I2232:I2236)</f>
        <v>0.4809024072</v>
      </c>
      <c r="L2235" s="18">
        <v>29864.0</v>
      </c>
      <c r="M2235" s="14">
        <f>STDEV(L2232:L2236)</f>
        <v>26022.41108</v>
      </c>
      <c r="N2235" s="15" t="b">
        <f t="shared" si="1"/>
        <v>0</v>
      </c>
    </row>
    <row r="2236" hidden="1">
      <c r="A2236" s="7" t="s">
        <v>454</v>
      </c>
      <c r="B2236" s="7" t="s">
        <v>268</v>
      </c>
      <c r="C2236" s="7">
        <v>0.75</v>
      </c>
      <c r="D2236" s="7">
        <v>0.75</v>
      </c>
      <c r="E2236" s="7">
        <v>7.0</v>
      </c>
      <c r="F2236" s="7">
        <v>168.203372478485</v>
      </c>
      <c r="G2236" s="7">
        <v>319.81967639923</v>
      </c>
      <c r="H2236" s="7">
        <v>4.0</v>
      </c>
      <c r="I2236" s="15">
        <v>0.0975983823109756</v>
      </c>
      <c r="J2236" s="15">
        <v>0.0758422187104672</v>
      </c>
      <c r="K2236" s="12">
        <f>AVERAGE(I2232:I2236)</f>
        <v>0.4809024072</v>
      </c>
      <c r="L2236" s="18">
        <v>69231.0</v>
      </c>
      <c r="M2236" s="14">
        <f>STDEV(L2232:L2236)</f>
        <v>26022.41108</v>
      </c>
      <c r="N2236" s="15" t="b">
        <f t="shared" si="1"/>
        <v>0</v>
      </c>
    </row>
    <row r="2237" hidden="1">
      <c r="A2237" s="7" t="s">
        <v>455</v>
      </c>
      <c r="B2237" s="21" t="s">
        <v>268</v>
      </c>
      <c r="C2237" s="21">
        <v>0.75</v>
      </c>
      <c r="D2237" s="21">
        <v>0.75</v>
      </c>
      <c r="E2237" s="21">
        <v>8.0</v>
      </c>
      <c r="F2237" s="7">
        <v>187.555315971374</v>
      </c>
      <c r="G2237" s="7">
        <v>308.97915816307</v>
      </c>
      <c r="H2237" s="7">
        <v>0.0</v>
      </c>
      <c r="I2237" s="15">
        <v>0.721454255502715</v>
      </c>
      <c r="J2237" s="15">
        <v>0.141890111403869</v>
      </c>
      <c r="K2237" s="12">
        <f>AVERAGE(I2237:I2241)</f>
        <v>0.6590979276</v>
      </c>
      <c r="L2237" s="18">
        <v>13537.0</v>
      </c>
      <c r="M2237" s="14">
        <f>STDEV(L2237:L2241)</f>
        <v>42663.69737</v>
      </c>
      <c r="N2237" s="15" t="b">
        <f t="shared" si="1"/>
        <v>1</v>
      </c>
    </row>
    <row r="2238" hidden="1">
      <c r="A2238" s="7" t="s">
        <v>455</v>
      </c>
      <c r="B2238" s="21" t="s">
        <v>268</v>
      </c>
      <c r="C2238" s="21">
        <v>0.75</v>
      </c>
      <c r="D2238" s="21">
        <v>0.75</v>
      </c>
      <c r="E2238" s="21">
        <v>8.0</v>
      </c>
      <c r="F2238" s="7">
        <v>187.555315971374</v>
      </c>
      <c r="G2238" s="7">
        <v>308.97915816307</v>
      </c>
      <c r="H2238" s="7">
        <v>1.0</v>
      </c>
      <c r="I2238" s="15">
        <v>0.066524904544427</v>
      </c>
      <c r="J2238" s="15">
        <v>0.0743260869535869</v>
      </c>
      <c r="K2238" s="12">
        <f>AVERAGE(I2237:I2241)</f>
        <v>0.6590979276</v>
      </c>
      <c r="L2238" s="18">
        <v>104030.0</v>
      </c>
      <c r="M2238" s="14">
        <f>STDEV(L2237:L2241)</f>
        <v>42663.69737</v>
      </c>
      <c r="N2238" s="15" t="b">
        <f t="shared" si="1"/>
        <v>1</v>
      </c>
    </row>
    <row r="2239" hidden="1">
      <c r="A2239" s="7" t="s">
        <v>455</v>
      </c>
      <c r="B2239" s="21" t="s">
        <v>268</v>
      </c>
      <c r="C2239" s="21">
        <v>0.75</v>
      </c>
      <c r="D2239" s="21">
        <v>0.75</v>
      </c>
      <c r="E2239" s="21">
        <v>8.0</v>
      </c>
      <c r="F2239" s="7">
        <v>187.555315971374</v>
      </c>
      <c r="G2239" s="7">
        <v>308.97915816307</v>
      </c>
      <c r="H2239" s="7">
        <v>2.0</v>
      </c>
      <c r="I2239" s="15">
        <v>0.772793440855134</v>
      </c>
      <c r="J2239" s="15">
        <v>0.119852870188587</v>
      </c>
      <c r="K2239" s="12">
        <f>AVERAGE(I2237:I2241)</f>
        <v>0.6590979276</v>
      </c>
      <c r="L2239" s="18">
        <v>15619.0</v>
      </c>
      <c r="M2239" s="14">
        <f>STDEV(L2237:L2241)</f>
        <v>42663.69737</v>
      </c>
      <c r="N2239" s="15" t="b">
        <f t="shared" si="1"/>
        <v>1</v>
      </c>
    </row>
    <row r="2240" hidden="1">
      <c r="A2240" s="7" t="s">
        <v>455</v>
      </c>
      <c r="B2240" s="21" t="s">
        <v>268</v>
      </c>
      <c r="C2240" s="21">
        <v>0.75</v>
      </c>
      <c r="D2240" s="21">
        <v>0.75</v>
      </c>
      <c r="E2240" s="21">
        <v>8.0</v>
      </c>
      <c r="F2240" s="7">
        <v>187.555315971374</v>
      </c>
      <c r="G2240" s="7">
        <v>308.97915816307</v>
      </c>
      <c r="H2240" s="7">
        <v>3.0</v>
      </c>
      <c r="I2240" s="15">
        <v>0.912451991644913</v>
      </c>
      <c r="J2240" s="15">
        <v>0.0374078011384666</v>
      </c>
      <c r="K2240" s="12">
        <f>AVERAGE(I2237:I2241)</f>
        <v>0.6590979276</v>
      </c>
      <c r="L2240" s="18">
        <v>2043.0</v>
      </c>
      <c r="M2240" s="14">
        <f>STDEV(L2237:L2241)</f>
        <v>42663.69737</v>
      </c>
      <c r="N2240" s="15" t="b">
        <f t="shared" si="1"/>
        <v>1</v>
      </c>
    </row>
    <row r="2241" hidden="1">
      <c r="A2241" s="7" t="s">
        <v>455</v>
      </c>
      <c r="B2241" s="21" t="s">
        <v>268</v>
      </c>
      <c r="C2241" s="21">
        <v>0.75</v>
      </c>
      <c r="D2241" s="21">
        <v>0.75</v>
      </c>
      <c r="E2241" s="21">
        <v>8.0</v>
      </c>
      <c r="F2241" s="7">
        <v>187.555315971374</v>
      </c>
      <c r="G2241" s="7">
        <v>308.97915816307</v>
      </c>
      <c r="H2241" s="7">
        <v>4.0</v>
      </c>
      <c r="I2241" s="15">
        <v>0.822265045624769</v>
      </c>
      <c r="J2241" s="15">
        <v>0.103516284742725</v>
      </c>
      <c r="K2241" s="12">
        <f>AVERAGE(I2237:I2241)</f>
        <v>0.6590979276</v>
      </c>
      <c r="L2241" s="18">
        <v>6447.0</v>
      </c>
      <c r="M2241" s="14">
        <f>STDEV(L2237:L2241)</f>
        <v>42663.69737</v>
      </c>
      <c r="N2241" s="15" t="b">
        <f t="shared" si="1"/>
        <v>1</v>
      </c>
    </row>
    <row r="2242" hidden="1">
      <c r="A2242" s="7" t="s">
        <v>456</v>
      </c>
      <c r="B2242" s="7" t="s">
        <v>268</v>
      </c>
      <c r="C2242" s="7">
        <v>0.75</v>
      </c>
      <c r="D2242" s="7">
        <v>0.75</v>
      </c>
      <c r="E2242" s="7">
        <v>9.0</v>
      </c>
      <c r="F2242" s="7">
        <v>168.128081083297</v>
      </c>
      <c r="G2242" s="7">
        <v>307.880160808563</v>
      </c>
      <c r="H2242" s="7">
        <v>0.0</v>
      </c>
      <c r="I2242" s="15">
        <v>0.822702568314804</v>
      </c>
      <c r="J2242" s="15">
        <v>0.100006030052007</v>
      </c>
      <c r="K2242" s="12">
        <f>AVERAGE(I2242:I2246)</f>
        <v>0.5624517021</v>
      </c>
      <c r="L2242" s="18">
        <v>6447.0</v>
      </c>
      <c r="M2242" s="14">
        <f>STDEV(L2242:L2246)</f>
        <v>32134.27434</v>
      </c>
      <c r="N2242" s="15" t="b">
        <f t="shared" si="1"/>
        <v>0</v>
      </c>
    </row>
    <row r="2243" hidden="1">
      <c r="A2243" s="7" t="s">
        <v>456</v>
      </c>
      <c r="B2243" s="7" t="s">
        <v>268</v>
      </c>
      <c r="C2243" s="7">
        <v>0.75</v>
      </c>
      <c r="D2243" s="7">
        <v>0.75</v>
      </c>
      <c r="E2243" s="7">
        <v>9.0</v>
      </c>
      <c r="F2243" s="7">
        <v>168.128081083297</v>
      </c>
      <c r="G2243" s="7">
        <v>307.880160808563</v>
      </c>
      <c r="H2243" s="7">
        <v>1.0</v>
      </c>
      <c r="I2243" s="15">
        <v>0.808862851890529</v>
      </c>
      <c r="J2243" s="15">
        <v>0.114479636044743</v>
      </c>
      <c r="K2243" s="12">
        <f>AVERAGE(I2242:I2246)</f>
        <v>0.5624517021</v>
      </c>
      <c r="L2243" s="18">
        <v>5685.0</v>
      </c>
      <c r="M2243" s="14">
        <f>STDEV(L2242:L2246)</f>
        <v>32134.27434</v>
      </c>
      <c r="N2243" s="15" t="b">
        <f t="shared" si="1"/>
        <v>0</v>
      </c>
    </row>
    <row r="2244" hidden="1">
      <c r="A2244" s="7" t="s">
        <v>456</v>
      </c>
      <c r="B2244" s="7" t="s">
        <v>268</v>
      </c>
      <c r="C2244" s="7">
        <v>0.75</v>
      </c>
      <c r="D2244" s="7">
        <v>0.75</v>
      </c>
      <c r="E2244" s="7">
        <v>9.0</v>
      </c>
      <c r="F2244" s="7">
        <v>168.128081083297</v>
      </c>
      <c r="G2244" s="7">
        <v>307.880160808563</v>
      </c>
      <c r="H2244" s="7">
        <v>2.0</v>
      </c>
      <c r="I2244" s="15">
        <v>0.353399455945051</v>
      </c>
      <c r="J2244" s="15">
        <v>0.188229963363449</v>
      </c>
      <c r="K2244" s="12">
        <f>AVERAGE(I2242:I2246)</f>
        <v>0.5624517021</v>
      </c>
      <c r="L2244" s="18">
        <v>31073.0</v>
      </c>
      <c r="M2244" s="14">
        <f>STDEV(L2242:L2246)</f>
        <v>32134.27434</v>
      </c>
      <c r="N2244" s="15" t="b">
        <f t="shared" si="1"/>
        <v>0</v>
      </c>
    </row>
    <row r="2245" hidden="1">
      <c r="A2245" s="7" t="s">
        <v>456</v>
      </c>
      <c r="B2245" s="7" t="s">
        <v>268</v>
      </c>
      <c r="C2245" s="7">
        <v>0.75</v>
      </c>
      <c r="D2245" s="7">
        <v>0.75</v>
      </c>
      <c r="E2245" s="7">
        <v>9.0</v>
      </c>
      <c r="F2245" s="7">
        <v>168.128081083297</v>
      </c>
      <c r="G2245" s="7">
        <v>307.880160808563</v>
      </c>
      <c r="H2245" s="7">
        <v>3.0</v>
      </c>
      <c r="I2245" s="15">
        <v>0.0632442448456925</v>
      </c>
      <c r="J2245" s="15">
        <v>0.0523369996400673</v>
      </c>
      <c r="K2245" s="12">
        <f>AVERAGE(I2242:I2246)</f>
        <v>0.5624517021</v>
      </c>
      <c r="L2245" s="18">
        <v>82830.0</v>
      </c>
      <c r="M2245" s="14">
        <f>STDEV(L2242:L2246)</f>
        <v>32134.27434</v>
      </c>
      <c r="N2245" s="15" t="b">
        <f t="shared" si="1"/>
        <v>0</v>
      </c>
    </row>
    <row r="2246" hidden="1">
      <c r="A2246" s="7" t="s">
        <v>456</v>
      </c>
      <c r="B2246" s="7" t="s">
        <v>268</v>
      </c>
      <c r="C2246" s="7">
        <v>0.75</v>
      </c>
      <c r="D2246" s="7">
        <v>0.75</v>
      </c>
      <c r="E2246" s="7">
        <v>9.0</v>
      </c>
      <c r="F2246" s="7">
        <v>168.128081083297</v>
      </c>
      <c r="G2246" s="7">
        <v>307.880160808563</v>
      </c>
      <c r="H2246" s="7">
        <v>4.0</v>
      </c>
      <c r="I2246" s="15">
        <v>0.764049389518203</v>
      </c>
      <c r="J2246" s="15">
        <v>0.131791639062913</v>
      </c>
      <c r="K2246" s="12">
        <f>AVERAGE(I2242:I2246)</f>
        <v>0.5624517021</v>
      </c>
      <c r="L2246" s="18">
        <v>15641.0</v>
      </c>
      <c r="M2246" s="14">
        <f>STDEV(L2242:L2246)</f>
        <v>32134.27434</v>
      </c>
      <c r="N2246" s="15" t="b">
        <f t="shared" si="1"/>
        <v>0</v>
      </c>
    </row>
    <row r="2247" hidden="1">
      <c r="A2247" s="7" t="s">
        <v>457</v>
      </c>
      <c r="B2247" s="7" t="s">
        <v>268</v>
      </c>
      <c r="C2247" s="7">
        <v>0.75</v>
      </c>
      <c r="D2247" s="7">
        <v>0.75</v>
      </c>
      <c r="E2247" s="7">
        <v>10.0</v>
      </c>
      <c r="F2247" s="7">
        <v>170.112109661102</v>
      </c>
      <c r="G2247" s="7">
        <v>304.455450296402</v>
      </c>
      <c r="H2247" s="7">
        <v>0.0</v>
      </c>
      <c r="I2247" s="15">
        <v>0.772335755807269</v>
      </c>
      <c r="J2247" s="15">
        <v>0.119563075646206</v>
      </c>
      <c r="K2247" s="12">
        <f>AVERAGE(I2247:I2251)</f>
        <v>0.4859675249</v>
      </c>
      <c r="L2247" s="18">
        <v>15575.0</v>
      </c>
      <c r="M2247" s="14">
        <f>STDEV(L2247:L2251)</f>
        <v>28989.73418</v>
      </c>
      <c r="N2247" s="15" t="b">
        <f t="shared" si="1"/>
        <v>0</v>
      </c>
    </row>
    <row r="2248" hidden="1">
      <c r="A2248" s="7" t="s">
        <v>457</v>
      </c>
      <c r="B2248" s="7" t="s">
        <v>268</v>
      </c>
      <c r="C2248" s="7">
        <v>0.75</v>
      </c>
      <c r="D2248" s="7">
        <v>0.75</v>
      </c>
      <c r="E2248" s="7">
        <v>10.0</v>
      </c>
      <c r="F2248" s="7">
        <v>170.112109661102</v>
      </c>
      <c r="G2248" s="7">
        <v>304.455450296402</v>
      </c>
      <c r="H2248" s="7">
        <v>1.0</v>
      </c>
      <c r="I2248" s="15">
        <v>0.396936394717981</v>
      </c>
      <c r="J2248" s="15">
        <v>0.130046712483358</v>
      </c>
      <c r="K2248" s="12">
        <f>AVERAGE(I2247:I2251)</f>
        <v>0.4859675249</v>
      </c>
      <c r="L2248" s="18">
        <v>11108.0</v>
      </c>
      <c r="M2248" s="14">
        <f>STDEV(L2247:L2251)</f>
        <v>28989.73418</v>
      </c>
      <c r="N2248" s="15" t="b">
        <f t="shared" si="1"/>
        <v>0</v>
      </c>
    </row>
    <row r="2249" hidden="1">
      <c r="A2249" s="7" t="s">
        <v>457</v>
      </c>
      <c r="B2249" s="7" t="s">
        <v>268</v>
      </c>
      <c r="C2249" s="7">
        <v>0.75</v>
      </c>
      <c r="D2249" s="7">
        <v>0.75</v>
      </c>
      <c r="E2249" s="7">
        <v>10.0</v>
      </c>
      <c r="F2249" s="7">
        <v>170.112109661102</v>
      </c>
      <c r="G2249" s="7">
        <v>304.455450296402</v>
      </c>
      <c r="H2249" s="7">
        <v>2.0</v>
      </c>
      <c r="I2249" s="15">
        <v>0.350849872216558</v>
      </c>
      <c r="J2249" s="15">
        <v>0.203499170631566</v>
      </c>
      <c r="K2249" s="12">
        <f>AVERAGE(I2247:I2251)</f>
        <v>0.4859675249</v>
      </c>
      <c r="L2249" s="18">
        <v>31077.0</v>
      </c>
      <c r="M2249" s="14">
        <f>STDEV(L2247:L2251)</f>
        <v>28989.73418</v>
      </c>
      <c r="N2249" s="15" t="b">
        <f t="shared" si="1"/>
        <v>0</v>
      </c>
    </row>
    <row r="2250" hidden="1">
      <c r="A2250" s="7" t="s">
        <v>457</v>
      </c>
      <c r="B2250" s="7" t="s">
        <v>268</v>
      </c>
      <c r="C2250" s="7">
        <v>0.75</v>
      </c>
      <c r="D2250" s="7">
        <v>0.75</v>
      </c>
      <c r="E2250" s="7">
        <v>10.0</v>
      </c>
      <c r="F2250" s="7">
        <v>170.112109661102</v>
      </c>
      <c r="G2250" s="7">
        <v>304.455450296402</v>
      </c>
      <c r="H2250" s="7">
        <v>3.0</v>
      </c>
      <c r="I2250" s="15">
        <v>0.823641537434002</v>
      </c>
      <c r="J2250" s="15">
        <v>0.0995104765382449</v>
      </c>
      <c r="K2250" s="12">
        <f>AVERAGE(I2247:I2251)</f>
        <v>0.4859675249</v>
      </c>
      <c r="L2250" s="18">
        <v>6438.0</v>
      </c>
      <c r="M2250" s="14">
        <f>STDEV(L2247:L2251)</f>
        <v>28989.73418</v>
      </c>
      <c r="N2250" s="15" t="b">
        <f t="shared" si="1"/>
        <v>0</v>
      </c>
    </row>
    <row r="2251" hidden="1">
      <c r="A2251" s="7" t="s">
        <v>457</v>
      </c>
      <c r="B2251" s="7" t="s">
        <v>268</v>
      </c>
      <c r="C2251" s="7">
        <v>0.75</v>
      </c>
      <c r="D2251" s="7">
        <v>0.75</v>
      </c>
      <c r="E2251" s="7">
        <v>10.0</v>
      </c>
      <c r="F2251" s="7">
        <v>170.112109661102</v>
      </c>
      <c r="G2251" s="7">
        <v>304.455450296402</v>
      </c>
      <c r="H2251" s="7">
        <v>4.0</v>
      </c>
      <c r="I2251" s="15">
        <v>0.0860740643263003</v>
      </c>
      <c r="J2251" s="15">
        <v>0.0690182861489328</v>
      </c>
      <c r="K2251" s="12">
        <f>AVERAGE(I2247:I2251)</f>
        <v>0.4859675249</v>
      </c>
      <c r="L2251" s="18">
        <v>77478.0</v>
      </c>
      <c r="M2251" s="14">
        <f>STDEV(L2247:L2251)</f>
        <v>28989.73418</v>
      </c>
      <c r="N2251" s="15" t="b">
        <f t="shared" si="1"/>
        <v>0</v>
      </c>
    </row>
    <row r="2252" hidden="1">
      <c r="A2252" s="7" t="s">
        <v>458</v>
      </c>
      <c r="B2252" s="7" t="s">
        <v>268</v>
      </c>
      <c r="C2252" s="7">
        <v>0.75</v>
      </c>
      <c r="D2252" s="7">
        <v>1.0</v>
      </c>
      <c r="E2252" s="7">
        <v>1.0</v>
      </c>
      <c r="F2252" s="7">
        <v>194.765792369842</v>
      </c>
      <c r="G2252" s="7">
        <v>311.855508327484</v>
      </c>
      <c r="H2252" s="7">
        <v>0.0</v>
      </c>
      <c r="I2252" s="15">
        <v>0.34892782878994</v>
      </c>
      <c r="J2252" s="15">
        <v>0.189297357410265</v>
      </c>
      <c r="K2252" s="12">
        <f>AVERAGE(I2252:I2256)</f>
        <v>0.5554097594</v>
      </c>
      <c r="L2252" s="18">
        <v>31350.0</v>
      </c>
      <c r="M2252" s="14">
        <f>STDEV(L2252:L2256)</f>
        <v>31280.93101</v>
      </c>
      <c r="N2252" s="15" t="b">
        <f t="shared" si="1"/>
        <v>0</v>
      </c>
    </row>
    <row r="2253" hidden="1">
      <c r="A2253" s="7" t="s">
        <v>458</v>
      </c>
      <c r="B2253" s="7" t="s">
        <v>268</v>
      </c>
      <c r="C2253" s="7">
        <v>0.75</v>
      </c>
      <c r="D2253" s="7">
        <v>1.0</v>
      </c>
      <c r="E2253" s="7">
        <v>1.0</v>
      </c>
      <c r="F2253" s="7">
        <v>194.765792369842</v>
      </c>
      <c r="G2253" s="7">
        <v>311.855508327484</v>
      </c>
      <c r="H2253" s="7">
        <v>1.0</v>
      </c>
      <c r="I2253" s="15">
        <v>0.0800573053667892</v>
      </c>
      <c r="J2253" s="15">
        <v>0.0651553385603087</v>
      </c>
      <c r="K2253" s="12">
        <f>AVERAGE(I2252:I2256)</f>
        <v>0.5554097594</v>
      </c>
      <c r="L2253" s="18">
        <v>81307.0</v>
      </c>
      <c r="M2253" s="14">
        <f>STDEV(L2252:L2256)</f>
        <v>31280.93101</v>
      </c>
      <c r="N2253" s="15" t="b">
        <f t="shared" si="1"/>
        <v>0</v>
      </c>
    </row>
    <row r="2254" hidden="1">
      <c r="A2254" s="7" t="s">
        <v>458</v>
      </c>
      <c r="B2254" s="7" t="s">
        <v>268</v>
      </c>
      <c r="C2254" s="7">
        <v>0.75</v>
      </c>
      <c r="D2254" s="7">
        <v>1.0</v>
      </c>
      <c r="E2254" s="7">
        <v>1.0</v>
      </c>
      <c r="F2254" s="7">
        <v>194.765792369842</v>
      </c>
      <c r="G2254" s="7">
        <v>311.855508327484</v>
      </c>
      <c r="H2254" s="7">
        <v>2.0</v>
      </c>
      <c r="I2254" s="15">
        <v>0.765883096820795</v>
      </c>
      <c r="J2254" s="15">
        <v>0.132989926801824</v>
      </c>
      <c r="K2254" s="12">
        <f>AVERAGE(I2252:I2256)</f>
        <v>0.5554097594</v>
      </c>
      <c r="L2254" s="18">
        <v>7826.0</v>
      </c>
      <c r="M2254" s="14">
        <f>STDEV(L2252:L2256)</f>
        <v>31280.93101</v>
      </c>
      <c r="N2254" s="15" t="b">
        <f t="shared" si="1"/>
        <v>0</v>
      </c>
    </row>
    <row r="2255" hidden="1">
      <c r="A2255" s="7" t="s">
        <v>458</v>
      </c>
      <c r="B2255" s="7" t="s">
        <v>268</v>
      </c>
      <c r="C2255" s="7">
        <v>0.75</v>
      </c>
      <c r="D2255" s="7">
        <v>1.0</v>
      </c>
      <c r="E2255" s="7">
        <v>1.0</v>
      </c>
      <c r="F2255" s="7">
        <v>194.765792369842</v>
      </c>
      <c r="G2255" s="7">
        <v>311.855508327484</v>
      </c>
      <c r="H2255" s="7">
        <v>3.0</v>
      </c>
      <c r="I2255" s="15">
        <v>0.773373602866863</v>
      </c>
      <c r="J2255" s="15">
        <v>0.120479512432945</v>
      </c>
      <c r="K2255" s="12">
        <f>AVERAGE(I2252:I2256)</f>
        <v>0.5554097594</v>
      </c>
      <c r="L2255" s="18">
        <v>15543.0</v>
      </c>
      <c r="M2255" s="14">
        <f>STDEV(L2252:L2256)</f>
        <v>31280.93101</v>
      </c>
      <c r="N2255" s="15" t="b">
        <f t="shared" si="1"/>
        <v>0</v>
      </c>
    </row>
    <row r="2256" hidden="1">
      <c r="A2256" s="7" t="s">
        <v>458</v>
      </c>
      <c r="B2256" s="7" t="s">
        <v>268</v>
      </c>
      <c r="C2256" s="7">
        <v>0.75</v>
      </c>
      <c r="D2256" s="7">
        <v>1.0</v>
      </c>
      <c r="E2256" s="7">
        <v>1.0</v>
      </c>
      <c r="F2256" s="7">
        <v>194.765792369842</v>
      </c>
      <c r="G2256" s="7">
        <v>311.855508327484</v>
      </c>
      <c r="H2256" s="7">
        <v>4.0</v>
      </c>
      <c r="I2256" s="15">
        <v>0.808806963277961</v>
      </c>
      <c r="J2256" s="15">
        <v>0.125370812836263</v>
      </c>
      <c r="K2256" s="12">
        <f>AVERAGE(I2252:I2256)</f>
        <v>0.5554097594</v>
      </c>
      <c r="L2256" s="18">
        <v>5650.0</v>
      </c>
      <c r="M2256" s="14">
        <f>STDEV(L2252:L2256)</f>
        <v>31280.93101</v>
      </c>
      <c r="N2256" s="15" t="b">
        <f t="shared" si="1"/>
        <v>0</v>
      </c>
    </row>
    <row r="2257" hidden="1">
      <c r="A2257" s="7" t="s">
        <v>459</v>
      </c>
      <c r="B2257" s="7" t="s">
        <v>268</v>
      </c>
      <c r="C2257" s="7">
        <v>0.75</v>
      </c>
      <c r="D2257" s="7">
        <v>1.0</v>
      </c>
      <c r="E2257" s="7">
        <v>2.0</v>
      </c>
      <c r="F2257" s="7">
        <v>201.594264030456</v>
      </c>
      <c r="G2257" s="7">
        <v>459.312465429306</v>
      </c>
      <c r="H2257" s="7">
        <v>0.0</v>
      </c>
      <c r="I2257" s="15">
        <v>0.912876224611087</v>
      </c>
      <c r="J2257" s="15">
        <v>0.0345214090993925</v>
      </c>
      <c r="K2257" s="12">
        <f>AVERAGE(I2257:I2261)</f>
        <v>0.5486249557</v>
      </c>
      <c r="L2257" s="18">
        <v>2043.0</v>
      </c>
      <c r="M2257" s="14">
        <f>STDEV(L2257:L2261)</f>
        <v>32122.64794</v>
      </c>
      <c r="N2257" s="15" t="b">
        <f t="shared" si="1"/>
        <v>0</v>
      </c>
    </row>
    <row r="2258" hidden="1">
      <c r="A2258" s="7" t="s">
        <v>459</v>
      </c>
      <c r="B2258" s="7" t="s">
        <v>268</v>
      </c>
      <c r="C2258" s="7">
        <v>0.75</v>
      </c>
      <c r="D2258" s="7">
        <v>1.0</v>
      </c>
      <c r="E2258" s="7">
        <v>2.0</v>
      </c>
      <c r="F2258" s="7">
        <v>201.594264030456</v>
      </c>
      <c r="G2258" s="7">
        <v>459.312465429306</v>
      </c>
      <c r="H2258" s="7">
        <v>1.0</v>
      </c>
      <c r="I2258" s="15">
        <v>0.152325837170729</v>
      </c>
      <c r="J2258" s="15">
        <v>0.0756288902301522</v>
      </c>
      <c r="K2258" s="12">
        <f>AVERAGE(I2257:I2261)</f>
        <v>0.5486249557</v>
      </c>
      <c r="L2258" s="18">
        <v>73799.0</v>
      </c>
      <c r="M2258" s="14">
        <f>STDEV(L2257:L2261)</f>
        <v>32122.64794</v>
      </c>
      <c r="N2258" s="15" t="b">
        <f t="shared" si="1"/>
        <v>0</v>
      </c>
    </row>
    <row r="2259" hidden="1">
      <c r="A2259" s="7" t="s">
        <v>459</v>
      </c>
      <c r="B2259" s="7" t="s">
        <v>268</v>
      </c>
      <c r="C2259" s="7">
        <v>0.75</v>
      </c>
      <c r="D2259" s="7">
        <v>1.0</v>
      </c>
      <c r="E2259" s="7">
        <v>2.0</v>
      </c>
      <c r="F2259" s="7">
        <v>201.594264030456</v>
      </c>
      <c r="G2259" s="7">
        <v>459.312465429306</v>
      </c>
      <c r="H2259" s="7">
        <v>2.0</v>
      </c>
      <c r="I2259" s="15">
        <v>0.751564392598884</v>
      </c>
      <c r="J2259" s="15">
        <v>0.13242314901184</v>
      </c>
      <c r="K2259" s="12">
        <f>AVERAGE(I2257:I2261)</f>
        <v>0.5486249557</v>
      </c>
      <c r="L2259" s="18">
        <v>7596.0</v>
      </c>
      <c r="M2259" s="14">
        <f>STDEV(L2257:L2261)</f>
        <v>32122.64794</v>
      </c>
      <c r="N2259" s="15" t="b">
        <f t="shared" si="1"/>
        <v>0</v>
      </c>
    </row>
    <row r="2260" hidden="1">
      <c r="A2260" s="7" t="s">
        <v>459</v>
      </c>
      <c r="B2260" s="7" t="s">
        <v>268</v>
      </c>
      <c r="C2260" s="7">
        <v>0.75</v>
      </c>
      <c r="D2260" s="7">
        <v>1.0</v>
      </c>
      <c r="E2260" s="7">
        <v>2.0</v>
      </c>
      <c r="F2260" s="7">
        <v>201.594264030456</v>
      </c>
      <c r="G2260" s="7">
        <v>459.312465429306</v>
      </c>
      <c r="H2260" s="7">
        <v>3.0</v>
      </c>
      <c r="I2260" s="15">
        <v>0.82802137893392</v>
      </c>
      <c r="J2260" s="15">
        <v>0.0990580820703108</v>
      </c>
      <c r="K2260" s="12">
        <f>AVERAGE(I2257:I2261)</f>
        <v>0.5486249557</v>
      </c>
      <c r="L2260" s="18">
        <v>7464.0</v>
      </c>
      <c r="M2260" s="14">
        <f>STDEV(L2257:L2261)</f>
        <v>32122.64794</v>
      </c>
      <c r="N2260" s="15" t="b">
        <f t="shared" si="1"/>
        <v>0</v>
      </c>
    </row>
    <row r="2261" hidden="1">
      <c r="A2261" s="7" t="s">
        <v>459</v>
      </c>
      <c r="B2261" s="7" t="s">
        <v>268</v>
      </c>
      <c r="C2261" s="7">
        <v>0.75</v>
      </c>
      <c r="D2261" s="7">
        <v>1.0</v>
      </c>
      <c r="E2261" s="7">
        <v>2.0</v>
      </c>
      <c r="F2261" s="7">
        <v>201.594264030456</v>
      </c>
      <c r="G2261" s="7">
        <v>459.312465429306</v>
      </c>
      <c r="H2261" s="7">
        <v>4.0</v>
      </c>
      <c r="I2261" s="15">
        <v>0.0983369453077812</v>
      </c>
      <c r="J2261" s="15">
        <v>0.0689683031780183</v>
      </c>
      <c r="K2261" s="12">
        <f>AVERAGE(I2257:I2261)</f>
        <v>0.5486249557</v>
      </c>
      <c r="L2261" s="18">
        <v>50774.0</v>
      </c>
      <c r="M2261" s="14">
        <f>STDEV(L2257:L2261)</f>
        <v>32122.64794</v>
      </c>
      <c r="N2261" s="15" t="b">
        <f t="shared" si="1"/>
        <v>0</v>
      </c>
    </row>
    <row r="2262" hidden="1">
      <c r="A2262" s="7" t="s">
        <v>460</v>
      </c>
      <c r="B2262" s="7" t="s">
        <v>268</v>
      </c>
      <c r="C2262" s="7">
        <v>0.75</v>
      </c>
      <c r="D2262" s="7">
        <v>1.0</v>
      </c>
      <c r="E2262" s="7">
        <v>3.0</v>
      </c>
      <c r="F2262" s="7">
        <v>210.385781288146</v>
      </c>
      <c r="G2262" s="7">
        <v>357.138406276702</v>
      </c>
      <c r="H2262" s="7">
        <v>0.0</v>
      </c>
      <c r="I2262" s="15">
        <v>0.688729547061718</v>
      </c>
      <c r="J2262" s="15">
        <v>0.138969313718738</v>
      </c>
      <c r="K2262" s="12">
        <f>AVERAGE(I2262:I2266)</f>
        <v>0.5981753057</v>
      </c>
      <c r="L2262" s="18">
        <v>570.0</v>
      </c>
      <c r="M2262" s="14">
        <f>STDEV(L2262:L2266)</f>
        <v>42854.24009</v>
      </c>
      <c r="N2262" s="15" t="b">
        <f t="shared" si="1"/>
        <v>0</v>
      </c>
    </row>
    <row r="2263" hidden="1">
      <c r="A2263" s="7" t="s">
        <v>460</v>
      </c>
      <c r="B2263" s="7" t="s">
        <v>268</v>
      </c>
      <c r="C2263" s="7">
        <v>0.75</v>
      </c>
      <c r="D2263" s="7">
        <v>1.0</v>
      </c>
      <c r="E2263" s="7">
        <v>3.0</v>
      </c>
      <c r="F2263" s="7">
        <v>210.385781288146</v>
      </c>
      <c r="G2263" s="7">
        <v>357.138406276702</v>
      </c>
      <c r="H2263" s="7">
        <v>1.0</v>
      </c>
      <c r="I2263" s="15">
        <v>0.0581900239151423</v>
      </c>
      <c r="J2263" s="15">
        <v>0.0596276713174659</v>
      </c>
      <c r="K2263" s="12">
        <f>AVERAGE(I2262:I2266)</f>
        <v>0.5981753057</v>
      </c>
      <c r="L2263" s="18">
        <v>104292.0</v>
      </c>
      <c r="M2263" s="14">
        <f>STDEV(L2262:L2266)</f>
        <v>42854.24009</v>
      </c>
      <c r="N2263" s="15" t="b">
        <f t="shared" si="1"/>
        <v>0</v>
      </c>
    </row>
    <row r="2264" hidden="1">
      <c r="A2264" s="7" t="s">
        <v>460</v>
      </c>
      <c r="B2264" s="7" t="s">
        <v>268</v>
      </c>
      <c r="C2264" s="7">
        <v>0.75</v>
      </c>
      <c r="D2264" s="7">
        <v>1.0</v>
      </c>
      <c r="E2264" s="7">
        <v>3.0</v>
      </c>
      <c r="F2264" s="7">
        <v>210.385781288146</v>
      </c>
      <c r="G2264" s="7">
        <v>357.138406276702</v>
      </c>
      <c r="H2264" s="7">
        <v>2.0</v>
      </c>
      <c r="I2264" s="15">
        <v>0.714983317691262</v>
      </c>
      <c r="J2264" s="15">
        <v>0.154427742847619</v>
      </c>
      <c r="K2264" s="12">
        <f>AVERAGE(I2262:I2266)</f>
        <v>0.5981753057</v>
      </c>
      <c r="L2264" s="18">
        <v>13525.0</v>
      </c>
      <c r="M2264" s="14">
        <f>STDEV(L2262:L2266)</f>
        <v>42854.24009</v>
      </c>
      <c r="N2264" s="15" t="b">
        <f t="shared" si="1"/>
        <v>0</v>
      </c>
    </row>
    <row r="2265" hidden="1">
      <c r="A2265" s="7" t="s">
        <v>460</v>
      </c>
      <c r="B2265" s="7" t="s">
        <v>268</v>
      </c>
      <c r="C2265" s="7">
        <v>0.75</v>
      </c>
      <c r="D2265" s="7">
        <v>1.0</v>
      </c>
      <c r="E2265" s="7">
        <v>3.0</v>
      </c>
      <c r="F2265" s="7">
        <v>210.385781288146</v>
      </c>
      <c r="G2265" s="7">
        <v>357.138406276702</v>
      </c>
      <c r="H2265" s="7">
        <v>3.0</v>
      </c>
      <c r="I2265" s="15">
        <v>0.763149494161304</v>
      </c>
      <c r="J2265" s="15">
        <v>0.136512023612916</v>
      </c>
      <c r="K2265" s="12">
        <f>AVERAGE(I2262:I2266)</f>
        <v>0.5981753057</v>
      </c>
      <c r="L2265" s="18">
        <v>7830.0</v>
      </c>
      <c r="M2265" s="14">
        <f>STDEV(L2262:L2266)</f>
        <v>42854.24009</v>
      </c>
      <c r="N2265" s="15" t="b">
        <f t="shared" si="1"/>
        <v>0</v>
      </c>
    </row>
    <row r="2266" hidden="1">
      <c r="A2266" s="7" t="s">
        <v>460</v>
      </c>
      <c r="B2266" s="7" t="s">
        <v>268</v>
      </c>
      <c r="C2266" s="7">
        <v>0.75</v>
      </c>
      <c r="D2266" s="7">
        <v>1.0</v>
      </c>
      <c r="E2266" s="7">
        <v>3.0</v>
      </c>
      <c r="F2266" s="7">
        <v>210.385781288146</v>
      </c>
      <c r="G2266" s="7">
        <v>357.138406276702</v>
      </c>
      <c r="H2266" s="7">
        <v>4.0</v>
      </c>
      <c r="I2266" s="15">
        <v>0.765824145479032</v>
      </c>
      <c r="J2266" s="15">
        <v>0.134703916037804</v>
      </c>
      <c r="K2266" s="12">
        <f>AVERAGE(I2262:I2266)</f>
        <v>0.5981753057</v>
      </c>
      <c r="L2266" s="18">
        <v>15459.0</v>
      </c>
      <c r="M2266" s="14">
        <f>STDEV(L2262:L2266)</f>
        <v>42854.24009</v>
      </c>
      <c r="N2266" s="15" t="b">
        <f t="shared" si="1"/>
        <v>0</v>
      </c>
    </row>
    <row r="2267" hidden="1">
      <c r="A2267" s="7" t="s">
        <v>461</v>
      </c>
      <c r="B2267" s="7" t="s">
        <v>268</v>
      </c>
      <c r="C2267" s="7">
        <v>0.75</v>
      </c>
      <c r="D2267" s="7">
        <v>1.0</v>
      </c>
      <c r="E2267" s="7">
        <v>4.0</v>
      </c>
      <c r="F2267" s="7">
        <v>187.532502174377</v>
      </c>
      <c r="G2267" s="7">
        <v>433.720848798751</v>
      </c>
      <c r="H2267" s="7">
        <v>0.0</v>
      </c>
      <c r="I2267" s="15">
        <v>0.766806842025975</v>
      </c>
      <c r="J2267" s="15">
        <v>0.132258603245569</v>
      </c>
      <c r="K2267" s="12">
        <f>AVERAGE(I2267:I2271)</f>
        <v>0.5744897416</v>
      </c>
      <c r="L2267" s="18">
        <v>7810.0</v>
      </c>
      <c r="M2267" s="14">
        <f>STDEV(L2267:L2271)</f>
        <v>37330.69947</v>
      </c>
      <c r="N2267" s="15" t="b">
        <f t="shared" si="1"/>
        <v>0</v>
      </c>
    </row>
    <row r="2268" hidden="1">
      <c r="A2268" s="7" t="s">
        <v>461</v>
      </c>
      <c r="B2268" s="7" t="s">
        <v>268</v>
      </c>
      <c r="C2268" s="7">
        <v>0.75</v>
      </c>
      <c r="D2268" s="7">
        <v>1.0</v>
      </c>
      <c r="E2268" s="7">
        <v>4.0</v>
      </c>
      <c r="F2268" s="7">
        <v>187.532502174377</v>
      </c>
      <c r="G2268" s="7">
        <v>433.720848798751</v>
      </c>
      <c r="H2268" s="7">
        <v>1.0</v>
      </c>
      <c r="I2268" s="15">
        <v>0.0730001233407992</v>
      </c>
      <c r="J2268" s="15">
        <v>0.067708250801068</v>
      </c>
      <c r="K2268" s="12">
        <f>AVERAGE(I2267:I2271)</f>
        <v>0.5744897416</v>
      </c>
      <c r="L2268" s="18">
        <v>92843.0</v>
      </c>
      <c r="M2268" s="14">
        <f>STDEV(L2267:L2271)</f>
        <v>37330.69947</v>
      </c>
      <c r="N2268" s="15" t="b">
        <f t="shared" si="1"/>
        <v>0</v>
      </c>
    </row>
    <row r="2269" hidden="1">
      <c r="A2269" s="7" t="s">
        <v>461</v>
      </c>
      <c r="B2269" s="7" t="s">
        <v>268</v>
      </c>
      <c r="C2269" s="7">
        <v>0.75</v>
      </c>
      <c r="D2269" s="7">
        <v>1.0</v>
      </c>
      <c r="E2269" s="7">
        <v>4.0</v>
      </c>
      <c r="F2269" s="7">
        <v>187.532502174377</v>
      </c>
      <c r="G2269" s="7">
        <v>433.720848798751</v>
      </c>
      <c r="H2269" s="7">
        <v>2.0</v>
      </c>
      <c r="I2269" s="15">
        <v>0.822639353979261</v>
      </c>
      <c r="J2269" s="15">
        <v>0.101422117672771</v>
      </c>
      <c r="K2269" s="12">
        <f>AVERAGE(I2267:I2271)</f>
        <v>0.5744897416</v>
      </c>
      <c r="L2269" s="18">
        <v>6447.0</v>
      </c>
      <c r="M2269" s="14">
        <f>STDEV(L2267:L2271)</f>
        <v>37330.69947</v>
      </c>
      <c r="N2269" s="15" t="b">
        <f t="shared" si="1"/>
        <v>0</v>
      </c>
    </row>
    <row r="2270" hidden="1">
      <c r="A2270" s="7" t="s">
        <v>461</v>
      </c>
      <c r="B2270" s="7" t="s">
        <v>268</v>
      </c>
      <c r="C2270" s="7">
        <v>0.75</v>
      </c>
      <c r="D2270" s="7">
        <v>1.0</v>
      </c>
      <c r="E2270" s="7">
        <v>4.0</v>
      </c>
      <c r="F2270" s="7">
        <v>187.532502174377</v>
      </c>
      <c r="G2270" s="7">
        <v>433.720848798751</v>
      </c>
      <c r="H2270" s="7">
        <v>3.0</v>
      </c>
      <c r="I2270" s="15">
        <v>0.40317612027973</v>
      </c>
      <c r="J2270" s="15">
        <v>0.105360252183944</v>
      </c>
      <c r="K2270" s="12">
        <f>AVERAGE(I2267:I2271)</f>
        <v>0.5744897416</v>
      </c>
      <c r="L2270" s="18">
        <v>28877.0</v>
      </c>
      <c r="M2270" s="14">
        <f>STDEV(L2267:L2271)</f>
        <v>37330.69947</v>
      </c>
      <c r="N2270" s="15" t="b">
        <f t="shared" si="1"/>
        <v>0</v>
      </c>
    </row>
    <row r="2271" hidden="1">
      <c r="A2271" s="7" t="s">
        <v>461</v>
      </c>
      <c r="B2271" s="7" t="s">
        <v>268</v>
      </c>
      <c r="C2271" s="7">
        <v>0.75</v>
      </c>
      <c r="D2271" s="7">
        <v>1.0</v>
      </c>
      <c r="E2271" s="7">
        <v>4.0</v>
      </c>
      <c r="F2271" s="7">
        <v>187.532502174377</v>
      </c>
      <c r="G2271" s="7">
        <v>433.720848798751</v>
      </c>
      <c r="H2271" s="7">
        <v>4.0</v>
      </c>
      <c r="I2271" s="15">
        <v>0.806826268332056</v>
      </c>
      <c r="J2271" s="15">
        <v>0.11825145876677</v>
      </c>
      <c r="K2271" s="12">
        <f>AVERAGE(I2267:I2271)</f>
        <v>0.5744897416</v>
      </c>
      <c r="L2271" s="18">
        <v>5699.0</v>
      </c>
      <c r="M2271" s="14">
        <f>STDEV(L2267:L2271)</f>
        <v>37330.69947</v>
      </c>
      <c r="N2271" s="15" t="b">
        <f t="shared" si="1"/>
        <v>0</v>
      </c>
    </row>
    <row r="2272" hidden="1">
      <c r="A2272" s="7" t="s">
        <v>462</v>
      </c>
      <c r="B2272" s="7" t="s">
        <v>268</v>
      </c>
      <c r="C2272" s="7">
        <v>0.75</v>
      </c>
      <c r="D2272" s="7">
        <v>1.0</v>
      </c>
      <c r="E2272" s="7">
        <v>5.0</v>
      </c>
      <c r="F2272" s="7">
        <v>176.284972190856</v>
      </c>
      <c r="G2272" s="7">
        <v>406.696353197097</v>
      </c>
      <c r="H2272" s="7">
        <v>0.0</v>
      </c>
      <c r="I2272" s="15">
        <v>0.720227077463257</v>
      </c>
      <c r="J2272" s="15">
        <v>0.145597776736255</v>
      </c>
      <c r="K2272" s="12">
        <f>AVERAGE(I2272:I2276)</f>
        <v>0.564655861</v>
      </c>
      <c r="L2272" s="18">
        <v>13513.0</v>
      </c>
      <c r="M2272" s="14">
        <f>STDEV(L2272:L2276)</f>
        <v>35643.50914</v>
      </c>
      <c r="N2272" s="15" t="b">
        <f t="shared" si="1"/>
        <v>0</v>
      </c>
    </row>
    <row r="2273" hidden="1">
      <c r="A2273" s="7" t="s">
        <v>462</v>
      </c>
      <c r="B2273" s="7" t="s">
        <v>268</v>
      </c>
      <c r="C2273" s="7">
        <v>0.75</v>
      </c>
      <c r="D2273" s="7">
        <v>1.0</v>
      </c>
      <c r="E2273" s="7">
        <v>5.0</v>
      </c>
      <c r="F2273" s="7">
        <v>176.284972190856</v>
      </c>
      <c r="G2273" s="7">
        <v>406.696353197097</v>
      </c>
      <c r="H2273" s="7">
        <v>1.0</v>
      </c>
      <c r="I2273" s="15">
        <v>0.34878426164658</v>
      </c>
      <c r="J2273" s="15">
        <v>0.160914781015518</v>
      </c>
      <c r="K2273" s="12">
        <f>AVERAGE(I2272:I2276)</f>
        <v>0.564655861</v>
      </c>
      <c r="L2273" s="18">
        <v>28694.0</v>
      </c>
      <c r="M2273" s="14">
        <f>STDEV(L2272:L2276)</f>
        <v>35643.50914</v>
      </c>
      <c r="N2273" s="15" t="b">
        <f t="shared" si="1"/>
        <v>0</v>
      </c>
    </row>
    <row r="2274" hidden="1">
      <c r="A2274" s="7" t="s">
        <v>462</v>
      </c>
      <c r="B2274" s="7" t="s">
        <v>268</v>
      </c>
      <c r="C2274" s="7">
        <v>0.75</v>
      </c>
      <c r="D2274" s="7">
        <v>1.0</v>
      </c>
      <c r="E2274" s="7">
        <v>5.0</v>
      </c>
      <c r="F2274" s="7">
        <v>176.284972190856</v>
      </c>
      <c r="G2274" s="7">
        <v>406.696353197097</v>
      </c>
      <c r="H2274" s="7">
        <v>2.0</v>
      </c>
      <c r="I2274" s="15">
        <v>0.912820149487458</v>
      </c>
      <c r="J2274" s="15">
        <v>0.0347029739429183</v>
      </c>
      <c r="K2274" s="12">
        <f>AVERAGE(I2272:I2276)</f>
        <v>0.564655861</v>
      </c>
      <c r="L2274" s="18">
        <v>2043.0</v>
      </c>
      <c r="M2274" s="14">
        <f>STDEV(L2272:L2276)</f>
        <v>35643.50914</v>
      </c>
      <c r="N2274" s="15" t="b">
        <f t="shared" si="1"/>
        <v>0</v>
      </c>
    </row>
    <row r="2275" hidden="1">
      <c r="A2275" s="7" t="s">
        <v>462</v>
      </c>
      <c r="B2275" s="7" t="s">
        <v>268</v>
      </c>
      <c r="C2275" s="7">
        <v>0.75</v>
      </c>
      <c r="D2275" s="7">
        <v>1.0</v>
      </c>
      <c r="E2275" s="7">
        <v>5.0</v>
      </c>
      <c r="F2275" s="7">
        <v>176.284972190856</v>
      </c>
      <c r="G2275" s="7">
        <v>406.696353197097</v>
      </c>
      <c r="H2275" s="7">
        <v>3.0</v>
      </c>
      <c r="I2275" s="15">
        <v>0.0788849283310108</v>
      </c>
      <c r="J2275" s="15">
        <v>0.0695326650093846</v>
      </c>
      <c r="K2275" s="12">
        <f>AVERAGE(I2272:I2276)</f>
        <v>0.564655861</v>
      </c>
      <c r="L2275" s="18">
        <v>89580.0</v>
      </c>
      <c r="M2275" s="14">
        <f>STDEV(L2272:L2276)</f>
        <v>35643.50914</v>
      </c>
      <c r="N2275" s="15" t="b">
        <f t="shared" si="1"/>
        <v>0</v>
      </c>
    </row>
    <row r="2276" hidden="1">
      <c r="A2276" s="7" t="s">
        <v>462</v>
      </c>
      <c r="B2276" s="7" t="s">
        <v>268</v>
      </c>
      <c r="C2276" s="7">
        <v>0.75</v>
      </c>
      <c r="D2276" s="7">
        <v>1.0</v>
      </c>
      <c r="E2276" s="7">
        <v>5.0</v>
      </c>
      <c r="F2276" s="7">
        <v>176.284972190856</v>
      </c>
      <c r="G2276" s="7">
        <v>406.696353197097</v>
      </c>
      <c r="H2276" s="7">
        <v>4.0</v>
      </c>
      <c r="I2276" s="15">
        <v>0.762562887897051</v>
      </c>
      <c r="J2276" s="15">
        <v>0.13635552161556</v>
      </c>
      <c r="K2276" s="12">
        <f>AVERAGE(I2272:I2276)</f>
        <v>0.564655861</v>
      </c>
      <c r="L2276" s="18">
        <v>7846.0</v>
      </c>
      <c r="M2276" s="14">
        <f>STDEV(L2272:L2276)</f>
        <v>35643.50914</v>
      </c>
      <c r="N2276" s="15" t="b">
        <f t="shared" si="1"/>
        <v>0</v>
      </c>
    </row>
    <row r="2277" hidden="1">
      <c r="A2277" s="7" t="s">
        <v>463</v>
      </c>
      <c r="B2277" s="7" t="s">
        <v>268</v>
      </c>
      <c r="C2277" s="7">
        <v>0.75</v>
      </c>
      <c r="D2277" s="7">
        <v>1.0</v>
      </c>
      <c r="E2277" s="7">
        <v>6.0</v>
      </c>
      <c r="F2277" s="7">
        <v>183.046081781387</v>
      </c>
      <c r="G2277" s="7">
        <v>434.50284576416</v>
      </c>
      <c r="H2277" s="7">
        <v>0.0</v>
      </c>
      <c r="I2277" s="15">
        <v>0.0802775390524786</v>
      </c>
      <c r="J2277" s="15">
        <v>0.0654448027839045</v>
      </c>
      <c r="K2277" s="12">
        <f>AVERAGE(I2277:I2281)</f>
        <v>0.5425852856</v>
      </c>
      <c r="L2277" s="18">
        <v>79336.0</v>
      </c>
      <c r="M2277" s="14">
        <f>STDEV(L2277:L2281)</f>
        <v>30100.76771</v>
      </c>
      <c r="N2277" s="15" t="b">
        <f t="shared" si="1"/>
        <v>0</v>
      </c>
    </row>
    <row r="2278" hidden="1">
      <c r="A2278" s="7" t="s">
        <v>463</v>
      </c>
      <c r="B2278" s="7" t="s">
        <v>268</v>
      </c>
      <c r="C2278" s="7">
        <v>0.75</v>
      </c>
      <c r="D2278" s="7">
        <v>1.0</v>
      </c>
      <c r="E2278" s="7">
        <v>6.0</v>
      </c>
      <c r="F2278" s="7">
        <v>183.046081781387</v>
      </c>
      <c r="G2278" s="7">
        <v>434.50284576416</v>
      </c>
      <c r="H2278" s="7">
        <v>1.0</v>
      </c>
      <c r="I2278" s="15">
        <v>0.751036734775609</v>
      </c>
      <c r="J2278" s="15">
        <v>0.13727039953894</v>
      </c>
      <c r="K2278" s="12">
        <f>AVERAGE(I2277:I2281)</f>
        <v>0.5425852856</v>
      </c>
      <c r="L2278" s="18">
        <v>7567.0</v>
      </c>
      <c r="M2278" s="14">
        <f>STDEV(L2277:L2281)</f>
        <v>30100.76771</v>
      </c>
      <c r="N2278" s="15" t="b">
        <f t="shared" si="1"/>
        <v>0</v>
      </c>
    </row>
    <row r="2279" hidden="1">
      <c r="A2279" s="7" t="s">
        <v>463</v>
      </c>
      <c r="B2279" s="7" t="s">
        <v>268</v>
      </c>
      <c r="C2279" s="7">
        <v>0.75</v>
      </c>
      <c r="D2279" s="7">
        <v>1.0</v>
      </c>
      <c r="E2279" s="7">
        <v>6.0</v>
      </c>
      <c r="F2279" s="7">
        <v>183.046081781387</v>
      </c>
      <c r="G2279" s="7">
        <v>434.50284576416</v>
      </c>
      <c r="H2279" s="7">
        <v>2.0</v>
      </c>
      <c r="I2279" s="15">
        <v>0.76306535015942</v>
      </c>
      <c r="J2279" s="15">
        <v>0.135395178358662</v>
      </c>
      <c r="K2279" s="12">
        <f>AVERAGE(I2277:I2281)</f>
        <v>0.5425852856</v>
      </c>
      <c r="L2279" s="18">
        <v>7844.0</v>
      </c>
      <c r="M2279" s="14">
        <f>STDEV(L2277:L2281)</f>
        <v>30100.76771</v>
      </c>
      <c r="N2279" s="15" t="b">
        <f t="shared" si="1"/>
        <v>0</v>
      </c>
    </row>
    <row r="2280" hidden="1">
      <c r="A2280" s="7" t="s">
        <v>463</v>
      </c>
      <c r="B2280" s="7" t="s">
        <v>268</v>
      </c>
      <c r="C2280" s="7">
        <v>0.75</v>
      </c>
      <c r="D2280" s="7">
        <v>1.0</v>
      </c>
      <c r="E2280" s="7">
        <v>6.0</v>
      </c>
      <c r="F2280" s="7">
        <v>183.046081781387</v>
      </c>
      <c r="G2280" s="7">
        <v>434.50284576416</v>
      </c>
      <c r="H2280" s="7">
        <v>3.0</v>
      </c>
      <c r="I2280" s="15">
        <v>0.346241982004836</v>
      </c>
      <c r="J2280" s="15">
        <v>0.198221443369593</v>
      </c>
      <c r="K2280" s="12">
        <f>AVERAGE(I2277:I2281)</f>
        <v>0.5425852856</v>
      </c>
      <c r="L2280" s="18">
        <v>31354.0</v>
      </c>
      <c r="M2280" s="14">
        <f>STDEV(L2277:L2281)</f>
        <v>30100.76771</v>
      </c>
      <c r="N2280" s="15" t="b">
        <f t="shared" si="1"/>
        <v>0</v>
      </c>
    </row>
    <row r="2281" hidden="1">
      <c r="A2281" s="7" t="s">
        <v>463</v>
      </c>
      <c r="B2281" s="7" t="s">
        <v>268</v>
      </c>
      <c r="C2281" s="7">
        <v>0.75</v>
      </c>
      <c r="D2281" s="7">
        <v>1.0</v>
      </c>
      <c r="E2281" s="7">
        <v>6.0</v>
      </c>
      <c r="F2281" s="7">
        <v>183.046081781387</v>
      </c>
      <c r="G2281" s="7">
        <v>434.50284576416</v>
      </c>
      <c r="H2281" s="7">
        <v>4.0</v>
      </c>
      <c r="I2281" s="15">
        <v>0.772304822113609</v>
      </c>
      <c r="J2281" s="15">
        <v>0.119852346853867</v>
      </c>
      <c r="K2281" s="12">
        <f>AVERAGE(I2277:I2281)</f>
        <v>0.5425852856</v>
      </c>
      <c r="L2281" s="18">
        <v>15575.0</v>
      </c>
      <c r="M2281" s="14">
        <f>STDEV(L2277:L2281)</f>
        <v>30100.76771</v>
      </c>
      <c r="N2281" s="15" t="b">
        <f t="shared" si="1"/>
        <v>0</v>
      </c>
    </row>
    <row r="2282" hidden="1">
      <c r="A2282" s="7" t="s">
        <v>464</v>
      </c>
      <c r="B2282" s="7" t="s">
        <v>268</v>
      </c>
      <c r="C2282" s="7">
        <v>0.75</v>
      </c>
      <c r="D2282" s="7">
        <v>1.0</v>
      </c>
      <c r="E2282" s="7">
        <v>7.0</v>
      </c>
      <c r="F2282" s="7">
        <v>186.820026636123</v>
      </c>
      <c r="G2282" s="7">
        <v>340.135957002639</v>
      </c>
      <c r="H2282" s="7">
        <v>0.0</v>
      </c>
      <c r="I2282" s="15">
        <v>0.247073182925891</v>
      </c>
      <c r="J2282" s="15">
        <v>0.150364551964088</v>
      </c>
      <c r="K2282" s="12">
        <f>AVERAGE(I2282:I2286)</f>
        <v>0.4394196706</v>
      </c>
      <c r="L2282" s="18">
        <v>5219.0</v>
      </c>
      <c r="M2282" s="14">
        <f>STDEV(L2282:L2286)</f>
        <v>28622.24975</v>
      </c>
      <c r="N2282" s="15" t="b">
        <f t="shared" si="1"/>
        <v>0</v>
      </c>
    </row>
    <row r="2283" hidden="1">
      <c r="A2283" s="7" t="s">
        <v>464</v>
      </c>
      <c r="B2283" s="7" t="s">
        <v>268</v>
      </c>
      <c r="C2283" s="7">
        <v>0.75</v>
      </c>
      <c r="D2283" s="7">
        <v>1.0</v>
      </c>
      <c r="E2283" s="7">
        <v>7.0</v>
      </c>
      <c r="F2283" s="7">
        <v>186.820026636123</v>
      </c>
      <c r="G2283" s="7">
        <v>340.135957002639</v>
      </c>
      <c r="H2283" s="7">
        <v>1.0</v>
      </c>
      <c r="I2283" s="15">
        <v>0.732358683614859</v>
      </c>
      <c r="J2283" s="15">
        <v>0.136749263164263</v>
      </c>
      <c r="K2283" s="12">
        <f>AVERAGE(I2282:I2286)</f>
        <v>0.4394196706</v>
      </c>
      <c r="L2283" s="18">
        <v>13354.0</v>
      </c>
      <c r="M2283" s="14">
        <f>STDEV(L2282:L2286)</f>
        <v>28622.24975</v>
      </c>
      <c r="N2283" s="15" t="b">
        <f t="shared" si="1"/>
        <v>0</v>
      </c>
    </row>
    <row r="2284" hidden="1">
      <c r="A2284" s="7" t="s">
        <v>464</v>
      </c>
      <c r="B2284" s="7" t="s">
        <v>268</v>
      </c>
      <c r="C2284" s="7">
        <v>0.75</v>
      </c>
      <c r="D2284" s="7">
        <v>1.0</v>
      </c>
      <c r="E2284" s="7">
        <v>7.0</v>
      </c>
      <c r="F2284" s="7">
        <v>186.820026636123</v>
      </c>
      <c r="G2284" s="7">
        <v>340.135957002639</v>
      </c>
      <c r="H2284" s="7">
        <v>2.0</v>
      </c>
      <c r="I2284" s="15">
        <v>0.800355751775148</v>
      </c>
      <c r="J2284" s="15">
        <v>0.0952317967782085</v>
      </c>
      <c r="K2284" s="12">
        <f>AVERAGE(I2282:I2286)</f>
        <v>0.4394196706</v>
      </c>
      <c r="L2284" s="18">
        <v>15103.0</v>
      </c>
      <c r="M2284" s="14">
        <f>STDEV(L2282:L2286)</f>
        <v>28622.24975</v>
      </c>
      <c r="N2284" s="15" t="b">
        <f t="shared" si="1"/>
        <v>0</v>
      </c>
    </row>
    <row r="2285" hidden="1">
      <c r="A2285" s="7" t="s">
        <v>464</v>
      </c>
      <c r="B2285" s="7" t="s">
        <v>268</v>
      </c>
      <c r="C2285" s="7">
        <v>0.75</v>
      </c>
      <c r="D2285" s="7">
        <v>1.0</v>
      </c>
      <c r="E2285" s="7">
        <v>7.0</v>
      </c>
      <c r="F2285" s="7">
        <v>186.820026636123</v>
      </c>
      <c r="G2285" s="7">
        <v>340.135957002639</v>
      </c>
      <c r="H2285" s="7">
        <v>3.0</v>
      </c>
      <c r="I2285" s="15">
        <v>0.341221084680609</v>
      </c>
      <c r="J2285" s="15">
        <v>0.202561036327058</v>
      </c>
      <c r="K2285" s="12">
        <f>AVERAGE(I2282:I2286)</f>
        <v>0.4394196706</v>
      </c>
      <c r="L2285" s="18">
        <v>31354.0</v>
      </c>
      <c r="M2285" s="14">
        <f>STDEV(L2282:L2286)</f>
        <v>28622.24975</v>
      </c>
      <c r="N2285" s="15" t="b">
        <f t="shared" si="1"/>
        <v>0</v>
      </c>
    </row>
    <row r="2286" hidden="1">
      <c r="A2286" s="7" t="s">
        <v>464</v>
      </c>
      <c r="B2286" s="7" t="s">
        <v>268</v>
      </c>
      <c r="C2286" s="7">
        <v>0.75</v>
      </c>
      <c r="D2286" s="7">
        <v>1.0</v>
      </c>
      <c r="E2286" s="7">
        <v>7.0</v>
      </c>
      <c r="F2286" s="7">
        <v>186.820026636123</v>
      </c>
      <c r="G2286" s="7">
        <v>340.135957002639</v>
      </c>
      <c r="H2286" s="7">
        <v>4.0</v>
      </c>
      <c r="I2286" s="15">
        <v>0.0760896502504786</v>
      </c>
      <c r="J2286" s="15">
        <v>0.0688890623494432</v>
      </c>
      <c r="K2286" s="12">
        <f>AVERAGE(I2282:I2286)</f>
        <v>0.4394196706</v>
      </c>
      <c r="L2286" s="18">
        <v>76646.0</v>
      </c>
      <c r="M2286" s="14">
        <f>STDEV(L2282:L2286)</f>
        <v>28622.24975</v>
      </c>
      <c r="N2286" s="15" t="b">
        <f t="shared" si="1"/>
        <v>0</v>
      </c>
    </row>
    <row r="2287" hidden="1">
      <c r="A2287" s="7" t="s">
        <v>465</v>
      </c>
      <c r="B2287" s="7" t="s">
        <v>268</v>
      </c>
      <c r="C2287" s="7">
        <v>0.75</v>
      </c>
      <c r="D2287" s="7">
        <v>1.0</v>
      </c>
      <c r="E2287" s="7">
        <v>8.0</v>
      </c>
      <c r="F2287" s="7">
        <v>185.727962493896</v>
      </c>
      <c r="G2287" s="7">
        <v>288.417627811431</v>
      </c>
      <c r="H2287" s="7">
        <v>0.0</v>
      </c>
      <c r="I2287" s="15">
        <v>0.0720486442677858</v>
      </c>
      <c r="J2287" s="15">
        <v>0.0683284369769761</v>
      </c>
      <c r="K2287" s="12">
        <f>AVERAGE(I2287:I2291)</f>
        <v>0.5970489565</v>
      </c>
      <c r="L2287" s="18">
        <v>89694.0</v>
      </c>
      <c r="M2287" s="14">
        <f>STDEV(L2287:L2291)</f>
        <v>37134.35055</v>
      </c>
      <c r="N2287" s="15" t="b">
        <f t="shared" si="1"/>
        <v>0</v>
      </c>
    </row>
    <row r="2288" hidden="1">
      <c r="A2288" s="7" t="s">
        <v>465</v>
      </c>
      <c r="B2288" s="7" t="s">
        <v>268</v>
      </c>
      <c r="C2288" s="7">
        <v>0.75</v>
      </c>
      <c r="D2288" s="7">
        <v>1.0</v>
      </c>
      <c r="E2288" s="7">
        <v>8.0</v>
      </c>
      <c r="F2288" s="7">
        <v>185.727962493896</v>
      </c>
      <c r="G2288" s="7">
        <v>288.417627811431</v>
      </c>
      <c r="H2288" s="7">
        <v>1.0</v>
      </c>
      <c r="I2288" s="15">
        <v>0.864613880643759</v>
      </c>
      <c r="J2288" s="15">
        <v>0.0943824553084659</v>
      </c>
      <c r="K2288" s="12">
        <f>AVERAGE(I2287:I2291)</f>
        <v>0.5970489565</v>
      </c>
      <c r="L2288" s="18">
        <v>5074.0</v>
      </c>
      <c r="M2288" s="14">
        <f>STDEV(L2287:L2291)</f>
        <v>37134.35055</v>
      </c>
      <c r="N2288" s="15" t="b">
        <f t="shared" si="1"/>
        <v>0</v>
      </c>
    </row>
    <row r="2289" hidden="1">
      <c r="A2289" s="7" t="s">
        <v>465</v>
      </c>
      <c r="B2289" s="7" t="s">
        <v>268</v>
      </c>
      <c r="C2289" s="7">
        <v>0.75</v>
      </c>
      <c r="D2289" s="7">
        <v>1.0</v>
      </c>
      <c r="E2289" s="7">
        <v>8.0</v>
      </c>
      <c r="F2289" s="7">
        <v>185.727962493896</v>
      </c>
      <c r="G2289" s="7">
        <v>288.417627811431</v>
      </c>
      <c r="H2289" s="7">
        <v>2.0</v>
      </c>
      <c r="I2289" s="15">
        <v>0.307243870411902</v>
      </c>
      <c r="J2289" s="15">
        <v>0.099467359641509</v>
      </c>
      <c r="K2289" s="12">
        <f>AVERAGE(I2287:I2291)</f>
        <v>0.5970489565</v>
      </c>
      <c r="L2289" s="18">
        <v>37414.0</v>
      </c>
      <c r="M2289" s="14">
        <f>STDEV(L2287:L2291)</f>
        <v>37134.35055</v>
      </c>
      <c r="N2289" s="15" t="b">
        <f t="shared" si="1"/>
        <v>0</v>
      </c>
    </row>
    <row r="2290" hidden="1">
      <c r="A2290" s="7" t="s">
        <v>465</v>
      </c>
      <c r="B2290" s="7" t="s">
        <v>268</v>
      </c>
      <c r="C2290" s="7">
        <v>0.75</v>
      </c>
      <c r="D2290" s="7">
        <v>1.0</v>
      </c>
      <c r="E2290" s="7">
        <v>8.0</v>
      </c>
      <c r="F2290" s="7">
        <v>185.727962493896</v>
      </c>
      <c r="G2290" s="7">
        <v>288.417627811431</v>
      </c>
      <c r="H2290" s="7">
        <v>3.0</v>
      </c>
      <c r="I2290" s="15">
        <v>0.828617507511102</v>
      </c>
      <c r="J2290" s="15">
        <v>0.0980938465381486</v>
      </c>
      <c r="K2290" s="12">
        <f>AVERAGE(I2287:I2291)</f>
        <v>0.5970489565</v>
      </c>
      <c r="L2290" s="18">
        <v>7451.0</v>
      </c>
      <c r="M2290" s="14">
        <f>STDEV(L2287:L2291)</f>
        <v>37134.35055</v>
      </c>
      <c r="N2290" s="15" t="b">
        <f t="shared" si="1"/>
        <v>0</v>
      </c>
    </row>
    <row r="2291" hidden="1">
      <c r="A2291" s="7" t="s">
        <v>465</v>
      </c>
      <c r="B2291" s="7" t="s">
        <v>268</v>
      </c>
      <c r="C2291" s="7">
        <v>0.75</v>
      </c>
      <c r="D2291" s="7">
        <v>1.0</v>
      </c>
      <c r="E2291" s="7">
        <v>8.0</v>
      </c>
      <c r="F2291" s="7">
        <v>185.727962493896</v>
      </c>
      <c r="G2291" s="7">
        <v>288.417627811431</v>
      </c>
      <c r="H2291" s="7">
        <v>4.0</v>
      </c>
      <c r="I2291" s="15">
        <v>0.912720879697877</v>
      </c>
      <c r="J2291" s="15">
        <v>0.0348957823169652</v>
      </c>
      <c r="K2291" s="12">
        <f>AVERAGE(I2287:I2291)</f>
        <v>0.5970489565</v>
      </c>
      <c r="L2291" s="18">
        <v>2043.0</v>
      </c>
      <c r="M2291" s="14">
        <f>STDEV(L2287:L2291)</f>
        <v>37134.35055</v>
      </c>
      <c r="N2291" s="15" t="b">
        <f t="shared" si="1"/>
        <v>0</v>
      </c>
    </row>
    <row r="2292" hidden="1">
      <c r="A2292" s="7" t="s">
        <v>466</v>
      </c>
      <c r="B2292" s="7" t="s">
        <v>268</v>
      </c>
      <c r="C2292" s="7">
        <v>0.75</v>
      </c>
      <c r="D2292" s="7">
        <v>1.0</v>
      </c>
      <c r="E2292" s="7">
        <v>9.0</v>
      </c>
      <c r="F2292" s="7">
        <v>181.248447418212</v>
      </c>
      <c r="G2292" s="7">
        <v>282.349870920181</v>
      </c>
      <c r="H2292" s="7">
        <v>0.0</v>
      </c>
      <c r="I2292" s="15">
        <v>0.0938418522342832</v>
      </c>
      <c r="J2292" s="15">
        <v>0.063888633457439</v>
      </c>
      <c r="K2292" s="12">
        <f>AVERAGE(I2292:I2296)</f>
        <v>0.5374493335</v>
      </c>
      <c r="L2292" s="18">
        <v>82869.0</v>
      </c>
      <c r="M2292" s="14">
        <f>STDEV(L2292:L2296)</f>
        <v>33257.41706</v>
      </c>
      <c r="N2292" s="15" t="b">
        <f t="shared" si="1"/>
        <v>0</v>
      </c>
    </row>
    <row r="2293" hidden="1">
      <c r="A2293" s="7" t="s">
        <v>466</v>
      </c>
      <c r="B2293" s="7" t="s">
        <v>268</v>
      </c>
      <c r="C2293" s="7">
        <v>0.75</v>
      </c>
      <c r="D2293" s="7">
        <v>1.0</v>
      </c>
      <c r="E2293" s="7">
        <v>9.0</v>
      </c>
      <c r="F2293" s="7">
        <v>181.248447418212</v>
      </c>
      <c r="G2293" s="7">
        <v>282.349870920181</v>
      </c>
      <c r="H2293" s="7">
        <v>1.0</v>
      </c>
      <c r="I2293" s="15">
        <v>0.270280387496337</v>
      </c>
      <c r="J2293" s="15">
        <v>0.148720754582466</v>
      </c>
      <c r="K2293" s="12">
        <f>AVERAGE(I2292:I2296)</f>
        <v>0.5374493335</v>
      </c>
      <c r="L2293" s="18">
        <v>37681.0</v>
      </c>
      <c r="M2293" s="14">
        <f>STDEV(L2292:L2296)</f>
        <v>33257.41706</v>
      </c>
      <c r="N2293" s="15" t="b">
        <f t="shared" si="1"/>
        <v>0</v>
      </c>
    </row>
    <row r="2294" hidden="1">
      <c r="A2294" s="7" t="s">
        <v>466</v>
      </c>
      <c r="B2294" s="7" t="s">
        <v>268</v>
      </c>
      <c r="C2294" s="7">
        <v>0.75</v>
      </c>
      <c r="D2294" s="7">
        <v>1.0</v>
      </c>
      <c r="E2294" s="7">
        <v>9.0</v>
      </c>
      <c r="F2294" s="7">
        <v>181.248447418212</v>
      </c>
      <c r="G2294" s="7">
        <v>282.349870920181</v>
      </c>
      <c r="H2294" s="7">
        <v>2.0</v>
      </c>
      <c r="I2294" s="15">
        <v>0.807175244277064</v>
      </c>
      <c r="J2294" s="15">
        <v>0.118862801544986</v>
      </c>
      <c r="K2294" s="12">
        <f>AVERAGE(I2292:I2296)</f>
        <v>0.5374493335</v>
      </c>
      <c r="L2294" s="18">
        <v>5699.0</v>
      </c>
      <c r="M2294" s="14">
        <f>STDEV(L2292:L2296)</f>
        <v>33257.41706</v>
      </c>
      <c r="N2294" s="15" t="b">
        <f t="shared" si="1"/>
        <v>0</v>
      </c>
    </row>
    <row r="2295" hidden="1">
      <c r="A2295" s="7" t="s">
        <v>466</v>
      </c>
      <c r="B2295" s="7" t="s">
        <v>268</v>
      </c>
      <c r="C2295" s="7">
        <v>0.75</v>
      </c>
      <c r="D2295" s="7">
        <v>1.0</v>
      </c>
      <c r="E2295" s="7">
        <v>9.0</v>
      </c>
      <c r="F2295" s="7">
        <v>181.248447418212</v>
      </c>
      <c r="G2295" s="7">
        <v>282.349870920181</v>
      </c>
      <c r="H2295" s="7">
        <v>3.0</v>
      </c>
      <c r="I2295" s="15">
        <v>0.751901865366777</v>
      </c>
      <c r="J2295" s="15">
        <v>0.132589724407478</v>
      </c>
      <c r="K2295" s="12">
        <f>AVERAGE(I2292:I2296)</f>
        <v>0.5374493335</v>
      </c>
      <c r="L2295" s="18">
        <v>7577.0</v>
      </c>
      <c r="M2295" s="14">
        <f>STDEV(L2292:L2296)</f>
        <v>33257.41706</v>
      </c>
      <c r="N2295" s="15" t="b">
        <f t="shared" si="1"/>
        <v>0</v>
      </c>
    </row>
    <row r="2296" hidden="1">
      <c r="A2296" s="7" t="s">
        <v>466</v>
      </c>
      <c r="B2296" s="7" t="s">
        <v>268</v>
      </c>
      <c r="C2296" s="7">
        <v>0.75</v>
      </c>
      <c r="D2296" s="7">
        <v>1.0</v>
      </c>
      <c r="E2296" s="7">
        <v>9.0</v>
      </c>
      <c r="F2296" s="7">
        <v>181.248447418212</v>
      </c>
      <c r="G2296" s="7">
        <v>282.349870920181</v>
      </c>
      <c r="H2296" s="7">
        <v>4.0</v>
      </c>
      <c r="I2296" s="15">
        <v>0.764047318053172</v>
      </c>
      <c r="J2296" s="15">
        <v>0.135746807366937</v>
      </c>
      <c r="K2296" s="12">
        <f>AVERAGE(I2292:I2296)</f>
        <v>0.5374493335</v>
      </c>
      <c r="L2296" s="18">
        <v>7850.0</v>
      </c>
      <c r="M2296" s="14">
        <f>STDEV(L2292:L2296)</f>
        <v>33257.41706</v>
      </c>
      <c r="N2296" s="15" t="b">
        <f t="shared" si="1"/>
        <v>0</v>
      </c>
    </row>
    <row r="2297" hidden="1">
      <c r="A2297" s="7" t="s">
        <v>467</v>
      </c>
      <c r="B2297" s="7" t="s">
        <v>268</v>
      </c>
      <c r="C2297" s="7">
        <v>0.75</v>
      </c>
      <c r="D2297" s="7">
        <v>1.0</v>
      </c>
      <c r="E2297" s="7">
        <v>10.0</v>
      </c>
      <c r="F2297" s="7">
        <v>186.871155261993</v>
      </c>
      <c r="G2297" s="7">
        <v>410.498412847518</v>
      </c>
      <c r="H2297" s="7">
        <v>0.0</v>
      </c>
      <c r="I2297" s="15">
        <v>0.764397164075825</v>
      </c>
      <c r="J2297" s="15">
        <v>0.132589326338458</v>
      </c>
      <c r="K2297" s="12">
        <f>AVERAGE(I2297:I2301)</f>
        <v>0.5182405124</v>
      </c>
      <c r="L2297" s="18">
        <v>15637.0</v>
      </c>
      <c r="M2297" s="14">
        <f>STDEV(L2297:L2301)</f>
        <v>28172.72296</v>
      </c>
      <c r="N2297" s="15" t="b">
        <f t="shared" si="1"/>
        <v>0</v>
      </c>
    </row>
    <row r="2298" hidden="1">
      <c r="A2298" s="7" t="s">
        <v>467</v>
      </c>
      <c r="B2298" s="7" t="s">
        <v>268</v>
      </c>
      <c r="C2298" s="7">
        <v>0.75</v>
      </c>
      <c r="D2298" s="7">
        <v>1.0</v>
      </c>
      <c r="E2298" s="7">
        <v>10.0</v>
      </c>
      <c r="F2298" s="7">
        <v>186.871155261993</v>
      </c>
      <c r="G2298" s="7">
        <v>410.498412847518</v>
      </c>
      <c r="H2298" s="7">
        <v>1.0</v>
      </c>
      <c r="I2298" s="15">
        <v>0.771361926737336</v>
      </c>
      <c r="J2298" s="15">
        <v>0.120197474116921</v>
      </c>
      <c r="K2298" s="12">
        <f>AVERAGE(I2297:I2301)</f>
        <v>0.5182405124</v>
      </c>
      <c r="L2298" s="18">
        <v>15630.0</v>
      </c>
      <c r="M2298" s="14">
        <f>STDEV(L2297:L2301)</f>
        <v>28172.72296</v>
      </c>
      <c r="N2298" s="15" t="b">
        <f t="shared" si="1"/>
        <v>0</v>
      </c>
    </row>
    <row r="2299" hidden="1">
      <c r="A2299" s="7" t="s">
        <v>467</v>
      </c>
      <c r="B2299" s="7" t="s">
        <v>268</v>
      </c>
      <c r="C2299" s="7">
        <v>0.75</v>
      </c>
      <c r="D2299" s="7">
        <v>1.0</v>
      </c>
      <c r="E2299" s="7">
        <v>10.0</v>
      </c>
      <c r="F2299" s="7">
        <v>186.871155261993</v>
      </c>
      <c r="G2299" s="7">
        <v>410.498412847518</v>
      </c>
      <c r="H2299" s="7">
        <v>2.0</v>
      </c>
      <c r="I2299" s="15">
        <v>0.0334720789344491</v>
      </c>
      <c r="J2299" s="15">
        <v>0.0519363969603536</v>
      </c>
      <c r="K2299" s="12">
        <f>AVERAGE(I2297:I2301)</f>
        <v>0.5182405124</v>
      </c>
      <c r="L2299" s="18">
        <v>76405.0</v>
      </c>
      <c r="M2299" s="14">
        <f>STDEV(L2297:L2301)</f>
        <v>28172.72296</v>
      </c>
      <c r="N2299" s="15" t="b">
        <f t="shared" si="1"/>
        <v>0</v>
      </c>
    </row>
    <row r="2300" hidden="1">
      <c r="A2300" s="7" t="s">
        <v>467</v>
      </c>
      <c r="B2300" s="7" t="s">
        <v>268</v>
      </c>
      <c r="C2300" s="7">
        <v>0.75</v>
      </c>
      <c r="D2300" s="7">
        <v>1.0</v>
      </c>
      <c r="E2300" s="7">
        <v>10.0</v>
      </c>
      <c r="F2300" s="7">
        <v>186.871155261993</v>
      </c>
      <c r="G2300" s="7">
        <v>410.498412847518</v>
      </c>
      <c r="H2300" s="7">
        <v>3.0</v>
      </c>
      <c r="I2300" s="15">
        <v>0.864285237244627</v>
      </c>
      <c r="J2300" s="15">
        <v>0.0944091207164282</v>
      </c>
      <c r="K2300" s="12">
        <f>AVERAGE(I2297:I2301)</f>
        <v>0.5182405124</v>
      </c>
      <c r="L2300" s="18">
        <v>5074.0</v>
      </c>
      <c r="M2300" s="14">
        <f>STDEV(L2297:L2301)</f>
        <v>28172.72296</v>
      </c>
      <c r="N2300" s="15" t="b">
        <f t="shared" si="1"/>
        <v>0</v>
      </c>
    </row>
    <row r="2301" hidden="1">
      <c r="A2301" s="7" t="s">
        <v>467</v>
      </c>
      <c r="B2301" s="7" t="s">
        <v>268</v>
      </c>
      <c r="C2301" s="7">
        <v>0.75</v>
      </c>
      <c r="D2301" s="7">
        <v>1.0</v>
      </c>
      <c r="E2301" s="7">
        <v>10.0</v>
      </c>
      <c r="F2301" s="7">
        <v>186.871155261993</v>
      </c>
      <c r="G2301" s="7">
        <v>410.498412847518</v>
      </c>
      <c r="H2301" s="7">
        <v>4.0</v>
      </c>
      <c r="I2301" s="15">
        <v>0.157686155187285</v>
      </c>
      <c r="J2301" s="15">
        <v>0.156180602321291</v>
      </c>
      <c r="K2301" s="12">
        <f>AVERAGE(I2297:I2301)</f>
        <v>0.5182405124</v>
      </c>
      <c r="L2301" s="18">
        <v>28930.0</v>
      </c>
      <c r="M2301" s="14">
        <f>STDEV(L2297:L2301)</f>
        <v>28172.72296</v>
      </c>
      <c r="N2301" s="15" t="b">
        <f t="shared" si="1"/>
        <v>0</v>
      </c>
    </row>
    <row r="2302" hidden="1">
      <c r="A2302" s="7" t="s">
        <v>468</v>
      </c>
      <c r="B2302" s="7" t="s">
        <v>268</v>
      </c>
      <c r="C2302" s="7">
        <v>1.0</v>
      </c>
      <c r="D2302" s="7">
        <v>0.1</v>
      </c>
      <c r="E2302" s="7">
        <v>1.0</v>
      </c>
      <c r="F2302" s="7">
        <v>391.31891798973</v>
      </c>
      <c r="G2302" s="7">
        <v>559.173815488815</v>
      </c>
      <c r="H2302" s="7">
        <v>0.0</v>
      </c>
      <c r="I2302" s="15">
        <v>0.0473892694408508</v>
      </c>
      <c r="J2302" s="15">
        <v>0.0303832605300673</v>
      </c>
      <c r="K2302" s="12">
        <f>AVERAGE(I2302:I2306)</f>
        <v>0.5445861206</v>
      </c>
      <c r="L2302" s="18">
        <v>64607.0</v>
      </c>
      <c r="M2302" s="14">
        <f>STDEV(L2302:L2306)</f>
        <v>30234.52929</v>
      </c>
      <c r="N2302" s="15" t="b">
        <f t="shared" si="1"/>
        <v>0</v>
      </c>
    </row>
    <row r="2303" hidden="1">
      <c r="A2303" s="7" t="s">
        <v>468</v>
      </c>
      <c r="B2303" s="7" t="s">
        <v>268</v>
      </c>
      <c r="C2303" s="7">
        <v>1.0</v>
      </c>
      <c r="D2303" s="7">
        <v>0.1</v>
      </c>
      <c r="E2303" s="7">
        <v>1.0</v>
      </c>
      <c r="F2303" s="7">
        <v>391.31891798973</v>
      </c>
      <c r="G2303" s="7">
        <v>559.173815488815</v>
      </c>
      <c r="H2303" s="7">
        <v>1.0</v>
      </c>
      <c r="I2303" s="15">
        <v>0.193190409627888</v>
      </c>
      <c r="J2303" s="15">
        <v>0.205646874411579</v>
      </c>
      <c r="K2303" s="12">
        <f>AVERAGE(I2302:I2306)</f>
        <v>0.5445861206</v>
      </c>
      <c r="L2303" s="18">
        <v>57387.0</v>
      </c>
      <c r="M2303" s="14">
        <f>STDEV(L2302:L2306)</f>
        <v>30234.52929</v>
      </c>
      <c r="N2303" s="15" t="b">
        <f t="shared" si="1"/>
        <v>0</v>
      </c>
    </row>
    <row r="2304" hidden="1">
      <c r="A2304" s="7" t="s">
        <v>468</v>
      </c>
      <c r="B2304" s="7" t="s">
        <v>268</v>
      </c>
      <c r="C2304" s="7">
        <v>1.0</v>
      </c>
      <c r="D2304" s="7">
        <v>0.1</v>
      </c>
      <c r="E2304" s="7">
        <v>1.0</v>
      </c>
      <c r="F2304" s="7">
        <v>391.31891798973</v>
      </c>
      <c r="G2304" s="7">
        <v>559.173815488815</v>
      </c>
      <c r="H2304" s="7">
        <v>2.0</v>
      </c>
      <c r="I2304" s="15">
        <v>0.722445472572679</v>
      </c>
      <c r="J2304" s="15">
        <v>0.140838406866332</v>
      </c>
      <c r="K2304" s="12">
        <f>AVERAGE(I2302:I2306)</f>
        <v>0.5445861206</v>
      </c>
      <c r="L2304" s="18">
        <v>13502.0</v>
      </c>
      <c r="M2304" s="14">
        <f>STDEV(L2302:L2306)</f>
        <v>30234.52929</v>
      </c>
      <c r="N2304" s="15" t="b">
        <f t="shared" si="1"/>
        <v>0</v>
      </c>
    </row>
    <row r="2305" hidden="1">
      <c r="A2305" s="7" t="s">
        <v>468</v>
      </c>
      <c r="B2305" s="7" t="s">
        <v>268</v>
      </c>
      <c r="C2305" s="7">
        <v>1.0</v>
      </c>
      <c r="D2305" s="7">
        <v>0.1</v>
      </c>
      <c r="E2305" s="7">
        <v>1.0</v>
      </c>
      <c r="F2305" s="7">
        <v>391.31891798973</v>
      </c>
      <c r="G2305" s="7">
        <v>559.173815488815</v>
      </c>
      <c r="H2305" s="7">
        <v>3.0</v>
      </c>
      <c r="I2305" s="15">
        <v>0.912581402635254</v>
      </c>
      <c r="J2305" s="15">
        <v>0.0350290878064448</v>
      </c>
      <c r="K2305" s="12">
        <f>AVERAGE(I2302:I2306)</f>
        <v>0.5445861206</v>
      </c>
      <c r="L2305" s="18">
        <v>2043.0</v>
      </c>
      <c r="M2305" s="14">
        <f>STDEV(L2302:L2306)</f>
        <v>30234.52929</v>
      </c>
      <c r="N2305" s="15" t="b">
        <f t="shared" si="1"/>
        <v>0</v>
      </c>
    </row>
    <row r="2306" hidden="1">
      <c r="A2306" s="7" t="s">
        <v>468</v>
      </c>
      <c r="B2306" s="7" t="s">
        <v>268</v>
      </c>
      <c r="C2306" s="7">
        <v>1.0</v>
      </c>
      <c r="D2306" s="7">
        <v>0.1</v>
      </c>
      <c r="E2306" s="7">
        <v>1.0</v>
      </c>
      <c r="F2306" s="7">
        <v>391.31891798973</v>
      </c>
      <c r="G2306" s="7">
        <v>559.173815488815</v>
      </c>
      <c r="H2306" s="7">
        <v>4.0</v>
      </c>
      <c r="I2306" s="15">
        <v>0.847324048700082</v>
      </c>
      <c r="J2306" s="15">
        <v>0.0913577945370703</v>
      </c>
      <c r="K2306" s="12">
        <f>AVERAGE(I2302:I2306)</f>
        <v>0.5445861206</v>
      </c>
      <c r="L2306" s="18">
        <v>4137.0</v>
      </c>
      <c r="M2306" s="14">
        <f>STDEV(L2302:L2306)</f>
        <v>30234.52929</v>
      </c>
      <c r="N2306" s="15" t="b">
        <f t="shared" si="1"/>
        <v>0</v>
      </c>
    </row>
    <row r="2307" hidden="1">
      <c r="A2307" s="7" t="s">
        <v>469</v>
      </c>
      <c r="B2307" s="7" t="s">
        <v>268</v>
      </c>
      <c r="C2307" s="7">
        <v>1.0</v>
      </c>
      <c r="D2307" s="7">
        <v>0.1</v>
      </c>
      <c r="E2307" s="7">
        <v>2.0</v>
      </c>
      <c r="F2307" s="7">
        <v>189.886852025985</v>
      </c>
      <c r="G2307" s="7">
        <v>452.244000673294</v>
      </c>
      <c r="H2307" s="7">
        <v>0.0</v>
      </c>
      <c r="I2307" s="15">
        <v>0.765562846535608</v>
      </c>
      <c r="J2307" s="15">
        <v>0.135031470996052</v>
      </c>
      <c r="K2307" s="12">
        <f>AVERAGE(I2307:I2311)</f>
        <v>0.626039223</v>
      </c>
      <c r="L2307" s="18">
        <v>15472.0</v>
      </c>
      <c r="M2307" s="14">
        <f>STDEV(L2307:L2311)</f>
        <v>35004.89063</v>
      </c>
      <c r="N2307" s="15" t="b">
        <f t="shared" si="1"/>
        <v>0</v>
      </c>
    </row>
    <row r="2308" hidden="1">
      <c r="A2308" s="7" t="s">
        <v>469</v>
      </c>
      <c r="B2308" s="7" t="s">
        <v>268</v>
      </c>
      <c r="C2308" s="7">
        <v>1.0</v>
      </c>
      <c r="D2308" s="7">
        <v>0.1</v>
      </c>
      <c r="E2308" s="7">
        <v>2.0</v>
      </c>
      <c r="F2308" s="7">
        <v>189.886852025985</v>
      </c>
      <c r="G2308" s="7">
        <v>452.244000673294</v>
      </c>
      <c r="H2308" s="7">
        <v>1.0</v>
      </c>
      <c r="I2308" s="15">
        <v>0.715744862686665</v>
      </c>
      <c r="J2308" s="15">
        <v>0.154498995531401</v>
      </c>
      <c r="K2308" s="12">
        <f>AVERAGE(I2307:I2311)</f>
        <v>0.626039223</v>
      </c>
      <c r="L2308" s="18">
        <v>13504.0</v>
      </c>
      <c r="M2308" s="14">
        <f>STDEV(L2307:L2311)</f>
        <v>35004.89063</v>
      </c>
      <c r="N2308" s="15" t="b">
        <f t="shared" si="1"/>
        <v>0</v>
      </c>
    </row>
    <row r="2309" hidden="1">
      <c r="A2309" s="7" t="s">
        <v>469</v>
      </c>
      <c r="B2309" s="7" t="s">
        <v>268</v>
      </c>
      <c r="C2309" s="7">
        <v>1.0</v>
      </c>
      <c r="D2309" s="7">
        <v>0.1</v>
      </c>
      <c r="E2309" s="7">
        <v>2.0</v>
      </c>
      <c r="F2309" s="7">
        <v>189.886852025985</v>
      </c>
      <c r="G2309" s="7">
        <v>452.244000673294</v>
      </c>
      <c r="H2309" s="7">
        <v>2.0</v>
      </c>
      <c r="I2309" s="15">
        <v>0.0559507106461889</v>
      </c>
      <c r="J2309" s="15">
        <v>0.0816770443840792</v>
      </c>
      <c r="K2309" s="12">
        <f>AVERAGE(I2307:I2311)</f>
        <v>0.626039223</v>
      </c>
      <c r="L2309" s="18">
        <v>90596.0</v>
      </c>
      <c r="M2309" s="14">
        <f>STDEV(L2307:L2311)</f>
        <v>35004.89063</v>
      </c>
      <c r="N2309" s="15" t="b">
        <f t="shared" si="1"/>
        <v>0</v>
      </c>
    </row>
    <row r="2310" hidden="1">
      <c r="A2310" s="7" t="s">
        <v>469</v>
      </c>
      <c r="B2310" s="7" t="s">
        <v>268</v>
      </c>
      <c r="C2310" s="7">
        <v>1.0</v>
      </c>
      <c r="D2310" s="7">
        <v>0.1</v>
      </c>
      <c r="E2310" s="7">
        <v>2.0</v>
      </c>
      <c r="F2310" s="7">
        <v>189.886852025985</v>
      </c>
      <c r="G2310" s="7">
        <v>452.244000673294</v>
      </c>
      <c r="H2310" s="7">
        <v>3.0</v>
      </c>
      <c r="I2310" s="15">
        <v>0.771371449866964</v>
      </c>
      <c r="J2310" s="15">
        <v>0.120220349661744</v>
      </c>
      <c r="K2310" s="12">
        <f>AVERAGE(I2307:I2311)</f>
        <v>0.626039223</v>
      </c>
      <c r="L2310" s="18">
        <v>15641.0</v>
      </c>
      <c r="M2310" s="14">
        <f>STDEV(L2307:L2311)</f>
        <v>35004.89063</v>
      </c>
      <c r="N2310" s="15" t="b">
        <f t="shared" si="1"/>
        <v>0</v>
      </c>
    </row>
    <row r="2311" hidden="1">
      <c r="A2311" s="7" t="s">
        <v>469</v>
      </c>
      <c r="B2311" s="7" t="s">
        <v>268</v>
      </c>
      <c r="C2311" s="7">
        <v>1.0</v>
      </c>
      <c r="D2311" s="7">
        <v>0.1</v>
      </c>
      <c r="E2311" s="7">
        <v>2.0</v>
      </c>
      <c r="F2311" s="7">
        <v>189.886852025985</v>
      </c>
      <c r="G2311" s="7">
        <v>452.244000673294</v>
      </c>
      <c r="H2311" s="7">
        <v>4.0</v>
      </c>
      <c r="I2311" s="15">
        <v>0.821566245273337</v>
      </c>
      <c r="J2311" s="15">
        <v>0.103596403869088</v>
      </c>
      <c r="K2311" s="12">
        <f>AVERAGE(I2307:I2311)</f>
        <v>0.626039223</v>
      </c>
      <c r="L2311" s="18">
        <v>6463.0</v>
      </c>
      <c r="M2311" s="14">
        <f>STDEV(L2307:L2311)</f>
        <v>35004.89063</v>
      </c>
      <c r="N2311" s="15" t="b">
        <f t="shared" si="1"/>
        <v>0</v>
      </c>
    </row>
    <row r="2312" hidden="1">
      <c r="A2312" s="7" t="s">
        <v>470</v>
      </c>
      <c r="B2312" s="7" t="s">
        <v>268</v>
      </c>
      <c r="C2312" s="7">
        <v>1.0</v>
      </c>
      <c r="D2312" s="7">
        <v>0.1</v>
      </c>
      <c r="E2312" s="7">
        <v>3.0</v>
      </c>
      <c r="F2312" s="7">
        <v>233.882637262344</v>
      </c>
      <c r="G2312" s="7">
        <v>554.830485582351</v>
      </c>
      <c r="H2312" s="7">
        <v>0.0</v>
      </c>
      <c r="I2312" s="15">
        <v>0.771712080111987</v>
      </c>
      <c r="J2312" s="15">
        <v>0.119747721660229</v>
      </c>
      <c r="K2312" s="12">
        <f>AVERAGE(I2312:I2316)</f>
        <v>0.5476611489</v>
      </c>
      <c r="L2312" s="18">
        <v>15604.0</v>
      </c>
      <c r="M2312" s="14">
        <f>STDEV(L2312:L2316)</f>
        <v>30570.33812</v>
      </c>
      <c r="N2312" s="15" t="b">
        <f t="shared" si="1"/>
        <v>0</v>
      </c>
    </row>
    <row r="2313" hidden="1">
      <c r="A2313" s="7" t="s">
        <v>470</v>
      </c>
      <c r="B2313" s="7" t="s">
        <v>268</v>
      </c>
      <c r="C2313" s="7">
        <v>1.0</v>
      </c>
      <c r="D2313" s="7">
        <v>0.1</v>
      </c>
      <c r="E2313" s="7">
        <v>3.0</v>
      </c>
      <c r="F2313" s="7">
        <v>233.882637262344</v>
      </c>
      <c r="G2313" s="7">
        <v>554.830485582351</v>
      </c>
      <c r="H2313" s="7">
        <v>1.0</v>
      </c>
      <c r="I2313" s="15">
        <v>0.0758929776295508</v>
      </c>
      <c r="J2313" s="15">
        <v>0.0656508666310186</v>
      </c>
      <c r="K2313" s="12">
        <f>AVERAGE(I2312:I2316)</f>
        <v>0.5476611489</v>
      </c>
      <c r="L2313" s="18">
        <v>80408.0</v>
      </c>
      <c r="M2313" s="14">
        <f>STDEV(L2312:L2316)</f>
        <v>30570.33812</v>
      </c>
      <c r="N2313" s="15" t="b">
        <f t="shared" si="1"/>
        <v>0</v>
      </c>
    </row>
    <row r="2314" hidden="1">
      <c r="A2314" s="7" t="s">
        <v>470</v>
      </c>
      <c r="B2314" s="7" t="s">
        <v>268</v>
      </c>
      <c r="C2314" s="7">
        <v>1.0</v>
      </c>
      <c r="D2314" s="7">
        <v>0.1</v>
      </c>
      <c r="E2314" s="7">
        <v>3.0</v>
      </c>
      <c r="F2314" s="7">
        <v>233.882637262344</v>
      </c>
      <c r="G2314" s="7">
        <v>554.830485582351</v>
      </c>
      <c r="H2314" s="7">
        <v>2.0</v>
      </c>
      <c r="I2314" s="15">
        <v>0.750891132075247</v>
      </c>
      <c r="J2314" s="15">
        <v>0.137249026277398</v>
      </c>
      <c r="K2314" s="12">
        <f>AVERAGE(I2312:I2316)</f>
        <v>0.5476611489</v>
      </c>
      <c r="L2314" s="18">
        <v>7567.0</v>
      </c>
      <c r="M2314" s="14">
        <f>STDEV(L2312:L2316)</f>
        <v>30570.33812</v>
      </c>
      <c r="N2314" s="15" t="b">
        <f t="shared" si="1"/>
        <v>0</v>
      </c>
    </row>
    <row r="2315" hidden="1">
      <c r="A2315" s="7" t="s">
        <v>470</v>
      </c>
      <c r="B2315" s="7" t="s">
        <v>268</v>
      </c>
      <c r="C2315" s="7">
        <v>1.0</v>
      </c>
      <c r="D2315" s="7">
        <v>0.1</v>
      </c>
      <c r="E2315" s="7">
        <v>3.0</v>
      </c>
      <c r="F2315" s="7">
        <v>233.882637262344</v>
      </c>
      <c r="G2315" s="7">
        <v>554.830485582351</v>
      </c>
      <c r="H2315" s="7">
        <v>3.0</v>
      </c>
      <c r="I2315" s="15">
        <v>0.370201991530382</v>
      </c>
      <c r="J2315" s="15">
        <v>0.212053754865764</v>
      </c>
      <c r="K2315" s="12">
        <f>AVERAGE(I2312:I2316)</f>
        <v>0.5476611489</v>
      </c>
      <c r="L2315" s="18">
        <v>30466.0</v>
      </c>
      <c r="M2315" s="14">
        <f>STDEV(L2312:L2316)</f>
        <v>30570.33812</v>
      </c>
      <c r="N2315" s="15" t="b">
        <f t="shared" si="1"/>
        <v>0</v>
      </c>
    </row>
    <row r="2316" hidden="1">
      <c r="A2316" s="7" t="s">
        <v>470</v>
      </c>
      <c r="B2316" s="7" t="s">
        <v>268</v>
      </c>
      <c r="C2316" s="7">
        <v>1.0</v>
      </c>
      <c r="D2316" s="7">
        <v>0.1</v>
      </c>
      <c r="E2316" s="7">
        <v>3.0</v>
      </c>
      <c r="F2316" s="7">
        <v>233.882637262344</v>
      </c>
      <c r="G2316" s="7">
        <v>554.830485582351</v>
      </c>
      <c r="H2316" s="7">
        <v>4.0</v>
      </c>
      <c r="I2316" s="15">
        <v>0.769607563389803</v>
      </c>
      <c r="J2316" s="15">
        <v>0.132899181105933</v>
      </c>
      <c r="K2316" s="12">
        <f>AVERAGE(I2312:I2316)</f>
        <v>0.5476611489</v>
      </c>
      <c r="L2316" s="18">
        <v>7631.0</v>
      </c>
      <c r="M2316" s="14">
        <f>STDEV(L2312:L2316)</f>
        <v>30570.33812</v>
      </c>
      <c r="N2316" s="15" t="b">
        <f t="shared" si="1"/>
        <v>0</v>
      </c>
    </row>
    <row r="2317" hidden="1">
      <c r="A2317" s="7" t="s">
        <v>471</v>
      </c>
      <c r="B2317" s="21" t="s">
        <v>268</v>
      </c>
      <c r="C2317" s="21">
        <v>1.0</v>
      </c>
      <c r="D2317" s="21">
        <v>0.1</v>
      </c>
      <c r="E2317" s="21">
        <v>4.0</v>
      </c>
      <c r="F2317" s="7">
        <v>205.466388225555</v>
      </c>
      <c r="G2317" s="7">
        <v>513.108160734176</v>
      </c>
      <c r="H2317" s="7">
        <v>0.0</v>
      </c>
      <c r="I2317" s="15">
        <v>0.834127585642448</v>
      </c>
      <c r="J2317" s="15">
        <v>0.0946348666869829</v>
      </c>
      <c r="K2317" s="12">
        <f>AVERAGE(I2317:I2321)</f>
        <v>0.6544649516</v>
      </c>
      <c r="L2317" s="18">
        <v>7264.0</v>
      </c>
      <c r="M2317" s="14">
        <f>STDEV(L2317:L2321)</f>
        <v>43906.81948</v>
      </c>
      <c r="N2317" s="15" t="b">
        <f t="shared" si="1"/>
        <v>1</v>
      </c>
    </row>
    <row r="2318" hidden="1">
      <c r="A2318" s="7" t="s">
        <v>471</v>
      </c>
      <c r="B2318" s="21" t="s">
        <v>268</v>
      </c>
      <c r="C2318" s="21">
        <v>1.0</v>
      </c>
      <c r="D2318" s="21">
        <v>0.1</v>
      </c>
      <c r="E2318" s="21">
        <v>4.0</v>
      </c>
      <c r="F2318" s="7">
        <v>205.466388225555</v>
      </c>
      <c r="G2318" s="7">
        <v>513.108160734176</v>
      </c>
      <c r="H2318" s="7">
        <v>1.0</v>
      </c>
      <c r="I2318" s="15">
        <v>0.068808157035982</v>
      </c>
      <c r="J2318" s="15">
        <v>0.0709250363301191</v>
      </c>
      <c r="K2318" s="12">
        <f>AVERAGE(I2317:I2321)</f>
        <v>0.6544649516</v>
      </c>
      <c r="L2318" s="18">
        <v>106528.0</v>
      </c>
      <c r="M2318" s="14">
        <f>STDEV(L2317:L2321)</f>
        <v>43906.81948</v>
      </c>
      <c r="N2318" s="15" t="b">
        <f t="shared" si="1"/>
        <v>1</v>
      </c>
    </row>
    <row r="2319" hidden="1">
      <c r="A2319" s="7" t="s">
        <v>471</v>
      </c>
      <c r="B2319" s="21" t="s">
        <v>268</v>
      </c>
      <c r="C2319" s="21">
        <v>1.0</v>
      </c>
      <c r="D2319" s="21">
        <v>0.1</v>
      </c>
      <c r="E2319" s="21">
        <v>4.0</v>
      </c>
      <c r="F2319" s="7">
        <v>205.466388225555</v>
      </c>
      <c r="G2319" s="7">
        <v>513.108160734176</v>
      </c>
      <c r="H2319" s="7">
        <v>2.0</v>
      </c>
      <c r="I2319" s="15">
        <v>0.772530353442133</v>
      </c>
      <c r="J2319" s="15">
        <v>0.120786515102372</v>
      </c>
      <c r="K2319" s="12">
        <f>AVERAGE(I2317:I2321)</f>
        <v>0.6544649516</v>
      </c>
      <c r="L2319" s="18">
        <v>15663.0</v>
      </c>
      <c r="M2319" s="14">
        <f>STDEV(L2317:L2321)</f>
        <v>43906.81948</v>
      </c>
      <c r="N2319" s="15" t="b">
        <f t="shared" si="1"/>
        <v>1</v>
      </c>
    </row>
    <row r="2320" hidden="1">
      <c r="A2320" s="7" t="s">
        <v>471</v>
      </c>
      <c r="B2320" s="21" t="s">
        <v>268</v>
      </c>
      <c r="C2320" s="21">
        <v>1.0</v>
      </c>
      <c r="D2320" s="21">
        <v>0.1</v>
      </c>
      <c r="E2320" s="21">
        <v>4.0</v>
      </c>
      <c r="F2320" s="7">
        <v>205.466388225555</v>
      </c>
      <c r="G2320" s="7">
        <v>513.108160734176</v>
      </c>
      <c r="H2320" s="7">
        <v>3.0</v>
      </c>
      <c r="I2320" s="15">
        <v>0.769357903322556</v>
      </c>
      <c r="J2320" s="15">
        <v>0.133161405311335</v>
      </c>
      <c r="K2320" s="12">
        <f>AVERAGE(I2317:I2321)</f>
        <v>0.6544649516</v>
      </c>
      <c r="L2320" s="18">
        <v>7638.0</v>
      </c>
      <c r="M2320" s="14">
        <f>STDEV(L2317:L2321)</f>
        <v>43906.81948</v>
      </c>
      <c r="N2320" s="15" t="b">
        <f t="shared" si="1"/>
        <v>1</v>
      </c>
    </row>
    <row r="2321" hidden="1">
      <c r="A2321" s="7" t="s">
        <v>471</v>
      </c>
      <c r="B2321" s="21" t="s">
        <v>268</v>
      </c>
      <c r="C2321" s="21">
        <v>1.0</v>
      </c>
      <c r="D2321" s="21">
        <v>0.1</v>
      </c>
      <c r="E2321" s="21">
        <v>4.0</v>
      </c>
      <c r="F2321" s="7">
        <v>205.466388225555</v>
      </c>
      <c r="G2321" s="7">
        <v>513.108160734176</v>
      </c>
      <c r="H2321" s="7">
        <v>4.0</v>
      </c>
      <c r="I2321" s="15">
        <v>0.827500758799252</v>
      </c>
      <c r="J2321" s="15">
        <v>0.0914944674893548</v>
      </c>
      <c r="K2321" s="12">
        <f>AVERAGE(I2317:I2321)</f>
        <v>0.6544649516</v>
      </c>
      <c r="L2321" s="18">
        <v>4583.0</v>
      </c>
      <c r="M2321" s="14">
        <f>STDEV(L2317:L2321)</f>
        <v>43906.81948</v>
      </c>
      <c r="N2321" s="15" t="b">
        <f t="shared" si="1"/>
        <v>1</v>
      </c>
    </row>
    <row r="2322" hidden="1">
      <c r="A2322" s="7" t="s">
        <v>472</v>
      </c>
      <c r="B2322" s="7" t="s">
        <v>268</v>
      </c>
      <c r="C2322" s="7">
        <v>1.0</v>
      </c>
      <c r="D2322" s="7">
        <v>0.1</v>
      </c>
      <c r="E2322" s="7">
        <v>5.0</v>
      </c>
      <c r="F2322" s="7">
        <v>265.794394016265</v>
      </c>
      <c r="G2322" s="7">
        <v>461.014479875564</v>
      </c>
      <c r="H2322" s="7">
        <v>0.0</v>
      </c>
      <c r="I2322" s="15">
        <v>0.296555131326955</v>
      </c>
      <c r="J2322" s="15">
        <v>0.188204114981693</v>
      </c>
      <c r="K2322" s="12">
        <f>AVERAGE(I2322:I2326)</f>
        <v>0.4780393555</v>
      </c>
      <c r="L2322" s="18">
        <v>42107.0</v>
      </c>
      <c r="M2322" s="14">
        <f>STDEV(L2322:L2326)</f>
        <v>37621.53432</v>
      </c>
      <c r="N2322" s="15" t="b">
        <f t="shared" si="1"/>
        <v>0</v>
      </c>
    </row>
    <row r="2323" hidden="1">
      <c r="A2323" s="7" t="s">
        <v>472</v>
      </c>
      <c r="B2323" s="7" t="s">
        <v>268</v>
      </c>
      <c r="C2323" s="7">
        <v>1.0</v>
      </c>
      <c r="D2323" s="7">
        <v>0.1</v>
      </c>
      <c r="E2323" s="7">
        <v>5.0</v>
      </c>
      <c r="F2323" s="7">
        <v>265.794394016265</v>
      </c>
      <c r="G2323" s="7">
        <v>461.014479875564</v>
      </c>
      <c r="H2323" s="7">
        <v>1.0</v>
      </c>
      <c r="I2323" s="15">
        <v>0.884181096537022</v>
      </c>
      <c r="J2323" s="15">
        <v>0.118679429931643</v>
      </c>
      <c r="K2323" s="12">
        <f>AVERAGE(I2322:I2326)</f>
        <v>0.4780393555</v>
      </c>
      <c r="L2323" s="18">
        <v>2354.0</v>
      </c>
      <c r="M2323" s="14">
        <f>STDEV(L2322:L2326)</f>
        <v>37621.53432</v>
      </c>
      <c r="N2323" s="15" t="b">
        <f t="shared" si="1"/>
        <v>0</v>
      </c>
    </row>
    <row r="2324" hidden="1">
      <c r="A2324" s="7" t="s">
        <v>472</v>
      </c>
      <c r="B2324" s="7" t="s">
        <v>268</v>
      </c>
      <c r="C2324" s="7">
        <v>1.0</v>
      </c>
      <c r="D2324" s="7">
        <v>0.1</v>
      </c>
      <c r="E2324" s="7">
        <v>5.0</v>
      </c>
      <c r="F2324" s="7">
        <v>265.794394016265</v>
      </c>
      <c r="G2324" s="7">
        <v>461.014479875564</v>
      </c>
      <c r="H2324" s="7">
        <v>2.0</v>
      </c>
      <c r="I2324" s="15">
        <v>0.296570335255046</v>
      </c>
      <c r="J2324" s="15">
        <v>0.119277681213066</v>
      </c>
      <c r="K2324" s="12">
        <f>AVERAGE(I2322:I2326)</f>
        <v>0.4780393555</v>
      </c>
      <c r="L2324" s="18">
        <v>8408.0</v>
      </c>
      <c r="M2324" s="14">
        <f>STDEV(L2322:L2326)</f>
        <v>37621.53432</v>
      </c>
      <c r="N2324" s="15" t="b">
        <f t="shared" si="1"/>
        <v>0</v>
      </c>
    </row>
    <row r="2325" hidden="1">
      <c r="A2325" s="7" t="s">
        <v>472</v>
      </c>
      <c r="B2325" s="7" t="s">
        <v>268</v>
      </c>
      <c r="C2325" s="7">
        <v>1.0</v>
      </c>
      <c r="D2325" s="7">
        <v>0.1</v>
      </c>
      <c r="E2325" s="7">
        <v>5.0</v>
      </c>
      <c r="F2325" s="7">
        <v>265.794394016265</v>
      </c>
      <c r="G2325" s="7">
        <v>461.014479875564</v>
      </c>
      <c r="H2325" s="7">
        <v>3.0</v>
      </c>
      <c r="I2325" s="15">
        <v>0.848720408122794</v>
      </c>
      <c r="J2325" s="15">
        <v>0.0955534611389203</v>
      </c>
      <c r="K2325" s="12">
        <f>AVERAGE(I2322:I2326)</f>
        <v>0.4780393555</v>
      </c>
      <c r="L2325" s="18">
        <v>339.0</v>
      </c>
      <c r="M2325" s="14">
        <f>STDEV(L2322:L2326)</f>
        <v>37621.53432</v>
      </c>
      <c r="N2325" s="15" t="b">
        <f t="shared" si="1"/>
        <v>0</v>
      </c>
    </row>
    <row r="2326" hidden="1">
      <c r="A2326" s="7" t="s">
        <v>472</v>
      </c>
      <c r="B2326" s="7" t="s">
        <v>268</v>
      </c>
      <c r="C2326" s="7">
        <v>1.0</v>
      </c>
      <c r="D2326" s="7">
        <v>0.1</v>
      </c>
      <c r="E2326" s="7">
        <v>5.0</v>
      </c>
      <c r="F2326" s="7">
        <v>265.794394016265</v>
      </c>
      <c r="G2326" s="7">
        <v>461.014479875564</v>
      </c>
      <c r="H2326" s="7">
        <v>4.0</v>
      </c>
      <c r="I2326" s="15">
        <v>0.0641698061048991</v>
      </c>
      <c r="J2326" s="15">
        <v>0.0440095812807663</v>
      </c>
      <c r="K2326" s="12">
        <f>AVERAGE(I2322:I2326)</f>
        <v>0.4780393555</v>
      </c>
      <c r="L2326" s="18">
        <v>88468.0</v>
      </c>
      <c r="M2326" s="14">
        <f>STDEV(L2322:L2326)</f>
        <v>37621.53432</v>
      </c>
      <c r="N2326" s="15" t="b">
        <f t="shared" si="1"/>
        <v>0</v>
      </c>
    </row>
    <row r="2327" hidden="1">
      <c r="A2327" s="7" t="s">
        <v>473</v>
      </c>
      <c r="B2327" s="7" t="s">
        <v>268</v>
      </c>
      <c r="C2327" s="7">
        <v>1.0</v>
      </c>
      <c r="D2327" s="7">
        <v>0.1</v>
      </c>
      <c r="E2327" s="7">
        <v>6.0</v>
      </c>
      <c r="F2327" s="7">
        <v>204.859850645065</v>
      </c>
      <c r="G2327" s="7">
        <v>441.99712729454</v>
      </c>
      <c r="H2327" s="7">
        <v>0.0</v>
      </c>
      <c r="I2327" s="15">
        <v>0.056452910338898</v>
      </c>
      <c r="J2327" s="15">
        <v>0.076828713277834</v>
      </c>
      <c r="K2327" s="12">
        <f>AVERAGE(I2327:I2331)</f>
        <v>0.6476574335</v>
      </c>
      <c r="L2327" s="18">
        <v>97586.0</v>
      </c>
      <c r="M2327" s="14">
        <f>STDEV(L2327:L2331)</f>
        <v>38989.2673</v>
      </c>
      <c r="N2327" s="15" t="b">
        <f t="shared" si="1"/>
        <v>0</v>
      </c>
    </row>
    <row r="2328" hidden="1">
      <c r="A2328" s="7" t="s">
        <v>473</v>
      </c>
      <c r="B2328" s="7" t="s">
        <v>268</v>
      </c>
      <c r="C2328" s="7">
        <v>1.0</v>
      </c>
      <c r="D2328" s="7">
        <v>0.1</v>
      </c>
      <c r="E2328" s="7">
        <v>6.0</v>
      </c>
      <c r="F2328" s="7">
        <v>204.859850645065</v>
      </c>
      <c r="G2328" s="7">
        <v>441.99712729454</v>
      </c>
      <c r="H2328" s="7">
        <v>1.0</v>
      </c>
      <c r="I2328" s="15">
        <v>0.763442308231994</v>
      </c>
      <c r="J2328" s="15">
        <v>0.132976765553185</v>
      </c>
      <c r="K2328" s="12">
        <f>AVERAGE(I2327:I2331)</f>
        <v>0.6476574335</v>
      </c>
      <c r="L2328" s="18">
        <v>15682.0</v>
      </c>
      <c r="M2328" s="14">
        <f>STDEV(L2327:L2331)</f>
        <v>38989.2673</v>
      </c>
      <c r="N2328" s="15" t="b">
        <f t="shared" si="1"/>
        <v>0</v>
      </c>
    </row>
    <row r="2329" hidden="1">
      <c r="A2329" s="7" t="s">
        <v>473</v>
      </c>
      <c r="B2329" s="7" t="s">
        <v>268</v>
      </c>
      <c r="C2329" s="7">
        <v>1.0</v>
      </c>
      <c r="D2329" s="7">
        <v>0.1</v>
      </c>
      <c r="E2329" s="7">
        <v>6.0</v>
      </c>
      <c r="F2329" s="7">
        <v>204.859850645065</v>
      </c>
      <c r="G2329" s="7">
        <v>441.99712729454</v>
      </c>
      <c r="H2329" s="7">
        <v>2.0</v>
      </c>
      <c r="I2329" s="15">
        <v>0.832970922538881</v>
      </c>
      <c r="J2329" s="15">
        <v>0.0955335153375207</v>
      </c>
      <c r="K2329" s="12">
        <f>AVERAGE(I2327:I2331)</f>
        <v>0.6476574335</v>
      </c>
      <c r="L2329" s="18">
        <v>7269.0</v>
      </c>
      <c r="M2329" s="14">
        <f>STDEV(L2327:L2331)</f>
        <v>38989.2673</v>
      </c>
      <c r="N2329" s="15" t="b">
        <f t="shared" si="1"/>
        <v>0</v>
      </c>
    </row>
    <row r="2330" hidden="1">
      <c r="A2330" s="7" t="s">
        <v>473</v>
      </c>
      <c r="B2330" s="7" t="s">
        <v>268</v>
      </c>
      <c r="C2330" s="7">
        <v>1.0</v>
      </c>
      <c r="D2330" s="7">
        <v>0.1</v>
      </c>
      <c r="E2330" s="7">
        <v>6.0</v>
      </c>
      <c r="F2330" s="7">
        <v>204.859850645065</v>
      </c>
      <c r="G2330" s="7">
        <v>441.99712729454</v>
      </c>
      <c r="H2330" s="7">
        <v>3.0</v>
      </c>
      <c r="I2330" s="15">
        <v>0.773047917557162</v>
      </c>
      <c r="J2330" s="15">
        <v>0.12174066200494</v>
      </c>
      <c r="K2330" s="12">
        <f>AVERAGE(I2327:I2331)</f>
        <v>0.6476574335</v>
      </c>
      <c r="L2330" s="18">
        <v>15562.0</v>
      </c>
      <c r="M2330" s="14">
        <f>STDEV(L2327:L2331)</f>
        <v>38989.2673</v>
      </c>
      <c r="N2330" s="15" t="b">
        <f t="shared" si="1"/>
        <v>0</v>
      </c>
    </row>
    <row r="2331" hidden="1">
      <c r="A2331" s="7" t="s">
        <v>473</v>
      </c>
      <c r="B2331" s="7" t="s">
        <v>268</v>
      </c>
      <c r="C2331" s="7">
        <v>1.0</v>
      </c>
      <c r="D2331" s="7">
        <v>0.1</v>
      </c>
      <c r="E2331" s="7">
        <v>6.0</v>
      </c>
      <c r="F2331" s="7">
        <v>204.859850645065</v>
      </c>
      <c r="G2331" s="7">
        <v>441.99712729454</v>
      </c>
      <c r="H2331" s="7">
        <v>4.0</v>
      </c>
      <c r="I2331" s="15">
        <v>0.812373108634527</v>
      </c>
      <c r="J2331" s="15">
        <v>0.122422063428866</v>
      </c>
      <c r="K2331" s="12">
        <f>AVERAGE(I2327:I2331)</f>
        <v>0.6476574335</v>
      </c>
      <c r="L2331" s="18">
        <v>5577.0</v>
      </c>
      <c r="M2331" s="14">
        <f>STDEV(L2327:L2331)</f>
        <v>38989.2673</v>
      </c>
      <c r="N2331" s="15" t="b">
        <f t="shared" si="1"/>
        <v>0</v>
      </c>
    </row>
    <row r="2332" hidden="1">
      <c r="A2332" s="7" t="s">
        <v>474</v>
      </c>
      <c r="B2332" s="7" t="s">
        <v>268</v>
      </c>
      <c r="C2332" s="7">
        <v>1.0</v>
      </c>
      <c r="D2332" s="7">
        <v>0.1</v>
      </c>
      <c r="E2332" s="7">
        <v>7.0</v>
      </c>
      <c r="F2332" s="7">
        <v>205.993121147155</v>
      </c>
      <c r="G2332" s="7">
        <v>417.373759269714</v>
      </c>
      <c r="H2332" s="7">
        <v>0.0</v>
      </c>
      <c r="I2332" s="15">
        <v>0.0358745509777047</v>
      </c>
      <c r="J2332" s="15">
        <v>0.147078904314318</v>
      </c>
      <c r="K2332" s="12">
        <f>AVERAGE(I2332:I2336)</f>
        <v>0.6471463438</v>
      </c>
      <c r="L2332" s="18">
        <v>100726.0</v>
      </c>
      <c r="M2332" s="14">
        <f>STDEV(L2332:L2336)</f>
        <v>40826.99799</v>
      </c>
      <c r="N2332" s="15" t="b">
        <f t="shared" si="1"/>
        <v>0</v>
      </c>
    </row>
    <row r="2333" hidden="1">
      <c r="A2333" s="7" t="s">
        <v>474</v>
      </c>
      <c r="B2333" s="7" t="s">
        <v>268</v>
      </c>
      <c r="C2333" s="7">
        <v>1.0</v>
      </c>
      <c r="D2333" s="7">
        <v>0.1</v>
      </c>
      <c r="E2333" s="7">
        <v>7.0</v>
      </c>
      <c r="F2333" s="7">
        <v>205.993121147155</v>
      </c>
      <c r="G2333" s="7">
        <v>417.373759269714</v>
      </c>
      <c r="H2333" s="7">
        <v>1.0</v>
      </c>
      <c r="I2333" s="15">
        <v>0.85058602633929</v>
      </c>
      <c r="J2333" s="15">
        <v>0.090724533139302</v>
      </c>
      <c r="K2333" s="12">
        <f>AVERAGE(I2332:I2336)</f>
        <v>0.6471463438</v>
      </c>
      <c r="L2333" s="18">
        <v>4137.0</v>
      </c>
      <c r="M2333" s="14">
        <f>STDEV(L2332:L2336)</f>
        <v>40826.99799</v>
      </c>
      <c r="N2333" s="15" t="b">
        <f t="shared" si="1"/>
        <v>0</v>
      </c>
    </row>
    <row r="2334" hidden="1">
      <c r="A2334" s="7" t="s">
        <v>474</v>
      </c>
      <c r="B2334" s="7" t="s">
        <v>268</v>
      </c>
      <c r="C2334" s="7">
        <v>1.0</v>
      </c>
      <c r="D2334" s="7">
        <v>0.1</v>
      </c>
      <c r="E2334" s="7">
        <v>7.0</v>
      </c>
      <c r="F2334" s="7">
        <v>205.993121147155</v>
      </c>
      <c r="G2334" s="7">
        <v>417.373759269714</v>
      </c>
      <c r="H2334" s="7">
        <v>2.0</v>
      </c>
      <c r="I2334" s="15">
        <v>0.763991577445707</v>
      </c>
      <c r="J2334" s="15">
        <v>0.132512123176173</v>
      </c>
      <c r="K2334" s="12">
        <f>AVERAGE(I2332:I2336)</f>
        <v>0.6471463438</v>
      </c>
      <c r="L2334" s="18">
        <v>15664.0</v>
      </c>
      <c r="M2334" s="14">
        <f>STDEV(L2332:L2336)</f>
        <v>40826.99799</v>
      </c>
      <c r="N2334" s="15" t="b">
        <f t="shared" si="1"/>
        <v>0</v>
      </c>
    </row>
    <row r="2335" hidden="1">
      <c r="A2335" s="7" t="s">
        <v>474</v>
      </c>
      <c r="B2335" s="7" t="s">
        <v>268</v>
      </c>
      <c r="C2335" s="7">
        <v>1.0</v>
      </c>
      <c r="D2335" s="7">
        <v>0.1</v>
      </c>
      <c r="E2335" s="7">
        <v>7.0</v>
      </c>
      <c r="F2335" s="7">
        <v>205.993121147155</v>
      </c>
      <c r="G2335" s="7">
        <v>417.373759269714</v>
      </c>
      <c r="H2335" s="7">
        <v>3.0</v>
      </c>
      <c r="I2335" s="15">
        <v>0.772906026298276</v>
      </c>
      <c r="J2335" s="15">
        <v>0.121084467370681</v>
      </c>
      <c r="K2335" s="12">
        <f>AVERAGE(I2332:I2336)</f>
        <v>0.6471463438</v>
      </c>
      <c r="L2335" s="18">
        <v>15572.0</v>
      </c>
      <c r="M2335" s="14">
        <f>STDEV(L2332:L2336)</f>
        <v>40826.99799</v>
      </c>
      <c r="N2335" s="15" t="b">
        <f t="shared" si="1"/>
        <v>0</v>
      </c>
    </row>
    <row r="2336" hidden="1">
      <c r="A2336" s="7" t="s">
        <v>474</v>
      </c>
      <c r="B2336" s="7" t="s">
        <v>268</v>
      </c>
      <c r="C2336" s="7">
        <v>1.0</v>
      </c>
      <c r="D2336" s="7">
        <v>0.1</v>
      </c>
      <c r="E2336" s="7">
        <v>7.0</v>
      </c>
      <c r="F2336" s="7">
        <v>205.993121147155</v>
      </c>
      <c r="G2336" s="7">
        <v>417.373759269714</v>
      </c>
      <c r="H2336" s="7">
        <v>4.0</v>
      </c>
      <c r="I2336" s="15">
        <v>0.812373537877599</v>
      </c>
      <c r="J2336" s="15">
        <v>0.122423257946443</v>
      </c>
      <c r="K2336" s="12">
        <f>AVERAGE(I2332:I2336)</f>
        <v>0.6471463438</v>
      </c>
      <c r="L2336" s="18">
        <v>5577.0</v>
      </c>
      <c r="M2336" s="14">
        <f>STDEV(L2332:L2336)</f>
        <v>40826.99799</v>
      </c>
      <c r="N2336" s="15" t="b">
        <f t="shared" si="1"/>
        <v>0</v>
      </c>
    </row>
    <row r="2337" hidden="1">
      <c r="A2337" s="7" t="s">
        <v>475</v>
      </c>
      <c r="B2337" s="7" t="s">
        <v>268</v>
      </c>
      <c r="C2337" s="7">
        <v>1.0</v>
      </c>
      <c r="D2337" s="7">
        <v>0.1</v>
      </c>
      <c r="E2337" s="7">
        <v>8.0</v>
      </c>
      <c r="F2337" s="7">
        <v>194.560558319091</v>
      </c>
      <c r="G2337" s="7">
        <v>507.456470966339</v>
      </c>
      <c r="H2337" s="7">
        <v>0.0</v>
      </c>
      <c r="I2337" s="15">
        <v>0.912892366301634</v>
      </c>
      <c r="J2337" s="15">
        <v>0.0347532772287472</v>
      </c>
      <c r="K2337" s="12">
        <f>AVERAGE(I2337:I2341)</f>
        <v>0.5679589025</v>
      </c>
      <c r="L2337" s="18">
        <v>2043.0</v>
      </c>
      <c r="M2337" s="14">
        <f>STDEV(L2337:L2341)</f>
        <v>33794.32769</v>
      </c>
      <c r="N2337" s="15" t="b">
        <f t="shared" si="1"/>
        <v>0</v>
      </c>
    </row>
    <row r="2338" hidden="1">
      <c r="A2338" s="7" t="s">
        <v>475</v>
      </c>
      <c r="B2338" s="7" t="s">
        <v>268</v>
      </c>
      <c r="C2338" s="7">
        <v>1.0</v>
      </c>
      <c r="D2338" s="7">
        <v>0.1</v>
      </c>
      <c r="E2338" s="7">
        <v>8.0</v>
      </c>
      <c r="F2338" s="7">
        <v>194.560558319091</v>
      </c>
      <c r="G2338" s="7">
        <v>507.456470966339</v>
      </c>
      <c r="H2338" s="7">
        <v>1.0</v>
      </c>
      <c r="I2338" s="15">
        <v>0.721846509090866</v>
      </c>
      <c r="J2338" s="15">
        <v>0.141316196095354</v>
      </c>
      <c r="K2338" s="12">
        <f>AVERAGE(I2337:I2341)</f>
        <v>0.5679589025</v>
      </c>
      <c r="L2338" s="18">
        <v>13560.0</v>
      </c>
      <c r="M2338" s="14">
        <f>STDEV(L2337:L2341)</f>
        <v>33794.32769</v>
      </c>
      <c r="N2338" s="15" t="b">
        <f t="shared" si="1"/>
        <v>0</v>
      </c>
    </row>
    <row r="2339" hidden="1">
      <c r="A2339" s="7" t="s">
        <v>475</v>
      </c>
      <c r="B2339" s="7" t="s">
        <v>268</v>
      </c>
      <c r="C2339" s="7">
        <v>1.0</v>
      </c>
      <c r="D2339" s="7">
        <v>0.1</v>
      </c>
      <c r="E2339" s="7">
        <v>8.0</v>
      </c>
      <c r="F2339" s="7">
        <v>194.560558319091</v>
      </c>
      <c r="G2339" s="7">
        <v>507.456470966339</v>
      </c>
      <c r="H2339" s="7">
        <v>2.0</v>
      </c>
      <c r="I2339" s="15">
        <v>0.231743452924565</v>
      </c>
      <c r="J2339" s="15">
        <v>0.137435706393517</v>
      </c>
      <c r="K2339" s="12">
        <f>AVERAGE(I2337:I2341)</f>
        <v>0.5679589025</v>
      </c>
      <c r="L2339" s="18">
        <v>42678.0</v>
      </c>
      <c r="M2339" s="14">
        <f>STDEV(L2337:L2341)</f>
        <v>33794.32769</v>
      </c>
      <c r="N2339" s="15" t="b">
        <f t="shared" si="1"/>
        <v>0</v>
      </c>
    </row>
    <row r="2340" hidden="1">
      <c r="A2340" s="7" t="s">
        <v>475</v>
      </c>
      <c r="B2340" s="7" t="s">
        <v>268</v>
      </c>
      <c r="C2340" s="7">
        <v>1.0</v>
      </c>
      <c r="D2340" s="7">
        <v>0.1</v>
      </c>
      <c r="E2340" s="7">
        <v>8.0</v>
      </c>
      <c r="F2340" s="7">
        <v>194.560558319091</v>
      </c>
      <c r="G2340" s="7">
        <v>507.456470966339</v>
      </c>
      <c r="H2340" s="7">
        <v>3.0</v>
      </c>
      <c r="I2340" s="15">
        <v>0.0887590944349194</v>
      </c>
      <c r="J2340" s="15">
        <v>0.067494330508316</v>
      </c>
      <c r="K2340" s="12">
        <f>AVERAGE(I2337:I2341)</f>
        <v>0.5679589025</v>
      </c>
      <c r="L2340" s="18">
        <v>81041.0</v>
      </c>
      <c r="M2340" s="14">
        <f>STDEV(L2337:L2341)</f>
        <v>33794.32769</v>
      </c>
      <c r="N2340" s="15" t="b">
        <f t="shared" si="1"/>
        <v>0</v>
      </c>
    </row>
    <row r="2341" hidden="1">
      <c r="A2341" s="7" t="s">
        <v>475</v>
      </c>
      <c r="B2341" s="7" t="s">
        <v>268</v>
      </c>
      <c r="C2341" s="7">
        <v>1.0</v>
      </c>
      <c r="D2341" s="7">
        <v>0.1</v>
      </c>
      <c r="E2341" s="7">
        <v>8.0</v>
      </c>
      <c r="F2341" s="7">
        <v>194.560558319091</v>
      </c>
      <c r="G2341" s="7">
        <v>507.456470966339</v>
      </c>
      <c r="H2341" s="7">
        <v>4.0</v>
      </c>
      <c r="I2341" s="15">
        <v>0.884553089941819</v>
      </c>
      <c r="J2341" s="15">
        <v>0.118638773705876</v>
      </c>
      <c r="K2341" s="12">
        <f>AVERAGE(I2337:I2341)</f>
        <v>0.5679589025</v>
      </c>
      <c r="L2341" s="18">
        <v>2354.0</v>
      </c>
      <c r="M2341" s="14">
        <f>STDEV(L2337:L2341)</f>
        <v>33794.32769</v>
      </c>
      <c r="N2341" s="15" t="b">
        <f t="shared" si="1"/>
        <v>0</v>
      </c>
    </row>
    <row r="2342" hidden="1">
      <c r="A2342" s="7" t="s">
        <v>476</v>
      </c>
      <c r="B2342" s="7" t="s">
        <v>268</v>
      </c>
      <c r="C2342" s="7">
        <v>1.0</v>
      </c>
      <c r="D2342" s="7">
        <v>0.1</v>
      </c>
      <c r="E2342" s="7">
        <v>9.0</v>
      </c>
      <c r="F2342" s="7">
        <v>210.080016851425</v>
      </c>
      <c r="G2342" s="7">
        <v>434.484637975692</v>
      </c>
      <c r="H2342" s="7">
        <v>0.0</v>
      </c>
      <c r="I2342" s="15">
        <v>0.667716025729939</v>
      </c>
      <c r="J2342" s="15">
        <v>0.149657038555728</v>
      </c>
      <c r="K2342" s="12">
        <f>AVERAGE(I2342:I2346)</f>
        <v>0.5121604641</v>
      </c>
      <c r="L2342" s="18">
        <v>341.0</v>
      </c>
      <c r="M2342" s="14">
        <f>STDEV(L2342:L2346)</f>
        <v>35160.50126</v>
      </c>
      <c r="N2342" s="15" t="b">
        <f t="shared" si="1"/>
        <v>0</v>
      </c>
    </row>
    <row r="2343" hidden="1">
      <c r="A2343" s="7" t="s">
        <v>476</v>
      </c>
      <c r="B2343" s="7" t="s">
        <v>268</v>
      </c>
      <c r="C2343" s="7">
        <v>1.0</v>
      </c>
      <c r="D2343" s="7">
        <v>0.1</v>
      </c>
      <c r="E2343" s="7">
        <v>9.0</v>
      </c>
      <c r="F2343" s="7">
        <v>210.080016851425</v>
      </c>
      <c r="G2343" s="7">
        <v>434.484637975692</v>
      </c>
      <c r="H2343" s="7">
        <v>1.0</v>
      </c>
      <c r="I2343" s="15">
        <v>0.850090285907506</v>
      </c>
      <c r="J2343" s="15">
        <v>0.0908973133581369</v>
      </c>
      <c r="K2343" s="12">
        <f>AVERAGE(I2342:I2346)</f>
        <v>0.5121604641</v>
      </c>
      <c r="L2343" s="18">
        <v>4137.0</v>
      </c>
      <c r="M2343" s="14">
        <f>STDEV(L2342:L2346)</f>
        <v>35160.50126</v>
      </c>
      <c r="N2343" s="15" t="b">
        <f t="shared" si="1"/>
        <v>0</v>
      </c>
    </row>
    <row r="2344" hidden="1">
      <c r="A2344" s="7" t="s">
        <v>476</v>
      </c>
      <c r="B2344" s="7" t="s">
        <v>268</v>
      </c>
      <c r="C2344" s="7">
        <v>1.0</v>
      </c>
      <c r="D2344" s="7">
        <v>0.1</v>
      </c>
      <c r="E2344" s="7">
        <v>9.0</v>
      </c>
      <c r="F2344" s="7">
        <v>210.080016851425</v>
      </c>
      <c r="G2344" s="7">
        <v>434.484637975692</v>
      </c>
      <c r="H2344" s="7">
        <v>2.0</v>
      </c>
      <c r="I2344" s="15">
        <v>0.0478482441394832</v>
      </c>
      <c r="J2344" s="15">
        <v>0.158421689417557</v>
      </c>
      <c r="K2344" s="12">
        <f>AVERAGE(I2342:I2346)</f>
        <v>0.5121604641</v>
      </c>
      <c r="L2344" s="18">
        <v>86370.0</v>
      </c>
      <c r="M2344" s="14">
        <f>STDEV(L2342:L2346)</f>
        <v>35160.50126</v>
      </c>
      <c r="N2344" s="15" t="b">
        <f t="shared" si="1"/>
        <v>0</v>
      </c>
    </row>
    <row r="2345" hidden="1">
      <c r="A2345" s="7" t="s">
        <v>476</v>
      </c>
      <c r="B2345" s="7" t="s">
        <v>268</v>
      </c>
      <c r="C2345" s="7">
        <v>1.0</v>
      </c>
      <c r="D2345" s="7">
        <v>0.1</v>
      </c>
      <c r="E2345" s="7">
        <v>9.0</v>
      </c>
      <c r="F2345" s="7">
        <v>210.080016851425</v>
      </c>
      <c r="G2345" s="7">
        <v>434.484637975692</v>
      </c>
      <c r="H2345" s="7">
        <v>3.0</v>
      </c>
      <c r="I2345" s="15">
        <v>0.765234063143038</v>
      </c>
      <c r="J2345" s="15">
        <v>0.13383403160439</v>
      </c>
      <c r="K2345" s="12">
        <f>AVERAGE(I2342:I2346)</f>
        <v>0.5121604641</v>
      </c>
      <c r="L2345" s="18">
        <v>15649.0</v>
      </c>
      <c r="M2345" s="14">
        <f>STDEV(L2342:L2346)</f>
        <v>35160.50126</v>
      </c>
      <c r="N2345" s="15" t="b">
        <f t="shared" si="1"/>
        <v>0</v>
      </c>
    </row>
    <row r="2346" hidden="1">
      <c r="A2346" s="7" t="s">
        <v>476</v>
      </c>
      <c r="B2346" s="7" t="s">
        <v>268</v>
      </c>
      <c r="C2346" s="7">
        <v>1.0</v>
      </c>
      <c r="D2346" s="7">
        <v>0.1</v>
      </c>
      <c r="E2346" s="7">
        <v>9.0</v>
      </c>
      <c r="F2346" s="7">
        <v>210.080016851425</v>
      </c>
      <c r="G2346" s="7">
        <v>434.484637975692</v>
      </c>
      <c r="H2346" s="7">
        <v>4.0</v>
      </c>
      <c r="I2346" s="15">
        <v>0.229913701415464</v>
      </c>
      <c r="J2346" s="15">
        <v>0.107061440491736</v>
      </c>
      <c r="K2346" s="12">
        <f>AVERAGE(I2342:I2346)</f>
        <v>0.5121604641</v>
      </c>
      <c r="L2346" s="18">
        <v>35179.0</v>
      </c>
      <c r="M2346" s="14">
        <f>STDEV(L2342:L2346)</f>
        <v>35160.50126</v>
      </c>
      <c r="N2346" s="15" t="b">
        <f t="shared" si="1"/>
        <v>0</v>
      </c>
    </row>
    <row r="2347" hidden="1">
      <c r="A2347" s="7" t="s">
        <v>477</v>
      </c>
      <c r="B2347" s="7" t="s">
        <v>268</v>
      </c>
      <c r="C2347" s="7">
        <v>1.0</v>
      </c>
      <c r="D2347" s="7">
        <v>0.1</v>
      </c>
      <c r="E2347" s="7">
        <v>10.0</v>
      </c>
      <c r="F2347" s="7">
        <v>190.686807394027</v>
      </c>
      <c r="G2347" s="7">
        <v>480.83993768692</v>
      </c>
      <c r="H2347" s="7">
        <v>0.0</v>
      </c>
      <c r="I2347" s="15">
        <v>0.374447481456482</v>
      </c>
      <c r="J2347" s="15">
        <v>0.187395142710207</v>
      </c>
      <c r="K2347" s="12">
        <f>AVERAGE(I2347:I2351)</f>
        <v>0.5701461867</v>
      </c>
      <c r="L2347" s="18">
        <v>30570.0</v>
      </c>
      <c r="M2347" s="14">
        <f>STDEV(L2347:L2351)</f>
        <v>34952.65306</v>
      </c>
      <c r="N2347" s="15" t="b">
        <f t="shared" si="1"/>
        <v>0</v>
      </c>
    </row>
    <row r="2348" hidden="1">
      <c r="A2348" s="7" t="s">
        <v>477</v>
      </c>
      <c r="B2348" s="7" t="s">
        <v>268</v>
      </c>
      <c r="C2348" s="7">
        <v>1.0</v>
      </c>
      <c r="D2348" s="7">
        <v>0.1</v>
      </c>
      <c r="E2348" s="7">
        <v>10.0</v>
      </c>
      <c r="F2348" s="7">
        <v>190.686807394027</v>
      </c>
      <c r="G2348" s="7">
        <v>480.83993768692</v>
      </c>
      <c r="H2348" s="7">
        <v>1.0</v>
      </c>
      <c r="I2348" s="15">
        <v>0.768800629471623</v>
      </c>
      <c r="J2348" s="15">
        <v>0.1337090025921</v>
      </c>
      <c r="K2348" s="12">
        <f>AVERAGE(I2347:I2351)</f>
        <v>0.5701461867</v>
      </c>
      <c r="L2348" s="18">
        <v>7638.0</v>
      </c>
      <c r="M2348" s="14">
        <f>STDEV(L2347:L2351)</f>
        <v>34952.65306</v>
      </c>
      <c r="N2348" s="15" t="b">
        <f t="shared" si="1"/>
        <v>0</v>
      </c>
    </row>
    <row r="2349" hidden="1">
      <c r="A2349" s="7" t="s">
        <v>477</v>
      </c>
      <c r="B2349" s="7" t="s">
        <v>268</v>
      </c>
      <c r="C2349" s="7">
        <v>1.0</v>
      </c>
      <c r="D2349" s="7">
        <v>0.1</v>
      </c>
      <c r="E2349" s="7">
        <v>10.0</v>
      </c>
      <c r="F2349" s="7">
        <v>190.686807394027</v>
      </c>
      <c r="G2349" s="7">
        <v>480.83993768692</v>
      </c>
      <c r="H2349" s="7">
        <v>2.0</v>
      </c>
      <c r="I2349" s="15">
        <v>0.0736016736813429</v>
      </c>
      <c r="J2349" s="15">
        <v>0.0604263907516637</v>
      </c>
      <c r="K2349" s="12">
        <f>AVERAGE(I2347:I2351)</f>
        <v>0.5701461867</v>
      </c>
      <c r="L2349" s="18">
        <v>87865.0</v>
      </c>
      <c r="M2349" s="14">
        <f>STDEV(L2347:L2351)</f>
        <v>34952.65306</v>
      </c>
      <c r="N2349" s="15" t="b">
        <f t="shared" si="1"/>
        <v>0</v>
      </c>
    </row>
    <row r="2350" hidden="1">
      <c r="A2350" s="7" t="s">
        <v>477</v>
      </c>
      <c r="B2350" s="7" t="s">
        <v>268</v>
      </c>
      <c r="C2350" s="7">
        <v>1.0</v>
      </c>
      <c r="D2350" s="7">
        <v>0.1</v>
      </c>
      <c r="E2350" s="7">
        <v>10.0</v>
      </c>
      <c r="F2350" s="7">
        <v>190.686807394027</v>
      </c>
      <c r="G2350" s="7">
        <v>480.83993768692</v>
      </c>
      <c r="H2350" s="7">
        <v>3.0</v>
      </c>
      <c r="I2350" s="15">
        <v>0.721117967184532</v>
      </c>
      <c r="J2350" s="15">
        <v>0.141289031266253</v>
      </c>
      <c r="K2350" s="12">
        <f>AVERAGE(I2347:I2351)</f>
        <v>0.5701461867</v>
      </c>
      <c r="L2350" s="18">
        <v>13560.0</v>
      </c>
      <c r="M2350" s="14">
        <f>STDEV(L2347:L2351)</f>
        <v>34952.65306</v>
      </c>
      <c r="N2350" s="15" t="b">
        <f t="shared" si="1"/>
        <v>0</v>
      </c>
    </row>
    <row r="2351" hidden="1">
      <c r="A2351" s="7" t="s">
        <v>477</v>
      </c>
      <c r="B2351" s="7" t="s">
        <v>268</v>
      </c>
      <c r="C2351" s="7">
        <v>1.0</v>
      </c>
      <c r="D2351" s="7">
        <v>0.1</v>
      </c>
      <c r="E2351" s="7">
        <v>10.0</v>
      </c>
      <c r="F2351" s="7">
        <v>190.686807394027</v>
      </c>
      <c r="G2351" s="7">
        <v>480.83993768692</v>
      </c>
      <c r="H2351" s="7">
        <v>4.0</v>
      </c>
      <c r="I2351" s="15">
        <v>0.912763181929423</v>
      </c>
      <c r="J2351" s="15">
        <v>0.0346747722270102</v>
      </c>
      <c r="K2351" s="12">
        <f>AVERAGE(I2347:I2351)</f>
        <v>0.5701461867</v>
      </c>
      <c r="L2351" s="18">
        <v>2043.0</v>
      </c>
      <c r="M2351" s="14">
        <f>STDEV(L2347:L2351)</f>
        <v>34952.65306</v>
      </c>
      <c r="N2351" s="15" t="b">
        <f t="shared" si="1"/>
        <v>0</v>
      </c>
    </row>
    <row r="2352" hidden="1">
      <c r="A2352" s="7" t="s">
        <v>478</v>
      </c>
      <c r="B2352" s="7" t="s">
        <v>268</v>
      </c>
      <c r="C2352" s="7">
        <v>1.0</v>
      </c>
      <c r="D2352" s="7">
        <v>0.25</v>
      </c>
      <c r="E2352" s="7">
        <v>1.0</v>
      </c>
      <c r="F2352" s="7">
        <v>212.026420593261</v>
      </c>
      <c r="G2352" s="7">
        <v>545.759110689163</v>
      </c>
      <c r="H2352" s="7">
        <v>0.0</v>
      </c>
      <c r="I2352" s="15">
        <v>0.810109598802856</v>
      </c>
      <c r="J2352" s="15">
        <v>0.119579136981896</v>
      </c>
      <c r="K2352" s="12">
        <f>AVERAGE(I2352:I2356)</f>
        <v>0.5441719248</v>
      </c>
      <c r="L2352" s="18">
        <v>5616.0</v>
      </c>
      <c r="M2352" s="14">
        <f>STDEV(L2352:L2356)</f>
        <v>30230.2864</v>
      </c>
      <c r="N2352" s="15" t="b">
        <f t="shared" si="1"/>
        <v>0</v>
      </c>
    </row>
    <row r="2353" hidden="1">
      <c r="A2353" s="7" t="s">
        <v>478</v>
      </c>
      <c r="B2353" s="7" t="s">
        <v>268</v>
      </c>
      <c r="C2353" s="7">
        <v>1.0</v>
      </c>
      <c r="D2353" s="7">
        <v>0.25</v>
      </c>
      <c r="E2353" s="7">
        <v>1.0</v>
      </c>
      <c r="F2353" s="7">
        <v>212.026420593261</v>
      </c>
      <c r="G2353" s="7">
        <v>545.759110689163</v>
      </c>
      <c r="H2353" s="7">
        <v>1.0</v>
      </c>
      <c r="I2353" s="15">
        <v>0.0852486757697083</v>
      </c>
      <c r="J2353" s="15">
        <v>0.095508540281365</v>
      </c>
      <c r="K2353" s="12">
        <f>AVERAGE(I2352:I2356)</f>
        <v>0.5441719248</v>
      </c>
      <c r="L2353" s="18">
        <v>70323.0</v>
      </c>
      <c r="M2353" s="14">
        <f>STDEV(L2352:L2356)</f>
        <v>30230.2864</v>
      </c>
      <c r="N2353" s="15" t="b">
        <f t="shared" si="1"/>
        <v>0</v>
      </c>
    </row>
    <row r="2354" hidden="1">
      <c r="A2354" s="7" t="s">
        <v>478</v>
      </c>
      <c r="B2354" s="7" t="s">
        <v>268</v>
      </c>
      <c r="C2354" s="7">
        <v>1.0</v>
      </c>
      <c r="D2354" s="7">
        <v>0.25</v>
      </c>
      <c r="E2354" s="7">
        <v>1.0</v>
      </c>
      <c r="F2354" s="7">
        <v>212.026420593261</v>
      </c>
      <c r="G2354" s="7">
        <v>545.759110689163</v>
      </c>
      <c r="H2354" s="7">
        <v>2.0</v>
      </c>
      <c r="I2354" s="15">
        <v>0.831719783159529</v>
      </c>
      <c r="J2354" s="15">
        <v>0.0977301591990627</v>
      </c>
      <c r="K2354" s="12">
        <f>AVERAGE(I2352:I2356)</f>
        <v>0.5441719248</v>
      </c>
      <c r="L2354" s="18">
        <v>7294.0</v>
      </c>
      <c r="M2354" s="14">
        <f>STDEV(L2352:L2356)</f>
        <v>30230.2864</v>
      </c>
      <c r="N2354" s="15" t="b">
        <f t="shared" si="1"/>
        <v>0</v>
      </c>
    </row>
    <row r="2355" hidden="1">
      <c r="A2355" s="7" t="s">
        <v>478</v>
      </c>
      <c r="B2355" s="7" t="s">
        <v>268</v>
      </c>
      <c r="C2355" s="7">
        <v>1.0</v>
      </c>
      <c r="D2355" s="7">
        <v>0.25</v>
      </c>
      <c r="E2355" s="7">
        <v>1.0</v>
      </c>
      <c r="F2355" s="7">
        <v>212.026420593261</v>
      </c>
      <c r="G2355" s="7">
        <v>545.759110689163</v>
      </c>
      <c r="H2355" s="7">
        <v>3.0</v>
      </c>
      <c r="I2355" s="15">
        <v>0.769851116222307</v>
      </c>
      <c r="J2355" s="15">
        <v>0.133676622795683</v>
      </c>
      <c r="K2355" s="12">
        <f>AVERAGE(I2352:I2356)</f>
        <v>0.5441719248</v>
      </c>
      <c r="L2355" s="18">
        <v>7634.0</v>
      </c>
      <c r="M2355" s="14">
        <f>STDEV(L2352:L2356)</f>
        <v>30230.2864</v>
      </c>
      <c r="N2355" s="15" t="b">
        <f t="shared" si="1"/>
        <v>0</v>
      </c>
    </row>
    <row r="2356" hidden="1">
      <c r="A2356" s="7" t="s">
        <v>478</v>
      </c>
      <c r="B2356" s="7" t="s">
        <v>268</v>
      </c>
      <c r="C2356" s="7">
        <v>1.0</v>
      </c>
      <c r="D2356" s="7">
        <v>0.25</v>
      </c>
      <c r="E2356" s="7">
        <v>1.0</v>
      </c>
      <c r="F2356" s="7">
        <v>212.026420593261</v>
      </c>
      <c r="G2356" s="7">
        <v>545.759110689163</v>
      </c>
      <c r="H2356" s="7">
        <v>4.0</v>
      </c>
      <c r="I2356" s="15">
        <v>0.223930450091312</v>
      </c>
      <c r="J2356" s="15">
        <v>0.0715292675551501</v>
      </c>
      <c r="K2356" s="12">
        <f>AVERAGE(I2352:I2356)</f>
        <v>0.5441719248</v>
      </c>
      <c r="L2356" s="18">
        <v>50809.0</v>
      </c>
      <c r="M2356" s="14">
        <f>STDEV(L2352:L2356)</f>
        <v>30230.2864</v>
      </c>
      <c r="N2356" s="15" t="b">
        <f t="shared" si="1"/>
        <v>0</v>
      </c>
    </row>
    <row r="2357" hidden="1">
      <c r="A2357" s="7" t="s">
        <v>479</v>
      </c>
      <c r="B2357" s="7" t="s">
        <v>268</v>
      </c>
      <c r="C2357" s="7">
        <v>1.0</v>
      </c>
      <c r="D2357" s="7">
        <v>0.25</v>
      </c>
      <c r="E2357" s="7">
        <v>2.0</v>
      </c>
      <c r="F2357" s="7">
        <v>302.50312590599</v>
      </c>
      <c r="G2357" s="7">
        <v>547.511872529983</v>
      </c>
      <c r="H2357" s="7">
        <v>0.0</v>
      </c>
      <c r="I2357" s="15">
        <v>0.810610541663314</v>
      </c>
      <c r="J2357" s="15">
        <v>0.117259623422775</v>
      </c>
      <c r="K2357" s="12">
        <f>AVERAGE(I2357:I2361)</f>
        <v>0.572082137</v>
      </c>
      <c r="L2357" s="18">
        <v>5616.0</v>
      </c>
      <c r="M2357" s="14">
        <f>STDEV(L2357:L2361)</f>
        <v>40547.85892</v>
      </c>
      <c r="N2357" s="15" t="b">
        <f t="shared" si="1"/>
        <v>0</v>
      </c>
    </row>
    <row r="2358" hidden="1">
      <c r="A2358" s="7" t="s">
        <v>479</v>
      </c>
      <c r="B2358" s="7" t="s">
        <v>268</v>
      </c>
      <c r="C2358" s="7">
        <v>1.0</v>
      </c>
      <c r="D2358" s="7">
        <v>0.25</v>
      </c>
      <c r="E2358" s="7">
        <v>2.0</v>
      </c>
      <c r="F2358" s="7">
        <v>302.50312590599</v>
      </c>
      <c r="G2358" s="7">
        <v>547.511872529983</v>
      </c>
      <c r="H2358" s="7">
        <v>1.0</v>
      </c>
      <c r="I2358" s="15">
        <v>0.373114511317555</v>
      </c>
      <c r="J2358" s="15">
        <v>0.0621098697123594</v>
      </c>
      <c r="K2358" s="12">
        <f>AVERAGE(I2357:I2361)</f>
        <v>0.572082137</v>
      </c>
      <c r="L2358" s="18">
        <v>23829.0</v>
      </c>
      <c r="M2358" s="14">
        <f>STDEV(L2357:L2361)</f>
        <v>40547.85892</v>
      </c>
      <c r="N2358" s="15" t="b">
        <f t="shared" si="1"/>
        <v>0</v>
      </c>
    </row>
    <row r="2359" hidden="1">
      <c r="A2359" s="7" t="s">
        <v>479</v>
      </c>
      <c r="B2359" s="7" t="s">
        <v>268</v>
      </c>
      <c r="C2359" s="7">
        <v>1.0</v>
      </c>
      <c r="D2359" s="7">
        <v>0.25</v>
      </c>
      <c r="E2359" s="7">
        <v>2.0</v>
      </c>
      <c r="F2359" s="7">
        <v>302.50312590599</v>
      </c>
      <c r="G2359" s="7">
        <v>547.511872529983</v>
      </c>
      <c r="H2359" s="7">
        <v>2.0</v>
      </c>
      <c r="I2359" s="15">
        <v>0.0396338807680744</v>
      </c>
      <c r="J2359" s="15">
        <v>0.122013767613849</v>
      </c>
      <c r="K2359" s="12">
        <f>AVERAGE(I2357:I2361)</f>
        <v>0.572082137</v>
      </c>
      <c r="L2359" s="18">
        <v>99538.0</v>
      </c>
      <c r="M2359" s="14">
        <f>STDEV(L2357:L2361)</f>
        <v>40547.85892</v>
      </c>
      <c r="N2359" s="15" t="b">
        <f t="shared" si="1"/>
        <v>0</v>
      </c>
    </row>
    <row r="2360" hidden="1">
      <c r="A2360" s="7" t="s">
        <v>479</v>
      </c>
      <c r="B2360" s="7" t="s">
        <v>268</v>
      </c>
      <c r="C2360" s="7">
        <v>1.0</v>
      </c>
      <c r="D2360" s="7">
        <v>0.25</v>
      </c>
      <c r="E2360" s="7">
        <v>2.0</v>
      </c>
      <c r="F2360" s="7">
        <v>302.50312590599</v>
      </c>
      <c r="G2360" s="7">
        <v>547.511872529983</v>
      </c>
      <c r="H2360" s="7">
        <v>3.0</v>
      </c>
      <c r="I2360" s="15">
        <v>0.772229453844937</v>
      </c>
      <c r="J2360" s="15">
        <v>0.131735768955542</v>
      </c>
      <c r="K2360" s="12">
        <f>AVERAGE(I2357:I2361)</f>
        <v>0.572082137</v>
      </c>
      <c r="L2360" s="18">
        <v>7612.0</v>
      </c>
      <c r="M2360" s="14">
        <f>STDEV(L2357:L2361)</f>
        <v>40547.85892</v>
      </c>
      <c r="N2360" s="15" t="b">
        <f t="shared" si="1"/>
        <v>0</v>
      </c>
    </row>
    <row r="2361" hidden="1">
      <c r="A2361" s="7" t="s">
        <v>479</v>
      </c>
      <c r="B2361" s="7" t="s">
        <v>268</v>
      </c>
      <c r="C2361" s="7">
        <v>1.0</v>
      </c>
      <c r="D2361" s="7">
        <v>0.25</v>
      </c>
      <c r="E2361" s="7">
        <v>2.0</v>
      </c>
      <c r="F2361" s="7">
        <v>302.50312590599</v>
      </c>
      <c r="G2361" s="7">
        <v>547.511872529983</v>
      </c>
      <c r="H2361" s="7">
        <v>4.0</v>
      </c>
      <c r="I2361" s="15">
        <v>0.864822297573681</v>
      </c>
      <c r="J2361" s="15">
        <v>0.0963559247622171</v>
      </c>
      <c r="K2361" s="12">
        <f>AVERAGE(I2357:I2361)</f>
        <v>0.572082137</v>
      </c>
      <c r="L2361" s="18">
        <v>5081.0</v>
      </c>
      <c r="M2361" s="14">
        <f>STDEV(L2357:L2361)</f>
        <v>40547.85892</v>
      </c>
      <c r="N2361" s="15" t="b">
        <f t="shared" si="1"/>
        <v>0</v>
      </c>
    </row>
    <row r="2362" hidden="1">
      <c r="A2362" s="7" t="s">
        <v>480</v>
      </c>
      <c r="B2362" s="7" t="s">
        <v>268</v>
      </c>
      <c r="C2362" s="7">
        <v>1.0</v>
      </c>
      <c r="D2362" s="7">
        <v>0.25</v>
      </c>
      <c r="E2362" s="7">
        <v>3.0</v>
      </c>
      <c r="F2362" s="7">
        <v>192.111882448196</v>
      </c>
      <c r="G2362" s="7">
        <v>403.948972225189</v>
      </c>
      <c r="H2362" s="7">
        <v>0.0</v>
      </c>
      <c r="I2362" s="15">
        <v>0.391006853445885</v>
      </c>
      <c r="J2362" s="15">
        <v>0.0862432838888176</v>
      </c>
      <c r="K2362" s="12">
        <f>AVERAGE(I2362:I2366)</f>
        <v>0.5658853914</v>
      </c>
      <c r="L2362" s="18">
        <v>31002.0</v>
      </c>
      <c r="M2362" s="14">
        <f>STDEV(L2362:L2366)</f>
        <v>32320.55657</v>
      </c>
      <c r="N2362" s="15" t="b">
        <f t="shared" si="1"/>
        <v>0</v>
      </c>
    </row>
    <row r="2363" hidden="1">
      <c r="A2363" s="7" t="s">
        <v>480</v>
      </c>
      <c r="B2363" s="7" t="s">
        <v>268</v>
      </c>
      <c r="C2363" s="7">
        <v>1.0</v>
      </c>
      <c r="D2363" s="7">
        <v>0.25</v>
      </c>
      <c r="E2363" s="7">
        <v>3.0</v>
      </c>
      <c r="F2363" s="7">
        <v>192.111882448196</v>
      </c>
      <c r="G2363" s="7">
        <v>403.948972225189</v>
      </c>
      <c r="H2363" s="7">
        <v>1.0</v>
      </c>
      <c r="I2363" s="15">
        <v>0.832262519816953</v>
      </c>
      <c r="J2363" s="15">
        <v>0.0971221399030242</v>
      </c>
      <c r="K2363" s="12">
        <f>AVERAGE(I2362:I2366)</f>
        <v>0.5658853914</v>
      </c>
      <c r="L2363" s="18">
        <v>7289.0</v>
      </c>
      <c r="M2363" s="14">
        <f>STDEV(L2362:L2366)</f>
        <v>32320.55657</v>
      </c>
      <c r="N2363" s="15" t="b">
        <f t="shared" si="1"/>
        <v>0</v>
      </c>
    </row>
    <row r="2364" hidden="1">
      <c r="A2364" s="7" t="s">
        <v>480</v>
      </c>
      <c r="B2364" s="7" t="s">
        <v>268</v>
      </c>
      <c r="C2364" s="7">
        <v>1.0</v>
      </c>
      <c r="D2364" s="7">
        <v>0.25</v>
      </c>
      <c r="E2364" s="7">
        <v>3.0</v>
      </c>
      <c r="F2364" s="7">
        <v>192.111882448196</v>
      </c>
      <c r="G2364" s="7">
        <v>403.948972225189</v>
      </c>
      <c r="H2364" s="7">
        <v>2.0</v>
      </c>
      <c r="I2364" s="15">
        <v>0.0653089779742274</v>
      </c>
      <c r="J2364" s="15">
        <v>0.0798754473453506</v>
      </c>
      <c r="K2364" s="12">
        <f>AVERAGE(I2362:I2366)</f>
        <v>0.5658853914</v>
      </c>
      <c r="L2364" s="18">
        <v>83389.0</v>
      </c>
      <c r="M2364" s="14">
        <f>STDEV(L2362:L2366)</f>
        <v>32320.55657</v>
      </c>
      <c r="N2364" s="15" t="b">
        <f t="shared" si="1"/>
        <v>0</v>
      </c>
    </row>
    <row r="2365" hidden="1">
      <c r="A2365" s="7" t="s">
        <v>480</v>
      </c>
      <c r="B2365" s="7" t="s">
        <v>268</v>
      </c>
      <c r="C2365" s="7">
        <v>1.0</v>
      </c>
      <c r="D2365" s="7">
        <v>0.25</v>
      </c>
      <c r="E2365" s="7">
        <v>3.0</v>
      </c>
      <c r="F2365" s="7">
        <v>192.111882448196</v>
      </c>
      <c r="G2365" s="7">
        <v>403.948972225189</v>
      </c>
      <c r="H2365" s="7">
        <v>3.0</v>
      </c>
      <c r="I2365" s="15">
        <v>0.821667204817373</v>
      </c>
      <c r="J2365" s="15">
        <v>0.103929110712571</v>
      </c>
      <c r="K2365" s="12">
        <f>AVERAGE(I2362:I2366)</f>
        <v>0.5658853914</v>
      </c>
      <c r="L2365" s="18">
        <v>6463.0</v>
      </c>
      <c r="M2365" s="14">
        <f>STDEV(L2362:L2366)</f>
        <v>32320.55657</v>
      </c>
      <c r="N2365" s="15" t="b">
        <f t="shared" si="1"/>
        <v>0</v>
      </c>
    </row>
    <row r="2366" hidden="1">
      <c r="A2366" s="7" t="s">
        <v>480</v>
      </c>
      <c r="B2366" s="7" t="s">
        <v>268</v>
      </c>
      <c r="C2366" s="7">
        <v>1.0</v>
      </c>
      <c r="D2366" s="7">
        <v>0.25</v>
      </c>
      <c r="E2366" s="7">
        <v>3.0</v>
      </c>
      <c r="F2366" s="7">
        <v>192.111882448196</v>
      </c>
      <c r="G2366" s="7">
        <v>403.948972225189</v>
      </c>
      <c r="H2366" s="7">
        <v>4.0</v>
      </c>
      <c r="I2366" s="15">
        <v>0.719181400786127</v>
      </c>
      <c r="J2366" s="15">
        <v>0.145439584249279</v>
      </c>
      <c r="K2366" s="12">
        <f>AVERAGE(I2362:I2366)</f>
        <v>0.5658853914</v>
      </c>
      <c r="L2366" s="18">
        <v>13533.0</v>
      </c>
      <c r="M2366" s="14">
        <f>STDEV(L2362:L2366)</f>
        <v>32320.55657</v>
      </c>
      <c r="N2366" s="15" t="b">
        <f t="shared" si="1"/>
        <v>0</v>
      </c>
    </row>
    <row r="2367" hidden="1">
      <c r="A2367" s="7" t="s">
        <v>481</v>
      </c>
      <c r="B2367" s="7" t="s">
        <v>268</v>
      </c>
      <c r="C2367" s="7">
        <v>1.0</v>
      </c>
      <c r="D2367" s="7">
        <v>0.25</v>
      </c>
      <c r="E2367" s="7">
        <v>4.0</v>
      </c>
      <c r="F2367" s="7">
        <v>399.244670629501</v>
      </c>
      <c r="G2367" s="7">
        <v>551.512868165969</v>
      </c>
      <c r="H2367" s="7">
        <v>0.0</v>
      </c>
      <c r="I2367" s="15">
        <v>0.21629572968451</v>
      </c>
      <c r="J2367" s="15">
        <v>0.070318993289874</v>
      </c>
      <c r="K2367" s="12">
        <f>AVERAGE(I2367:I2371)</f>
        <v>0.3545495091</v>
      </c>
      <c r="L2367" s="18">
        <v>50556.0</v>
      </c>
      <c r="M2367" s="14">
        <f>STDEV(L2367:L2371)</f>
        <v>24153.04634</v>
      </c>
      <c r="N2367" s="15" t="b">
        <f t="shared" si="1"/>
        <v>0</v>
      </c>
    </row>
    <row r="2368" hidden="1">
      <c r="A2368" s="7" t="s">
        <v>481</v>
      </c>
      <c r="B2368" s="7" t="s">
        <v>268</v>
      </c>
      <c r="C2368" s="7">
        <v>1.0</v>
      </c>
      <c r="D2368" s="7">
        <v>0.25</v>
      </c>
      <c r="E2368" s="7">
        <v>4.0</v>
      </c>
      <c r="F2368" s="7">
        <v>399.244670629501</v>
      </c>
      <c r="G2368" s="7">
        <v>551.512868165969</v>
      </c>
      <c r="H2368" s="7">
        <v>1.0</v>
      </c>
      <c r="I2368" s="15">
        <v>0.789824374057549</v>
      </c>
      <c r="J2368" s="15">
        <v>0.149588781678436</v>
      </c>
      <c r="K2368" s="12">
        <f>AVERAGE(I2367:I2371)</f>
        <v>0.3545495091</v>
      </c>
      <c r="L2368" s="18">
        <v>903.0</v>
      </c>
      <c r="M2368" s="14">
        <f>STDEV(L2367:L2371)</f>
        <v>24153.04634</v>
      </c>
      <c r="N2368" s="15" t="b">
        <f t="shared" si="1"/>
        <v>0</v>
      </c>
    </row>
    <row r="2369" hidden="1">
      <c r="A2369" s="7" t="s">
        <v>481</v>
      </c>
      <c r="B2369" s="7" t="s">
        <v>268</v>
      </c>
      <c r="C2369" s="7">
        <v>1.0</v>
      </c>
      <c r="D2369" s="7">
        <v>0.25</v>
      </c>
      <c r="E2369" s="7">
        <v>4.0</v>
      </c>
      <c r="F2369" s="7">
        <v>399.244670629501</v>
      </c>
      <c r="G2369" s="7">
        <v>551.512868165969</v>
      </c>
      <c r="H2369" s="7">
        <v>2.0</v>
      </c>
      <c r="I2369" s="15">
        <v>0.0578097996248643</v>
      </c>
      <c r="J2369" s="15">
        <v>0.0377513440406664</v>
      </c>
      <c r="K2369" s="12">
        <f>AVERAGE(I2367:I2371)</f>
        <v>0.3545495091</v>
      </c>
      <c r="L2369" s="18">
        <v>52144.0</v>
      </c>
      <c r="M2369" s="14">
        <f>STDEV(L2367:L2371)</f>
        <v>24153.04634</v>
      </c>
      <c r="N2369" s="15" t="b">
        <f t="shared" si="1"/>
        <v>0</v>
      </c>
    </row>
    <row r="2370" hidden="1">
      <c r="A2370" s="7" t="s">
        <v>481</v>
      </c>
      <c r="B2370" s="7" t="s">
        <v>268</v>
      </c>
      <c r="C2370" s="7">
        <v>1.0</v>
      </c>
      <c r="D2370" s="7">
        <v>0.25</v>
      </c>
      <c r="E2370" s="7">
        <v>4.0</v>
      </c>
      <c r="F2370" s="7">
        <v>399.244670629501</v>
      </c>
      <c r="G2370" s="7">
        <v>551.512868165969</v>
      </c>
      <c r="H2370" s="7">
        <v>3.0</v>
      </c>
      <c r="I2370" s="15">
        <v>0.428937095987319</v>
      </c>
      <c r="J2370" s="15">
        <v>0.0971647133814483</v>
      </c>
      <c r="K2370" s="12">
        <f>AVERAGE(I2367:I2371)</f>
        <v>0.3545495091</v>
      </c>
      <c r="L2370" s="18">
        <v>5857.0</v>
      </c>
      <c r="M2370" s="14">
        <f>STDEV(L2367:L2371)</f>
        <v>24153.04634</v>
      </c>
      <c r="N2370" s="15" t="b">
        <f t="shared" si="1"/>
        <v>0</v>
      </c>
    </row>
    <row r="2371" hidden="1">
      <c r="A2371" s="7" t="s">
        <v>481</v>
      </c>
      <c r="B2371" s="7" t="s">
        <v>268</v>
      </c>
      <c r="C2371" s="7">
        <v>1.0</v>
      </c>
      <c r="D2371" s="7">
        <v>0.25</v>
      </c>
      <c r="E2371" s="7">
        <v>4.0</v>
      </c>
      <c r="F2371" s="7">
        <v>399.244670629501</v>
      </c>
      <c r="G2371" s="7">
        <v>551.512868165969</v>
      </c>
      <c r="H2371" s="7">
        <v>4.0</v>
      </c>
      <c r="I2371" s="15">
        <v>0.279880545917201</v>
      </c>
      <c r="J2371" s="15">
        <v>0.31511364287116</v>
      </c>
      <c r="K2371" s="12">
        <f>AVERAGE(I2367:I2371)</f>
        <v>0.3545495091</v>
      </c>
      <c r="L2371" s="18">
        <v>32216.0</v>
      </c>
      <c r="M2371" s="14">
        <f>STDEV(L2367:L2371)</f>
        <v>24153.04634</v>
      </c>
      <c r="N2371" s="15" t="b">
        <f t="shared" si="1"/>
        <v>0</v>
      </c>
    </row>
    <row r="2372" hidden="1">
      <c r="A2372" s="7" t="s">
        <v>482</v>
      </c>
      <c r="B2372" s="7" t="s">
        <v>268</v>
      </c>
      <c r="C2372" s="7">
        <v>1.0</v>
      </c>
      <c r="D2372" s="7">
        <v>0.25</v>
      </c>
      <c r="E2372" s="7">
        <v>5.0</v>
      </c>
      <c r="F2372" s="7">
        <v>203.413325071334</v>
      </c>
      <c r="G2372" s="7">
        <v>403.683766841888</v>
      </c>
      <c r="H2372" s="7">
        <v>0.0</v>
      </c>
      <c r="I2372" s="15">
        <v>0.0806673323073154</v>
      </c>
      <c r="J2372" s="15">
        <v>0.0658667985935805</v>
      </c>
      <c r="K2372" s="12">
        <f>AVERAGE(I2372:I2376)</f>
        <v>0.5615031954</v>
      </c>
      <c r="L2372" s="18">
        <v>79634.0</v>
      </c>
      <c r="M2372" s="14">
        <f>STDEV(L2372:L2376)</f>
        <v>31624.81803</v>
      </c>
      <c r="N2372" s="15" t="b">
        <f t="shared" si="1"/>
        <v>0</v>
      </c>
    </row>
    <row r="2373" hidden="1">
      <c r="A2373" s="7" t="s">
        <v>482</v>
      </c>
      <c r="B2373" s="7" t="s">
        <v>268</v>
      </c>
      <c r="C2373" s="7">
        <v>1.0</v>
      </c>
      <c r="D2373" s="7">
        <v>0.25</v>
      </c>
      <c r="E2373" s="7">
        <v>5.0</v>
      </c>
      <c r="F2373" s="7">
        <v>203.413325071334</v>
      </c>
      <c r="G2373" s="7">
        <v>403.683766841888</v>
      </c>
      <c r="H2373" s="7">
        <v>1.0</v>
      </c>
      <c r="I2373" s="15">
        <v>0.770243067059131</v>
      </c>
      <c r="J2373" s="15">
        <v>0.120538689347781</v>
      </c>
      <c r="K2373" s="12">
        <f>AVERAGE(I2372:I2376)</f>
        <v>0.5615031954</v>
      </c>
      <c r="L2373" s="18">
        <v>15685.0</v>
      </c>
      <c r="M2373" s="14">
        <f>STDEV(L2372:L2376)</f>
        <v>31624.81803</v>
      </c>
      <c r="N2373" s="15" t="b">
        <f t="shared" si="1"/>
        <v>0</v>
      </c>
    </row>
    <row r="2374" hidden="1">
      <c r="A2374" s="7" t="s">
        <v>482</v>
      </c>
      <c r="B2374" s="7" t="s">
        <v>268</v>
      </c>
      <c r="C2374" s="7">
        <v>1.0</v>
      </c>
      <c r="D2374" s="7">
        <v>0.25</v>
      </c>
      <c r="E2374" s="7">
        <v>5.0</v>
      </c>
      <c r="F2374" s="7">
        <v>203.413325071334</v>
      </c>
      <c r="G2374" s="7">
        <v>403.683766841888</v>
      </c>
      <c r="H2374" s="7">
        <v>2.0</v>
      </c>
      <c r="I2374" s="15">
        <v>0.278884027831594</v>
      </c>
      <c r="J2374" s="15">
        <v>0.176063120260596</v>
      </c>
      <c r="K2374" s="12">
        <f>AVERAGE(I2372:I2376)</f>
        <v>0.5615031954</v>
      </c>
      <c r="L2374" s="18">
        <v>37216.0</v>
      </c>
      <c r="M2374" s="14">
        <f>STDEV(L2372:L2376)</f>
        <v>31624.81803</v>
      </c>
      <c r="N2374" s="15" t="b">
        <f t="shared" si="1"/>
        <v>0</v>
      </c>
    </row>
    <row r="2375" hidden="1">
      <c r="A2375" s="7" t="s">
        <v>482</v>
      </c>
      <c r="B2375" s="7" t="s">
        <v>268</v>
      </c>
      <c r="C2375" s="7">
        <v>1.0</v>
      </c>
      <c r="D2375" s="7">
        <v>0.25</v>
      </c>
      <c r="E2375" s="7">
        <v>5.0</v>
      </c>
      <c r="F2375" s="7">
        <v>203.413325071334</v>
      </c>
      <c r="G2375" s="7">
        <v>403.683766841888</v>
      </c>
      <c r="H2375" s="7">
        <v>3.0</v>
      </c>
      <c r="I2375" s="15">
        <v>0.864051991104615</v>
      </c>
      <c r="J2375" s="15">
        <v>0.0944110243467261</v>
      </c>
      <c r="K2375" s="12">
        <f>AVERAGE(I2372:I2376)</f>
        <v>0.5615031954</v>
      </c>
      <c r="L2375" s="18">
        <v>5086.0</v>
      </c>
      <c r="M2375" s="14">
        <f>STDEV(L2372:L2376)</f>
        <v>31624.81803</v>
      </c>
      <c r="N2375" s="15" t="b">
        <f t="shared" si="1"/>
        <v>0</v>
      </c>
    </row>
    <row r="2376" hidden="1">
      <c r="A2376" s="7" t="s">
        <v>482</v>
      </c>
      <c r="B2376" s="7" t="s">
        <v>268</v>
      </c>
      <c r="C2376" s="7">
        <v>1.0</v>
      </c>
      <c r="D2376" s="7">
        <v>0.25</v>
      </c>
      <c r="E2376" s="7">
        <v>5.0</v>
      </c>
      <c r="F2376" s="7">
        <v>203.413325071334</v>
      </c>
      <c r="G2376" s="7">
        <v>403.683766841888</v>
      </c>
      <c r="H2376" s="7">
        <v>4.0</v>
      </c>
      <c r="I2376" s="15">
        <v>0.81366955865138</v>
      </c>
      <c r="J2376" s="15">
        <v>0.0752324648714309</v>
      </c>
      <c r="K2376" s="12">
        <f>AVERAGE(I2372:I2376)</f>
        <v>0.5615031954</v>
      </c>
      <c r="L2376" s="18">
        <v>4055.0</v>
      </c>
      <c r="M2376" s="14">
        <f>STDEV(L2372:L2376)</f>
        <v>31624.81803</v>
      </c>
      <c r="N2376" s="15" t="b">
        <f t="shared" si="1"/>
        <v>0</v>
      </c>
    </row>
    <row r="2377" hidden="1">
      <c r="A2377" s="7" t="s">
        <v>483</v>
      </c>
      <c r="B2377" s="7" t="s">
        <v>268</v>
      </c>
      <c r="C2377" s="7">
        <v>1.0</v>
      </c>
      <c r="D2377" s="7">
        <v>0.25</v>
      </c>
      <c r="E2377" s="7">
        <v>6.0</v>
      </c>
      <c r="F2377" s="7">
        <v>192.582597970962</v>
      </c>
      <c r="G2377" s="7">
        <v>507.100726604461</v>
      </c>
      <c r="H2377" s="7">
        <v>0.0</v>
      </c>
      <c r="I2377" s="15">
        <v>0.912644954572433</v>
      </c>
      <c r="J2377" s="15">
        <v>0.0347069467320276</v>
      </c>
      <c r="K2377" s="12">
        <f>AVERAGE(I2377:I2381)</f>
        <v>0.4859506801</v>
      </c>
      <c r="L2377" s="18">
        <v>2043.0</v>
      </c>
      <c r="M2377" s="14">
        <f>STDEV(L2377:L2381)</f>
        <v>37101.55374</v>
      </c>
      <c r="N2377" s="15" t="b">
        <f t="shared" si="1"/>
        <v>0</v>
      </c>
    </row>
    <row r="2378" hidden="1">
      <c r="A2378" s="7" t="s">
        <v>483</v>
      </c>
      <c r="B2378" s="7" t="s">
        <v>268</v>
      </c>
      <c r="C2378" s="7">
        <v>1.0</v>
      </c>
      <c r="D2378" s="7">
        <v>0.25</v>
      </c>
      <c r="E2378" s="7">
        <v>6.0</v>
      </c>
      <c r="F2378" s="7">
        <v>192.582597970962</v>
      </c>
      <c r="G2378" s="7">
        <v>507.100726604461</v>
      </c>
      <c r="H2378" s="7">
        <v>1.0</v>
      </c>
      <c r="I2378" s="15">
        <v>0.463119665731943</v>
      </c>
      <c r="J2378" s="15">
        <v>0.262344742937737</v>
      </c>
      <c r="K2378" s="12">
        <f>AVERAGE(I2377:I2381)</f>
        <v>0.4859506801</v>
      </c>
      <c r="L2378" s="18">
        <v>27088.0</v>
      </c>
      <c r="M2378" s="14">
        <f>STDEV(L2377:L2381)</f>
        <v>37101.55374</v>
      </c>
      <c r="N2378" s="15" t="b">
        <f t="shared" si="1"/>
        <v>0</v>
      </c>
    </row>
    <row r="2379" hidden="1">
      <c r="A2379" s="7" t="s">
        <v>483</v>
      </c>
      <c r="B2379" s="7" t="s">
        <v>268</v>
      </c>
      <c r="C2379" s="7">
        <v>1.0</v>
      </c>
      <c r="D2379" s="7">
        <v>0.25</v>
      </c>
      <c r="E2379" s="7">
        <v>6.0</v>
      </c>
      <c r="F2379" s="7">
        <v>192.582597970962</v>
      </c>
      <c r="G2379" s="7">
        <v>507.100726604461</v>
      </c>
      <c r="H2379" s="7">
        <v>2.0</v>
      </c>
      <c r="I2379" s="15">
        <v>0.735622871397899</v>
      </c>
      <c r="J2379" s="15">
        <v>0.133017709982426</v>
      </c>
      <c r="K2379" s="12">
        <f>AVERAGE(I2377:I2381)</f>
        <v>0.4859506801</v>
      </c>
      <c r="L2379" s="18">
        <v>13261.0</v>
      </c>
      <c r="M2379" s="14">
        <f>STDEV(L2377:L2381)</f>
        <v>37101.55374</v>
      </c>
      <c r="N2379" s="15" t="b">
        <f t="shared" si="1"/>
        <v>0</v>
      </c>
    </row>
    <row r="2380" hidden="1">
      <c r="A2380" s="7" t="s">
        <v>483</v>
      </c>
      <c r="B2380" s="7" t="s">
        <v>268</v>
      </c>
      <c r="C2380" s="7">
        <v>1.0</v>
      </c>
      <c r="D2380" s="7">
        <v>0.25</v>
      </c>
      <c r="E2380" s="7">
        <v>6.0</v>
      </c>
      <c r="F2380" s="7">
        <v>192.582597970962</v>
      </c>
      <c r="G2380" s="7">
        <v>507.100726604461</v>
      </c>
      <c r="H2380" s="7">
        <v>3.0</v>
      </c>
      <c r="I2380" s="15">
        <v>0.0609392404482586</v>
      </c>
      <c r="J2380" s="15">
        <v>0.063599770274278</v>
      </c>
      <c r="K2380" s="12">
        <f>AVERAGE(I2377:I2381)</f>
        <v>0.4859506801</v>
      </c>
      <c r="L2380" s="18">
        <v>92526.0</v>
      </c>
      <c r="M2380" s="14">
        <f>STDEV(L2377:L2381)</f>
        <v>37101.55374</v>
      </c>
      <c r="N2380" s="15" t="b">
        <f t="shared" si="1"/>
        <v>0</v>
      </c>
    </row>
    <row r="2381" hidden="1">
      <c r="A2381" s="7" t="s">
        <v>483</v>
      </c>
      <c r="B2381" s="7" t="s">
        <v>268</v>
      </c>
      <c r="C2381" s="7">
        <v>1.0</v>
      </c>
      <c r="D2381" s="7">
        <v>0.25</v>
      </c>
      <c r="E2381" s="7">
        <v>6.0</v>
      </c>
      <c r="F2381" s="7">
        <v>192.582597970962</v>
      </c>
      <c r="G2381" s="7">
        <v>507.100726604461</v>
      </c>
      <c r="H2381" s="7">
        <v>4.0</v>
      </c>
      <c r="I2381" s="15">
        <v>0.257426668337631</v>
      </c>
      <c r="J2381" s="15">
        <v>0.126142941820408</v>
      </c>
      <c r="K2381" s="12">
        <f>AVERAGE(I2377:I2381)</f>
        <v>0.4859506801</v>
      </c>
      <c r="L2381" s="18">
        <v>6758.0</v>
      </c>
      <c r="M2381" s="14">
        <f>STDEV(L2377:L2381)</f>
        <v>37101.55374</v>
      </c>
      <c r="N2381" s="15" t="b">
        <f t="shared" si="1"/>
        <v>0</v>
      </c>
    </row>
    <row r="2382" hidden="1">
      <c r="A2382" s="7" t="s">
        <v>484</v>
      </c>
      <c r="B2382" s="7" t="s">
        <v>268</v>
      </c>
      <c r="C2382" s="7">
        <v>1.0</v>
      </c>
      <c r="D2382" s="7">
        <v>0.25</v>
      </c>
      <c r="E2382" s="7">
        <v>7.0</v>
      </c>
      <c r="F2382" s="7">
        <v>184.411342859268</v>
      </c>
      <c r="G2382" s="7">
        <v>488.482372283935</v>
      </c>
      <c r="H2382" s="7">
        <v>0.0</v>
      </c>
      <c r="I2382" s="15">
        <v>0.772330302701183</v>
      </c>
      <c r="J2382" s="15">
        <v>0.11981299165155</v>
      </c>
      <c r="K2382" s="12">
        <f>AVERAGE(I2382:I2386)</f>
        <v>0.642224792</v>
      </c>
      <c r="L2382" s="18">
        <v>15648.0</v>
      </c>
      <c r="M2382" s="14">
        <f>STDEV(L2382:L2386)</f>
        <v>41129.90314</v>
      </c>
      <c r="N2382" s="15" t="b">
        <f t="shared" si="1"/>
        <v>0</v>
      </c>
    </row>
    <row r="2383" hidden="1">
      <c r="A2383" s="7" t="s">
        <v>484</v>
      </c>
      <c r="B2383" s="7" t="s">
        <v>268</v>
      </c>
      <c r="C2383" s="7">
        <v>1.0</v>
      </c>
      <c r="D2383" s="7">
        <v>0.25</v>
      </c>
      <c r="E2383" s="7">
        <v>7.0</v>
      </c>
      <c r="F2383" s="7">
        <v>184.411342859268</v>
      </c>
      <c r="G2383" s="7">
        <v>488.482372283935</v>
      </c>
      <c r="H2383" s="7">
        <v>1.0</v>
      </c>
      <c r="I2383" s="15">
        <v>0.721377431359351</v>
      </c>
      <c r="J2383" s="15">
        <v>0.141866519244286</v>
      </c>
      <c r="K2383" s="12">
        <f>AVERAGE(I2382:I2386)</f>
        <v>0.642224792</v>
      </c>
      <c r="L2383" s="18">
        <v>13542.0</v>
      </c>
      <c r="M2383" s="14">
        <f>STDEV(L2382:L2386)</f>
        <v>41129.90314</v>
      </c>
      <c r="N2383" s="15" t="b">
        <f t="shared" si="1"/>
        <v>0</v>
      </c>
    </row>
    <row r="2384" hidden="1">
      <c r="A2384" s="7" t="s">
        <v>484</v>
      </c>
      <c r="B2384" s="7" t="s">
        <v>268</v>
      </c>
      <c r="C2384" s="7">
        <v>1.0</v>
      </c>
      <c r="D2384" s="7">
        <v>0.25</v>
      </c>
      <c r="E2384" s="7">
        <v>7.0</v>
      </c>
      <c r="F2384" s="7">
        <v>184.411342859268</v>
      </c>
      <c r="G2384" s="7">
        <v>488.482372283935</v>
      </c>
      <c r="H2384" s="7">
        <v>2.0</v>
      </c>
      <c r="I2384" s="15">
        <v>0.827859375050821</v>
      </c>
      <c r="J2384" s="15">
        <v>0.0903350739380981</v>
      </c>
      <c r="K2384" s="12">
        <f>AVERAGE(I2382:I2386)</f>
        <v>0.642224792</v>
      </c>
      <c r="L2384" s="18">
        <v>4583.0</v>
      </c>
      <c r="M2384" s="14">
        <f>STDEV(L2382:L2386)</f>
        <v>41129.90314</v>
      </c>
      <c r="N2384" s="15" t="b">
        <f t="shared" si="1"/>
        <v>0</v>
      </c>
    </row>
    <row r="2385" hidden="1">
      <c r="A2385" s="7" t="s">
        <v>484</v>
      </c>
      <c r="B2385" s="7" t="s">
        <v>268</v>
      </c>
      <c r="C2385" s="7">
        <v>1.0</v>
      </c>
      <c r="D2385" s="7">
        <v>0.25</v>
      </c>
      <c r="E2385" s="7">
        <v>7.0</v>
      </c>
      <c r="F2385" s="7">
        <v>184.411342859268</v>
      </c>
      <c r="G2385" s="7">
        <v>488.482372283935</v>
      </c>
      <c r="H2385" s="7">
        <v>3.0</v>
      </c>
      <c r="I2385" s="15">
        <v>0.822015079992798</v>
      </c>
      <c r="J2385" s="15">
        <v>0.103433949654996</v>
      </c>
      <c r="K2385" s="12">
        <f>AVERAGE(I2382:I2386)</f>
        <v>0.642224792</v>
      </c>
      <c r="L2385" s="18">
        <v>6463.0</v>
      </c>
      <c r="M2385" s="14">
        <f>STDEV(L2382:L2386)</f>
        <v>41129.90314</v>
      </c>
      <c r="N2385" s="15" t="b">
        <f t="shared" si="1"/>
        <v>0</v>
      </c>
    </row>
    <row r="2386" hidden="1">
      <c r="A2386" s="7" t="s">
        <v>484</v>
      </c>
      <c r="B2386" s="7" t="s">
        <v>268</v>
      </c>
      <c r="C2386" s="7">
        <v>1.0</v>
      </c>
      <c r="D2386" s="7">
        <v>0.25</v>
      </c>
      <c r="E2386" s="7">
        <v>7.0</v>
      </c>
      <c r="F2386" s="7">
        <v>184.411342859268</v>
      </c>
      <c r="G2386" s="7">
        <v>488.482372283935</v>
      </c>
      <c r="H2386" s="7">
        <v>4.0</v>
      </c>
      <c r="I2386" s="15">
        <v>0.0675417711137017</v>
      </c>
      <c r="J2386" s="15">
        <v>0.073680654977271</v>
      </c>
      <c r="K2386" s="12">
        <f>AVERAGE(I2382:I2386)</f>
        <v>0.642224792</v>
      </c>
      <c r="L2386" s="18">
        <v>101440.0</v>
      </c>
      <c r="M2386" s="14">
        <f>STDEV(L2382:L2386)</f>
        <v>41129.90314</v>
      </c>
      <c r="N2386" s="15" t="b">
        <f t="shared" si="1"/>
        <v>0</v>
      </c>
    </row>
    <row r="2387" hidden="1">
      <c r="A2387" s="7" t="s">
        <v>485</v>
      </c>
      <c r="B2387" s="7" t="s">
        <v>268</v>
      </c>
      <c r="C2387" s="7">
        <v>1.0</v>
      </c>
      <c r="D2387" s="7">
        <v>0.25</v>
      </c>
      <c r="E2387" s="7">
        <v>8.0</v>
      </c>
      <c r="F2387" s="7">
        <v>207.532344102859</v>
      </c>
      <c r="G2387" s="7">
        <v>440.21351480484</v>
      </c>
      <c r="H2387" s="7">
        <v>0.0</v>
      </c>
      <c r="I2387" s="15">
        <v>0.0733068233262899</v>
      </c>
      <c r="J2387" s="15">
        <v>0.182743591545314</v>
      </c>
      <c r="K2387" s="12">
        <f>AVERAGE(I2387:I2391)</f>
        <v>0.4779076122</v>
      </c>
      <c r="L2387" s="18">
        <v>86728.0</v>
      </c>
      <c r="M2387" s="14">
        <f>STDEV(L2387:L2391)</f>
        <v>34011.60109</v>
      </c>
      <c r="N2387" s="15" t="b">
        <f t="shared" si="1"/>
        <v>0</v>
      </c>
    </row>
    <row r="2388" hidden="1">
      <c r="A2388" s="7" t="s">
        <v>485</v>
      </c>
      <c r="B2388" s="7" t="s">
        <v>268</v>
      </c>
      <c r="C2388" s="7">
        <v>1.0</v>
      </c>
      <c r="D2388" s="7">
        <v>0.25</v>
      </c>
      <c r="E2388" s="7">
        <v>8.0</v>
      </c>
      <c r="F2388" s="7">
        <v>207.532344102859</v>
      </c>
      <c r="G2388" s="7">
        <v>440.21351480484</v>
      </c>
      <c r="H2388" s="7">
        <v>1.0</v>
      </c>
      <c r="I2388" s="15">
        <v>0.190804637240958</v>
      </c>
      <c r="J2388" s="15">
        <v>0.0734933122121244</v>
      </c>
      <c r="K2388" s="12">
        <f>AVERAGE(I2387:I2391)</f>
        <v>0.4779076122</v>
      </c>
      <c r="L2388" s="18">
        <v>25185.0</v>
      </c>
      <c r="M2388" s="14">
        <f>STDEV(L2387:L2391)</f>
        <v>34011.60109</v>
      </c>
      <c r="N2388" s="15" t="b">
        <f t="shared" si="1"/>
        <v>0</v>
      </c>
    </row>
    <row r="2389" hidden="1">
      <c r="A2389" s="7" t="s">
        <v>485</v>
      </c>
      <c r="B2389" s="7" t="s">
        <v>268</v>
      </c>
      <c r="C2389" s="7">
        <v>1.0</v>
      </c>
      <c r="D2389" s="7">
        <v>0.25</v>
      </c>
      <c r="E2389" s="7">
        <v>8.0</v>
      </c>
      <c r="F2389" s="7">
        <v>207.532344102859</v>
      </c>
      <c r="G2389" s="7">
        <v>440.21351480484</v>
      </c>
      <c r="H2389" s="7">
        <v>2.0</v>
      </c>
      <c r="I2389" s="15">
        <v>0.847096903380133</v>
      </c>
      <c r="J2389" s="15">
        <v>0.0911812210980937</v>
      </c>
      <c r="K2389" s="12">
        <f>AVERAGE(I2387:I2391)</f>
        <v>0.4779076122</v>
      </c>
      <c r="L2389" s="18">
        <v>3534.0</v>
      </c>
      <c r="M2389" s="14">
        <f>STDEV(L2387:L2391)</f>
        <v>34011.60109</v>
      </c>
      <c r="N2389" s="15" t="b">
        <f t="shared" si="1"/>
        <v>0</v>
      </c>
    </row>
    <row r="2390" hidden="1">
      <c r="A2390" s="7" t="s">
        <v>485</v>
      </c>
      <c r="B2390" s="7" t="s">
        <v>268</v>
      </c>
      <c r="C2390" s="7">
        <v>1.0</v>
      </c>
      <c r="D2390" s="7">
        <v>0.25</v>
      </c>
      <c r="E2390" s="7">
        <v>8.0</v>
      </c>
      <c r="F2390" s="7">
        <v>207.532344102859</v>
      </c>
      <c r="G2390" s="7">
        <v>440.21351480484</v>
      </c>
      <c r="H2390" s="7">
        <v>3.0</v>
      </c>
      <c r="I2390" s="15">
        <v>0.865733001588941</v>
      </c>
      <c r="J2390" s="15">
        <v>0.0932983090614991</v>
      </c>
      <c r="K2390" s="12">
        <f>AVERAGE(I2387:I2391)</f>
        <v>0.4779076122</v>
      </c>
      <c r="L2390" s="18">
        <v>5081.0</v>
      </c>
      <c r="M2390" s="14">
        <f>STDEV(L2387:L2391)</f>
        <v>34011.60109</v>
      </c>
      <c r="N2390" s="15" t="b">
        <f t="shared" si="1"/>
        <v>0</v>
      </c>
    </row>
    <row r="2391" hidden="1">
      <c r="A2391" s="7" t="s">
        <v>485</v>
      </c>
      <c r="B2391" s="7" t="s">
        <v>268</v>
      </c>
      <c r="C2391" s="7">
        <v>1.0</v>
      </c>
      <c r="D2391" s="7">
        <v>0.25</v>
      </c>
      <c r="E2391" s="7">
        <v>8.0</v>
      </c>
      <c r="F2391" s="7">
        <v>207.532344102859</v>
      </c>
      <c r="G2391" s="7">
        <v>440.21351480484</v>
      </c>
      <c r="H2391" s="7">
        <v>4.0</v>
      </c>
      <c r="I2391" s="15">
        <v>0.41259669570051</v>
      </c>
      <c r="J2391" s="15">
        <v>0.146720703688303</v>
      </c>
      <c r="K2391" s="12">
        <f>AVERAGE(I2387:I2391)</f>
        <v>0.4779076122</v>
      </c>
      <c r="L2391" s="18">
        <v>21148.0</v>
      </c>
      <c r="M2391" s="14">
        <f>STDEV(L2387:L2391)</f>
        <v>34011.60109</v>
      </c>
      <c r="N2391" s="15" t="b">
        <f t="shared" si="1"/>
        <v>0</v>
      </c>
    </row>
    <row r="2392" hidden="1">
      <c r="A2392" s="7" t="s">
        <v>486</v>
      </c>
      <c r="B2392" s="7" t="s">
        <v>268</v>
      </c>
      <c r="C2392" s="7">
        <v>1.0</v>
      </c>
      <c r="D2392" s="7">
        <v>0.25</v>
      </c>
      <c r="E2392" s="7">
        <v>9.0</v>
      </c>
      <c r="F2392" s="7">
        <v>306.102513313293</v>
      </c>
      <c r="G2392" s="7">
        <v>518.020322084426</v>
      </c>
      <c r="H2392" s="7">
        <v>0.0</v>
      </c>
      <c r="I2392" s="15">
        <v>0.751403311481345</v>
      </c>
      <c r="J2392" s="15">
        <v>0.133371120944423</v>
      </c>
      <c r="K2392" s="12">
        <f>AVERAGE(I2392:I2396)</f>
        <v>0.5506299633</v>
      </c>
      <c r="L2392" s="18">
        <v>7585.0</v>
      </c>
      <c r="M2392" s="14">
        <f>STDEV(L2392:L2396)</f>
        <v>31105.17313</v>
      </c>
      <c r="N2392" s="15" t="b">
        <f t="shared" si="1"/>
        <v>0</v>
      </c>
    </row>
    <row r="2393" hidden="1">
      <c r="A2393" s="7" t="s">
        <v>486</v>
      </c>
      <c r="B2393" s="7" t="s">
        <v>268</v>
      </c>
      <c r="C2393" s="7">
        <v>1.0</v>
      </c>
      <c r="D2393" s="7">
        <v>0.25</v>
      </c>
      <c r="E2393" s="7">
        <v>9.0</v>
      </c>
      <c r="F2393" s="7">
        <v>306.102513313293</v>
      </c>
      <c r="G2393" s="7">
        <v>518.020322084426</v>
      </c>
      <c r="H2393" s="7">
        <v>1.0</v>
      </c>
      <c r="I2393" s="15">
        <v>0.832550173681141</v>
      </c>
      <c r="J2393" s="15">
        <v>0.0963480809418789</v>
      </c>
      <c r="K2393" s="12">
        <f>AVERAGE(I2392:I2396)</f>
        <v>0.5506299633</v>
      </c>
      <c r="L2393" s="18">
        <v>7289.0</v>
      </c>
      <c r="M2393" s="14">
        <f>STDEV(L2392:L2396)</f>
        <v>31105.17313</v>
      </c>
      <c r="N2393" s="15" t="b">
        <f t="shared" si="1"/>
        <v>0</v>
      </c>
    </row>
    <row r="2394" hidden="1">
      <c r="A2394" s="7" t="s">
        <v>486</v>
      </c>
      <c r="B2394" s="7" t="s">
        <v>268</v>
      </c>
      <c r="C2394" s="7">
        <v>1.0</v>
      </c>
      <c r="D2394" s="7">
        <v>0.25</v>
      </c>
      <c r="E2394" s="7">
        <v>9.0</v>
      </c>
      <c r="F2394" s="7">
        <v>306.102513313293</v>
      </c>
      <c r="G2394" s="7">
        <v>518.020322084426</v>
      </c>
      <c r="H2394" s="7">
        <v>2.0</v>
      </c>
      <c r="I2394" s="15">
        <v>0.823333169069315</v>
      </c>
      <c r="J2394" s="15">
        <v>0.100112606599448</v>
      </c>
      <c r="K2394" s="12">
        <f>AVERAGE(I2392:I2396)</f>
        <v>0.5506299633</v>
      </c>
      <c r="L2394" s="18">
        <v>6454.0</v>
      </c>
      <c r="M2394" s="14">
        <f>STDEV(L2392:L2396)</f>
        <v>31105.17313</v>
      </c>
      <c r="N2394" s="15" t="b">
        <f t="shared" si="1"/>
        <v>0</v>
      </c>
    </row>
    <row r="2395" hidden="1">
      <c r="A2395" s="7" t="s">
        <v>486</v>
      </c>
      <c r="B2395" s="7" t="s">
        <v>268</v>
      </c>
      <c r="C2395" s="7">
        <v>1.0</v>
      </c>
      <c r="D2395" s="7">
        <v>0.25</v>
      </c>
      <c r="E2395" s="7">
        <v>9.0</v>
      </c>
      <c r="F2395" s="7">
        <v>306.102513313293</v>
      </c>
      <c r="G2395" s="7">
        <v>518.020322084426</v>
      </c>
      <c r="H2395" s="7">
        <v>3.0</v>
      </c>
      <c r="I2395" s="15">
        <v>0.270607487313252</v>
      </c>
      <c r="J2395" s="15">
        <v>0.0684159293644562</v>
      </c>
      <c r="K2395" s="12">
        <f>AVERAGE(I2392:I2396)</f>
        <v>0.5506299633</v>
      </c>
      <c r="L2395" s="18">
        <v>44515.0</v>
      </c>
      <c r="M2395" s="14">
        <f>STDEV(L2392:L2396)</f>
        <v>31105.17313</v>
      </c>
      <c r="N2395" s="15" t="b">
        <f t="shared" si="1"/>
        <v>0</v>
      </c>
    </row>
    <row r="2396" hidden="1">
      <c r="A2396" s="7" t="s">
        <v>486</v>
      </c>
      <c r="B2396" s="7" t="s">
        <v>268</v>
      </c>
      <c r="C2396" s="7">
        <v>1.0</v>
      </c>
      <c r="D2396" s="7">
        <v>0.25</v>
      </c>
      <c r="E2396" s="7">
        <v>9.0</v>
      </c>
      <c r="F2396" s="7">
        <v>306.102513313293</v>
      </c>
      <c r="G2396" s="7">
        <v>518.020322084426</v>
      </c>
      <c r="H2396" s="7">
        <v>4.0</v>
      </c>
      <c r="I2396" s="15">
        <v>0.0752556749414562</v>
      </c>
      <c r="J2396" s="15">
        <v>0.0883455058129679</v>
      </c>
      <c r="K2396" s="12">
        <f>AVERAGE(I2392:I2396)</f>
        <v>0.5506299633</v>
      </c>
      <c r="L2396" s="18">
        <v>75833.0</v>
      </c>
      <c r="M2396" s="14">
        <f>STDEV(L2392:L2396)</f>
        <v>31105.17313</v>
      </c>
      <c r="N2396" s="15" t="b">
        <f t="shared" si="1"/>
        <v>0</v>
      </c>
    </row>
    <row r="2397" hidden="1">
      <c r="A2397" s="7" t="s">
        <v>487</v>
      </c>
      <c r="B2397" s="7" t="s">
        <v>268</v>
      </c>
      <c r="C2397" s="7">
        <v>1.0</v>
      </c>
      <c r="D2397" s="7">
        <v>0.25</v>
      </c>
      <c r="E2397" s="7">
        <v>10.0</v>
      </c>
      <c r="F2397" s="7">
        <v>208.70459485054</v>
      </c>
      <c r="G2397" s="7">
        <v>502.317469358444</v>
      </c>
      <c r="H2397" s="7">
        <v>0.0</v>
      </c>
      <c r="I2397" s="15">
        <v>0.720672055876775</v>
      </c>
      <c r="J2397" s="15">
        <v>0.14186024990721</v>
      </c>
      <c r="K2397" s="12">
        <f>AVERAGE(I2397:I2401)</f>
        <v>0.3964100523</v>
      </c>
      <c r="L2397" s="18">
        <v>13544.0</v>
      </c>
      <c r="M2397" s="14">
        <f>STDEV(L2397:L2401)</f>
        <v>23188.28785</v>
      </c>
      <c r="N2397" s="15" t="b">
        <f t="shared" si="1"/>
        <v>0</v>
      </c>
    </row>
    <row r="2398" hidden="1">
      <c r="A2398" s="7" t="s">
        <v>487</v>
      </c>
      <c r="B2398" s="7" t="s">
        <v>268</v>
      </c>
      <c r="C2398" s="7">
        <v>1.0</v>
      </c>
      <c r="D2398" s="7">
        <v>0.25</v>
      </c>
      <c r="E2398" s="7">
        <v>10.0</v>
      </c>
      <c r="F2398" s="7">
        <v>208.70459485054</v>
      </c>
      <c r="G2398" s="7">
        <v>502.317469358444</v>
      </c>
      <c r="H2398" s="7">
        <v>1.0</v>
      </c>
      <c r="I2398" s="15">
        <v>0.776022960980337</v>
      </c>
      <c r="J2398" s="15">
        <v>0.0867347848816823</v>
      </c>
      <c r="K2398" s="12">
        <f>AVERAGE(I2397:I2401)</f>
        <v>0.3964100523</v>
      </c>
      <c r="L2398" s="18">
        <v>10322.0</v>
      </c>
      <c r="M2398" s="14">
        <f>STDEV(L2397:L2401)</f>
        <v>23188.28785</v>
      </c>
      <c r="N2398" s="15" t="b">
        <f t="shared" si="1"/>
        <v>0</v>
      </c>
    </row>
    <row r="2399" hidden="1">
      <c r="A2399" s="7" t="s">
        <v>487</v>
      </c>
      <c r="B2399" s="7" t="s">
        <v>268</v>
      </c>
      <c r="C2399" s="7">
        <v>1.0</v>
      </c>
      <c r="D2399" s="7">
        <v>0.25</v>
      </c>
      <c r="E2399" s="7">
        <v>10.0</v>
      </c>
      <c r="F2399" s="7">
        <v>208.70459485054</v>
      </c>
      <c r="G2399" s="7">
        <v>502.317469358444</v>
      </c>
      <c r="H2399" s="7">
        <v>2.0</v>
      </c>
      <c r="I2399" s="15">
        <v>0.456267665053812</v>
      </c>
      <c r="J2399" s="15">
        <v>0.152548129645601</v>
      </c>
      <c r="K2399" s="12">
        <f>AVERAGE(I2397:I2401)</f>
        <v>0.3964100523</v>
      </c>
      <c r="L2399" s="18">
        <v>21848.0</v>
      </c>
      <c r="M2399" s="14">
        <f>STDEV(L2397:L2401)</f>
        <v>23188.28785</v>
      </c>
      <c r="N2399" s="15" t="b">
        <f t="shared" si="1"/>
        <v>0</v>
      </c>
    </row>
    <row r="2400" hidden="1">
      <c r="A2400" s="7" t="s">
        <v>487</v>
      </c>
      <c r="B2400" s="7" t="s">
        <v>268</v>
      </c>
      <c r="C2400" s="7">
        <v>1.0</v>
      </c>
      <c r="D2400" s="7">
        <v>0.25</v>
      </c>
      <c r="E2400" s="7">
        <v>10.0</v>
      </c>
      <c r="F2400" s="7">
        <v>208.70459485054</v>
      </c>
      <c r="G2400" s="7">
        <v>502.317469358444</v>
      </c>
      <c r="H2400" s="7">
        <v>3.0</v>
      </c>
      <c r="I2400" s="15">
        <v>0.0807880632747945</v>
      </c>
      <c r="J2400" s="15">
        <v>0.0817594731331574</v>
      </c>
      <c r="K2400" s="12">
        <f>AVERAGE(I2397:I2401)</f>
        <v>0.3964100523</v>
      </c>
      <c r="L2400" s="18">
        <v>67900.0</v>
      </c>
      <c r="M2400" s="14">
        <f>STDEV(L2397:L2401)</f>
        <v>23188.28785</v>
      </c>
      <c r="N2400" s="15" t="b">
        <f t="shared" si="1"/>
        <v>0</v>
      </c>
    </row>
    <row r="2401" hidden="1">
      <c r="A2401" s="7" t="s">
        <v>487</v>
      </c>
      <c r="B2401" s="7" t="s">
        <v>268</v>
      </c>
      <c r="C2401" s="7">
        <v>1.0</v>
      </c>
      <c r="D2401" s="7">
        <v>0.25</v>
      </c>
      <c r="E2401" s="7">
        <v>10.0</v>
      </c>
      <c r="F2401" s="7">
        <v>208.70459485054</v>
      </c>
      <c r="G2401" s="7">
        <v>502.317469358444</v>
      </c>
      <c r="H2401" s="7">
        <v>4.0</v>
      </c>
      <c r="I2401" s="15">
        <v>-0.0517004836521424</v>
      </c>
      <c r="J2401" s="15">
        <v>0.436212119303957</v>
      </c>
      <c r="K2401" s="12">
        <f>AVERAGE(I2397:I2401)</f>
        <v>0.3964100523</v>
      </c>
      <c r="L2401" s="18">
        <v>28062.0</v>
      </c>
      <c r="M2401" s="14">
        <f>STDEV(L2397:L2401)</f>
        <v>23188.28785</v>
      </c>
      <c r="N2401" s="15" t="b">
        <f t="shared" si="1"/>
        <v>0</v>
      </c>
    </row>
    <row r="2402" hidden="1">
      <c r="A2402" s="7" t="s">
        <v>488</v>
      </c>
      <c r="B2402" s="7" t="s">
        <v>268</v>
      </c>
      <c r="C2402" s="7">
        <v>1.0</v>
      </c>
      <c r="D2402" s="7">
        <v>0.5</v>
      </c>
      <c r="E2402" s="7">
        <v>1.0</v>
      </c>
      <c r="F2402" s="7">
        <v>227.731194496154</v>
      </c>
      <c r="G2402" s="7">
        <v>505.780264139175</v>
      </c>
      <c r="H2402" s="7">
        <v>0.0</v>
      </c>
      <c r="I2402" s="15">
        <v>0.353869120909907</v>
      </c>
      <c r="J2402" s="15">
        <v>0.209236854948538</v>
      </c>
      <c r="K2402" s="12">
        <f>AVERAGE(I2402:I2406)</f>
        <v>0.5524625686</v>
      </c>
      <c r="L2402" s="18">
        <v>31035.0</v>
      </c>
      <c r="M2402" s="14">
        <f>STDEV(L2402:L2406)</f>
        <v>26424.16234</v>
      </c>
      <c r="N2402" s="15" t="b">
        <f t="shared" si="1"/>
        <v>0</v>
      </c>
    </row>
    <row r="2403" hidden="1">
      <c r="A2403" s="7" t="s">
        <v>488</v>
      </c>
      <c r="B2403" s="7" t="s">
        <v>268</v>
      </c>
      <c r="C2403" s="7">
        <v>1.0</v>
      </c>
      <c r="D2403" s="7">
        <v>0.5</v>
      </c>
      <c r="E2403" s="7">
        <v>1.0</v>
      </c>
      <c r="F2403" s="7">
        <v>227.731194496154</v>
      </c>
      <c r="G2403" s="7">
        <v>505.780264139175</v>
      </c>
      <c r="H2403" s="7">
        <v>1.0</v>
      </c>
      <c r="I2403" s="15">
        <v>0.764131153659588</v>
      </c>
      <c r="J2403" s="15">
        <v>0.132085650737754</v>
      </c>
      <c r="K2403" s="12">
        <f>AVERAGE(I2402:I2406)</f>
        <v>0.5524625686</v>
      </c>
      <c r="L2403" s="18">
        <v>15639.0</v>
      </c>
      <c r="M2403" s="14">
        <f>STDEV(L2402:L2406)</f>
        <v>26424.16234</v>
      </c>
      <c r="N2403" s="15" t="b">
        <f t="shared" si="1"/>
        <v>0</v>
      </c>
    </row>
    <row r="2404" hidden="1">
      <c r="A2404" s="7" t="s">
        <v>488</v>
      </c>
      <c r="B2404" s="7" t="s">
        <v>268</v>
      </c>
      <c r="C2404" s="7">
        <v>1.0</v>
      </c>
      <c r="D2404" s="7">
        <v>0.5</v>
      </c>
      <c r="E2404" s="7">
        <v>1.0</v>
      </c>
      <c r="F2404" s="7">
        <v>227.731194496154</v>
      </c>
      <c r="G2404" s="7">
        <v>505.780264139175</v>
      </c>
      <c r="H2404" s="7">
        <v>2.0</v>
      </c>
      <c r="I2404" s="15">
        <v>0.051164146090325</v>
      </c>
      <c r="J2404" s="15">
        <v>0.0464895895127099</v>
      </c>
      <c r="K2404" s="12">
        <f>AVERAGE(I2402:I2406)</f>
        <v>0.5524625686</v>
      </c>
      <c r="L2404" s="18">
        <v>72890.0</v>
      </c>
      <c r="M2404" s="14">
        <f>STDEV(L2402:L2406)</f>
        <v>26424.16234</v>
      </c>
      <c r="N2404" s="15" t="b">
        <f t="shared" si="1"/>
        <v>0</v>
      </c>
    </row>
    <row r="2405" hidden="1">
      <c r="A2405" s="7" t="s">
        <v>488</v>
      </c>
      <c r="B2405" s="7" t="s">
        <v>268</v>
      </c>
      <c r="C2405" s="7">
        <v>1.0</v>
      </c>
      <c r="D2405" s="7">
        <v>0.5</v>
      </c>
      <c r="E2405" s="7">
        <v>1.0</v>
      </c>
      <c r="F2405" s="7">
        <v>227.731194496154</v>
      </c>
      <c r="G2405" s="7">
        <v>505.780264139175</v>
      </c>
      <c r="H2405" s="7">
        <v>3.0</v>
      </c>
      <c r="I2405" s="15">
        <v>0.822336402074121</v>
      </c>
      <c r="J2405" s="15">
        <v>0.100250834656526</v>
      </c>
      <c r="K2405" s="12">
        <f>AVERAGE(I2402:I2406)</f>
        <v>0.5524625686</v>
      </c>
      <c r="L2405" s="18">
        <v>6463.0</v>
      </c>
      <c r="M2405" s="14">
        <f>STDEV(L2402:L2406)</f>
        <v>26424.16234</v>
      </c>
      <c r="N2405" s="15" t="b">
        <f t="shared" si="1"/>
        <v>0</v>
      </c>
    </row>
    <row r="2406" hidden="1">
      <c r="A2406" s="7" t="s">
        <v>488</v>
      </c>
      <c r="B2406" s="7" t="s">
        <v>268</v>
      </c>
      <c r="C2406" s="7">
        <v>1.0</v>
      </c>
      <c r="D2406" s="7">
        <v>0.5</v>
      </c>
      <c r="E2406" s="7">
        <v>1.0</v>
      </c>
      <c r="F2406" s="7">
        <v>227.731194496154</v>
      </c>
      <c r="G2406" s="7">
        <v>505.780264139175</v>
      </c>
      <c r="H2406" s="7">
        <v>4.0</v>
      </c>
      <c r="I2406" s="15">
        <v>0.77081202014781</v>
      </c>
      <c r="J2406" s="15">
        <v>0.120113277289136</v>
      </c>
      <c r="K2406" s="12">
        <f>AVERAGE(I2402:I2406)</f>
        <v>0.5524625686</v>
      </c>
      <c r="L2406" s="18">
        <v>15649.0</v>
      </c>
      <c r="M2406" s="14">
        <f>STDEV(L2402:L2406)</f>
        <v>26424.16234</v>
      </c>
      <c r="N2406" s="15" t="b">
        <f t="shared" si="1"/>
        <v>0</v>
      </c>
    </row>
    <row r="2407" hidden="1">
      <c r="A2407" s="7" t="s">
        <v>489</v>
      </c>
      <c r="B2407" s="7" t="s">
        <v>268</v>
      </c>
      <c r="C2407" s="7">
        <v>1.0</v>
      </c>
      <c r="D2407" s="7">
        <v>0.5</v>
      </c>
      <c r="E2407" s="7">
        <v>2.0</v>
      </c>
      <c r="F2407" s="7">
        <v>199.44089436531</v>
      </c>
      <c r="G2407" s="7">
        <v>403.448369503021</v>
      </c>
      <c r="H2407" s="7">
        <v>0.0</v>
      </c>
      <c r="I2407" s="15">
        <v>0.763318463529003</v>
      </c>
      <c r="J2407" s="15">
        <v>0.134899778216841</v>
      </c>
      <c r="K2407" s="12">
        <f>AVERAGE(I2407:I2411)</f>
        <v>0.4348930853</v>
      </c>
      <c r="L2407" s="18">
        <v>15631.0</v>
      </c>
      <c r="M2407" s="14">
        <f>STDEV(L2407:L2411)</f>
        <v>20312.62975</v>
      </c>
      <c r="N2407" s="15" t="b">
        <f t="shared" si="1"/>
        <v>0</v>
      </c>
    </row>
    <row r="2408" hidden="1">
      <c r="A2408" s="7" t="s">
        <v>489</v>
      </c>
      <c r="B2408" s="7" t="s">
        <v>268</v>
      </c>
      <c r="C2408" s="7">
        <v>1.0</v>
      </c>
      <c r="D2408" s="7">
        <v>0.5</v>
      </c>
      <c r="E2408" s="7">
        <v>2.0</v>
      </c>
      <c r="F2408" s="7">
        <v>199.44089436531</v>
      </c>
      <c r="G2408" s="7">
        <v>403.448369503021</v>
      </c>
      <c r="H2408" s="7">
        <v>1.0</v>
      </c>
      <c r="I2408" s="15">
        <v>0.321869649081382</v>
      </c>
      <c r="J2408" s="15">
        <v>0.13326279550394</v>
      </c>
      <c r="K2408" s="12">
        <f>AVERAGE(I2407:I2411)</f>
        <v>0.4348930853</v>
      </c>
      <c r="L2408" s="18">
        <v>28595.0</v>
      </c>
      <c r="M2408" s="14">
        <f>STDEV(L2407:L2411)</f>
        <v>20312.62975</v>
      </c>
      <c r="N2408" s="15" t="b">
        <f t="shared" si="1"/>
        <v>0</v>
      </c>
    </row>
    <row r="2409" hidden="1">
      <c r="A2409" s="7" t="s">
        <v>489</v>
      </c>
      <c r="B2409" s="7" t="s">
        <v>268</v>
      </c>
      <c r="C2409" s="7">
        <v>1.0</v>
      </c>
      <c r="D2409" s="7">
        <v>0.5</v>
      </c>
      <c r="E2409" s="7">
        <v>2.0</v>
      </c>
      <c r="F2409" s="7">
        <v>199.44089436531</v>
      </c>
      <c r="G2409" s="7">
        <v>403.448369503021</v>
      </c>
      <c r="H2409" s="7">
        <v>2.0</v>
      </c>
      <c r="I2409" s="15">
        <v>0.233076817333233</v>
      </c>
      <c r="J2409" s="15">
        <v>0.129065353474201</v>
      </c>
      <c r="K2409" s="12">
        <f>AVERAGE(I2407:I2411)</f>
        <v>0.4348930853</v>
      </c>
      <c r="L2409" s="18">
        <v>44177.0</v>
      </c>
      <c r="M2409" s="14">
        <f>STDEV(L2407:L2411)</f>
        <v>20312.62975</v>
      </c>
      <c r="N2409" s="15" t="b">
        <f t="shared" si="1"/>
        <v>0</v>
      </c>
    </row>
    <row r="2410" hidden="1">
      <c r="A2410" s="7" t="s">
        <v>489</v>
      </c>
      <c r="B2410" s="7" t="s">
        <v>268</v>
      </c>
      <c r="C2410" s="7">
        <v>1.0</v>
      </c>
      <c r="D2410" s="7">
        <v>0.5</v>
      </c>
      <c r="E2410" s="7">
        <v>2.0</v>
      </c>
      <c r="F2410" s="7">
        <v>199.44089436531</v>
      </c>
      <c r="G2410" s="7">
        <v>403.448369503021</v>
      </c>
      <c r="H2410" s="7">
        <v>3.0</v>
      </c>
      <c r="I2410" s="15">
        <v>0.804622627238544</v>
      </c>
      <c r="J2410" s="15">
        <v>0.139710319918726</v>
      </c>
      <c r="K2410" s="12">
        <f>AVERAGE(I2407:I2411)</f>
        <v>0.4348930853</v>
      </c>
      <c r="L2410" s="18">
        <v>1815.0</v>
      </c>
      <c r="M2410" s="14">
        <f>STDEV(L2407:L2411)</f>
        <v>20312.62975</v>
      </c>
      <c r="N2410" s="15" t="b">
        <f t="shared" si="1"/>
        <v>0</v>
      </c>
    </row>
    <row r="2411" hidden="1">
      <c r="A2411" s="7" t="s">
        <v>489</v>
      </c>
      <c r="B2411" s="7" t="s">
        <v>268</v>
      </c>
      <c r="C2411" s="7">
        <v>1.0</v>
      </c>
      <c r="D2411" s="7">
        <v>0.5</v>
      </c>
      <c r="E2411" s="7">
        <v>2.0</v>
      </c>
      <c r="F2411" s="7">
        <v>199.44089436531</v>
      </c>
      <c r="G2411" s="7">
        <v>403.448369503021</v>
      </c>
      <c r="H2411" s="7">
        <v>4.0</v>
      </c>
      <c r="I2411" s="15">
        <v>0.0515778693017911</v>
      </c>
      <c r="J2411" s="15">
        <v>0.0387265170486833</v>
      </c>
      <c r="K2411" s="12">
        <f>AVERAGE(I2407:I2411)</f>
        <v>0.4348930853</v>
      </c>
      <c r="L2411" s="18">
        <v>51458.0</v>
      </c>
      <c r="M2411" s="14">
        <f>STDEV(L2407:L2411)</f>
        <v>20312.62975</v>
      </c>
      <c r="N2411" s="15" t="b">
        <f t="shared" si="1"/>
        <v>0</v>
      </c>
    </row>
    <row r="2412" hidden="1">
      <c r="A2412" s="7" t="s">
        <v>490</v>
      </c>
      <c r="B2412" s="7" t="s">
        <v>268</v>
      </c>
      <c r="C2412" s="7">
        <v>1.0</v>
      </c>
      <c r="D2412" s="7">
        <v>0.5</v>
      </c>
      <c r="E2412" s="7">
        <v>3.0</v>
      </c>
      <c r="F2412" s="7">
        <v>148.47728395462</v>
      </c>
      <c r="G2412" s="7">
        <v>364.608571052551</v>
      </c>
      <c r="H2412" s="7">
        <v>0.0</v>
      </c>
      <c r="I2412" s="15">
        <v>0.81271960734568</v>
      </c>
      <c r="J2412" s="15">
        <v>0.113077363744842</v>
      </c>
      <c r="K2412" s="12">
        <f>AVERAGE(I2412:I2416)</f>
        <v>0.5475834</v>
      </c>
      <c r="L2412" s="18">
        <v>5602.0</v>
      </c>
      <c r="M2412" s="14">
        <f>STDEV(L2412:L2416)</f>
        <v>33258.94514</v>
      </c>
      <c r="N2412" s="15" t="b">
        <f t="shared" si="1"/>
        <v>0</v>
      </c>
    </row>
    <row r="2413" hidden="1">
      <c r="A2413" s="7" t="s">
        <v>490</v>
      </c>
      <c r="B2413" s="7" t="s">
        <v>268</v>
      </c>
      <c r="C2413" s="7">
        <v>1.0</v>
      </c>
      <c r="D2413" s="7">
        <v>0.5</v>
      </c>
      <c r="E2413" s="7">
        <v>3.0</v>
      </c>
      <c r="F2413" s="7">
        <v>148.47728395462</v>
      </c>
      <c r="G2413" s="7">
        <v>364.608571052551</v>
      </c>
      <c r="H2413" s="7">
        <v>1.0</v>
      </c>
      <c r="I2413" s="15">
        <v>0.0639436830369873</v>
      </c>
      <c r="J2413" s="15">
        <v>0.0525406348071136</v>
      </c>
      <c r="K2413" s="12">
        <f>AVERAGE(I2412:I2416)</f>
        <v>0.5475834</v>
      </c>
      <c r="L2413" s="18">
        <v>82327.0</v>
      </c>
      <c r="M2413" s="14">
        <f>STDEV(L2412:L2416)</f>
        <v>33258.94514</v>
      </c>
      <c r="N2413" s="15" t="b">
        <f t="shared" si="1"/>
        <v>0</v>
      </c>
    </row>
    <row r="2414" hidden="1">
      <c r="A2414" s="7" t="s">
        <v>490</v>
      </c>
      <c r="B2414" s="7" t="s">
        <v>268</v>
      </c>
      <c r="C2414" s="7">
        <v>1.0</v>
      </c>
      <c r="D2414" s="7">
        <v>0.5</v>
      </c>
      <c r="E2414" s="7">
        <v>3.0</v>
      </c>
      <c r="F2414" s="7">
        <v>148.47728395462</v>
      </c>
      <c r="G2414" s="7">
        <v>364.608571052551</v>
      </c>
      <c r="H2414" s="7">
        <v>2.0</v>
      </c>
      <c r="I2414" s="15">
        <v>0.764452024398643</v>
      </c>
      <c r="J2414" s="15">
        <v>0.131850683048815</v>
      </c>
      <c r="K2414" s="12">
        <f>AVERAGE(I2412:I2416)</f>
        <v>0.5475834</v>
      </c>
      <c r="L2414" s="18">
        <v>15650.0</v>
      </c>
      <c r="M2414" s="14">
        <f>STDEV(L2412:L2416)</f>
        <v>33258.94514</v>
      </c>
      <c r="N2414" s="15" t="b">
        <f t="shared" si="1"/>
        <v>0</v>
      </c>
    </row>
    <row r="2415" hidden="1">
      <c r="A2415" s="7" t="s">
        <v>490</v>
      </c>
      <c r="B2415" s="7" t="s">
        <v>268</v>
      </c>
      <c r="C2415" s="7">
        <v>1.0</v>
      </c>
      <c r="D2415" s="7">
        <v>0.5</v>
      </c>
      <c r="E2415" s="7">
        <v>3.0</v>
      </c>
      <c r="F2415" s="7">
        <v>148.47728395462</v>
      </c>
      <c r="G2415" s="7">
        <v>364.608571052551</v>
      </c>
      <c r="H2415" s="7">
        <v>3.0</v>
      </c>
      <c r="I2415" s="15">
        <v>0.870880993437256</v>
      </c>
      <c r="J2415" s="15">
        <v>0.0273810763120605</v>
      </c>
      <c r="K2415" s="12">
        <f>AVERAGE(I2412:I2416)</f>
        <v>0.5475834</v>
      </c>
      <c r="L2415" s="18">
        <v>892.0</v>
      </c>
      <c r="M2415" s="14">
        <f>STDEV(L2412:L2416)</f>
        <v>33258.94514</v>
      </c>
      <c r="N2415" s="15" t="b">
        <f t="shared" si="1"/>
        <v>0</v>
      </c>
    </row>
    <row r="2416" hidden="1">
      <c r="A2416" s="7" t="s">
        <v>490</v>
      </c>
      <c r="B2416" s="7" t="s">
        <v>268</v>
      </c>
      <c r="C2416" s="7">
        <v>1.0</v>
      </c>
      <c r="D2416" s="7">
        <v>0.5</v>
      </c>
      <c r="E2416" s="7">
        <v>3.0</v>
      </c>
      <c r="F2416" s="7">
        <v>148.47728395462</v>
      </c>
      <c r="G2416" s="7">
        <v>364.608571052551</v>
      </c>
      <c r="H2416" s="7">
        <v>4.0</v>
      </c>
      <c r="I2416" s="15">
        <v>0.225920691768086</v>
      </c>
      <c r="J2416" s="15">
        <v>0.279145326226962</v>
      </c>
      <c r="K2416" s="12">
        <f>AVERAGE(I2412:I2416)</f>
        <v>0.5475834</v>
      </c>
      <c r="L2416" s="18">
        <v>37205.0</v>
      </c>
      <c r="M2416" s="14">
        <f>STDEV(L2412:L2416)</f>
        <v>33258.94514</v>
      </c>
      <c r="N2416" s="15" t="b">
        <f t="shared" si="1"/>
        <v>0</v>
      </c>
    </row>
    <row r="2417" hidden="1">
      <c r="A2417" s="7" t="s">
        <v>491</v>
      </c>
      <c r="B2417" s="7" t="s">
        <v>268</v>
      </c>
      <c r="C2417" s="7">
        <v>1.0</v>
      </c>
      <c r="D2417" s="7">
        <v>0.5</v>
      </c>
      <c r="E2417" s="7">
        <v>4.0</v>
      </c>
      <c r="F2417" s="7">
        <v>166.40155673027</v>
      </c>
      <c r="G2417" s="7">
        <v>417.496689558029</v>
      </c>
      <c r="H2417" s="7">
        <v>0.0</v>
      </c>
      <c r="I2417" s="15">
        <v>0.751183066880301</v>
      </c>
      <c r="J2417" s="15">
        <v>0.132281633710045</v>
      </c>
      <c r="K2417" s="12">
        <f>AVERAGE(I2417:I2421)</f>
        <v>0.5702904849</v>
      </c>
      <c r="L2417" s="18">
        <v>7596.0</v>
      </c>
      <c r="M2417" s="14">
        <f>STDEV(L2417:L2421)</f>
        <v>35599.20976</v>
      </c>
      <c r="N2417" s="15" t="b">
        <f t="shared" si="1"/>
        <v>0</v>
      </c>
    </row>
    <row r="2418" hidden="1">
      <c r="A2418" s="7" t="s">
        <v>491</v>
      </c>
      <c r="B2418" s="7" t="s">
        <v>268</v>
      </c>
      <c r="C2418" s="7">
        <v>1.0</v>
      </c>
      <c r="D2418" s="7">
        <v>0.5</v>
      </c>
      <c r="E2418" s="7">
        <v>4.0</v>
      </c>
      <c r="F2418" s="7">
        <v>166.40155673027</v>
      </c>
      <c r="G2418" s="7">
        <v>417.496689558029</v>
      </c>
      <c r="H2418" s="7">
        <v>1.0</v>
      </c>
      <c r="I2418" s="15">
        <v>0.832651706867578</v>
      </c>
      <c r="J2418" s="15">
        <v>0.0955389467168717</v>
      </c>
      <c r="K2418" s="12">
        <f>AVERAGE(I2417:I2421)</f>
        <v>0.5702904849</v>
      </c>
      <c r="L2418" s="18">
        <v>7289.0</v>
      </c>
      <c r="M2418" s="14">
        <f>STDEV(L2417:L2421)</f>
        <v>35599.20976</v>
      </c>
      <c r="N2418" s="15" t="b">
        <f t="shared" si="1"/>
        <v>0</v>
      </c>
    </row>
    <row r="2419" hidden="1">
      <c r="A2419" s="7" t="s">
        <v>491</v>
      </c>
      <c r="B2419" s="7" t="s">
        <v>268</v>
      </c>
      <c r="C2419" s="7">
        <v>1.0</v>
      </c>
      <c r="D2419" s="7">
        <v>0.5</v>
      </c>
      <c r="E2419" s="7">
        <v>4.0</v>
      </c>
      <c r="F2419" s="7">
        <v>166.40155673027</v>
      </c>
      <c r="G2419" s="7">
        <v>417.496689558029</v>
      </c>
      <c r="H2419" s="7">
        <v>2.0</v>
      </c>
      <c r="I2419" s="15">
        <v>0.363282116620377</v>
      </c>
      <c r="J2419" s="15">
        <v>0.195192645816862</v>
      </c>
      <c r="K2419" s="12">
        <f>AVERAGE(I2417:I2421)</f>
        <v>0.5702904849</v>
      </c>
      <c r="L2419" s="18">
        <v>31094.0</v>
      </c>
      <c r="M2419" s="14">
        <f>STDEV(L2417:L2421)</f>
        <v>35599.20976</v>
      </c>
      <c r="N2419" s="15" t="b">
        <f t="shared" si="1"/>
        <v>0</v>
      </c>
    </row>
    <row r="2420" hidden="1">
      <c r="A2420" s="7" t="s">
        <v>491</v>
      </c>
      <c r="B2420" s="7" t="s">
        <v>268</v>
      </c>
      <c r="C2420" s="7">
        <v>1.0</v>
      </c>
      <c r="D2420" s="7">
        <v>0.5</v>
      </c>
      <c r="E2420" s="7">
        <v>4.0</v>
      </c>
      <c r="F2420" s="7">
        <v>166.40155673027</v>
      </c>
      <c r="G2420" s="7">
        <v>417.496689558029</v>
      </c>
      <c r="H2420" s="7">
        <v>3.0</v>
      </c>
      <c r="I2420" s="15">
        <v>0.823394769878844</v>
      </c>
      <c r="J2420" s="15">
        <v>0.0996323878865993</v>
      </c>
      <c r="K2420" s="12">
        <f>AVERAGE(I2417:I2421)</f>
        <v>0.5702904849</v>
      </c>
      <c r="L2420" s="18">
        <v>6454.0</v>
      </c>
      <c r="M2420" s="14">
        <f>STDEV(L2417:L2421)</f>
        <v>35599.20976</v>
      </c>
      <c r="N2420" s="15" t="b">
        <f t="shared" si="1"/>
        <v>0</v>
      </c>
    </row>
    <row r="2421" hidden="1">
      <c r="A2421" s="7" t="s">
        <v>491</v>
      </c>
      <c r="B2421" s="7" t="s">
        <v>268</v>
      </c>
      <c r="C2421" s="7">
        <v>1.0</v>
      </c>
      <c r="D2421" s="7">
        <v>0.5</v>
      </c>
      <c r="E2421" s="7">
        <v>4.0</v>
      </c>
      <c r="F2421" s="7">
        <v>166.40155673027</v>
      </c>
      <c r="G2421" s="7">
        <v>417.496689558029</v>
      </c>
      <c r="H2421" s="7">
        <v>4.0</v>
      </c>
      <c r="I2421" s="15">
        <v>0.0809407643990344</v>
      </c>
      <c r="J2421" s="15">
        <v>0.058634913933558</v>
      </c>
      <c r="K2421" s="12">
        <f>AVERAGE(I2417:I2421)</f>
        <v>0.5702904849</v>
      </c>
      <c r="L2421" s="18">
        <v>89243.0</v>
      </c>
      <c r="M2421" s="14">
        <f>STDEV(L2417:L2421)</f>
        <v>35599.20976</v>
      </c>
      <c r="N2421" s="15" t="b">
        <f t="shared" si="1"/>
        <v>0</v>
      </c>
    </row>
    <row r="2422" hidden="1">
      <c r="A2422" s="7" t="s">
        <v>492</v>
      </c>
      <c r="B2422" s="7" t="s">
        <v>268</v>
      </c>
      <c r="C2422" s="7">
        <v>1.0</v>
      </c>
      <c r="D2422" s="7">
        <v>0.5</v>
      </c>
      <c r="E2422" s="7">
        <v>5.0</v>
      </c>
      <c r="F2422" s="7">
        <v>159.778185606002</v>
      </c>
      <c r="G2422" s="7">
        <v>331.708560466766</v>
      </c>
      <c r="H2422" s="7">
        <v>0.0</v>
      </c>
      <c r="I2422" s="15">
        <v>0.80450718054552</v>
      </c>
      <c r="J2422" s="15">
        <v>0.084455242549469</v>
      </c>
      <c r="K2422" s="12">
        <f>AVERAGE(I2422:I2426)</f>
        <v>0.634350417</v>
      </c>
      <c r="L2422" s="18">
        <v>7079.0</v>
      </c>
      <c r="M2422" s="14">
        <f>STDEV(L2422:L2426)</f>
        <v>44499.92794</v>
      </c>
      <c r="N2422" s="15" t="b">
        <f t="shared" si="1"/>
        <v>0</v>
      </c>
    </row>
    <row r="2423" hidden="1">
      <c r="A2423" s="7" t="s">
        <v>492</v>
      </c>
      <c r="B2423" s="7" t="s">
        <v>268</v>
      </c>
      <c r="C2423" s="7">
        <v>1.0</v>
      </c>
      <c r="D2423" s="7">
        <v>0.5</v>
      </c>
      <c r="E2423" s="7">
        <v>5.0</v>
      </c>
      <c r="F2423" s="7">
        <v>159.778185606002</v>
      </c>
      <c r="G2423" s="7">
        <v>331.708560466766</v>
      </c>
      <c r="H2423" s="7">
        <v>1.0</v>
      </c>
      <c r="I2423" s="15">
        <v>0.812994362601234</v>
      </c>
      <c r="J2423" s="15">
        <v>0.0760603810931836</v>
      </c>
      <c r="K2423" s="12">
        <f>AVERAGE(I2422:I2426)</f>
        <v>0.634350417</v>
      </c>
      <c r="L2423" s="18">
        <v>4055.0</v>
      </c>
      <c r="M2423" s="14">
        <f>STDEV(L2422:L2426)</f>
        <v>44499.92794</v>
      </c>
      <c r="N2423" s="15" t="b">
        <f t="shared" si="1"/>
        <v>0</v>
      </c>
    </row>
    <row r="2424" hidden="1">
      <c r="A2424" s="7" t="s">
        <v>492</v>
      </c>
      <c r="B2424" s="7" t="s">
        <v>268</v>
      </c>
      <c r="C2424" s="7">
        <v>1.0</v>
      </c>
      <c r="D2424" s="7">
        <v>0.5</v>
      </c>
      <c r="E2424" s="7">
        <v>5.0</v>
      </c>
      <c r="F2424" s="7">
        <v>159.778185606002</v>
      </c>
      <c r="G2424" s="7">
        <v>331.708560466766</v>
      </c>
      <c r="H2424" s="7">
        <v>2.0</v>
      </c>
      <c r="I2424" s="15">
        <v>-0.039675363487319</v>
      </c>
      <c r="J2424" s="15">
        <v>0.257372904548229</v>
      </c>
      <c r="K2424" s="12">
        <f>AVERAGE(I2422:I2426)</f>
        <v>0.634350417</v>
      </c>
      <c r="L2424" s="18">
        <v>107562.0</v>
      </c>
      <c r="M2424" s="14">
        <f>STDEV(L2422:L2426)</f>
        <v>44499.92794</v>
      </c>
      <c r="N2424" s="15" t="b">
        <f t="shared" si="1"/>
        <v>0</v>
      </c>
    </row>
    <row r="2425" hidden="1">
      <c r="A2425" s="7" t="s">
        <v>492</v>
      </c>
      <c r="B2425" s="7" t="s">
        <v>268</v>
      </c>
      <c r="C2425" s="7">
        <v>1.0</v>
      </c>
      <c r="D2425" s="7">
        <v>0.5</v>
      </c>
      <c r="E2425" s="7">
        <v>5.0</v>
      </c>
      <c r="F2425" s="7">
        <v>159.778185606002</v>
      </c>
      <c r="G2425" s="7">
        <v>331.708560466766</v>
      </c>
      <c r="H2425" s="7">
        <v>3.0</v>
      </c>
      <c r="I2425" s="15">
        <v>0.831302157723785</v>
      </c>
      <c r="J2425" s="15">
        <v>0.0969695819886939</v>
      </c>
      <c r="K2425" s="12">
        <f>AVERAGE(I2422:I2426)</f>
        <v>0.634350417</v>
      </c>
      <c r="L2425" s="18">
        <v>7294.0</v>
      </c>
      <c r="M2425" s="14">
        <f>STDEV(L2422:L2426)</f>
        <v>44499.92794</v>
      </c>
      <c r="N2425" s="15" t="b">
        <f t="shared" si="1"/>
        <v>0</v>
      </c>
    </row>
    <row r="2426" hidden="1">
      <c r="A2426" s="7" t="s">
        <v>492</v>
      </c>
      <c r="B2426" s="7" t="s">
        <v>268</v>
      </c>
      <c r="C2426" s="7">
        <v>1.0</v>
      </c>
      <c r="D2426" s="7">
        <v>0.5</v>
      </c>
      <c r="E2426" s="7">
        <v>5.0</v>
      </c>
      <c r="F2426" s="7">
        <v>159.778185606002</v>
      </c>
      <c r="G2426" s="7">
        <v>331.708560466766</v>
      </c>
      <c r="H2426" s="7">
        <v>4.0</v>
      </c>
      <c r="I2426" s="15">
        <v>0.762623747537652</v>
      </c>
      <c r="J2426" s="15">
        <v>0.132121346547288</v>
      </c>
      <c r="K2426" s="12">
        <f>AVERAGE(I2422:I2426)</f>
        <v>0.634350417</v>
      </c>
      <c r="L2426" s="18">
        <v>15686.0</v>
      </c>
      <c r="M2426" s="14">
        <f>STDEV(L2422:L2426)</f>
        <v>44499.92794</v>
      </c>
      <c r="N2426" s="15" t="b">
        <f t="shared" si="1"/>
        <v>0</v>
      </c>
    </row>
    <row r="2427" hidden="1">
      <c r="A2427" s="7" t="s">
        <v>493</v>
      </c>
      <c r="B2427" s="7" t="s">
        <v>268</v>
      </c>
      <c r="C2427" s="7">
        <v>1.0</v>
      </c>
      <c r="D2427" s="7">
        <v>0.5</v>
      </c>
      <c r="E2427" s="7">
        <v>6.0</v>
      </c>
      <c r="F2427" s="7">
        <v>178.932117462158</v>
      </c>
      <c r="G2427" s="7">
        <v>395.065742969512</v>
      </c>
      <c r="H2427" s="7">
        <v>0.0</v>
      </c>
      <c r="I2427" s="15">
        <v>0.717677566151324</v>
      </c>
      <c r="J2427" s="15">
        <v>0.153110376294551</v>
      </c>
      <c r="K2427" s="12">
        <f>AVERAGE(I2427:I2431)</f>
        <v>0.5130803977</v>
      </c>
      <c r="L2427" s="18">
        <v>13466.0</v>
      </c>
      <c r="M2427" s="14">
        <f>STDEV(L2427:L2431)</f>
        <v>20149.29159</v>
      </c>
      <c r="N2427" s="15" t="b">
        <f t="shared" si="1"/>
        <v>0</v>
      </c>
    </row>
    <row r="2428" hidden="1">
      <c r="A2428" s="7" t="s">
        <v>493</v>
      </c>
      <c r="B2428" s="7" t="s">
        <v>268</v>
      </c>
      <c r="C2428" s="7">
        <v>1.0</v>
      </c>
      <c r="D2428" s="7">
        <v>0.5</v>
      </c>
      <c r="E2428" s="7">
        <v>6.0</v>
      </c>
      <c r="F2428" s="7">
        <v>178.932117462158</v>
      </c>
      <c r="G2428" s="7">
        <v>395.065742969512</v>
      </c>
      <c r="H2428" s="7">
        <v>1.0</v>
      </c>
      <c r="I2428" s="15">
        <v>0.771846903150815</v>
      </c>
      <c r="J2428" s="15">
        <v>0.119914872362662</v>
      </c>
      <c r="K2428" s="12">
        <f>AVERAGE(I2427:I2431)</f>
        <v>0.5130803977</v>
      </c>
      <c r="L2428" s="18">
        <v>15622.0</v>
      </c>
      <c r="M2428" s="14">
        <f>STDEV(L2427:L2431)</f>
        <v>20149.29159</v>
      </c>
      <c r="N2428" s="15" t="b">
        <f t="shared" si="1"/>
        <v>0</v>
      </c>
    </row>
    <row r="2429" hidden="1">
      <c r="A2429" s="7" t="s">
        <v>493</v>
      </c>
      <c r="B2429" s="7" t="s">
        <v>268</v>
      </c>
      <c r="C2429" s="7">
        <v>1.0</v>
      </c>
      <c r="D2429" s="7">
        <v>0.5</v>
      </c>
      <c r="E2429" s="7">
        <v>6.0</v>
      </c>
      <c r="F2429" s="7">
        <v>178.932117462158</v>
      </c>
      <c r="G2429" s="7">
        <v>395.065742969512</v>
      </c>
      <c r="H2429" s="7">
        <v>2.0</v>
      </c>
      <c r="I2429" s="15">
        <v>0.0452283160068425</v>
      </c>
      <c r="J2429" s="15">
        <v>0.0356538908291713</v>
      </c>
      <c r="K2429" s="12">
        <f>AVERAGE(I2427:I2431)</f>
        <v>0.5130803977</v>
      </c>
      <c r="L2429" s="18">
        <v>59913.0</v>
      </c>
      <c r="M2429" s="14">
        <f>STDEV(L2427:L2431)</f>
        <v>20149.29159</v>
      </c>
      <c r="N2429" s="15" t="b">
        <f t="shared" si="1"/>
        <v>0</v>
      </c>
    </row>
    <row r="2430" hidden="1">
      <c r="A2430" s="7" t="s">
        <v>493</v>
      </c>
      <c r="B2430" s="7" t="s">
        <v>268</v>
      </c>
      <c r="C2430" s="7">
        <v>1.0</v>
      </c>
      <c r="D2430" s="7">
        <v>0.5</v>
      </c>
      <c r="E2430" s="7">
        <v>6.0</v>
      </c>
      <c r="F2430" s="7">
        <v>178.932117462158</v>
      </c>
      <c r="G2430" s="7">
        <v>395.065742969512</v>
      </c>
      <c r="H2430" s="7">
        <v>3.0</v>
      </c>
      <c r="I2430" s="15">
        <v>0.765561100449474</v>
      </c>
      <c r="J2430" s="15">
        <v>0.135048045453864</v>
      </c>
      <c r="K2430" s="12">
        <f>AVERAGE(I2427:I2431)</f>
        <v>0.5130803977</v>
      </c>
      <c r="L2430" s="18">
        <v>15472.0</v>
      </c>
      <c r="M2430" s="14">
        <f>STDEV(L2427:L2431)</f>
        <v>20149.29159</v>
      </c>
      <c r="N2430" s="15" t="b">
        <f t="shared" si="1"/>
        <v>0</v>
      </c>
    </row>
    <row r="2431" hidden="1">
      <c r="A2431" s="7" t="s">
        <v>493</v>
      </c>
      <c r="B2431" s="7" t="s">
        <v>268</v>
      </c>
      <c r="C2431" s="7">
        <v>1.0</v>
      </c>
      <c r="D2431" s="7">
        <v>0.5</v>
      </c>
      <c r="E2431" s="7">
        <v>6.0</v>
      </c>
      <c r="F2431" s="7">
        <v>178.932117462158</v>
      </c>
      <c r="G2431" s="7">
        <v>395.065742969512</v>
      </c>
      <c r="H2431" s="7">
        <v>4.0</v>
      </c>
      <c r="I2431" s="15">
        <v>0.265088102970986</v>
      </c>
      <c r="J2431" s="15">
        <v>0.173715832040243</v>
      </c>
      <c r="K2431" s="12">
        <f>AVERAGE(I2427:I2431)</f>
        <v>0.5130803977</v>
      </c>
      <c r="L2431" s="18">
        <v>37203.0</v>
      </c>
      <c r="M2431" s="14">
        <f>STDEV(L2427:L2431)</f>
        <v>20149.29159</v>
      </c>
      <c r="N2431" s="15" t="b">
        <f t="shared" si="1"/>
        <v>0</v>
      </c>
    </row>
    <row r="2432" hidden="1">
      <c r="A2432" s="7" t="s">
        <v>494</v>
      </c>
      <c r="B2432" s="7" t="s">
        <v>268</v>
      </c>
      <c r="C2432" s="7">
        <v>1.0</v>
      </c>
      <c r="D2432" s="7">
        <v>0.5</v>
      </c>
      <c r="E2432" s="7">
        <v>7.0</v>
      </c>
      <c r="F2432" s="7">
        <v>221.357315301895</v>
      </c>
      <c r="G2432" s="7">
        <v>469.549376487731</v>
      </c>
      <c r="H2432" s="7">
        <v>0.0</v>
      </c>
      <c r="I2432" s="15">
        <v>0.719830046452059</v>
      </c>
      <c r="J2432" s="15">
        <v>0.140122928728408</v>
      </c>
      <c r="K2432" s="12">
        <f>AVERAGE(I2432:I2436)</f>
        <v>0.5493555237</v>
      </c>
      <c r="L2432" s="18">
        <v>3715.0</v>
      </c>
      <c r="M2432" s="14">
        <f>STDEV(L2432:L2436)</f>
        <v>34716.44401</v>
      </c>
      <c r="N2432" s="15" t="b">
        <f t="shared" si="1"/>
        <v>0</v>
      </c>
    </row>
    <row r="2433" hidden="1">
      <c r="A2433" s="7" t="s">
        <v>494</v>
      </c>
      <c r="B2433" s="7" t="s">
        <v>268</v>
      </c>
      <c r="C2433" s="7">
        <v>1.0</v>
      </c>
      <c r="D2433" s="7">
        <v>0.5</v>
      </c>
      <c r="E2433" s="7">
        <v>7.0</v>
      </c>
      <c r="F2433" s="7">
        <v>221.357315301895</v>
      </c>
      <c r="G2433" s="7">
        <v>469.549376487731</v>
      </c>
      <c r="H2433" s="7">
        <v>1.0</v>
      </c>
      <c r="I2433" s="15">
        <v>0.812607868620374</v>
      </c>
      <c r="J2433" s="15">
        <v>0.115750089375668</v>
      </c>
      <c r="K2433" s="12">
        <f>AVERAGE(I2432:I2436)</f>
        <v>0.5493555237</v>
      </c>
      <c r="L2433" s="18">
        <v>5602.0</v>
      </c>
      <c r="M2433" s="14">
        <f>STDEV(L2432:L2436)</f>
        <v>34716.44401</v>
      </c>
      <c r="N2433" s="15" t="b">
        <f t="shared" si="1"/>
        <v>0</v>
      </c>
    </row>
    <row r="2434" hidden="1">
      <c r="A2434" s="7" t="s">
        <v>494</v>
      </c>
      <c r="B2434" s="7" t="s">
        <v>268</v>
      </c>
      <c r="C2434" s="7">
        <v>1.0</v>
      </c>
      <c r="D2434" s="7">
        <v>0.5</v>
      </c>
      <c r="E2434" s="7">
        <v>7.0</v>
      </c>
      <c r="F2434" s="7">
        <v>221.357315301895</v>
      </c>
      <c r="G2434" s="7">
        <v>469.549376487731</v>
      </c>
      <c r="H2434" s="7">
        <v>2.0</v>
      </c>
      <c r="I2434" s="15">
        <v>0.912866773008356</v>
      </c>
      <c r="J2434" s="15">
        <v>0.0347183918708505</v>
      </c>
      <c r="K2434" s="12">
        <f>AVERAGE(I2432:I2436)</f>
        <v>0.5493555237</v>
      </c>
      <c r="L2434" s="18">
        <v>2043.0</v>
      </c>
      <c r="M2434" s="14">
        <f>STDEV(L2432:L2436)</f>
        <v>34716.44401</v>
      </c>
      <c r="N2434" s="15" t="b">
        <f t="shared" si="1"/>
        <v>0</v>
      </c>
    </row>
    <row r="2435" hidden="1">
      <c r="A2435" s="7" t="s">
        <v>494</v>
      </c>
      <c r="B2435" s="7" t="s">
        <v>268</v>
      </c>
      <c r="C2435" s="7">
        <v>1.0</v>
      </c>
      <c r="D2435" s="7">
        <v>0.5</v>
      </c>
      <c r="E2435" s="7">
        <v>7.0</v>
      </c>
      <c r="F2435" s="7">
        <v>221.357315301895</v>
      </c>
      <c r="G2435" s="7">
        <v>469.549376487731</v>
      </c>
      <c r="H2435" s="7">
        <v>3.0</v>
      </c>
      <c r="I2435" s="15">
        <v>0.208778504519237</v>
      </c>
      <c r="J2435" s="15">
        <v>0.0974370518249011</v>
      </c>
      <c r="K2435" s="12">
        <f>AVERAGE(I2432:I2436)</f>
        <v>0.5493555237</v>
      </c>
      <c r="L2435" s="18">
        <v>53016.0</v>
      </c>
      <c r="M2435" s="14">
        <f>STDEV(L2432:L2436)</f>
        <v>34716.44401</v>
      </c>
      <c r="N2435" s="15" t="b">
        <f t="shared" si="1"/>
        <v>0</v>
      </c>
    </row>
    <row r="2436" hidden="1">
      <c r="A2436" s="7" t="s">
        <v>494</v>
      </c>
      <c r="B2436" s="7" t="s">
        <v>268</v>
      </c>
      <c r="C2436" s="7">
        <v>1.0</v>
      </c>
      <c r="D2436" s="7">
        <v>0.5</v>
      </c>
      <c r="E2436" s="7">
        <v>7.0</v>
      </c>
      <c r="F2436" s="7">
        <v>221.357315301895</v>
      </c>
      <c r="G2436" s="7">
        <v>469.549376487731</v>
      </c>
      <c r="H2436" s="7">
        <v>4.0</v>
      </c>
      <c r="I2436" s="15">
        <v>0.0926944256767218</v>
      </c>
      <c r="J2436" s="15">
        <v>0.0719033390793458</v>
      </c>
      <c r="K2436" s="12">
        <f>AVERAGE(I2432:I2436)</f>
        <v>0.5493555237</v>
      </c>
      <c r="L2436" s="18">
        <v>77300.0</v>
      </c>
      <c r="M2436" s="14">
        <f>STDEV(L2432:L2436)</f>
        <v>34716.44401</v>
      </c>
      <c r="N2436" s="15" t="b">
        <f t="shared" si="1"/>
        <v>0</v>
      </c>
    </row>
    <row r="2437" hidden="1">
      <c r="A2437" s="7" t="s">
        <v>495</v>
      </c>
      <c r="B2437" s="7" t="s">
        <v>268</v>
      </c>
      <c r="C2437" s="7">
        <v>1.0</v>
      </c>
      <c r="D2437" s="7">
        <v>0.5</v>
      </c>
      <c r="E2437" s="7">
        <v>8.0</v>
      </c>
      <c r="F2437" s="7">
        <v>223.511116743087</v>
      </c>
      <c r="G2437" s="7">
        <v>457.549028873443</v>
      </c>
      <c r="H2437" s="7">
        <v>0.0</v>
      </c>
      <c r="I2437" s="15">
        <v>0.86320851177634</v>
      </c>
      <c r="J2437" s="15">
        <v>0.0991164839123685</v>
      </c>
      <c r="K2437" s="12">
        <f>AVERAGE(I2437:I2441)</f>
        <v>0.4698208452</v>
      </c>
      <c r="L2437" s="18">
        <v>5080.0</v>
      </c>
      <c r="M2437" s="14">
        <f>STDEV(L2437:L2441)</f>
        <v>32680.34876</v>
      </c>
      <c r="N2437" s="15" t="b">
        <f t="shared" si="1"/>
        <v>0</v>
      </c>
    </row>
    <row r="2438" hidden="1">
      <c r="A2438" s="7" t="s">
        <v>495</v>
      </c>
      <c r="B2438" s="7" t="s">
        <v>268</v>
      </c>
      <c r="C2438" s="7">
        <v>1.0</v>
      </c>
      <c r="D2438" s="7">
        <v>0.5</v>
      </c>
      <c r="E2438" s="7">
        <v>8.0</v>
      </c>
      <c r="F2438" s="7">
        <v>223.511116743087</v>
      </c>
      <c r="G2438" s="7">
        <v>457.549028873443</v>
      </c>
      <c r="H2438" s="7">
        <v>1.0</v>
      </c>
      <c r="I2438" s="15">
        <v>0.356013473245065</v>
      </c>
      <c r="J2438" s="15">
        <v>0.206702405751401</v>
      </c>
      <c r="K2438" s="12">
        <f>AVERAGE(I2437:I2441)</f>
        <v>0.4698208452</v>
      </c>
      <c r="L2438" s="18">
        <v>30950.0</v>
      </c>
      <c r="M2438" s="14">
        <f>STDEV(L2437:L2441)</f>
        <v>32680.34876</v>
      </c>
      <c r="N2438" s="15" t="b">
        <f t="shared" si="1"/>
        <v>0</v>
      </c>
    </row>
    <row r="2439" hidden="1">
      <c r="A2439" s="7" t="s">
        <v>495</v>
      </c>
      <c r="B2439" s="7" t="s">
        <v>268</v>
      </c>
      <c r="C2439" s="7">
        <v>1.0</v>
      </c>
      <c r="D2439" s="7">
        <v>0.5</v>
      </c>
      <c r="E2439" s="7">
        <v>8.0</v>
      </c>
      <c r="F2439" s="7">
        <v>223.511116743087</v>
      </c>
      <c r="G2439" s="7">
        <v>457.549028873443</v>
      </c>
      <c r="H2439" s="7">
        <v>2.0</v>
      </c>
      <c r="I2439" s="15">
        <v>0.254074925256847</v>
      </c>
      <c r="J2439" s="15">
        <v>0.143883918843065</v>
      </c>
      <c r="K2439" s="12">
        <f>AVERAGE(I2437:I2441)</f>
        <v>0.4698208452</v>
      </c>
      <c r="L2439" s="18">
        <v>6654.0</v>
      </c>
      <c r="M2439" s="14">
        <f>STDEV(L2437:L2441)</f>
        <v>32680.34876</v>
      </c>
      <c r="N2439" s="15" t="b">
        <f t="shared" si="1"/>
        <v>0</v>
      </c>
    </row>
    <row r="2440" hidden="1">
      <c r="A2440" s="7" t="s">
        <v>495</v>
      </c>
      <c r="B2440" s="7" t="s">
        <v>268</v>
      </c>
      <c r="C2440" s="7">
        <v>1.0</v>
      </c>
      <c r="D2440" s="7">
        <v>0.5</v>
      </c>
      <c r="E2440" s="7">
        <v>8.0</v>
      </c>
      <c r="F2440" s="7">
        <v>223.511116743087</v>
      </c>
      <c r="G2440" s="7">
        <v>457.549028873443</v>
      </c>
      <c r="H2440" s="7">
        <v>3.0</v>
      </c>
      <c r="I2440" s="15">
        <v>0.0770597656048362</v>
      </c>
      <c r="J2440" s="15">
        <v>0.0626744018227674</v>
      </c>
      <c r="K2440" s="12">
        <f>AVERAGE(I2437:I2441)</f>
        <v>0.4698208452</v>
      </c>
      <c r="L2440" s="18">
        <v>83838.0</v>
      </c>
      <c r="M2440" s="14">
        <f>STDEV(L2437:L2441)</f>
        <v>32680.34876</v>
      </c>
      <c r="N2440" s="15" t="b">
        <f t="shared" si="1"/>
        <v>0</v>
      </c>
    </row>
    <row r="2441" hidden="1">
      <c r="A2441" s="7" t="s">
        <v>495</v>
      </c>
      <c r="B2441" s="7" t="s">
        <v>268</v>
      </c>
      <c r="C2441" s="7">
        <v>1.0</v>
      </c>
      <c r="D2441" s="7">
        <v>0.5</v>
      </c>
      <c r="E2441" s="7">
        <v>8.0</v>
      </c>
      <c r="F2441" s="7">
        <v>223.511116743087</v>
      </c>
      <c r="G2441" s="7">
        <v>457.549028873443</v>
      </c>
      <c r="H2441" s="7">
        <v>4.0</v>
      </c>
      <c r="I2441" s="15">
        <v>0.798747550200015</v>
      </c>
      <c r="J2441" s="15">
        <v>0.0960843471838818</v>
      </c>
      <c r="K2441" s="12">
        <f>AVERAGE(I2437:I2441)</f>
        <v>0.4698208452</v>
      </c>
      <c r="L2441" s="18">
        <v>15154.0</v>
      </c>
      <c r="M2441" s="14">
        <f>STDEV(L2437:L2441)</f>
        <v>32680.34876</v>
      </c>
      <c r="N2441" s="15" t="b">
        <f t="shared" si="1"/>
        <v>0</v>
      </c>
    </row>
    <row r="2442" hidden="1">
      <c r="A2442" s="7" t="s">
        <v>496</v>
      </c>
      <c r="B2442" s="7" t="s">
        <v>268</v>
      </c>
      <c r="C2442" s="7">
        <v>1.0</v>
      </c>
      <c r="D2442" s="7">
        <v>0.5</v>
      </c>
      <c r="E2442" s="7">
        <v>9.0</v>
      </c>
      <c r="F2442" s="7">
        <v>210.15612578392</v>
      </c>
      <c r="G2442" s="7">
        <v>431.172643184661</v>
      </c>
      <c r="H2442" s="7">
        <v>0.0</v>
      </c>
      <c r="I2442" s="15">
        <v>0.767798435338378</v>
      </c>
      <c r="J2442" s="15">
        <v>0.135441276902682</v>
      </c>
      <c r="K2442" s="12">
        <f>AVERAGE(I2442:I2446)</f>
        <v>0.5647930069</v>
      </c>
      <c r="L2442" s="18">
        <v>7643.0</v>
      </c>
      <c r="M2442" s="14">
        <f>STDEV(L2442:L2446)</f>
        <v>32859.95545</v>
      </c>
      <c r="N2442" s="15" t="b">
        <f t="shared" si="1"/>
        <v>0</v>
      </c>
    </row>
    <row r="2443" hidden="1">
      <c r="A2443" s="7" t="s">
        <v>496</v>
      </c>
      <c r="B2443" s="7" t="s">
        <v>268</v>
      </c>
      <c r="C2443" s="7">
        <v>1.0</v>
      </c>
      <c r="D2443" s="7">
        <v>0.5</v>
      </c>
      <c r="E2443" s="7">
        <v>9.0</v>
      </c>
      <c r="F2443" s="7">
        <v>210.15612578392</v>
      </c>
      <c r="G2443" s="7">
        <v>431.172643184661</v>
      </c>
      <c r="H2443" s="7">
        <v>1.0</v>
      </c>
      <c r="I2443" s="15">
        <v>0.0852634682347185</v>
      </c>
      <c r="J2443" s="15">
        <v>0.0682352075597729</v>
      </c>
      <c r="K2443" s="12">
        <f>AVERAGE(I2442:I2446)</f>
        <v>0.5647930069</v>
      </c>
      <c r="L2443" s="18">
        <v>77661.0</v>
      </c>
      <c r="M2443" s="14">
        <f>STDEV(L2442:L2446)</f>
        <v>32859.95545</v>
      </c>
      <c r="N2443" s="15" t="b">
        <f t="shared" si="1"/>
        <v>0</v>
      </c>
    </row>
    <row r="2444" hidden="1">
      <c r="A2444" s="7" t="s">
        <v>496</v>
      </c>
      <c r="B2444" s="7" t="s">
        <v>268</v>
      </c>
      <c r="C2444" s="7">
        <v>1.0</v>
      </c>
      <c r="D2444" s="7">
        <v>0.5</v>
      </c>
      <c r="E2444" s="7">
        <v>9.0</v>
      </c>
      <c r="F2444" s="7">
        <v>210.15612578392</v>
      </c>
      <c r="G2444" s="7">
        <v>431.172643184661</v>
      </c>
      <c r="H2444" s="7">
        <v>2.0</v>
      </c>
      <c r="I2444" s="15">
        <v>0.885426690687474</v>
      </c>
      <c r="J2444" s="15">
        <v>0.120007751187499</v>
      </c>
      <c r="K2444" s="12">
        <f>AVERAGE(I2442:I2446)</f>
        <v>0.5647930069</v>
      </c>
      <c r="L2444" s="18">
        <v>2343.0</v>
      </c>
      <c r="M2444" s="14">
        <f>STDEV(L2442:L2446)</f>
        <v>32859.95545</v>
      </c>
      <c r="N2444" s="15" t="b">
        <f t="shared" si="1"/>
        <v>0</v>
      </c>
    </row>
    <row r="2445" hidden="1">
      <c r="A2445" s="7" t="s">
        <v>496</v>
      </c>
      <c r="B2445" s="7" t="s">
        <v>268</v>
      </c>
      <c r="C2445" s="7">
        <v>1.0</v>
      </c>
      <c r="D2445" s="7">
        <v>0.5</v>
      </c>
      <c r="E2445" s="7">
        <v>9.0</v>
      </c>
      <c r="F2445" s="7">
        <v>210.15612578392</v>
      </c>
      <c r="G2445" s="7">
        <v>431.172643184661</v>
      </c>
      <c r="H2445" s="7">
        <v>3.0</v>
      </c>
      <c r="I2445" s="15">
        <v>0.832424483816103</v>
      </c>
      <c r="J2445" s="15">
        <v>0.0964338287283844</v>
      </c>
      <c r="K2445" s="12">
        <f>AVERAGE(I2442:I2446)</f>
        <v>0.5647930069</v>
      </c>
      <c r="L2445" s="18">
        <v>7281.0</v>
      </c>
      <c r="M2445" s="14">
        <f>STDEV(L2442:L2446)</f>
        <v>32859.95545</v>
      </c>
      <c r="N2445" s="15" t="b">
        <f t="shared" si="1"/>
        <v>0</v>
      </c>
    </row>
    <row r="2446" hidden="1">
      <c r="A2446" s="7" t="s">
        <v>496</v>
      </c>
      <c r="B2446" s="7" t="s">
        <v>268</v>
      </c>
      <c r="C2446" s="7">
        <v>1.0</v>
      </c>
      <c r="D2446" s="7">
        <v>0.5</v>
      </c>
      <c r="E2446" s="7">
        <v>9.0</v>
      </c>
      <c r="F2446" s="7">
        <v>210.15612578392</v>
      </c>
      <c r="G2446" s="7">
        <v>431.172643184661</v>
      </c>
      <c r="H2446" s="7">
        <v>4.0</v>
      </c>
      <c r="I2446" s="15">
        <v>0.253051956199017</v>
      </c>
      <c r="J2446" s="15">
        <v>0.116957731665289</v>
      </c>
      <c r="K2446" s="12">
        <f>AVERAGE(I2442:I2446)</f>
        <v>0.5647930069</v>
      </c>
      <c r="L2446" s="18">
        <v>46748.0</v>
      </c>
      <c r="M2446" s="14">
        <f>STDEV(L2442:L2446)</f>
        <v>32859.95545</v>
      </c>
      <c r="N2446" s="15" t="b">
        <f t="shared" si="1"/>
        <v>0</v>
      </c>
    </row>
    <row r="2447" hidden="1">
      <c r="A2447" s="7" t="s">
        <v>497</v>
      </c>
      <c r="B2447" s="7" t="s">
        <v>268</v>
      </c>
      <c r="C2447" s="7">
        <v>1.0</v>
      </c>
      <c r="D2447" s="7">
        <v>0.5</v>
      </c>
      <c r="E2447" s="7">
        <v>10.0</v>
      </c>
      <c r="F2447" s="7">
        <v>158.271349668502</v>
      </c>
      <c r="G2447" s="7">
        <v>325.497440338134</v>
      </c>
      <c r="H2447" s="7">
        <v>0.0</v>
      </c>
      <c r="I2447" s="15">
        <v>0.0615586334861097</v>
      </c>
      <c r="J2447" s="15">
        <v>0.0656027422112213</v>
      </c>
      <c r="K2447" s="12">
        <f>AVERAGE(I2447:I2451)</f>
        <v>0.638595319</v>
      </c>
      <c r="L2447" s="18">
        <v>101652.0</v>
      </c>
      <c r="M2447" s="14">
        <f>STDEV(L2447:L2451)</f>
        <v>41241.04796</v>
      </c>
      <c r="N2447" s="15" t="b">
        <f t="shared" si="1"/>
        <v>0</v>
      </c>
    </row>
    <row r="2448" hidden="1">
      <c r="A2448" s="7" t="s">
        <v>497</v>
      </c>
      <c r="B2448" s="7" t="s">
        <v>268</v>
      </c>
      <c r="C2448" s="7">
        <v>1.0</v>
      </c>
      <c r="D2448" s="7">
        <v>0.5</v>
      </c>
      <c r="E2448" s="7">
        <v>10.0</v>
      </c>
      <c r="F2448" s="7">
        <v>158.271349668502</v>
      </c>
      <c r="G2448" s="7">
        <v>325.497440338134</v>
      </c>
      <c r="H2448" s="7">
        <v>1.0</v>
      </c>
      <c r="I2448" s="15">
        <v>0.716453231230112</v>
      </c>
      <c r="J2448" s="15">
        <v>0.152645190975659</v>
      </c>
      <c r="K2448" s="12">
        <f>AVERAGE(I2447:I2451)</f>
        <v>0.638595319</v>
      </c>
      <c r="L2448" s="18">
        <v>13502.0</v>
      </c>
      <c r="M2448" s="14">
        <f>STDEV(L2447:L2451)</f>
        <v>41241.04796</v>
      </c>
      <c r="N2448" s="15" t="b">
        <f t="shared" si="1"/>
        <v>0</v>
      </c>
    </row>
    <row r="2449" hidden="1">
      <c r="A2449" s="7" t="s">
        <v>497</v>
      </c>
      <c r="B2449" s="7" t="s">
        <v>268</v>
      </c>
      <c r="C2449" s="7">
        <v>1.0</v>
      </c>
      <c r="D2449" s="7">
        <v>0.5</v>
      </c>
      <c r="E2449" s="7">
        <v>10.0</v>
      </c>
      <c r="F2449" s="7">
        <v>158.271349668502</v>
      </c>
      <c r="G2449" s="7">
        <v>325.497440338134</v>
      </c>
      <c r="H2449" s="7">
        <v>2.0</v>
      </c>
      <c r="I2449" s="15">
        <v>0.821674712546356</v>
      </c>
      <c r="J2449" s="15">
        <v>0.10329990620781</v>
      </c>
      <c r="K2449" s="12">
        <f>AVERAGE(I2447:I2451)</f>
        <v>0.638595319</v>
      </c>
      <c r="L2449" s="18">
        <v>6463.0</v>
      </c>
      <c r="M2449" s="14">
        <f>STDEV(L2447:L2451)</f>
        <v>41241.04796</v>
      </c>
      <c r="N2449" s="15" t="b">
        <f t="shared" si="1"/>
        <v>0</v>
      </c>
    </row>
    <row r="2450" hidden="1">
      <c r="A2450" s="7" t="s">
        <v>497</v>
      </c>
      <c r="B2450" s="7" t="s">
        <v>268</v>
      </c>
      <c r="C2450" s="7">
        <v>1.0</v>
      </c>
      <c r="D2450" s="7">
        <v>0.5</v>
      </c>
      <c r="E2450" s="7">
        <v>10.0</v>
      </c>
      <c r="F2450" s="7">
        <v>158.271349668502</v>
      </c>
      <c r="G2450" s="7">
        <v>325.497440338134</v>
      </c>
      <c r="H2450" s="7">
        <v>3.0</v>
      </c>
      <c r="I2450" s="15">
        <v>0.827692573172822</v>
      </c>
      <c r="J2450" s="15">
        <v>0.0900298683397951</v>
      </c>
      <c r="K2450" s="12">
        <f>AVERAGE(I2447:I2451)</f>
        <v>0.638595319</v>
      </c>
      <c r="L2450" s="18">
        <v>4583.0</v>
      </c>
      <c r="M2450" s="14">
        <f>STDEV(L2447:L2451)</f>
        <v>41241.04796</v>
      </c>
      <c r="N2450" s="15" t="b">
        <f t="shared" si="1"/>
        <v>0</v>
      </c>
    </row>
    <row r="2451" hidden="1">
      <c r="A2451" s="7" t="s">
        <v>497</v>
      </c>
      <c r="B2451" s="7" t="s">
        <v>268</v>
      </c>
      <c r="C2451" s="7">
        <v>1.0</v>
      </c>
      <c r="D2451" s="7">
        <v>0.5</v>
      </c>
      <c r="E2451" s="7">
        <v>10.0</v>
      </c>
      <c r="F2451" s="7">
        <v>158.271349668502</v>
      </c>
      <c r="G2451" s="7">
        <v>325.497440338134</v>
      </c>
      <c r="H2451" s="7">
        <v>4.0</v>
      </c>
      <c r="I2451" s="15">
        <v>0.765597444531864</v>
      </c>
      <c r="J2451" s="15">
        <v>0.134584180765877</v>
      </c>
      <c r="K2451" s="12">
        <f>AVERAGE(I2447:I2451)</f>
        <v>0.638595319</v>
      </c>
      <c r="L2451" s="18">
        <v>15476.0</v>
      </c>
      <c r="M2451" s="14">
        <f>STDEV(L2447:L2451)</f>
        <v>41241.04796</v>
      </c>
      <c r="N2451" s="15" t="b">
        <f t="shared" si="1"/>
        <v>0</v>
      </c>
    </row>
    <row r="2452" hidden="1">
      <c r="A2452" s="7" t="s">
        <v>498</v>
      </c>
      <c r="B2452" s="7" t="s">
        <v>268</v>
      </c>
      <c r="C2452" s="7">
        <v>1.0</v>
      </c>
      <c r="D2452" s="7">
        <v>0.75</v>
      </c>
      <c r="E2452" s="7">
        <v>1.0</v>
      </c>
      <c r="F2452" s="7">
        <v>236.454425573349</v>
      </c>
      <c r="G2452" s="7">
        <v>389.501911401748</v>
      </c>
      <c r="H2452" s="7">
        <v>0.0</v>
      </c>
      <c r="I2452" s="15">
        <v>0.345438529990296</v>
      </c>
      <c r="J2452" s="15">
        <v>0.197322193622014</v>
      </c>
      <c r="K2452" s="12">
        <f>AVERAGE(I2452:I2456)</f>
        <v>0.491908607</v>
      </c>
      <c r="L2452" s="18">
        <v>31812.0</v>
      </c>
      <c r="M2452" s="14">
        <f>STDEV(L2452:L2456)</f>
        <v>28261.25641</v>
      </c>
      <c r="N2452" s="15" t="b">
        <f t="shared" si="1"/>
        <v>0</v>
      </c>
    </row>
    <row r="2453" hidden="1">
      <c r="A2453" s="7" t="s">
        <v>498</v>
      </c>
      <c r="B2453" s="7" t="s">
        <v>268</v>
      </c>
      <c r="C2453" s="7">
        <v>1.0</v>
      </c>
      <c r="D2453" s="7">
        <v>0.75</v>
      </c>
      <c r="E2453" s="7">
        <v>1.0</v>
      </c>
      <c r="F2453" s="7">
        <v>236.454425573349</v>
      </c>
      <c r="G2453" s="7">
        <v>389.501911401748</v>
      </c>
      <c r="H2453" s="7">
        <v>1.0</v>
      </c>
      <c r="I2453" s="15">
        <v>0.75236912374816</v>
      </c>
      <c r="J2453" s="15">
        <v>0.133082021636837</v>
      </c>
      <c r="K2453" s="12">
        <f>AVERAGE(I2452:I2456)</f>
        <v>0.491908607</v>
      </c>
      <c r="L2453" s="18">
        <v>7567.0</v>
      </c>
      <c r="M2453" s="14">
        <f>STDEV(L2452:L2456)</f>
        <v>28261.25641</v>
      </c>
      <c r="N2453" s="15" t="b">
        <f t="shared" si="1"/>
        <v>0</v>
      </c>
    </row>
    <row r="2454" hidden="1">
      <c r="A2454" s="7" t="s">
        <v>498</v>
      </c>
      <c r="B2454" s="7" t="s">
        <v>268</v>
      </c>
      <c r="C2454" s="7">
        <v>1.0</v>
      </c>
      <c r="D2454" s="7">
        <v>0.75</v>
      </c>
      <c r="E2454" s="7">
        <v>1.0</v>
      </c>
      <c r="F2454" s="7">
        <v>236.454425573349</v>
      </c>
      <c r="G2454" s="7">
        <v>389.501911401748</v>
      </c>
      <c r="H2454" s="7">
        <v>2.0</v>
      </c>
      <c r="I2454" s="15">
        <v>0.458025875784324</v>
      </c>
      <c r="J2454" s="15">
        <v>0.153042123277244</v>
      </c>
      <c r="K2454" s="12">
        <f>AVERAGE(I2452:I2456)</f>
        <v>0.491908607</v>
      </c>
      <c r="L2454" s="18">
        <v>21612.0</v>
      </c>
      <c r="M2454" s="14">
        <f>STDEV(L2452:L2456)</f>
        <v>28261.25641</v>
      </c>
      <c r="N2454" s="15" t="b">
        <f t="shared" si="1"/>
        <v>0</v>
      </c>
    </row>
    <row r="2455" hidden="1">
      <c r="A2455" s="7" t="s">
        <v>498</v>
      </c>
      <c r="B2455" s="7" t="s">
        <v>268</v>
      </c>
      <c r="C2455" s="7">
        <v>1.0</v>
      </c>
      <c r="D2455" s="7">
        <v>0.75</v>
      </c>
      <c r="E2455" s="7">
        <v>1.0</v>
      </c>
      <c r="F2455" s="7">
        <v>236.454425573349</v>
      </c>
      <c r="G2455" s="7">
        <v>389.501911401748</v>
      </c>
      <c r="H2455" s="7">
        <v>3.0</v>
      </c>
      <c r="I2455" s="15">
        <v>0.81435045387831</v>
      </c>
      <c r="J2455" s="15">
        <v>0.116561365879783</v>
      </c>
      <c r="K2455" s="12">
        <f>AVERAGE(I2452:I2456)</f>
        <v>0.491908607</v>
      </c>
      <c r="L2455" s="18">
        <v>5573.0</v>
      </c>
      <c r="M2455" s="14">
        <f>STDEV(L2452:L2456)</f>
        <v>28261.25641</v>
      </c>
      <c r="N2455" s="15" t="b">
        <f t="shared" si="1"/>
        <v>0</v>
      </c>
    </row>
    <row r="2456" hidden="1">
      <c r="A2456" s="7" t="s">
        <v>498</v>
      </c>
      <c r="B2456" s="7" t="s">
        <v>268</v>
      </c>
      <c r="C2456" s="7">
        <v>1.0</v>
      </c>
      <c r="D2456" s="7">
        <v>0.75</v>
      </c>
      <c r="E2456" s="7">
        <v>1.0</v>
      </c>
      <c r="F2456" s="7">
        <v>236.454425573349</v>
      </c>
      <c r="G2456" s="7">
        <v>389.501911401748</v>
      </c>
      <c r="H2456" s="7">
        <v>4.0</v>
      </c>
      <c r="I2456" s="15">
        <v>0.0893590514838974</v>
      </c>
      <c r="J2456" s="15">
        <v>0.0733788333907278</v>
      </c>
      <c r="K2456" s="12">
        <f>AVERAGE(I2452:I2456)</f>
        <v>0.491908607</v>
      </c>
      <c r="L2456" s="18">
        <v>75112.0</v>
      </c>
      <c r="M2456" s="14">
        <f>STDEV(L2452:L2456)</f>
        <v>28261.25641</v>
      </c>
      <c r="N2456" s="15" t="b">
        <f t="shared" si="1"/>
        <v>0</v>
      </c>
    </row>
    <row r="2457" hidden="1">
      <c r="A2457" s="7" t="s">
        <v>499</v>
      </c>
      <c r="B2457" s="7" t="s">
        <v>268</v>
      </c>
      <c r="C2457" s="7">
        <v>1.0</v>
      </c>
      <c r="D2457" s="7">
        <v>0.75</v>
      </c>
      <c r="E2457" s="7">
        <v>2.0</v>
      </c>
      <c r="F2457" s="7">
        <v>200.509930372238</v>
      </c>
      <c r="G2457" s="7">
        <v>355.936170339584</v>
      </c>
      <c r="H2457" s="7">
        <v>0.0</v>
      </c>
      <c r="I2457" s="15">
        <v>0.860066848457657</v>
      </c>
      <c r="J2457" s="15">
        <v>0.085706010122777</v>
      </c>
      <c r="K2457" s="12">
        <f>AVERAGE(I2457:I2461)</f>
        <v>0.6333435566</v>
      </c>
      <c r="L2457" s="18">
        <v>1000.0</v>
      </c>
      <c r="M2457" s="14">
        <f>STDEV(L2457:L2461)</f>
        <v>53388.99576</v>
      </c>
      <c r="N2457" s="15" t="b">
        <f t="shared" si="1"/>
        <v>0</v>
      </c>
    </row>
    <row r="2458" hidden="1">
      <c r="A2458" s="7" t="s">
        <v>499</v>
      </c>
      <c r="B2458" s="7" t="s">
        <v>268</v>
      </c>
      <c r="C2458" s="7">
        <v>1.0</v>
      </c>
      <c r="D2458" s="7">
        <v>0.75</v>
      </c>
      <c r="E2458" s="7">
        <v>2.0</v>
      </c>
      <c r="F2458" s="7">
        <v>200.509930372238</v>
      </c>
      <c r="G2458" s="7">
        <v>355.936170339584</v>
      </c>
      <c r="H2458" s="7">
        <v>1.0</v>
      </c>
      <c r="I2458" s="15">
        <v>0.811395597531158</v>
      </c>
      <c r="J2458" s="15">
        <v>0.116309557793695</v>
      </c>
      <c r="K2458" s="12">
        <f>AVERAGE(I2457:I2461)</f>
        <v>0.6333435566</v>
      </c>
      <c r="L2458" s="18">
        <v>5622.0</v>
      </c>
      <c r="M2458" s="14">
        <f>STDEV(L2457:L2461)</f>
        <v>53388.99576</v>
      </c>
      <c r="N2458" s="15" t="b">
        <f t="shared" si="1"/>
        <v>0</v>
      </c>
    </row>
    <row r="2459" hidden="1">
      <c r="A2459" s="7" t="s">
        <v>499</v>
      </c>
      <c r="B2459" s="7" t="s">
        <v>268</v>
      </c>
      <c r="C2459" s="7">
        <v>1.0</v>
      </c>
      <c r="D2459" s="7">
        <v>0.75</v>
      </c>
      <c r="E2459" s="7">
        <v>2.0</v>
      </c>
      <c r="F2459" s="7">
        <v>200.509930372238</v>
      </c>
      <c r="G2459" s="7">
        <v>355.936170339584</v>
      </c>
      <c r="H2459" s="7">
        <v>2.0</v>
      </c>
      <c r="I2459" s="15">
        <v>0.0227259046295045</v>
      </c>
      <c r="J2459" s="15">
        <v>0.216434765310485</v>
      </c>
      <c r="K2459" s="12">
        <f>AVERAGE(I2457:I2461)</f>
        <v>0.6333435566</v>
      </c>
      <c r="L2459" s="18">
        <v>123741.0</v>
      </c>
      <c r="M2459" s="14">
        <f>STDEV(L2457:L2461)</f>
        <v>53388.99576</v>
      </c>
      <c r="N2459" s="15" t="b">
        <f t="shared" si="1"/>
        <v>0</v>
      </c>
    </row>
    <row r="2460" hidden="1">
      <c r="A2460" s="7" t="s">
        <v>499</v>
      </c>
      <c r="B2460" s="7" t="s">
        <v>268</v>
      </c>
      <c r="C2460" s="7">
        <v>1.0</v>
      </c>
      <c r="D2460" s="7">
        <v>0.75</v>
      </c>
      <c r="E2460" s="7">
        <v>2.0</v>
      </c>
      <c r="F2460" s="7">
        <v>200.509930372238</v>
      </c>
      <c r="G2460" s="7">
        <v>355.936170339584</v>
      </c>
      <c r="H2460" s="7">
        <v>3.0</v>
      </c>
      <c r="I2460" s="15">
        <v>0.752183910971334</v>
      </c>
      <c r="J2460" s="15">
        <v>0.132756352403626</v>
      </c>
      <c r="K2460" s="12">
        <f>AVERAGE(I2457:I2461)</f>
        <v>0.6333435566</v>
      </c>
      <c r="L2460" s="18">
        <v>7596.0</v>
      </c>
      <c r="M2460" s="14">
        <f>STDEV(L2457:L2461)</f>
        <v>53388.99576</v>
      </c>
      <c r="N2460" s="15" t="b">
        <f t="shared" si="1"/>
        <v>0</v>
      </c>
    </row>
    <row r="2461" hidden="1">
      <c r="A2461" s="7" t="s">
        <v>499</v>
      </c>
      <c r="B2461" s="7" t="s">
        <v>268</v>
      </c>
      <c r="C2461" s="7">
        <v>1.0</v>
      </c>
      <c r="D2461" s="7">
        <v>0.75</v>
      </c>
      <c r="E2461" s="7">
        <v>2.0</v>
      </c>
      <c r="F2461" s="7">
        <v>200.509930372238</v>
      </c>
      <c r="G2461" s="7">
        <v>355.936170339584</v>
      </c>
      <c r="H2461" s="7">
        <v>4.0</v>
      </c>
      <c r="I2461" s="15">
        <v>0.720345521549464</v>
      </c>
      <c r="J2461" s="15">
        <v>0.140864622223552</v>
      </c>
      <c r="K2461" s="12">
        <f>AVERAGE(I2457:I2461)</f>
        <v>0.6333435566</v>
      </c>
      <c r="L2461" s="18">
        <v>3717.0</v>
      </c>
      <c r="M2461" s="14">
        <f>STDEV(L2457:L2461)</f>
        <v>53388.99576</v>
      </c>
      <c r="N2461" s="15" t="b">
        <f t="shared" si="1"/>
        <v>0</v>
      </c>
    </row>
    <row r="2462" hidden="1">
      <c r="A2462" s="7" t="s">
        <v>500</v>
      </c>
      <c r="B2462" s="21" t="s">
        <v>268</v>
      </c>
      <c r="C2462" s="21">
        <v>1.0</v>
      </c>
      <c r="D2462" s="21">
        <v>0.75</v>
      </c>
      <c r="E2462" s="21">
        <v>3.0</v>
      </c>
      <c r="F2462" s="7">
        <v>363.803109407424</v>
      </c>
      <c r="G2462" s="7">
        <v>475.410597085952</v>
      </c>
      <c r="H2462" s="7">
        <v>0.0</v>
      </c>
      <c r="I2462" s="15">
        <v>0.0767251268947679</v>
      </c>
      <c r="J2462" s="15">
        <v>0.0614027098723694</v>
      </c>
      <c r="K2462" s="12">
        <f>AVERAGE(I2462:I2466)</f>
        <v>0.6638355633</v>
      </c>
      <c r="L2462" s="18">
        <v>119340.0</v>
      </c>
      <c r="M2462" s="14">
        <f>STDEV(L2462:L2466)</f>
        <v>50944.08736</v>
      </c>
      <c r="N2462" s="15" t="b">
        <f t="shared" si="1"/>
        <v>1</v>
      </c>
    </row>
    <row r="2463" hidden="1">
      <c r="A2463" s="7" t="s">
        <v>500</v>
      </c>
      <c r="B2463" s="21" t="s">
        <v>268</v>
      </c>
      <c r="C2463" s="21">
        <v>1.0</v>
      </c>
      <c r="D2463" s="21">
        <v>0.75</v>
      </c>
      <c r="E2463" s="21">
        <v>3.0</v>
      </c>
      <c r="F2463" s="7">
        <v>363.803109407424</v>
      </c>
      <c r="G2463" s="7">
        <v>475.410597085952</v>
      </c>
      <c r="H2463" s="7">
        <v>1.0</v>
      </c>
      <c r="I2463" s="15">
        <v>0.823557934502479</v>
      </c>
      <c r="J2463" s="15">
        <v>0.101295244422968</v>
      </c>
      <c r="K2463" s="12">
        <f>AVERAGE(I2462:I2466)</f>
        <v>0.6638355633</v>
      </c>
      <c r="L2463" s="18">
        <v>6447.0</v>
      </c>
      <c r="M2463" s="14">
        <f>STDEV(L2462:L2466)</f>
        <v>50944.08736</v>
      </c>
      <c r="N2463" s="15" t="b">
        <f t="shared" si="1"/>
        <v>1</v>
      </c>
    </row>
    <row r="2464" hidden="1">
      <c r="A2464" s="7" t="s">
        <v>500</v>
      </c>
      <c r="B2464" s="21" t="s">
        <v>268</v>
      </c>
      <c r="C2464" s="21">
        <v>1.0</v>
      </c>
      <c r="D2464" s="21">
        <v>0.75</v>
      </c>
      <c r="E2464" s="21">
        <v>3.0</v>
      </c>
      <c r="F2464" s="7">
        <v>363.803109407424</v>
      </c>
      <c r="G2464" s="7">
        <v>475.410597085952</v>
      </c>
      <c r="H2464" s="7">
        <v>2.0</v>
      </c>
      <c r="I2464" s="15">
        <v>0.833751707652803</v>
      </c>
      <c r="J2464" s="15">
        <v>0.0958919935866498</v>
      </c>
      <c r="K2464" s="12">
        <f>AVERAGE(I2462:I2466)</f>
        <v>0.6638355633</v>
      </c>
      <c r="L2464" s="18">
        <v>7274.0</v>
      </c>
      <c r="M2464" s="14">
        <f>STDEV(L2462:L2466)</f>
        <v>50944.08736</v>
      </c>
      <c r="N2464" s="15" t="b">
        <f t="shared" si="1"/>
        <v>1</v>
      </c>
    </row>
    <row r="2465" hidden="1">
      <c r="A2465" s="7" t="s">
        <v>500</v>
      </c>
      <c r="B2465" s="21" t="s">
        <v>268</v>
      </c>
      <c r="C2465" s="21">
        <v>1.0</v>
      </c>
      <c r="D2465" s="21">
        <v>0.75</v>
      </c>
      <c r="E2465" s="21">
        <v>3.0</v>
      </c>
      <c r="F2465" s="7">
        <v>363.803109407424</v>
      </c>
      <c r="G2465" s="7">
        <v>475.410597085952</v>
      </c>
      <c r="H2465" s="7">
        <v>3.0</v>
      </c>
      <c r="I2465" s="15">
        <v>0.770327241290888</v>
      </c>
      <c r="J2465" s="15">
        <v>0.133489607962971</v>
      </c>
      <c r="K2465" s="12">
        <f>AVERAGE(I2462:I2466)</f>
        <v>0.6638355633</v>
      </c>
      <c r="L2465" s="18">
        <v>7624.0</v>
      </c>
      <c r="M2465" s="14">
        <f>STDEV(L2462:L2466)</f>
        <v>50944.08736</v>
      </c>
      <c r="N2465" s="15" t="b">
        <f t="shared" si="1"/>
        <v>1</v>
      </c>
    </row>
    <row r="2466" hidden="1">
      <c r="A2466" s="7" t="s">
        <v>500</v>
      </c>
      <c r="B2466" s="21" t="s">
        <v>268</v>
      </c>
      <c r="C2466" s="21">
        <v>1.0</v>
      </c>
      <c r="D2466" s="21">
        <v>0.75</v>
      </c>
      <c r="E2466" s="21">
        <v>3.0</v>
      </c>
      <c r="F2466" s="7">
        <v>363.803109407424</v>
      </c>
      <c r="G2466" s="7">
        <v>475.410597085952</v>
      </c>
      <c r="H2466" s="7">
        <v>4.0</v>
      </c>
      <c r="I2466" s="15">
        <v>0.814815806156802</v>
      </c>
      <c r="J2466" s="15">
        <v>0.128741810376188</v>
      </c>
      <c r="K2466" s="12">
        <f>AVERAGE(I2462:I2466)</f>
        <v>0.6638355633</v>
      </c>
      <c r="L2466" s="18">
        <v>991.0</v>
      </c>
      <c r="M2466" s="14">
        <f>STDEV(L2462:L2466)</f>
        <v>50944.08736</v>
      </c>
      <c r="N2466" s="15" t="b">
        <f t="shared" si="1"/>
        <v>1</v>
      </c>
    </row>
    <row r="2467" hidden="1">
      <c r="A2467" s="7" t="s">
        <v>501</v>
      </c>
      <c r="B2467" s="7" t="s">
        <v>268</v>
      </c>
      <c r="C2467" s="7">
        <v>1.0</v>
      </c>
      <c r="D2467" s="7">
        <v>0.75</v>
      </c>
      <c r="E2467" s="7">
        <v>4.0</v>
      </c>
      <c r="F2467" s="7">
        <v>369.07832622528</v>
      </c>
      <c r="G2467" s="7">
        <v>493.853128194808</v>
      </c>
      <c r="H2467" s="7">
        <v>0.0</v>
      </c>
      <c r="I2467" s="15">
        <v>0.833713884873718</v>
      </c>
      <c r="J2467" s="15">
        <v>0.0961644236669783</v>
      </c>
      <c r="K2467" s="12">
        <f>AVERAGE(I2467:I2471)</f>
        <v>0.5396596592</v>
      </c>
      <c r="L2467" s="18">
        <v>7266.0</v>
      </c>
      <c r="M2467" s="14">
        <f>STDEV(L2467:L2471)</f>
        <v>30741.01506</v>
      </c>
      <c r="N2467" s="15" t="b">
        <f t="shared" si="1"/>
        <v>0</v>
      </c>
    </row>
    <row r="2468" hidden="1">
      <c r="A2468" s="7" t="s">
        <v>501</v>
      </c>
      <c r="B2468" s="7" t="s">
        <v>268</v>
      </c>
      <c r="C2468" s="7">
        <v>1.0</v>
      </c>
      <c r="D2468" s="7">
        <v>0.75</v>
      </c>
      <c r="E2468" s="7">
        <v>4.0</v>
      </c>
      <c r="F2468" s="7">
        <v>369.07832622528</v>
      </c>
      <c r="G2468" s="7">
        <v>493.853128194808</v>
      </c>
      <c r="H2468" s="7">
        <v>1.0</v>
      </c>
      <c r="I2468" s="15">
        <v>0.114955125586171</v>
      </c>
      <c r="J2468" s="15">
        <v>0.0971527628844714</v>
      </c>
      <c r="K2468" s="12">
        <f>AVERAGE(I2467:I2471)</f>
        <v>0.5396596592</v>
      </c>
      <c r="L2468" s="18">
        <v>72941.0</v>
      </c>
      <c r="M2468" s="14">
        <f>STDEV(L2467:L2471)</f>
        <v>30741.01506</v>
      </c>
      <c r="N2468" s="15" t="b">
        <f t="shared" si="1"/>
        <v>0</v>
      </c>
    </row>
    <row r="2469" hidden="1">
      <c r="A2469" s="7" t="s">
        <v>501</v>
      </c>
      <c r="B2469" s="7" t="s">
        <v>268</v>
      </c>
      <c r="C2469" s="7">
        <v>1.0</v>
      </c>
      <c r="D2469" s="7">
        <v>0.75</v>
      </c>
      <c r="E2469" s="7">
        <v>4.0</v>
      </c>
      <c r="F2469" s="7">
        <v>369.07832622528</v>
      </c>
      <c r="G2469" s="7">
        <v>493.853128194808</v>
      </c>
      <c r="H2469" s="7">
        <v>2.0</v>
      </c>
      <c r="I2469" s="15">
        <v>0.81440974244561</v>
      </c>
      <c r="J2469" s="15">
        <v>0.114301134414706</v>
      </c>
      <c r="K2469" s="12">
        <f>AVERAGE(I2467:I2471)</f>
        <v>0.5396596592</v>
      </c>
      <c r="L2469" s="18">
        <v>5585.0</v>
      </c>
      <c r="M2469" s="14">
        <f>STDEV(L2467:L2471)</f>
        <v>30741.01506</v>
      </c>
      <c r="N2469" s="15" t="b">
        <f t="shared" si="1"/>
        <v>0</v>
      </c>
    </row>
    <row r="2470" hidden="1">
      <c r="A2470" s="7" t="s">
        <v>501</v>
      </c>
      <c r="B2470" s="7" t="s">
        <v>268</v>
      </c>
      <c r="C2470" s="7">
        <v>1.0</v>
      </c>
      <c r="D2470" s="7">
        <v>0.75</v>
      </c>
      <c r="E2470" s="7">
        <v>4.0</v>
      </c>
      <c r="F2470" s="7">
        <v>369.07832622528</v>
      </c>
      <c r="G2470" s="7">
        <v>493.853128194808</v>
      </c>
      <c r="H2470" s="7">
        <v>3.0</v>
      </c>
      <c r="I2470" s="15">
        <v>0.75164566574538</v>
      </c>
      <c r="J2470" s="15">
        <v>0.133504358556759</v>
      </c>
      <c r="K2470" s="12">
        <f>AVERAGE(I2467:I2471)</f>
        <v>0.5396596592</v>
      </c>
      <c r="L2470" s="18">
        <v>7588.0</v>
      </c>
      <c r="M2470" s="14">
        <f>STDEV(L2467:L2471)</f>
        <v>30741.01506</v>
      </c>
      <c r="N2470" s="15" t="b">
        <f t="shared" si="1"/>
        <v>0</v>
      </c>
    </row>
    <row r="2471" hidden="1">
      <c r="A2471" s="7" t="s">
        <v>501</v>
      </c>
      <c r="B2471" s="7" t="s">
        <v>268</v>
      </c>
      <c r="C2471" s="7">
        <v>1.0</v>
      </c>
      <c r="D2471" s="7">
        <v>0.75</v>
      </c>
      <c r="E2471" s="7">
        <v>4.0</v>
      </c>
      <c r="F2471" s="7">
        <v>369.07832622528</v>
      </c>
      <c r="G2471" s="7">
        <v>493.853128194808</v>
      </c>
      <c r="H2471" s="7">
        <v>4.0</v>
      </c>
      <c r="I2471" s="15">
        <v>0.183573877426324</v>
      </c>
      <c r="J2471" s="15">
        <v>0.076524891129577</v>
      </c>
      <c r="K2471" s="12">
        <f>AVERAGE(I2467:I2471)</f>
        <v>0.5396596592</v>
      </c>
      <c r="L2471" s="18">
        <v>48296.0</v>
      </c>
      <c r="M2471" s="14">
        <f>STDEV(L2467:L2471)</f>
        <v>30741.01506</v>
      </c>
      <c r="N2471" s="15" t="b">
        <f t="shared" si="1"/>
        <v>0</v>
      </c>
    </row>
    <row r="2472" hidden="1">
      <c r="A2472" s="7" t="s">
        <v>502</v>
      </c>
      <c r="B2472" s="7" t="s">
        <v>268</v>
      </c>
      <c r="C2472" s="7">
        <v>1.0</v>
      </c>
      <c r="D2472" s="7">
        <v>0.75</v>
      </c>
      <c r="E2472" s="7">
        <v>5.0</v>
      </c>
      <c r="F2472" s="7">
        <v>549.395227193832</v>
      </c>
      <c r="G2472" s="7">
        <v>647.86693072319</v>
      </c>
      <c r="H2472" s="7">
        <v>0.0</v>
      </c>
      <c r="I2472" s="15">
        <v>0.0470752302084821</v>
      </c>
      <c r="J2472" s="15">
        <v>0.0364716944015192</v>
      </c>
      <c r="K2472" s="12">
        <f>AVERAGE(I2472:I2476)</f>
        <v>0.4767961178</v>
      </c>
      <c r="L2472" s="18">
        <v>60674.0</v>
      </c>
      <c r="M2472" s="14">
        <f>STDEV(L2472:L2476)</f>
        <v>20858.0517</v>
      </c>
      <c r="N2472" s="15" t="b">
        <f t="shared" si="1"/>
        <v>0</v>
      </c>
    </row>
    <row r="2473" hidden="1">
      <c r="A2473" s="7" t="s">
        <v>502</v>
      </c>
      <c r="B2473" s="7" t="s">
        <v>268</v>
      </c>
      <c r="C2473" s="7">
        <v>1.0</v>
      </c>
      <c r="D2473" s="7">
        <v>0.75</v>
      </c>
      <c r="E2473" s="7">
        <v>5.0</v>
      </c>
      <c r="F2473" s="7">
        <v>549.395227193832</v>
      </c>
      <c r="G2473" s="7">
        <v>647.86693072319</v>
      </c>
      <c r="H2473" s="7">
        <v>1.0</v>
      </c>
      <c r="I2473" s="15">
        <v>0.341843068337411</v>
      </c>
      <c r="J2473" s="15">
        <v>0.20169647481654</v>
      </c>
      <c r="K2473" s="12">
        <f>AVERAGE(I2472:I2476)</f>
        <v>0.4767961178</v>
      </c>
      <c r="L2473" s="18">
        <v>31791.0</v>
      </c>
      <c r="M2473" s="14">
        <f>STDEV(L2472:L2476)</f>
        <v>20858.0517</v>
      </c>
      <c r="N2473" s="15" t="b">
        <f t="shared" si="1"/>
        <v>0</v>
      </c>
    </row>
    <row r="2474" hidden="1">
      <c r="A2474" s="7" t="s">
        <v>502</v>
      </c>
      <c r="B2474" s="7" t="s">
        <v>268</v>
      </c>
      <c r="C2474" s="7">
        <v>1.0</v>
      </c>
      <c r="D2474" s="7">
        <v>0.75</v>
      </c>
      <c r="E2474" s="7">
        <v>5.0</v>
      </c>
      <c r="F2474" s="7">
        <v>549.395227193832</v>
      </c>
      <c r="G2474" s="7">
        <v>647.86693072319</v>
      </c>
      <c r="H2474" s="7">
        <v>2.0</v>
      </c>
      <c r="I2474" s="15">
        <v>0.81379963299722</v>
      </c>
      <c r="J2474" s="15">
        <v>0.121530127899644</v>
      </c>
      <c r="K2474" s="12">
        <f>AVERAGE(I2472:I2476)</f>
        <v>0.4767961178</v>
      </c>
      <c r="L2474" s="18">
        <v>5563.0</v>
      </c>
      <c r="M2474" s="14">
        <f>STDEV(L2472:L2476)</f>
        <v>20858.0517</v>
      </c>
      <c r="N2474" s="15" t="b">
        <f t="shared" si="1"/>
        <v>0</v>
      </c>
    </row>
    <row r="2475" hidden="1">
      <c r="A2475" s="7" t="s">
        <v>502</v>
      </c>
      <c r="B2475" s="7" t="s">
        <v>268</v>
      </c>
      <c r="C2475" s="7">
        <v>1.0</v>
      </c>
      <c r="D2475" s="7">
        <v>0.75</v>
      </c>
      <c r="E2475" s="7">
        <v>5.0</v>
      </c>
      <c r="F2475" s="7">
        <v>549.395227193832</v>
      </c>
      <c r="G2475" s="7">
        <v>647.86693072319</v>
      </c>
      <c r="H2475" s="7">
        <v>3.0</v>
      </c>
      <c r="I2475" s="15">
        <v>0.773495587760633</v>
      </c>
      <c r="J2475" s="15">
        <v>0.120753188270043</v>
      </c>
      <c r="K2475" s="12">
        <f>AVERAGE(I2472:I2476)</f>
        <v>0.4767961178</v>
      </c>
      <c r="L2475" s="18">
        <v>15534.0</v>
      </c>
      <c r="M2475" s="14">
        <f>STDEV(L2472:L2476)</f>
        <v>20858.0517</v>
      </c>
      <c r="N2475" s="15" t="b">
        <f t="shared" si="1"/>
        <v>0</v>
      </c>
    </row>
    <row r="2476" hidden="1">
      <c r="A2476" s="7" t="s">
        <v>502</v>
      </c>
      <c r="B2476" s="7" t="s">
        <v>268</v>
      </c>
      <c r="C2476" s="7">
        <v>1.0</v>
      </c>
      <c r="D2476" s="7">
        <v>0.75</v>
      </c>
      <c r="E2476" s="7">
        <v>5.0</v>
      </c>
      <c r="F2476" s="7">
        <v>549.395227193832</v>
      </c>
      <c r="G2476" s="7">
        <v>647.86693072319</v>
      </c>
      <c r="H2476" s="7">
        <v>4.0</v>
      </c>
      <c r="I2476" s="15">
        <v>0.407767069838987</v>
      </c>
      <c r="J2476" s="15">
        <v>0.103359595610213</v>
      </c>
      <c r="K2476" s="12">
        <f>AVERAGE(I2472:I2476)</f>
        <v>0.4767961178</v>
      </c>
      <c r="L2476" s="18">
        <v>28114.0</v>
      </c>
      <c r="M2476" s="14">
        <f>STDEV(L2472:L2476)</f>
        <v>20858.0517</v>
      </c>
      <c r="N2476" s="15" t="b">
        <f t="shared" si="1"/>
        <v>0</v>
      </c>
    </row>
    <row r="2477" hidden="1">
      <c r="A2477" s="7" t="s">
        <v>503</v>
      </c>
      <c r="B2477" s="7" t="s">
        <v>268</v>
      </c>
      <c r="C2477" s="7">
        <v>1.0</v>
      </c>
      <c r="D2477" s="7">
        <v>0.75</v>
      </c>
      <c r="E2477" s="7">
        <v>6.0</v>
      </c>
      <c r="F2477" s="7">
        <v>301.024290561675</v>
      </c>
      <c r="G2477" s="7">
        <v>382.592229127883</v>
      </c>
      <c r="H2477" s="7">
        <v>0.0</v>
      </c>
      <c r="I2477" s="15">
        <v>0.719559415443351</v>
      </c>
      <c r="J2477" s="15">
        <v>0.141063044449147</v>
      </c>
      <c r="K2477" s="12">
        <f>AVERAGE(I2477:I2481)</f>
        <v>0.6456342956</v>
      </c>
      <c r="L2477" s="18">
        <v>3706.0</v>
      </c>
      <c r="M2477" s="14">
        <f>STDEV(L2477:L2481)</f>
        <v>50996.20058</v>
      </c>
      <c r="N2477" s="15" t="b">
        <f t="shared" si="1"/>
        <v>0</v>
      </c>
    </row>
    <row r="2478" hidden="1">
      <c r="A2478" s="7" t="s">
        <v>503</v>
      </c>
      <c r="B2478" s="7" t="s">
        <v>268</v>
      </c>
      <c r="C2478" s="7">
        <v>1.0</v>
      </c>
      <c r="D2478" s="7">
        <v>0.75</v>
      </c>
      <c r="E2478" s="7">
        <v>6.0</v>
      </c>
      <c r="F2478" s="7">
        <v>301.024290561675</v>
      </c>
      <c r="G2478" s="7">
        <v>382.592229127883</v>
      </c>
      <c r="H2478" s="7">
        <v>1.0</v>
      </c>
      <c r="I2478" s="15">
        <v>-3.61545043287534E-4</v>
      </c>
      <c r="J2478" s="15">
        <v>0.220677329530003</v>
      </c>
      <c r="K2478" s="12">
        <f>AVERAGE(I2477:I2481)</f>
        <v>0.6456342956</v>
      </c>
      <c r="L2478" s="18">
        <v>118960.0</v>
      </c>
      <c r="M2478" s="14">
        <f>STDEV(L2477:L2481)</f>
        <v>50996.20058</v>
      </c>
      <c r="N2478" s="15" t="b">
        <f t="shared" si="1"/>
        <v>0</v>
      </c>
    </row>
    <row r="2479" hidden="1">
      <c r="A2479" s="7" t="s">
        <v>503</v>
      </c>
      <c r="B2479" s="7" t="s">
        <v>268</v>
      </c>
      <c r="C2479" s="7">
        <v>1.0</v>
      </c>
      <c r="D2479" s="7">
        <v>0.75</v>
      </c>
      <c r="E2479" s="7">
        <v>6.0</v>
      </c>
      <c r="F2479" s="7">
        <v>301.024290561675</v>
      </c>
      <c r="G2479" s="7">
        <v>382.592229127883</v>
      </c>
      <c r="H2479" s="7">
        <v>2.0</v>
      </c>
      <c r="I2479" s="15">
        <v>0.859713930029542</v>
      </c>
      <c r="J2479" s="15">
        <v>0.0858032221509969</v>
      </c>
      <c r="K2479" s="12">
        <f>AVERAGE(I2477:I2481)</f>
        <v>0.6456342956</v>
      </c>
      <c r="L2479" s="18">
        <v>1000.0</v>
      </c>
      <c r="M2479" s="14">
        <f>STDEV(L2477:L2481)</f>
        <v>50996.20058</v>
      </c>
      <c r="N2479" s="15" t="b">
        <f t="shared" si="1"/>
        <v>0</v>
      </c>
    </row>
    <row r="2480" hidden="1">
      <c r="A2480" s="7" t="s">
        <v>503</v>
      </c>
      <c r="B2480" s="7" t="s">
        <v>268</v>
      </c>
      <c r="C2480" s="7">
        <v>1.0</v>
      </c>
      <c r="D2480" s="7">
        <v>0.75</v>
      </c>
      <c r="E2480" s="7">
        <v>6.0</v>
      </c>
      <c r="F2480" s="7">
        <v>301.024290561675</v>
      </c>
      <c r="G2480" s="7">
        <v>382.592229127883</v>
      </c>
      <c r="H2480" s="7">
        <v>3.0</v>
      </c>
      <c r="I2480" s="15">
        <v>0.884181493236671</v>
      </c>
      <c r="J2480" s="15">
        <v>0.118654332285848</v>
      </c>
      <c r="K2480" s="12">
        <f>AVERAGE(I2477:I2481)</f>
        <v>0.6456342956</v>
      </c>
      <c r="L2480" s="18">
        <v>2354.0</v>
      </c>
      <c r="M2480" s="14">
        <f>STDEV(L2477:L2481)</f>
        <v>50996.20058</v>
      </c>
      <c r="N2480" s="15" t="b">
        <f t="shared" si="1"/>
        <v>0</v>
      </c>
    </row>
    <row r="2481" hidden="1">
      <c r="A2481" s="7" t="s">
        <v>503</v>
      </c>
      <c r="B2481" s="7" t="s">
        <v>268</v>
      </c>
      <c r="C2481" s="7">
        <v>1.0</v>
      </c>
      <c r="D2481" s="7">
        <v>0.75</v>
      </c>
      <c r="E2481" s="7">
        <v>6.0</v>
      </c>
      <c r="F2481" s="7">
        <v>301.024290561675</v>
      </c>
      <c r="G2481" s="7">
        <v>382.592229127883</v>
      </c>
      <c r="H2481" s="7">
        <v>4.0</v>
      </c>
      <c r="I2481" s="15">
        <v>0.765078184280105</v>
      </c>
      <c r="J2481" s="15">
        <v>0.13448723683962</v>
      </c>
      <c r="K2481" s="12">
        <f>AVERAGE(I2477:I2481)</f>
        <v>0.6456342956</v>
      </c>
      <c r="L2481" s="18">
        <v>15656.0</v>
      </c>
      <c r="M2481" s="14">
        <f>STDEV(L2477:L2481)</f>
        <v>50996.20058</v>
      </c>
      <c r="N2481" s="15" t="b">
        <f t="shared" si="1"/>
        <v>0</v>
      </c>
    </row>
    <row r="2482" hidden="1">
      <c r="A2482" s="7" t="s">
        <v>504</v>
      </c>
      <c r="B2482" s="7" t="s">
        <v>268</v>
      </c>
      <c r="C2482" s="7">
        <v>1.0</v>
      </c>
      <c r="D2482" s="7">
        <v>0.75</v>
      </c>
      <c r="E2482" s="7">
        <v>7.0</v>
      </c>
      <c r="F2482" s="7">
        <v>252.664650917053</v>
      </c>
      <c r="G2482" s="7">
        <v>363.64578962326</v>
      </c>
      <c r="H2482" s="7">
        <v>0.0</v>
      </c>
      <c r="I2482" s="15">
        <v>0.0713624250010577</v>
      </c>
      <c r="J2482" s="15">
        <v>0.0634111276747419</v>
      </c>
      <c r="K2482" s="12">
        <f>AVERAGE(I2482:I2486)</f>
        <v>0.4888333614</v>
      </c>
      <c r="L2482" s="18">
        <v>97418.0</v>
      </c>
      <c r="M2482" s="14">
        <f>STDEV(L2482:L2486)</f>
        <v>41100.89579</v>
      </c>
      <c r="N2482" s="15" t="b">
        <f t="shared" si="1"/>
        <v>0</v>
      </c>
    </row>
    <row r="2483" hidden="1">
      <c r="A2483" s="7" t="s">
        <v>504</v>
      </c>
      <c r="B2483" s="7" t="s">
        <v>268</v>
      </c>
      <c r="C2483" s="7">
        <v>1.0</v>
      </c>
      <c r="D2483" s="7">
        <v>0.75</v>
      </c>
      <c r="E2483" s="7">
        <v>7.0</v>
      </c>
      <c r="F2483" s="7">
        <v>252.664650917053</v>
      </c>
      <c r="G2483" s="7">
        <v>363.64578962326</v>
      </c>
      <c r="H2483" s="7">
        <v>1.0</v>
      </c>
      <c r="I2483" s="15">
        <v>0.316031880727897</v>
      </c>
      <c r="J2483" s="15">
        <v>0.107565657209099</v>
      </c>
      <c r="K2483" s="12">
        <f>AVERAGE(I2482:I2486)</f>
        <v>0.4888333614</v>
      </c>
      <c r="L2483" s="18">
        <v>35103.0</v>
      </c>
      <c r="M2483" s="14">
        <f>STDEV(L2482:L2486)</f>
        <v>41100.89579</v>
      </c>
      <c r="N2483" s="15" t="b">
        <f t="shared" si="1"/>
        <v>0</v>
      </c>
    </row>
    <row r="2484" hidden="1">
      <c r="A2484" s="7" t="s">
        <v>504</v>
      </c>
      <c r="B2484" s="7" t="s">
        <v>268</v>
      </c>
      <c r="C2484" s="7">
        <v>1.0</v>
      </c>
      <c r="D2484" s="7">
        <v>0.75</v>
      </c>
      <c r="E2484" s="7">
        <v>7.0</v>
      </c>
      <c r="F2484" s="7">
        <v>252.664650917053</v>
      </c>
      <c r="G2484" s="7">
        <v>363.64578962326</v>
      </c>
      <c r="H2484" s="7">
        <v>2.0</v>
      </c>
      <c r="I2484" s="15">
        <v>0.88259800110349</v>
      </c>
      <c r="J2484" s="15">
        <v>0.125555135521831</v>
      </c>
      <c r="K2484" s="12">
        <f>AVERAGE(I2482:I2486)</f>
        <v>0.4888333614</v>
      </c>
      <c r="L2484" s="18">
        <v>2354.0</v>
      </c>
      <c r="M2484" s="14">
        <f>STDEV(L2482:L2486)</f>
        <v>41100.89579</v>
      </c>
      <c r="N2484" s="15" t="b">
        <f t="shared" si="1"/>
        <v>0</v>
      </c>
    </row>
    <row r="2485" hidden="1">
      <c r="A2485" s="7" t="s">
        <v>504</v>
      </c>
      <c r="B2485" s="7" t="s">
        <v>268</v>
      </c>
      <c r="C2485" s="7">
        <v>1.0</v>
      </c>
      <c r="D2485" s="7">
        <v>0.75</v>
      </c>
      <c r="E2485" s="7">
        <v>7.0</v>
      </c>
      <c r="F2485" s="7">
        <v>252.664650917053</v>
      </c>
      <c r="G2485" s="7">
        <v>363.64578962326</v>
      </c>
      <c r="H2485" s="7">
        <v>3.0</v>
      </c>
      <c r="I2485" s="15">
        <v>0.271011723361069</v>
      </c>
      <c r="J2485" s="15">
        <v>0.121921471492504</v>
      </c>
      <c r="K2485" s="12">
        <f>AVERAGE(I2482:I2486)</f>
        <v>0.4888333614</v>
      </c>
      <c r="L2485" s="18">
        <v>6594.0</v>
      </c>
      <c r="M2485" s="14">
        <f>STDEV(L2482:L2486)</f>
        <v>41100.89579</v>
      </c>
      <c r="N2485" s="15" t="b">
        <f t="shared" si="1"/>
        <v>0</v>
      </c>
    </row>
    <row r="2486" hidden="1">
      <c r="A2486" s="7" t="s">
        <v>504</v>
      </c>
      <c r="B2486" s="7" t="s">
        <v>268</v>
      </c>
      <c r="C2486" s="7">
        <v>1.0</v>
      </c>
      <c r="D2486" s="7">
        <v>0.75</v>
      </c>
      <c r="E2486" s="7">
        <v>7.0</v>
      </c>
      <c r="F2486" s="7">
        <v>252.664650917053</v>
      </c>
      <c r="G2486" s="7">
        <v>363.64578962326</v>
      </c>
      <c r="H2486" s="7">
        <v>4.0</v>
      </c>
      <c r="I2486" s="15">
        <v>0.903162777019048</v>
      </c>
      <c r="J2486" s="15">
        <v>0.0234768344915484</v>
      </c>
      <c r="K2486" s="12">
        <f>AVERAGE(I2482:I2486)</f>
        <v>0.4888333614</v>
      </c>
      <c r="L2486" s="18">
        <v>207.0</v>
      </c>
      <c r="M2486" s="14">
        <f>STDEV(L2482:L2486)</f>
        <v>41100.89579</v>
      </c>
      <c r="N2486" s="15" t="b">
        <f t="shared" si="1"/>
        <v>0</v>
      </c>
    </row>
    <row r="2487" hidden="1">
      <c r="A2487" s="7" t="s">
        <v>505</v>
      </c>
      <c r="B2487" s="20" t="s">
        <v>268</v>
      </c>
      <c r="C2487" s="20">
        <v>1.0</v>
      </c>
      <c r="D2487" s="20">
        <v>0.75</v>
      </c>
      <c r="E2487" s="20">
        <v>8.0</v>
      </c>
      <c r="F2487" s="7">
        <v>254.939316511154</v>
      </c>
      <c r="G2487" s="7">
        <v>365.833148956298</v>
      </c>
      <c r="H2487" s="7">
        <v>0.0</v>
      </c>
      <c r="I2487" s="15">
        <v>0.81296751603938</v>
      </c>
      <c r="J2487" s="15">
        <v>0.122432366431129</v>
      </c>
      <c r="K2487" s="12">
        <f>AVERAGE(I2487:I2491)</f>
        <v>0.6697970819</v>
      </c>
      <c r="L2487" s="18">
        <v>5573.0</v>
      </c>
      <c r="M2487" s="14">
        <f>STDEV(L2487:L2491)</f>
        <v>49549.85637</v>
      </c>
      <c r="N2487" s="15" t="b">
        <f t="shared" si="1"/>
        <v>1</v>
      </c>
    </row>
    <row r="2488" hidden="1">
      <c r="A2488" s="7" t="s">
        <v>505</v>
      </c>
      <c r="B2488" s="20" t="s">
        <v>268</v>
      </c>
      <c r="C2488" s="20">
        <v>1.0</v>
      </c>
      <c r="D2488" s="20">
        <v>0.75</v>
      </c>
      <c r="E2488" s="20">
        <v>8.0</v>
      </c>
      <c r="F2488" s="7">
        <v>254.939316511154</v>
      </c>
      <c r="G2488" s="7">
        <v>365.833148956298</v>
      </c>
      <c r="H2488" s="7">
        <v>1.0</v>
      </c>
      <c r="I2488" s="15">
        <v>0.885927376421567</v>
      </c>
      <c r="J2488" s="15">
        <v>0.118170423311381</v>
      </c>
      <c r="K2488" s="12">
        <f>AVERAGE(I2487:I2491)</f>
        <v>0.6697970819</v>
      </c>
      <c r="L2488" s="18">
        <v>2349.0</v>
      </c>
      <c r="M2488" s="14">
        <f>STDEV(L2487:L2491)</f>
        <v>49549.85637</v>
      </c>
      <c r="N2488" s="15" t="b">
        <f t="shared" si="1"/>
        <v>1</v>
      </c>
    </row>
    <row r="2489" hidden="1">
      <c r="A2489" s="7" t="s">
        <v>505</v>
      </c>
      <c r="B2489" s="20" t="s">
        <v>268</v>
      </c>
      <c r="C2489" s="20">
        <v>1.0</v>
      </c>
      <c r="D2489" s="20">
        <v>0.75</v>
      </c>
      <c r="E2489" s="20">
        <v>8.0</v>
      </c>
      <c r="F2489" s="7">
        <v>254.939316511154</v>
      </c>
      <c r="G2489" s="7">
        <v>365.833148956298</v>
      </c>
      <c r="H2489" s="7">
        <v>2.0</v>
      </c>
      <c r="I2489" s="15">
        <v>0.77647080970672</v>
      </c>
      <c r="J2489" s="15">
        <v>0.120110977102519</v>
      </c>
      <c r="K2489" s="12">
        <f>AVERAGE(I2487:I2491)</f>
        <v>0.6697970819</v>
      </c>
      <c r="L2489" s="18">
        <v>15508.0</v>
      </c>
      <c r="M2489" s="14">
        <f>STDEV(L2487:L2491)</f>
        <v>49549.85637</v>
      </c>
      <c r="N2489" s="15" t="b">
        <f t="shared" si="1"/>
        <v>1</v>
      </c>
    </row>
    <row r="2490" hidden="1">
      <c r="A2490" s="7" t="s">
        <v>505</v>
      </c>
      <c r="B2490" s="20" t="s">
        <v>268</v>
      </c>
      <c r="C2490" s="20">
        <v>1.0</v>
      </c>
      <c r="D2490" s="20">
        <v>0.75</v>
      </c>
      <c r="E2490" s="20">
        <v>8.0</v>
      </c>
      <c r="F2490" s="7">
        <v>254.939316511154</v>
      </c>
      <c r="G2490" s="7">
        <v>365.833148956298</v>
      </c>
      <c r="H2490" s="7">
        <v>3.0</v>
      </c>
      <c r="I2490" s="15">
        <v>0.808805864232232</v>
      </c>
      <c r="J2490" s="15">
        <v>0.130077478216456</v>
      </c>
      <c r="K2490" s="12">
        <f>AVERAGE(I2487:I2491)</f>
        <v>0.6697970819</v>
      </c>
      <c r="L2490" s="18">
        <v>1821.0</v>
      </c>
      <c r="M2490" s="14">
        <f>STDEV(L2487:L2491)</f>
        <v>49549.85637</v>
      </c>
      <c r="N2490" s="15" t="b">
        <f t="shared" si="1"/>
        <v>1</v>
      </c>
    </row>
    <row r="2491" hidden="1">
      <c r="A2491" s="7" t="s">
        <v>505</v>
      </c>
      <c r="B2491" s="20" t="s">
        <v>268</v>
      </c>
      <c r="C2491" s="20">
        <v>1.0</v>
      </c>
      <c r="D2491" s="20">
        <v>0.75</v>
      </c>
      <c r="E2491" s="20">
        <v>8.0</v>
      </c>
      <c r="F2491" s="7">
        <v>254.939316511154</v>
      </c>
      <c r="G2491" s="7">
        <v>365.833148956298</v>
      </c>
      <c r="H2491" s="7">
        <v>4.0</v>
      </c>
      <c r="I2491" s="15">
        <v>0.0648138433148017</v>
      </c>
      <c r="J2491" s="15">
        <v>0.0658008748152095</v>
      </c>
      <c r="K2491" s="12">
        <f>AVERAGE(I2487:I2491)</f>
        <v>0.6697970819</v>
      </c>
      <c r="L2491" s="18">
        <v>116425.0</v>
      </c>
      <c r="M2491" s="14">
        <f>STDEV(L2487:L2491)</f>
        <v>49549.85637</v>
      </c>
      <c r="N2491" s="15" t="b">
        <f t="shared" si="1"/>
        <v>1</v>
      </c>
    </row>
    <row r="2492" hidden="1">
      <c r="A2492" s="7" t="s">
        <v>506</v>
      </c>
      <c r="B2492" s="7" t="s">
        <v>268</v>
      </c>
      <c r="C2492" s="7">
        <v>1.0</v>
      </c>
      <c r="D2492" s="7">
        <v>0.75</v>
      </c>
      <c r="E2492" s="7">
        <v>9.0</v>
      </c>
      <c r="F2492" s="7">
        <v>332.303476572036</v>
      </c>
      <c r="G2492" s="7">
        <v>496.192534446716</v>
      </c>
      <c r="H2492" s="7">
        <v>0.0</v>
      </c>
      <c r="I2492" s="15">
        <v>0.0578388373575416</v>
      </c>
      <c r="J2492" s="15">
        <v>0.0504414233765432</v>
      </c>
      <c r="K2492" s="12">
        <f>AVERAGE(I2492:I2496)</f>
        <v>0.4682818297</v>
      </c>
      <c r="L2492" s="18">
        <v>85932.0</v>
      </c>
      <c r="M2492" s="14">
        <f>STDEV(L2492:L2496)</f>
        <v>34095.56196</v>
      </c>
      <c r="N2492" s="15" t="b">
        <f t="shared" si="1"/>
        <v>0</v>
      </c>
    </row>
    <row r="2493" hidden="1">
      <c r="A2493" s="7" t="s">
        <v>506</v>
      </c>
      <c r="B2493" s="7" t="s">
        <v>268</v>
      </c>
      <c r="C2493" s="7">
        <v>1.0</v>
      </c>
      <c r="D2493" s="7">
        <v>0.75</v>
      </c>
      <c r="E2493" s="7">
        <v>9.0</v>
      </c>
      <c r="F2493" s="7">
        <v>332.303476572036</v>
      </c>
      <c r="G2493" s="7">
        <v>496.192534446716</v>
      </c>
      <c r="H2493" s="7">
        <v>1.0</v>
      </c>
      <c r="I2493" s="15">
        <v>0.799559602945002</v>
      </c>
      <c r="J2493" s="15">
        <v>0.104523004589762</v>
      </c>
      <c r="K2493" s="12">
        <f>AVERAGE(I2492:I2496)</f>
        <v>0.4682818297</v>
      </c>
      <c r="L2493" s="18">
        <v>15188.0</v>
      </c>
      <c r="M2493" s="14">
        <f>STDEV(L2492:L2496)</f>
        <v>34095.56196</v>
      </c>
      <c r="N2493" s="15" t="b">
        <f t="shared" si="1"/>
        <v>0</v>
      </c>
    </row>
    <row r="2494" hidden="1">
      <c r="A2494" s="7" t="s">
        <v>506</v>
      </c>
      <c r="B2494" s="7" t="s">
        <v>268</v>
      </c>
      <c r="C2494" s="7">
        <v>1.0</v>
      </c>
      <c r="D2494" s="7">
        <v>0.75</v>
      </c>
      <c r="E2494" s="7">
        <v>9.0</v>
      </c>
      <c r="F2494" s="7">
        <v>332.303476572036</v>
      </c>
      <c r="G2494" s="7">
        <v>496.192534446716</v>
      </c>
      <c r="H2494" s="7">
        <v>2.0</v>
      </c>
      <c r="I2494" s="15">
        <v>0.336977792182372</v>
      </c>
      <c r="J2494" s="15">
        <v>0.203268800374953</v>
      </c>
      <c r="K2494" s="12">
        <f>AVERAGE(I2492:I2496)</f>
        <v>0.4682818297</v>
      </c>
      <c r="L2494" s="18">
        <v>31760.0</v>
      </c>
      <c r="M2494" s="14">
        <f>STDEV(L2492:L2496)</f>
        <v>34095.56196</v>
      </c>
      <c r="N2494" s="15" t="b">
        <f t="shared" si="1"/>
        <v>0</v>
      </c>
    </row>
    <row r="2495" hidden="1">
      <c r="A2495" s="7" t="s">
        <v>506</v>
      </c>
      <c r="B2495" s="7" t="s">
        <v>268</v>
      </c>
      <c r="C2495" s="7">
        <v>1.0</v>
      </c>
      <c r="D2495" s="7">
        <v>0.75</v>
      </c>
      <c r="E2495" s="7">
        <v>9.0</v>
      </c>
      <c r="F2495" s="7">
        <v>332.303476572036</v>
      </c>
      <c r="G2495" s="7">
        <v>496.192534446716</v>
      </c>
      <c r="H2495" s="7">
        <v>3.0</v>
      </c>
      <c r="I2495" s="15">
        <v>0.309397043369158</v>
      </c>
      <c r="J2495" s="15">
        <v>0.108210800599591</v>
      </c>
      <c r="K2495" s="12">
        <f>AVERAGE(I2492:I2496)</f>
        <v>0.4682818297</v>
      </c>
      <c r="L2495" s="18">
        <v>3378.0</v>
      </c>
      <c r="M2495" s="14">
        <f>STDEV(L2492:L2496)</f>
        <v>34095.56196</v>
      </c>
      <c r="N2495" s="15" t="b">
        <f t="shared" si="1"/>
        <v>0</v>
      </c>
    </row>
    <row r="2496" hidden="1">
      <c r="A2496" s="7" t="s">
        <v>506</v>
      </c>
      <c r="B2496" s="7" t="s">
        <v>268</v>
      </c>
      <c r="C2496" s="7">
        <v>1.0</v>
      </c>
      <c r="D2496" s="7">
        <v>0.75</v>
      </c>
      <c r="E2496" s="7">
        <v>9.0</v>
      </c>
      <c r="F2496" s="7">
        <v>332.303476572036</v>
      </c>
      <c r="G2496" s="7">
        <v>496.192534446716</v>
      </c>
      <c r="H2496" s="7">
        <v>4.0</v>
      </c>
      <c r="I2496" s="15">
        <v>0.837635872819539</v>
      </c>
      <c r="J2496" s="15">
        <v>0.0928544091955076</v>
      </c>
      <c r="K2496" s="12">
        <f>AVERAGE(I2492:I2496)</f>
        <v>0.4682818297</v>
      </c>
      <c r="L2496" s="18">
        <v>5418.0</v>
      </c>
      <c r="M2496" s="14">
        <f>STDEV(L2492:L2496)</f>
        <v>34095.56196</v>
      </c>
      <c r="N2496" s="15" t="b">
        <f t="shared" si="1"/>
        <v>0</v>
      </c>
    </row>
    <row r="2497" hidden="1">
      <c r="A2497" s="7" t="s">
        <v>507</v>
      </c>
      <c r="B2497" s="7" t="s">
        <v>268</v>
      </c>
      <c r="C2497" s="7">
        <v>1.0</v>
      </c>
      <c r="D2497" s="7">
        <v>0.75</v>
      </c>
      <c r="E2497" s="7">
        <v>10.0</v>
      </c>
      <c r="F2497" s="7">
        <v>255.664316892623</v>
      </c>
      <c r="G2497" s="7">
        <v>349.627926826477</v>
      </c>
      <c r="H2497" s="7">
        <v>0.0</v>
      </c>
      <c r="I2497" s="15">
        <v>0.0669324043617951</v>
      </c>
      <c r="J2497" s="15">
        <v>0.0756514110381904</v>
      </c>
      <c r="K2497" s="12">
        <f>AVERAGE(I2497:I2501)</f>
        <v>0.6061959186</v>
      </c>
      <c r="L2497" s="18">
        <v>101448.0</v>
      </c>
      <c r="M2497" s="14">
        <f>STDEV(L2497:L2501)</f>
        <v>41140.08719</v>
      </c>
      <c r="N2497" s="15" t="b">
        <f t="shared" si="1"/>
        <v>0</v>
      </c>
    </row>
    <row r="2498" hidden="1">
      <c r="A2498" s="7" t="s">
        <v>507</v>
      </c>
      <c r="B2498" s="7" t="s">
        <v>268</v>
      </c>
      <c r="C2498" s="7">
        <v>1.0</v>
      </c>
      <c r="D2498" s="7">
        <v>0.75</v>
      </c>
      <c r="E2498" s="7">
        <v>10.0</v>
      </c>
      <c r="F2498" s="7">
        <v>255.664316892623</v>
      </c>
      <c r="G2498" s="7">
        <v>349.627926826477</v>
      </c>
      <c r="H2498" s="7">
        <v>1.0</v>
      </c>
      <c r="I2498" s="15">
        <v>0.716169030598702</v>
      </c>
      <c r="J2498" s="15">
        <v>0.155706087768475</v>
      </c>
      <c r="K2498" s="12">
        <f>AVERAGE(I2497:I2501)</f>
        <v>0.6061959186</v>
      </c>
      <c r="L2498" s="18">
        <v>3690.0</v>
      </c>
      <c r="M2498" s="14">
        <f>STDEV(L2497:L2501)</f>
        <v>41140.08719</v>
      </c>
      <c r="N2498" s="15" t="b">
        <f t="shared" si="1"/>
        <v>0</v>
      </c>
    </row>
    <row r="2499" hidden="1">
      <c r="A2499" s="7" t="s">
        <v>507</v>
      </c>
      <c r="B2499" s="7" t="s">
        <v>268</v>
      </c>
      <c r="C2499" s="7">
        <v>1.0</v>
      </c>
      <c r="D2499" s="7">
        <v>0.75</v>
      </c>
      <c r="E2499" s="7">
        <v>10.0</v>
      </c>
      <c r="F2499" s="7">
        <v>255.664316892623</v>
      </c>
      <c r="G2499" s="7">
        <v>349.627926826477</v>
      </c>
      <c r="H2499" s="7">
        <v>2.0</v>
      </c>
      <c r="I2499" s="15">
        <v>0.723042015157212</v>
      </c>
      <c r="J2499" s="15">
        <v>0.145456237063607</v>
      </c>
      <c r="K2499" s="12">
        <f>AVERAGE(I2497:I2501)</f>
        <v>0.6061959186</v>
      </c>
      <c r="L2499" s="18">
        <v>13426.0</v>
      </c>
      <c r="M2499" s="14">
        <f>STDEV(L2497:L2501)</f>
        <v>41140.08719</v>
      </c>
      <c r="N2499" s="15" t="b">
        <f t="shared" si="1"/>
        <v>0</v>
      </c>
    </row>
    <row r="2500" hidden="1">
      <c r="A2500" s="7" t="s">
        <v>507</v>
      </c>
      <c r="B2500" s="7" t="s">
        <v>268</v>
      </c>
      <c r="C2500" s="7">
        <v>1.0</v>
      </c>
      <c r="D2500" s="7">
        <v>0.75</v>
      </c>
      <c r="E2500" s="7">
        <v>10.0</v>
      </c>
      <c r="F2500" s="7">
        <v>255.664316892623</v>
      </c>
      <c r="G2500" s="7">
        <v>349.627926826477</v>
      </c>
      <c r="H2500" s="7">
        <v>3.0</v>
      </c>
      <c r="I2500" s="15">
        <v>0.774262807733246</v>
      </c>
      <c r="J2500" s="15">
        <v>0.120948611463678</v>
      </c>
      <c r="K2500" s="12">
        <f>AVERAGE(I2497:I2501)</f>
        <v>0.6061959186</v>
      </c>
      <c r="L2500" s="18">
        <v>15543.0</v>
      </c>
      <c r="M2500" s="14">
        <f>STDEV(L2497:L2501)</f>
        <v>41140.08719</v>
      </c>
      <c r="N2500" s="15" t="b">
        <f t="shared" si="1"/>
        <v>0</v>
      </c>
    </row>
    <row r="2501" hidden="1">
      <c r="A2501" s="7" t="s">
        <v>507</v>
      </c>
      <c r="B2501" s="7" t="s">
        <v>268</v>
      </c>
      <c r="C2501" s="7">
        <v>1.0</v>
      </c>
      <c r="D2501" s="7">
        <v>0.75</v>
      </c>
      <c r="E2501" s="7">
        <v>10.0</v>
      </c>
      <c r="F2501" s="7">
        <v>255.664316892623</v>
      </c>
      <c r="G2501" s="7">
        <v>349.627926826477</v>
      </c>
      <c r="H2501" s="7">
        <v>4.0</v>
      </c>
      <c r="I2501" s="15">
        <v>0.750573335245247</v>
      </c>
      <c r="J2501" s="15">
        <v>0.138621813769392</v>
      </c>
      <c r="K2501" s="12">
        <f>AVERAGE(I2497:I2501)</f>
        <v>0.6061959186</v>
      </c>
      <c r="L2501" s="18">
        <v>7569.0</v>
      </c>
      <c r="M2501" s="14">
        <f>STDEV(L2497:L2501)</f>
        <v>41140.08719</v>
      </c>
      <c r="N2501" s="15" t="b">
        <f t="shared" si="1"/>
        <v>0</v>
      </c>
    </row>
    <row r="2502">
      <c r="A2502" s="7" t="s">
        <v>508</v>
      </c>
      <c r="B2502" s="7" t="s">
        <v>268</v>
      </c>
      <c r="C2502" s="7">
        <v>1.0</v>
      </c>
      <c r="D2502" s="7">
        <v>1.0</v>
      </c>
      <c r="E2502" s="7">
        <v>1.0</v>
      </c>
      <c r="F2502" s="7">
        <v>270.569198608398</v>
      </c>
      <c r="G2502" s="7">
        <v>378.067452430725</v>
      </c>
      <c r="H2502" s="7">
        <v>0.0</v>
      </c>
      <c r="I2502" s="15">
        <v>0.0545065683029871</v>
      </c>
      <c r="J2502" s="15">
        <v>0.0373081415694574</v>
      </c>
      <c r="K2502" s="12">
        <f>AVERAGE(I2502:I2506)</f>
        <v>0.4408549917</v>
      </c>
      <c r="L2502" s="18">
        <v>44889.0</v>
      </c>
      <c r="M2502" s="14">
        <f>STDEV(L2502:L2506)</f>
        <v>16393.16422</v>
      </c>
      <c r="N2502" s="15" t="b">
        <f t="shared" si="1"/>
        <v>0</v>
      </c>
    </row>
    <row r="2503">
      <c r="A2503" s="7" t="s">
        <v>508</v>
      </c>
      <c r="B2503" s="7" t="s">
        <v>268</v>
      </c>
      <c r="C2503" s="7">
        <v>1.0</v>
      </c>
      <c r="D2503" s="7">
        <v>1.0</v>
      </c>
      <c r="E2503" s="7">
        <v>1.0</v>
      </c>
      <c r="F2503" s="7">
        <v>270.569198608398</v>
      </c>
      <c r="G2503" s="7">
        <v>378.067452430725</v>
      </c>
      <c r="H2503" s="7">
        <v>1.0</v>
      </c>
      <c r="I2503" s="15">
        <v>0.833621846841819</v>
      </c>
      <c r="J2503" s="15">
        <v>0.0948398759347941</v>
      </c>
      <c r="K2503" s="12">
        <f>AVERAGE(I2502:I2506)</f>
        <v>0.4408549917</v>
      </c>
      <c r="L2503" s="18">
        <v>7261.0</v>
      </c>
      <c r="M2503" s="14">
        <f>STDEV(L2502:L2506)</f>
        <v>16393.16422</v>
      </c>
      <c r="N2503" s="15" t="b">
        <f t="shared" si="1"/>
        <v>0</v>
      </c>
    </row>
    <row r="2504">
      <c r="A2504" s="7" t="s">
        <v>508</v>
      </c>
      <c r="B2504" s="7" t="s">
        <v>268</v>
      </c>
      <c r="C2504" s="7">
        <v>1.0</v>
      </c>
      <c r="D2504" s="7">
        <v>1.0</v>
      </c>
      <c r="E2504" s="7">
        <v>1.0</v>
      </c>
      <c r="F2504" s="7">
        <v>270.569198608398</v>
      </c>
      <c r="G2504" s="7">
        <v>378.067452430725</v>
      </c>
      <c r="H2504" s="7">
        <v>2.0</v>
      </c>
      <c r="I2504" s="15">
        <v>0.763202385816633</v>
      </c>
      <c r="J2504" s="15">
        <v>0.134362004594915</v>
      </c>
      <c r="K2504" s="12">
        <f>AVERAGE(I2502:I2506)</f>
        <v>0.4408549917</v>
      </c>
      <c r="L2504" s="18">
        <v>15634.0</v>
      </c>
      <c r="M2504" s="14">
        <f>STDEV(L2502:L2506)</f>
        <v>16393.16422</v>
      </c>
      <c r="N2504" s="15" t="b">
        <f t="shared" si="1"/>
        <v>0</v>
      </c>
    </row>
    <row r="2505">
      <c r="A2505" s="7" t="s">
        <v>508</v>
      </c>
      <c r="B2505" s="7" t="s">
        <v>268</v>
      </c>
      <c r="C2505" s="7">
        <v>1.0</v>
      </c>
      <c r="D2505" s="7">
        <v>1.0</v>
      </c>
      <c r="E2505" s="7">
        <v>1.0</v>
      </c>
      <c r="F2505" s="7">
        <v>270.569198608398</v>
      </c>
      <c r="G2505" s="7">
        <v>378.067452430725</v>
      </c>
      <c r="H2505" s="7">
        <v>3.0</v>
      </c>
      <c r="I2505" s="15">
        <v>0.216385479353188</v>
      </c>
      <c r="J2505" s="15">
        <v>0.0812701031953437</v>
      </c>
      <c r="K2505" s="12">
        <f>AVERAGE(I2502:I2506)</f>
        <v>0.4408549917</v>
      </c>
      <c r="L2505" s="18">
        <v>41803.0</v>
      </c>
      <c r="M2505" s="14">
        <f>STDEV(L2502:L2506)</f>
        <v>16393.16422</v>
      </c>
      <c r="N2505" s="15" t="b">
        <f t="shared" si="1"/>
        <v>0</v>
      </c>
    </row>
    <row r="2506">
      <c r="A2506" s="7" t="s">
        <v>508</v>
      </c>
      <c r="B2506" s="7" t="s">
        <v>268</v>
      </c>
      <c r="C2506" s="7">
        <v>1.0</v>
      </c>
      <c r="D2506" s="7">
        <v>1.0</v>
      </c>
      <c r="E2506" s="7">
        <v>1.0</v>
      </c>
      <c r="F2506" s="7">
        <v>270.569198608398</v>
      </c>
      <c r="G2506" s="7">
        <v>378.067452430725</v>
      </c>
      <c r="H2506" s="7">
        <v>4.0</v>
      </c>
      <c r="I2506" s="15">
        <v>0.336558678358288</v>
      </c>
      <c r="J2506" s="15">
        <v>0.191526104275866</v>
      </c>
      <c r="K2506" s="12">
        <f>AVERAGE(I2502:I2506)</f>
        <v>0.4408549917</v>
      </c>
      <c r="L2506" s="18">
        <v>32089.0</v>
      </c>
      <c r="M2506" s="14">
        <f>STDEV(L2502:L2506)</f>
        <v>16393.16422</v>
      </c>
      <c r="N2506" s="15" t="b">
        <f t="shared" si="1"/>
        <v>0</v>
      </c>
    </row>
    <row r="2507">
      <c r="A2507" s="7" t="s">
        <v>509</v>
      </c>
      <c r="B2507" s="7" t="s">
        <v>268</v>
      </c>
      <c r="C2507" s="7">
        <v>1.0</v>
      </c>
      <c r="D2507" s="7">
        <v>1.0</v>
      </c>
      <c r="E2507" s="7">
        <v>2.0</v>
      </c>
      <c r="F2507" s="7">
        <v>214.700687885284</v>
      </c>
      <c r="G2507" s="7">
        <v>329.265131473541</v>
      </c>
      <c r="H2507" s="7">
        <v>0.0</v>
      </c>
      <c r="I2507" s="15">
        <v>0.0813057942309822</v>
      </c>
      <c r="J2507" s="15">
        <v>0.0742011385609271</v>
      </c>
      <c r="K2507" s="12">
        <f>AVERAGE(I2507:I2511)</f>
        <v>0.5540234674</v>
      </c>
      <c r="L2507" s="18">
        <v>92586.0</v>
      </c>
      <c r="M2507" s="14">
        <f>STDEV(L2507:L2511)</f>
        <v>38513.00109</v>
      </c>
      <c r="N2507" s="15" t="b">
        <f t="shared" si="1"/>
        <v>0</v>
      </c>
    </row>
    <row r="2508">
      <c r="A2508" s="7" t="s">
        <v>509</v>
      </c>
      <c r="B2508" s="7" t="s">
        <v>268</v>
      </c>
      <c r="C2508" s="7">
        <v>1.0</v>
      </c>
      <c r="D2508" s="7">
        <v>1.0</v>
      </c>
      <c r="E2508" s="7">
        <v>2.0</v>
      </c>
      <c r="F2508" s="7">
        <v>214.700687885284</v>
      </c>
      <c r="G2508" s="7">
        <v>329.265131473541</v>
      </c>
      <c r="H2508" s="7">
        <v>1.0</v>
      </c>
      <c r="I2508" s="15">
        <v>0.75396751039864</v>
      </c>
      <c r="J2508" s="15">
        <v>0.153990345768487</v>
      </c>
      <c r="K2508" s="12">
        <f>AVERAGE(I2507:I2511)</f>
        <v>0.5540234674</v>
      </c>
      <c r="L2508" s="18">
        <v>320.0</v>
      </c>
      <c r="M2508" s="14">
        <f>STDEV(L2507:L2511)</f>
        <v>38513.00109</v>
      </c>
      <c r="N2508" s="15" t="b">
        <f t="shared" si="1"/>
        <v>0</v>
      </c>
    </row>
    <row r="2509">
      <c r="A2509" s="7" t="s">
        <v>509</v>
      </c>
      <c r="B2509" s="7" t="s">
        <v>268</v>
      </c>
      <c r="C2509" s="7">
        <v>1.0</v>
      </c>
      <c r="D2509" s="7">
        <v>1.0</v>
      </c>
      <c r="E2509" s="7">
        <v>2.0</v>
      </c>
      <c r="F2509" s="7">
        <v>214.700687885284</v>
      </c>
      <c r="G2509" s="7">
        <v>329.265131473541</v>
      </c>
      <c r="H2509" s="7">
        <v>2.0</v>
      </c>
      <c r="I2509" s="15">
        <v>0.285985342078364</v>
      </c>
      <c r="J2509" s="15">
        <v>0.0889608065238683</v>
      </c>
      <c r="K2509" s="12">
        <f>AVERAGE(I2507:I2511)</f>
        <v>0.5540234674</v>
      </c>
      <c r="L2509" s="18">
        <v>35936.0</v>
      </c>
      <c r="M2509" s="14">
        <f>STDEV(L2507:L2511)</f>
        <v>38513.00109</v>
      </c>
      <c r="N2509" s="15" t="b">
        <f t="shared" si="1"/>
        <v>0</v>
      </c>
    </row>
    <row r="2510">
      <c r="A2510" s="7" t="s">
        <v>509</v>
      </c>
      <c r="B2510" s="7" t="s">
        <v>268</v>
      </c>
      <c r="C2510" s="7">
        <v>1.0</v>
      </c>
      <c r="D2510" s="7">
        <v>1.0</v>
      </c>
      <c r="E2510" s="7">
        <v>2.0</v>
      </c>
      <c r="F2510" s="7">
        <v>214.700687885284</v>
      </c>
      <c r="G2510" s="7">
        <v>329.265131473541</v>
      </c>
      <c r="H2510" s="7">
        <v>3.0</v>
      </c>
      <c r="I2510" s="15">
        <v>0.834240959550384</v>
      </c>
      <c r="J2510" s="15">
        <v>0.0948762974464356</v>
      </c>
      <c r="K2510" s="12">
        <f>AVERAGE(I2507:I2511)</f>
        <v>0.5540234674</v>
      </c>
      <c r="L2510" s="18">
        <v>7254.0</v>
      </c>
      <c r="M2510" s="14">
        <f>STDEV(L2507:L2511)</f>
        <v>38513.00109</v>
      </c>
      <c r="N2510" s="15" t="b">
        <f t="shared" si="1"/>
        <v>0</v>
      </c>
    </row>
    <row r="2511">
      <c r="A2511" s="7" t="s">
        <v>509</v>
      </c>
      <c r="B2511" s="7" t="s">
        <v>268</v>
      </c>
      <c r="C2511" s="7">
        <v>1.0</v>
      </c>
      <c r="D2511" s="7">
        <v>1.0</v>
      </c>
      <c r="E2511" s="7">
        <v>2.0</v>
      </c>
      <c r="F2511" s="7">
        <v>214.700687885284</v>
      </c>
      <c r="G2511" s="7">
        <v>329.265131473541</v>
      </c>
      <c r="H2511" s="7">
        <v>4.0</v>
      </c>
      <c r="I2511" s="15">
        <v>0.814617730688154</v>
      </c>
      <c r="J2511" s="15">
        <v>0.114442147128704</v>
      </c>
      <c r="K2511" s="12">
        <f>AVERAGE(I2507:I2511)</f>
        <v>0.5540234674</v>
      </c>
      <c r="L2511" s="18">
        <v>5580.0</v>
      </c>
      <c r="M2511" s="14">
        <f>STDEV(L2507:L2511)</f>
        <v>38513.00109</v>
      </c>
      <c r="N2511" s="15" t="b">
        <f t="shared" si="1"/>
        <v>0</v>
      </c>
    </row>
    <row r="2512">
      <c r="A2512" s="7" t="s">
        <v>510</v>
      </c>
      <c r="B2512" s="7" t="s">
        <v>268</v>
      </c>
      <c r="C2512" s="7">
        <v>1.0</v>
      </c>
      <c r="D2512" s="7">
        <v>1.0</v>
      </c>
      <c r="E2512" s="7">
        <v>3.0</v>
      </c>
      <c r="F2512" s="7">
        <v>172.768208503723</v>
      </c>
      <c r="G2512" s="7">
        <v>312.354523658752</v>
      </c>
      <c r="H2512" s="7">
        <v>0.0</v>
      </c>
      <c r="I2512" s="15">
        <v>0.0982710646215207</v>
      </c>
      <c r="J2512" s="15">
        <v>0.072629501334921</v>
      </c>
      <c r="K2512" s="12">
        <f>AVERAGE(I2512:I2516)</f>
        <v>0.560167455</v>
      </c>
      <c r="L2512" s="18">
        <v>70884.0</v>
      </c>
      <c r="M2512" s="14">
        <f>STDEV(L2512:L2516)</f>
        <v>32182.63227</v>
      </c>
      <c r="N2512" s="15" t="b">
        <f t="shared" si="1"/>
        <v>0</v>
      </c>
    </row>
    <row r="2513">
      <c r="A2513" s="7" t="s">
        <v>510</v>
      </c>
      <c r="B2513" s="7" t="s">
        <v>268</v>
      </c>
      <c r="C2513" s="7">
        <v>1.0</v>
      </c>
      <c r="D2513" s="7">
        <v>1.0</v>
      </c>
      <c r="E2513" s="7">
        <v>3.0</v>
      </c>
      <c r="F2513" s="7">
        <v>172.768208503723</v>
      </c>
      <c r="G2513" s="7">
        <v>312.354523658752</v>
      </c>
      <c r="H2513" s="7">
        <v>1.0</v>
      </c>
      <c r="I2513" s="15">
        <v>0.823252447452239</v>
      </c>
      <c r="J2513" s="15">
        <v>0.0999343667346179</v>
      </c>
      <c r="K2513" s="12">
        <f>AVERAGE(I2512:I2516)</f>
        <v>0.560167455</v>
      </c>
      <c r="L2513" s="18">
        <v>6447.0</v>
      </c>
      <c r="M2513" s="14">
        <f>STDEV(L2512:L2516)</f>
        <v>32182.63227</v>
      </c>
      <c r="N2513" s="15" t="b">
        <f t="shared" si="1"/>
        <v>0</v>
      </c>
    </row>
    <row r="2514">
      <c r="A2514" s="7" t="s">
        <v>510</v>
      </c>
      <c r="B2514" s="7" t="s">
        <v>268</v>
      </c>
      <c r="C2514" s="7">
        <v>1.0</v>
      </c>
      <c r="D2514" s="7">
        <v>1.0</v>
      </c>
      <c r="E2514" s="7">
        <v>3.0</v>
      </c>
      <c r="F2514" s="7">
        <v>172.768208503723</v>
      </c>
      <c r="G2514" s="7">
        <v>312.354523658752</v>
      </c>
      <c r="H2514" s="7">
        <v>2.0</v>
      </c>
      <c r="I2514" s="15">
        <v>0.202886154815475</v>
      </c>
      <c r="J2514" s="15">
        <v>0.108674835882153</v>
      </c>
      <c r="K2514" s="12">
        <f>AVERAGE(I2512:I2516)</f>
        <v>0.560167455</v>
      </c>
      <c r="L2514" s="18">
        <v>55218.0</v>
      </c>
      <c r="M2514" s="14">
        <f>STDEV(L2512:L2516)</f>
        <v>32182.63227</v>
      </c>
      <c r="N2514" s="15" t="b">
        <f t="shared" si="1"/>
        <v>0</v>
      </c>
    </row>
    <row r="2515">
      <c r="A2515" s="7" t="s">
        <v>510</v>
      </c>
      <c r="B2515" s="7" t="s">
        <v>268</v>
      </c>
      <c r="C2515" s="7">
        <v>1.0</v>
      </c>
      <c r="D2515" s="7">
        <v>1.0</v>
      </c>
      <c r="E2515" s="7">
        <v>3.0</v>
      </c>
      <c r="F2515" s="7">
        <v>172.768208503723</v>
      </c>
      <c r="G2515" s="7">
        <v>312.354523658752</v>
      </c>
      <c r="H2515" s="7">
        <v>3.0</v>
      </c>
      <c r="I2515" s="15">
        <v>0.864566806860864</v>
      </c>
      <c r="J2515" s="15">
        <v>0.0946591849955957</v>
      </c>
      <c r="K2515" s="12">
        <f>AVERAGE(I2512:I2516)</f>
        <v>0.560167455</v>
      </c>
      <c r="L2515" s="18">
        <v>5074.0</v>
      </c>
      <c r="M2515" s="14">
        <f>STDEV(L2512:L2516)</f>
        <v>32182.63227</v>
      </c>
      <c r="N2515" s="15" t="b">
        <f t="shared" si="1"/>
        <v>0</v>
      </c>
    </row>
    <row r="2516">
      <c r="A2516" s="7" t="s">
        <v>510</v>
      </c>
      <c r="B2516" s="7" t="s">
        <v>268</v>
      </c>
      <c r="C2516" s="7">
        <v>1.0</v>
      </c>
      <c r="D2516" s="7">
        <v>1.0</v>
      </c>
      <c r="E2516" s="7">
        <v>3.0</v>
      </c>
      <c r="F2516" s="7">
        <v>172.768208503723</v>
      </c>
      <c r="G2516" s="7">
        <v>312.354523658752</v>
      </c>
      <c r="H2516" s="7">
        <v>4.0</v>
      </c>
      <c r="I2516" s="15">
        <v>0.811860801295997</v>
      </c>
      <c r="J2516" s="15">
        <v>0.0793076280916871</v>
      </c>
      <c r="K2516" s="12">
        <f>AVERAGE(I2512:I2516)</f>
        <v>0.560167455</v>
      </c>
      <c r="L2516" s="18">
        <v>4053.0</v>
      </c>
      <c r="M2516" s="14">
        <f>STDEV(L2512:L2516)</f>
        <v>32182.63227</v>
      </c>
      <c r="N2516" s="15" t="b">
        <f t="shared" si="1"/>
        <v>0</v>
      </c>
    </row>
    <row r="2517">
      <c r="A2517" s="7" t="s">
        <v>511</v>
      </c>
      <c r="B2517" s="7" t="s">
        <v>268</v>
      </c>
      <c r="C2517" s="7">
        <v>1.0</v>
      </c>
      <c r="D2517" s="7">
        <v>1.0</v>
      </c>
      <c r="E2517" s="7">
        <v>4.0</v>
      </c>
      <c r="F2517" s="7">
        <v>168.025162458419</v>
      </c>
      <c r="G2517" s="7">
        <v>294.645714521408</v>
      </c>
      <c r="H2517" s="7">
        <v>0.0</v>
      </c>
      <c r="I2517" s="15">
        <v>0.865520461172214</v>
      </c>
      <c r="J2517" s="15">
        <v>0.0965668639731325</v>
      </c>
      <c r="K2517" s="12">
        <f>AVERAGE(I2517:I2521)</f>
        <v>0.6485056776</v>
      </c>
      <c r="L2517" s="18">
        <v>5069.0</v>
      </c>
      <c r="M2517" s="14">
        <f>STDEV(L2517:L2521)</f>
        <v>45682.54197</v>
      </c>
      <c r="N2517" s="15" t="b">
        <f t="shared" si="1"/>
        <v>0</v>
      </c>
    </row>
    <row r="2518">
      <c r="A2518" s="7" t="s">
        <v>511</v>
      </c>
      <c r="B2518" s="7" t="s">
        <v>268</v>
      </c>
      <c r="C2518" s="7">
        <v>1.0</v>
      </c>
      <c r="D2518" s="7">
        <v>1.0</v>
      </c>
      <c r="E2518" s="7">
        <v>4.0</v>
      </c>
      <c r="F2518" s="7">
        <v>168.025162458419</v>
      </c>
      <c r="G2518" s="7">
        <v>294.645714521408</v>
      </c>
      <c r="H2518" s="7">
        <v>1.0</v>
      </c>
      <c r="I2518" s="15">
        <v>0.772552078246634</v>
      </c>
      <c r="J2518" s="15">
        <v>0.132711442856306</v>
      </c>
      <c r="K2518" s="12">
        <f>AVERAGE(I2517:I2521)</f>
        <v>0.6485056776</v>
      </c>
      <c r="L2518" s="18">
        <v>7598.0</v>
      </c>
      <c r="M2518" s="14">
        <f>STDEV(L2517:L2521)</f>
        <v>45682.54197</v>
      </c>
      <c r="N2518" s="15" t="b">
        <f t="shared" si="1"/>
        <v>0</v>
      </c>
    </row>
    <row r="2519">
      <c r="A2519" s="7" t="s">
        <v>511</v>
      </c>
      <c r="B2519" s="7" t="s">
        <v>268</v>
      </c>
      <c r="C2519" s="7">
        <v>1.0</v>
      </c>
      <c r="D2519" s="7">
        <v>1.0</v>
      </c>
      <c r="E2519" s="7">
        <v>4.0</v>
      </c>
      <c r="F2519" s="7">
        <v>168.025162458419</v>
      </c>
      <c r="G2519" s="7">
        <v>294.645714521408</v>
      </c>
      <c r="H2519" s="7">
        <v>2.0</v>
      </c>
      <c r="I2519" s="15">
        <v>0.811258130124488</v>
      </c>
      <c r="J2519" s="15">
        <v>0.117257913098169</v>
      </c>
      <c r="K2519" s="12">
        <f>AVERAGE(I2517:I2521)</f>
        <v>0.6485056776</v>
      </c>
      <c r="L2519" s="18">
        <v>5612.0</v>
      </c>
      <c r="M2519" s="14">
        <f>STDEV(L2517:L2521)</f>
        <v>45682.54197</v>
      </c>
      <c r="N2519" s="15" t="b">
        <f t="shared" si="1"/>
        <v>0</v>
      </c>
    </row>
    <row r="2520">
      <c r="A2520" s="7" t="s">
        <v>511</v>
      </c>
      <c r="B2520" s="7" t="s">
        <v>268</v>
      </c>
      <c r="C2520" s="7">
        <v>1.0</v>
      </c>
      <c r="D2520" s="7">
        <v>1.0</v>
      </c>
      <c r="E2520" s="7">
        <v>4.0</v>
      </c>
      <c r="F2520" s="7">
        <v>168.025162458419</v>
      </c>
      <c r="G2520" s="7">
        <v>294.645714521408</v>
      </c>
      <c r="H2520" s="7">
        <v>3.0</v>
      </c>
      <c r="I2520" s="15">
        <v>0.722026068529759</v>
      </c>
      <c r="J2520" s="15">
        <v>0.141793771490712</v>
      </c>
      <c r="K2520" s="12">
        <f>AVERAGE(I2517:I2521)</f>
        <v>0.6485056776</v>
      </c>
      <c r="L2520" s="18">
        <v>13565.0</v>
      </c>
      <c r="M2520" s="14">
        <f>STDEV(L2517:L2521)</f>
        <v>45682.54197</v>
      </c>
      <c r="N2520" s="15" t="b">
        <f t="shared" si="1"/>
        <v>0</v>
      </c>
    </row>
    <row r="2521">
      <c r="A2521" s="7" t="s">
        <v>511</v>
      </c>
      <c r="B2521" s="7" t="s">
        <v>268</v>
      </c>
      <c r="C2521" s="7">
        <v>1.0</v>
      </c>
      <c r="D2521" s="7">
        <v>1.0</v>
      </c>
      <c r="E2521" s="7">
        <v>4.0</v>
      </c>
      <c r="F2521" s="7">
        <v>168.025162458419</v>
      </c>
      <c r="G2521" s="7">
        <v>294.645714521408</v>
      </c>
      <c r="H2521" s="7">
        <v>4.0</v>
      </c>
      <c r="I2521" s="15">
        <v>0.0711716500549324</v>
      </c>
      <c r="J2521" s="15">
        <v>0.0662427076360904</v>
      </c>
      <c r="K2521" s="12">
        <f>AVERAGE(I2517:I2521)</f>
        <v>0.6485056776</v>
      </c>
      <c r="L2521" s="18">
        <v>109832.0</v>
      </c>
      <c r="M2521" s="14">
        <f>STDEV(L2517:L2521)</f>
        <v>45682.54197</v>
      </c>
      <c r="N2521" s="15" t="b">
        <f t="shared" si="1"/>
        <v>0</v>
      </c>
    </row>
    <row r="2522">
      <c r="A2522" s="7" t="s">
        <v>512</v>
      </c>
      <c r="B2522" s="7" t="s">
        <v>268</v>
      </c>
      <c r="C2522" s="7">
        <v>1.0</v>
      </c>
      <c r="D2522" s="7">
        <v>1.0</v>
      </c>
      <c r="E2522" s="7">
        <v>5.0</v>
      </c>
      <c r="F2522" s="7">
        <v>164.576686620712</v>
      </c>
      <c r="G2522" s="7">
        <v>293.930285692214</v>
      </c>
      <c r="H2522" s="7">
        <v>0.0</v>
      </c>
      <c r="I2522" s="15">
        <v>0.780532969406339</v>
      </c>
      <c r="J2522" s="15">
        <v>0.130757981003952</v>
      </c>
      <c r="K2522" s="12">
        <f>AVERAGE(I2522:I2526)</f>
        <v>0.4692085353</v>
      </c>
      <c r="L2522" s="18">
        <v>7503.0</v>
      </c>
      <c r="M2522" s="14">
        <f>STDEV(L2522:L2526)</f>
        <v>37451.64182</v>
      </c>
      <c r="N2522" s="15" t="b">
        <f t="shared" si="1"/>
        <v>0</v>
      </c>
    </row>
    <row r="2523">
      <c r="A2523" s="7" t="s">
        <v>512</v>
      </c>
      <c r="B2523" s="7" t="s">
        <v>268</v>
      </c>
      <c r="C2523" s="7">
        <v>1.0</v>
      </c>
      <c r="D2523" s="7">
        <v>1.0</v>
      </c>
      <c r="E2523" s="7">
        <v>5.0</v>
      </c>
      <c r="F2523" s="7">
        <v>164.576686620712</v>
      </c>
      <c r="G2523" s="7">
        <v>293.930285692214</v>
      </c>
      <c r="H2523" s="7">
        <v>1.0</v>
      </c>
      <c r="I2523" s="15">
        <v>0.832944167967523</v>
      </c>
      <c r="J2523" s="15">
        <v>0.0960308443943133</v>
      </c>
      <c r="K2523" s="12">
        <f>AVERAGE(I2522:I2526)</f>
        <v>0.4692085353</v>
      </c>
      <c r="L2523" s="18">
        <v>7275.0</v>
      </c>
      <c r="M2523" s="14">
        <f>STDEV(L2522:L2526)</f>
        <v>37451.64182</v>
      </c>
      <c r="N2523" s="15" t="b">
        <f t="shared" si="1"/>
        <v>0</v>
      </c>
    </row>
    <row r="2524">
      <c r="A2524" s="7" t="s">
        <v>512</v>
      </c>
      <c r="B2524" s="7" t="s">
        <v>268</v>
      </c>
      <c r="C2524" s="7">
        <v>1.0</v>
      </c>
      <c r="D2524" s="7">
        <v>1.0</v>
      </c>
      <c r="E2524" s="7">
        <v>5.0</v>
      </c>
      <c r="F2524" s="7">
        <v>164.576686620712</v>
      </c>
      <c r="G2524" s="7">
        <v>293.930285692214</v>
      </c>
      <c r="H2524" s="7">
        <v>2.0</v>
      </c>
      <c r="I2524" s="15">
        <v>0.0645162994499267</v>
      </c>
      <c r="J2524" s="15">
        <v>0.0571429172387349</v>
      </c>
      <c r="K2524" s="12">
        <f>AVERAGE(I2522:I2526)</f>
        <v>0.4692085353</v>
      </c>
      <c r="L2524" s="18">
        <v>92079.0</v>
      </c>
      <c r="M2524" s="14">
        <f>STDEV(L2522:L2526)</f>
        <v>37451.64182</v>
      </c>
      <c r="N2524" s="15" t="b">
        <f t="shared" si="1"/>
        <v>0</v>
      </c>
    </row>
    <row r="2525">
      <c r="A2525" s="7" t="s">
        <v>512</v>
      </c>
      <c r="B2525" s="7" t="s">
        <v>268</v>
      </c>
      <c r="C2525" s="7">
        <v>1.0</v>
      </c>
      <c r="D2525" s="7">
        <v>1.0</v>
      </c>
      <c r="E2525" s="7">
        <v>5.0</v>
      </c>
      <c r="F2525" s="7">
        <v>164.576686620712</v>
      </c>
      <c r="G2525" s="7">
        <v>293.930285692214</v>
      </c>
      <c r="H2525" s="7">
        <v>3.0</v>
      </c>
      <c r="I2525" s="15">
        <v>0.322294111757702</v>
      </c>
      <c r="J2525" s="15">
        <v>0.129852644778795</v>
      </c>
      <c r="K2525" s="12">
        <f>AVERAGE(I2522:I2526)</f>
        <v>0.4692085353</v>
      </c>
      <c r="L2525" s="18">
        <v>2730.0</v>
      </c>
      <c r="M2525" s="14">
        <f>STDEV(L2522:L2526)</f>
        <v>37451.64182</v>
      </c>
      <c r="N2525" s="15" t="b">
        <f t="shared" si="1"/>
        <v>0</v>
      </c>
    </row>
    <row r="2526">
      <c r="A2526" s="7" t="s">
        <v>512</v>
      </c>
      <c r="B2526" s="7" t="s">
        <v>268</v>
      </c>
      <c r="C2526" s="7">
        <v>1.0</v>
      </c>
      <c r="D2526" s="7">
        <v>1.0</v>
      </c>
      <c r="E2526" s="7">
        <v>5.0</v>
      </c>
      <c r="F2526" s="7">
        <v>164.576686620712</v>
      </c>
      <c r="G2526" s="7">
        <v>293.930285692214</v>
      </c>
      <c r="H2526" s="7">
        <v>4.0</v>
      </c>
      <c r="I2526" s="15">
        <v>0.345755127925096</v>
      </c>
      <c r="J2526" s="15">
        <v>0.186807474985981</v>
      </c>
      <c r="K2526" s="12">
        <f>AVERAGE(I2522:I2526)</f>
        <v>0.4692085353</v>
      </c>
      <c r="L2526" s="18">
        <v>32089.0</v>
      </c>
      <c r="M2526" s="14">
        <f>STDEV(L2522:L2526)</f>
        <v>37451.64182</v>
      </c>
      <c r="N2526" s="15" t="b">
        <f t="shared" si="1"/>
        <v>0</v>
      </c>
    </row>
    <row r="2527">
      <c r="A2527" s="7" t="s">
        <v>513</v>
      </c>
      <c r="B2527" s="7" t="s">
        <v>268</v>
      </c>
      <c r="C2527" s="7">
        <v>1.0</v>
      </c>
      <c r="D2527" s="7">
        <v>1.0</v>
      </c>
      <c r="E2527" s="7">
        <v>6.0</v>
      </c>
      <c r="F2527" s="7">
        <v>163.723563671112</v>
      </c>
      <c r="G2527" s="7">
        <v>303.872636318206</v>
      </c>
      <c r="H2527" s="7">
        <v>0.0</v>
      </c>
      <c r="I2527" s="15">
        <v>0.100467629406577</v>
      </c>
      <c r="J2527" s="15">
        <v>0.0742939634506144</v>
      </c>
      <c r="K2527" s="12">
        <f>AVERAGE(I2527:I2531)</f>
        <v>0.5294312216</v>
      </c>
      <c r="L2527" s="18">
        <v>72681.0</v>
      </c>
      <c r="M2527" s="14">
        <f>STDEV(L2527:L2531)</f>
        <v>28821.8755</v>
      </c>
      <c r="N2527" s="15" t="b">
        <f t="shared" si="1"/>
        <v>0</v>
      </c>
    </row>
    <row r="2528">
      <c r="A2528" s="7" t="s">
        <v>513</v>
      </c>
      <c r="B2528" s="7" t="s">
        <v>268</v>
      </c>
      <c r="C2528" s="7">
        <v>1.0</v>
      </c>
      <c r="D2528" s="7">
        <v>1.0</v>
      </c>
      <c r="E2528" s="7">
        <v>6.0</v>
      </c>
      <c r="F2528" s="7">
        <v>163.723563671112</v>
      </c>
      <c r="G2528" s="7">
        <v>303.872636318206</v>
      </c>
      <c r="H2528" s="7">
        <v>1.0</v>
      </c>
      <c r="I2528" s="15">
        <v>0.196125284036383</v>
      </c>
      <c r="J2528" s="15">
        <v>0.155725770726412</v>
      </c>
      <c r="K2528" s="12">
        <f>AVERAGE(I2527:I2531)</f>
        <v>0.5294312216</v>
      </c>
      <c r="L2528" s="18">
        <v>41653.0</v>
      </c>
      <c r="M2528" s="14">
        <f>STDEV(L2527:L2531)</f>
        <v>28821.8755</v>
      </c>
      <c r="N2528" s="15" t="b">
        <f t="shared" si="1"/>
        <v>0</v>
      </c>
    </row>
    <row r="2529">
      <c r="A2529" s="7" t="s">
        <v>513</v>
      </c>
      <c r="B2529" s="7" t="s">
        <v>268</v>
      </c>
      <c r="C2529" s="7">
        <v>1.0</v>
      </c>
      <c r="D2529" s="7">
        <v>1.0</v>
      </c>
      <c r="E2529" s="7">
        <v>6.0</v>
      </c>
      <c r="F2529" s="7">
        <v>163.723563671112</v>
      </c>
      <c r="G2529" s="7">
        <v>303.872636318206</v>
      </c>
      <c r="H2529" s="7">
        <v>2.0</v>
      </c>
      <c r="I2529" s="15">
        <v>0.811155666988736</v>
      </c>
      <c r="J2529" s="15">
        <v>0.0825419887462436</v>
      </c>
      <c r="K2529" s="12">
        <f>AVERAGE(I2527:I2531)</f>
        <v>0.5294312216</v>
      </c>
      <c r="L2529" s="18">
        <v>4053.0</v>
      </c>
      <c r="M2529" s="14">
        <f>STDEV(L2527:L2531)</f>
        <v>28821.8755</v>
      </c>
      <c r="N2529" s="15" t="b">
        <f t="shared" si="1"/>
        <v>0</v>
      </c>
    </row>
    <row r="2530">
      <c r="A2530" s="7" t="s">
        <v>513</v>
      </c>
      <c r="B2530" s="7" t="s">
        <v>268</v>
      </c>
      <c r="C2530" s="7">
        <v>1.0</v>
      </c>
      <c r="D2530" s="7">
        <v>1.0</v>
      </c>
      <c r="E2530" s="7">
        <v>6.0</v>
      </c>
      <c r="F2530" s="7">
        <v>163.723563671112</v>
      </c>
      <c r="G2530" s="7">
        <v>303.872636318206</v>
      </c>
      <c r="H2530" s="7">
        <v>3.0</v>
      </c>
      <c r="I2530" s="15">
        <v>0.771254065533069</v>
      </c>
      <c r="J2530" s="15">
        <v>0.121305914853454</v>
      </c>
      <c r="K2530" s="12">
        <f>AVERAGE(I2527:I2531)</f>
        <v>0.5294312216</v>
      </c>
      <c r="L2530" s="18">
        <v>15651.0</v>
      </c>
      <c r="M2530" s="14">
        <f>STDEV(L2527:L2531)</f>
        <v>28821.8755</v>
      </c>
      <c r="N2530" s="15" t="b">
        <f t="shared" si="1"/>
        <v>0</v>
      </c>
    </row>
    <row r="2531">
      <c r="A2531" s="7" t="s">
        <v>513</v>
      </c>
      <c r="B2531" s="7" t="s">
        <v>268</v>
      </c>
      <c r="C2531" s="7">
        <v>1.0</v>
      </c>
      <c r="D2531" s="7">
        <v>1.0</v>
      </c>
      <c r="E2531" s="7">
        <v>6.0</v>
      </c>
      <c r="F2531" s="7">
        <v>163.723563671112</v>
      </c>
      <c r="G2531" s="7">
        <v>303.872636318206</v>
      </c>
      <c r="H2531" s="7">
        <v>4.0</v>
      </c>
      <c r="I2531" s="15">
        <v>0.768153461923844</v>
      </c>
      <c r="J2531" s="15">
        <v>0.134978135690367</v>
      </c>
      <c r="K2531" s="12">
        <f>AVERAGE(I2527:I2531)</f>
        <v>0.5294312216</v>
      </c>
      <c r="L2531" s="18">
        <v>7638.0</v>
      </c>
      <c r="M2531" s="14">
        <f>STDEV(L2527:L2531)</f>
        <v>28821.8755</v>
      </c>
      <c r="N2531" s="15" t="b">
        <f t="shared" si="1"/>
        <v>0</v>
      </c>
    </row>
    <row r="2532">
      <c r="A2532" s="7" t="s">
        <v>514</v>
      </c>
      <c r="B2532" s="7" t="s">
        <v>268</v>
      </c>
      <c r="C2532" s="7">
        <v>1.0</v>
      </c>
      <c r="D2532" s="7">
        <v>1.0</v>
      </c>
      <c r="E2532" s="7">
        <v>7.0</v>
      </c>
      <c r="F2532" s="7">
        <v>122.695158958435</v>
      </c>
      <c r="G2532" s="7">
        <v>256.375929594039</v>
      </c>
      <c r="H2532" s="7">
        <v>0.0</v>
      </c>
      <c r="I2532" s="15">
        <v>0.773103666298521</v>
      </c>
      <c r="J2532" s="15">
        <v>0.119289505081507</v>
      </c>
      <c r="K2532" s="12">
        <f>AVERAGE(I2532:I2536)</f>
        <v>0.5280773434</v>
      </c>
      <c r="L2532" s="18">
        <v>15561.0</v>
      </c>
      <c r="M2532" s="14">
        <f>STDEV(L2532:L2536)</f>
        <v>27567.66551</v>
      </c>
      <c r="N2532" s="15" t="b">
        <f t="shared" si="1"/>
        <v>0</v>
      </c>
    </row>
    <row r="2533">
      <c r="A2533" s="7" t="s">
        <v>514</v>
      </c>
      <c r="B2533" s="7" t="s">
        <v>268</v>
      </c>
      <c r="C2533" s="7">
        <v>1.0</v>
      </c>
      <c r="D2533" s="7">
        <v>1.0</v>
      </c>
      <c r="E2533" s="7">
        <v>7.0</v>
      </c>
      <c r="F2533" s="7">
        <v>122.695158958435</v>
      </c>
      <c r="G2533" s="7">
        <v>256.375929594039</v>
      </c>
      <c r="H2533" s="7">
        <v>1.0</v>
      </c>
      <c r="I2533" s="15">
        <v>0.0623437719686842</v>
      </c>
      <c r="J2533" s="15">
        <v>0.0453887776989668</v>
      </c>
      <c r="K2533" s="12">
        <f>AVERAGE(I2532:I2536)</f>
        <v>0.5280773434</v>
      </c>
      <c r="L2533" s="18">
        <v>66831.0</v>
      </c>
      <c r="M2533" s="14">
        <f>STDEV(L2532:L2536)</f>
        <v>27567.66551</v>
      </c>
      <c r="N2533" s="15" t="b">
        <f t="shared" si="1"/>
        <v>0</v>
      </c>
    </row>
    <row r="2534">
      <c r="A2534" s="7" t="s">
        <v>514</v>
      </c>
      <c r="B2534" s="7" t="s">
        <v>268</v>
      </c>
      <c r="C2534" s="7">
        <v>1.0</v>
      </c>
      <c r="D2534" s="7">
        <v>1.0</v>
      </c>
      <c r="E2534" s="7">
        <v>7.0</v>
      </c>
      <c r="F2534" s="7">
        <v>122.695158958435</v>
      </c>
      <c r="G2534" s="7">
        <v>256.375929594039</v>
      </c>
      <c r="H2534" s="7">
        <v>2.0</v>
      </c>
      <c r="I2534" s="15">
        <v>0.813800626821295</v>
      </c>
      <c r="J2534" s="15">
        <v>0.075353342115947</v>
      </c>
      <c r="K2534" s="12">
        <f>AVERAGE(I2532:I2536)</f>
        <v>0.5280773434</v>
      </c>
      <c r="L2534" s="18">
        <v>4040.0</v>
      </c>
      <c r="M2534" s="14">
        <f>STDEV(L2532:L2536)</f>
        <v>27567.66551</v>
      </c>
      <c r="N2534" s="15" t="b">
        <f t="shared" si="1"/>
        <v>0</v>
      </c>
    </row>
    <row r="2535">
      <c r="A2535" s="7" t="s">
        <v>514</v>
      </c>
      <c r="B2535" s="7" t="s">
        <v>268</v>
      </c>
      <c r="C2535" s="7">
        <v>1.0</v>
      </c>
      <c r="D2535" s="7">
        <v>1.0</v>
      </c>
      <c r="E2535" s="7">
        <v>7.0</v>
      </c>
      <c r="F2535" s="7">
        <v>122.695158958435</v>
      </c>
      <c r="G2535" s="7">
        <v>256.375929594039</v>
      </c>
      <c r="H2535" s="7">
        <v>3.0</v>
      </c>
      <c r="I2535" s="15">
        <v>0.240586149099333</v>
      </c>
      <c r="J2535" s="15">
        <v>0.12624123357814</v>
      </c>
      <c r="K2535" s="12">
        <f>AVERAGE(I2532:I2536)</f>
        <v>0.5280773434</v>
      </c>
      <c r="L2535" s="18">
        <v>47666.0</v>
      </c>
      <c r="M2535" s="14">
        <f>STDEV(L2532:L2536)</f>
        <v>27567.66551</v>
      </c>
      <c r="N2535" s="15" t="b">
        <f t="shared" si="1"/>
        <v>0</v>
      </c>
    </row>
    <row r="2536">
      <c r="A2536" s="7" t="s">
        <v>514</v>
      </c>
      <c r="B2536" s="7" t="s">
        <v>268</v>
      </c>
      <c r="C2536" s="7">
        <v>1.0</v>
      </c>
      <c r="D2536" s="7">
        <v>1.0</v>
      </c>
      <c r="E2536" s="7">
        <v>7.0</v>
      </c>
      <c r="F2536" s="7">
        <v>122.695158958435</v>
      </c>
      <c r="G2536" s="7">
        <v>256.375929594039</v>
      </c>
      <c r="H2536" s="7">
        <v>4.0</v>
      </c>
      <c r="I2536" s="15">
        <v>0.750552502611509</v>
      </c>
      <c r="J2536" s="15">
        <v>0.136973938074319</v>
      </c>
      <c r="K2536" s="12">
        <f>AVERAGE(I2532:I2536)</f>
        <v>0.5280773434</v>
      </c>
      <c r="L2536" s="18">
        <v>7578.0</v>
      </c>
      <c r="M2536" s="14">
        <f>STDEV(L2532:L2536)</f>
        <v>27567.66551</v>
      </c>
      <c r="N2536" s="15" t="b">
        <f t="shared" si="1"/>
        <v>0</v>
      </c>
    </row>
    <row r="2537">
      <c r="A2537" s="7" t="s">
        <v>515</v>
      </c>
      <c r="B2537" s="7" t="s">
        <v>268</v>
      </c>
      <c r="C2537" s="7">
        <v>1.0</v>
      </c>
      <c r="D2537" s="7">
        <v>1.0</v>
      </c>
      <c r="E2537" s="7">
        <v>8.0</v>
      </c>
      <c r="F2537" s="7">
        <v>125.308767557144</v>
      </c>
      <c r="G2537" s="7">
        <v>244.424751043319</v>
      </c>
      <c r="H2537" s="7">
        <v>0.0</v>
      </c>
      <c r="I2537" s="15">
        <v>0.823611324152712</v>
      </c>
      <c r="J2537" s="15">
        <v>0.0996615427799019</v>
      </c>
      <c r="K2537" s="12">
        <f>AVERAGE(I2537:I2541)</f>
        <v>0.4788658302</v>
      </c>
      <c r="L2537" s="18">
        <v>6438.0</v>
      </c>
      <c r="M2537" s="14">
        <f>STDEV(L2537:L2541)</f>
        <v>26287.53589</v>
      </c>
      <c r="N2537" s="15" t="b">
        <f t="shared" si="1"/>
        <v>0</v>
      </c>
    </row>
    <row r="2538">
      <c r="A2538" s="7" t="s">
        <v>515</v>
      </c>
      <c r="B2538" s="7" t="s">
        <v>268</v>
      </c>
      <c r="C2538" s="7">
        <v>1.0</v>
      </c>
      <c r="D2538" s="7">
        <v>1.0</v>
      </c>
      <c r="E2538" s="7">
        <v>8.0</v>
      </c>
      <c r="F2538" s="7">
        <v>125.308767557144</v>
      </c>
      <c r="G2538" s="7">
        <v>244.424751043319</v>
      </c>
      <c r="H2538" s="7">
        <v>1.0</v>
      </c>
      <c r="I2538" s="15">
        <v>0.0914481305778268</v>
      </c>
      <c r="J2538" s="15">
        <v>0.0727101025002312</v>
      </c>
      <c r="K2538" s="12">
        <f>AVERAGE(I2537:I2541)</f>
        <v>0.4788658302</v>
      </c>
      <c r="L2538" s="18">
        <v>72337.0</v>
      </c>
      <c r="M2538" s="14">
        <f>STDEV(L2537:L2541)</f>
        <v>26287.53589</v>
      </c>
      <c r="N2538" s="15" t="b">
        <f t="shared" si="1"/>
        <v>0</v>
      </c>
    </row>
    <row r="2539">
      <c r="A2539" s="7" t="s">
        <v>515</v>
      </c>
      <c r="B2539" s="7" t="s">
        <v>268</v>
      </c>
      <c r="C2539" s="7">
        <v>1.0</v>
      </c>
      <c r="D2539" s="7">
        <v>1.0</v>
      </c>
      <c r="E2539" s="7">
        <v>8.0</v>
      </c>
      <c r="F2539" s="7">
        <v>125.308767557144</v>
      </c>
      <c r="G2539" s="7">
        <v>244.424751043319</v>
      </c>
      <c r="H2539" s="7">
        <v>2.0</v>
      </c>
      <c r="I2539" s="15">
        <v>0.371470354298458</v>
      </c>
      <c r="J2539" s="15">
        <v>0.0722775676018693</v>
      </c>
      <c r="K2539" s="12">
        <f>AVERAGE(I2537:I2541)</f>
        <v>0.4788658302</v>
      </c>
      <c r="L2539" s="18">
        <v>15215.0</v>
      </c>
      <c r="M2539" s="14">
        <f>STDEV(L2537:L2541)</f>
        <v>26287.53589</v>
      </c>
      <c r="N2539" s="15" t="b">
        <f t="shared" si="1"/>
        <v>0</v>
      </c>
    </row>
    <row r="2540">
      <c r="A2540" s="7" t="s">
        <v>515</v>
      </c>
      <c r="B2540" s="7" t="s">
        <v>268</v>
      </c>
      <c r="C2540" s="7">
        <v>1.0</v>
      </c>
      <c r="D2540" s="7">
        <v>1.0</v>
      </c>
      <c r="E2540" s="7">
        <v>8.0</v>
      </c>
      <c r="F2540" s="7">
        <v>125.308767557144</v>
      </c>
      <c r="G2540" s="7">
        <v>244.424751043319</v>
      </c>
      <c r="H2540" s="7">
        <v>3.0</v>
      </c>
      <c r="I2540" s="15">
        <v>0.772212029118374</v>
      </c>
      <c r="J2540" s="15">
        <v>0.119417160727365</v>
      </c>
      <c r="K2540" s="12">
        <f>AVERAGE(I2537:I2541)</f>
        <v>0.4788658302</v>
      </c>
      <c r="L2540" s="18">
        <v>15597.0</v>
      </c>
      <c r="M2540" s="14">
        <f>STDEV(L2537:L2541)</f>
        <v>26287.53589</v>
      </c>
      <c r="N2540" s="15" t="b">
        <f t="shared" si="1"/>
        <v>0</v>
      </c>
    </row>
    <row r="2541">
      <c r="A2541" s="7" t="s">
        <v>515</v>
      </c>
      <c r="B2541" s="7" t="s">
        <v>268</v>
      </c>
      <c r="C2541" s="7">
        <v>1.0</v>
      </c>
      <c r="D2541" s="7">
        <v>1.0</v>
      </c>
      <c r="E2541" s="7">
        <v>8.0</v>
      </c>
      <c r="F2541" s="7">
        <v>125.308767557144</v>
      </c>
      <c r="G2541" s="7">
        <v>244.424751043319</v>
      </c>
      <c r="H2541" s="7">
        <v>4.0</v>
      </c>
      <c r="I2541" s="15">
        <v>0.335587313063743</v>
      </c>
      <c r="J2541" s="15">
        <v>0.203386954712211</v>
      </c>
      <c r="K2541" s="12">
        <f>AVERAGE(I2537:I2541)</f>
        <v>0.4788658302</v>
      </c>
      <c r="L2541" s="18">
        <v>32089.0</v>
      </c>
      <c r="M2541" s="14">
        <f>STDEV(L2537:L2541)</f>
        <v>26287.53589</v>
      </c>
      <c r="N2541" s="15" t="b">
        <f t="shared" si="1"/>
        <v>0</v>
      </c>
    </row>
    <row r="2542">
      <c r="A2542" s="7" t="s">
        <v>516</v>
      </c>
      <c r="B2542" s="7" t="s">
        <v>268</v>
      </c>
      <c r="C2542" s="7">
        <v>1.0</v>
      </c>
      <c r="D2542" s="7">
        <v>1.0</v>
      </c>
      <c r="E2542" s="7">
        <v>9.0</v>
      </c>
      <c r="F2542" s="7">
        <v>188.953474283218</v>
      </c>
      <c r="G2542" s="7">
        <v>332.688544034957</v>
      </c>
      <c r="H2542" s="7">
        <v>0.0</v>
      </c>
      <c r="I2542" s="15">
        <v>0.0606260605799214</v>
      </c>
      <c r="J2542" s="15">
        <v>0.0465064861951199</v>
      </c>
      <c r="K2542" s="12">
        <f>AVERAGE(I2542:I2546)</f>
        <v>0.4518523207</v>
      </c>
      <c r="L2542" s="18">
        <v>69750.0</v>
      </c>
      <c r="M2542" s="14">
        <f>STDEV(L2542:L2546)</f>
        <v>26895.37659</v>
      </c>
      <c r="N2542" s="15" t="b">
        <f t="shared" si="1"/>
        <v>0</v>
      </c>
    </row>
    <row r="2543">
      <c r="A2543" s="7" t="s">
        <v>516</v>
      </c>
      <c r="B2543" s="7" t="s">
        <v>268</v>
      </c>
      <c r="C2543" s="7">
        <v>1.0</v>
      </c>
      <c r="D2543" s="7">
        <v>1.0</v>
      </c>
      <c r="E2543" s="7">
        <v>9.0</v>
      </c>
      <c r="F2543" s="7">
        <v>188.953474283218</v>
      </c>
      <c r="G2543" s="7">
        <v>332.688544034957</v>
      </c>
      <c r="H2543" s="7">
        <v>1.0</v>
      </c>
      <c r="I2543" s="15">
        <v>0.648467639096194</v>
      </c>
      <c r="J2543" s="15">
        <v>0.12498812403931</v>
      </c>
      <c r="K2543" s="12">
        <f>AVERAGE(I2542:I2546)</f>
        <v>0.4518523207</v>
      </c>
      <c r="L2543" s="18">
        <v>2306.0</v>
      </c>
      <c r="M2543" s="14">
        <f>STDEV(L2542:L2546)</f>
        <v>26895.37659</v>
      </c>
      <c r="N2543" s="15" t="b">
        <f t="shared" si="1"/>
        <v>0</v>
      </c>
    </row>
    <row r="2544">
      <c r="A2544" s="7" t="s">
        <v>516</v>
      </c>
      <c r="B2544" s="7" t="s">
        <v>268</v>
      </c>
      <c r="C2544" s="7">
        <v>1.0</v>
      </c>
      <c r="D2544" s="7">
        <v>1.0</v>
      </c>
      <c r="E2544" s="7">
        <v>9.0</v>
      </c>
      <c r="F2544" s="7">
        <v>188.953474283218</v>
      </c>
      <c r="G2544" s="7">
        <v>332.688544034957</v>
      </c>
      <c r="H2544" s="7">
        <v>2.0</v>
      </c>
      <c r="I2544" s="15">
        <v>0.822160145779146</v>
      </c>
      <c r="J2544" s="15">
        <v>0.102953382935475</v>
      </c>
      <c r="K2544" s="12">
        <f>AVERAGE(I2542:I2546)</f>
        <v>0.4518523207</v>
      </c>
      <c r="L2544" s="18">
        <v>6447.0</v>
      </c>
      <c r="M2544" s="14">
        <f>STDEV(L2542:L2546)</f>
        <v>26895.37659</v>
      </c>
      <c r="N2544" s="15" t="b">
        <f t="shared" si="1"/>
        <v>0</v>
      </c>
    </row>
    <row r="2545">
      <c r="A2545" s="7" t="s">
        <v>516</v>
      </c>
      <c r="B2545" s="7" t="s">
        <v>268</v>
      </c>
      <c r="C2545" s="7">
        <v>1.0</v>
      </c>
      <c r="D2545" s="7">
        <v>1.0</v>
      </c>
      <c r="E2545" s="7">
        <v>9.0</v>
      </c>
      <c r="F2545" s="7">
        <v>188.953474283218</v>
      </c>
      <c r="G2545" s="7">
        <v>332.688544034957</v>
      </c>
      <c r="H2545" s="7">
        <v>3.0</v>
      </c>
      <c r="I2545" s="15">
        <v>0.390331341715411</v>
      </c>
      <c r="J2545" s="15">
        <v>0.090193087865038</v>
      </c>
      <c r="K2545" s="12">
        <f>AVERAGE(I2542:I2546)</f>
        <v>0.4518523207</v>
      </c>
      <c r="L2545" s="18">
        <v>31084.0</v>
      </c>
      <c r="M2545" s="14">
        <f>STDEV(L2542:L2546)</f>
        <v>26895.37659</v>
      </c>
      <c r="N2545" s="15" t="b">
        <f t="shared" si="1"/>
        <v>0</v>
      </c>
    </row>
    <row r="2546">
      <c r="A2546" s="7" t="s">
        <v>516</v>
      </c>
      <c r="B2546" s="7" t="s">
        <v>268</v>
      </c>
      <c r="C2546" s="7">
        <v>1.0</v>
      </c>
      <c r="D2546" s="7">
        <v>1.0</v>
      </c>
      <c r="E2546" s="7">
        <v>9.0</v>
      </c>
      <c r="F2546" s="7">
        <v>188.953474283218</v>
      </c>
      <c r="G2546" s="7">
        <v>332.688544034957</v>
      </c>
      <c r="H2546" s="7">
        <v>4.0</v>
      </c>
      <c r="I2546" s="15">
        <v>0.337676416154408</v>
      </c>
      <c r="J2546" s="15">
        <v>0.188765360595311</v>
      </c>
      <c r="K2546" s="12">
        <f>AVERAGE(I2542:I2546)</f>
        <v>0.4518523207</v>
      </c>
      <c r="L2546" s="18">
        <v>32089.0</v>
      </c>
      <c r="M2546" s="14">
        <f>STDEV(L2542:L2546)</f>
        <v>26895.37659</v>
      </c>
      <c r="N2546" s="15" t="b">
        <f t="shared" si="1"/>
        <v>0</v>
      </c>
    </row>
    <row r="2547">
      <c r="A2547" s="7" t="s">
        <v>517</v>
      </c>
      <c r="B2547" s="7" t="s">
        <v>268</v>
      </c>
      <c r="C2547" s="7">
        <v>1.0</v>
      </c>
      <c r="D2547" s="7">
        <v>1.0</v>
      </c>
      <c r="E2547" s="7">
        <v>10.0</v>
      </c>
      <c r="F2547" s="7">
        <v>141.304396629333</v>
      </c>
      <c r="G2547" s="7">
        <v>260.652831554412</v>
      </c>
      <c r="H2547" s="7">
        <v>0.0</v>
      </c>
      <c r="I2547" s="15">
        <v>0.806953787331746</v>
      </c>
      <c r="J2547" s="15">
        <v>0.129052312748444</v>
      </c>
      <c r="K2547" s="12">
        <f>AVERAGE(I2547:I2551)</f>
        <v>0.4632960133</v>
      </c>
      <c r="L2547" s="18">
        <v>5622.0</v>
      </c>
      <c r="M2547" s="14">
        <f>STDEV(L2547:L2551)</f>
        <v>38750.06254</v>
      </c>
      <c r="N2547" s="15" t="b">
        <f t="shared" si="1"/>
        <v>0</v>
      </c>
    </row>
    <row r="2548">
      <c r="A2548" s="7" t="s">
        <v>517</v>
      </c>
      <c r="B2548" s="7" t="s">
        <v>268</v>
      </c>
      <c r="C2548" s="7">
        <v>1.0</v>
      </c>
      <c r="D2548" s="7">
        <v>1.0</v>
      </c>
      <c r="E2548" s="7">
        <v>10.0</v>
      </c>
      <c r="F2548" s="7">
        <v>141.304396629333</v>
      </c>
      <c r="G2548" s="7">
        <v>260.652831554412</v>
      </c>
      <c r="H2548" s="7">
        <v>1.0</v>
      </c>
      <c r="I2548" s="15">
        <v>0.415348988010035</v>
      </c>
      <c r="J2548" s="15">
        <v>0.100626122826736</v>
      </c>
      <c r="K2548" s="12">
        <f>AVERAGE(I2547:I2551)</f>
        <v>0.4632960133</v>
      </c>
      <c r="L2548" s="18">
        <v>28217.0</v>
      </c>
      <c r="M2548" s="14">
        <f>STDEV(L2547:L2551)</f>
        <v>38750.06254</v>
      </c>
      <c r="N2548" s="15" t="b">
        <f t="shared" si="1"/>
        <v>0</v>
      </c>
    </row>
    <row r="2549">
      <c r="A2549" s="7" t="s">
        <v>517</v>
      </c>
      <c r="B2549" s="7" t="s">
        <v>268</v>
      </c>
      <c r="C2549" s="7">
        <v>1.0</v>
      </c>
      <c r="D2549" s="7">
        <v>1.0</v>
      </c>
      <c r="E2549" s="7">
        <v>10.0</v>
      </c>
      <c r="F2549" s="7">
        <v>141.304396629333</v>
      </c>
      <c r="G2549" s="7">
        <v>260.652831554412</v>
      </c>
      <c r="H2549" s="7">
        <v>2.0</v>
      </c>
      <c r="I2549" s="15">
        <v>0.747677668423088</v>
      </c>
      <c r="J2549" s="15">
        <v>0.143706420315675</v>
      </c>
      <c r="K2549" s="12">
        <f>AVERAGE(I2547:I2551)</f>
        <v>0.4632960133</v>
      </c>
      <c r="L2549" s="18">
        <v>7577.0</v>
      </c>
      <c r="M2549" s="14">
        <f>STDEV(L2547:L2551)</f>
        <v>38750.06254</v>
      </c>
      <c r="N2549" s="15" t="b">
        <f t="shared" si="1"/>
        <v>0</v>
      </c>
    </row>
    <row r="2550">
      <c r="A2550" s="7" t="s">
        <v>517</v>
      </c>
      <c r="B2550" s="7" t="s">
        <v>268</v>
      </c>
      <c r="C2550" s="7">
        <v>1.0</v>
      </c>
      <c r="D2550" s="7">
        <v>1.0</v>
      </c>
      <c r="E2550" s="7">
        <v>10.0</v>
      </c>
      <c r="F2550" s="7">
        <v>141.304396629333</v>
      </c>
      <c r="G2550" s="7">
        <v>260.652831554412</v>
      </c>
      <c r="H2550" s="7">
        <v>3.0</v>
      </c>
      <c r="I2550" s="15">
        <v>0.276784678960026</v>
      </c>
      <c r="J2550" s="15">
        <v>0.126059414430794</v>
      </c>
      <c r="K2550" s="12">
        <f>AVERAGE(I2547:I2551)</f>
        <v>0.4632960133</v>
      </c>
      <c r="L2550" s="18">
        <v>4801.0</v>
      </c>
      <c r="M2550" s="14">
        <f>STDEV(L2547:L2551)</f>
        <v>38750.06254</v>
      </c>
      <c r="N2550" s="15" t="b">
        <f t="shared" si="1"/>
        <v>0</v>
      </c>
    </row>
    <row r="2551">
      <c r="A2551" s="7" t="s">
        <v>517</v>
      </c>
      <c r="B2551" s="7" t="s">
        <v>268</v>
      </c>
      <c r="C2551" s="7">
        <v>1.0</v>
      </c>
      <c r="D2551" s="7">
        <v>1.0</v>
      </c>
      <c r="E2551" s="7">
        <v>10.0</v>
      </c>
      <c r="F2551" s="7">
        <v>141.304396629333</v>
      </c>
      <c r="G2551" s="7">
        <v>260.652831554412</v>
      </c>
      <c r="H2551" s="7">
        <v>4.0</v>
      </c>
      <c r="I2551" s="15">
        <v>0.0697149437364861</v>
      </c>
      <c r="J2551" s="15">
        <v>0.0715219439090598</v>
      </c>
      <c r="K2551" s="12">
        <f>AVERAGE(I2547:I2551)</f>
        <v>0.4632960133</v>
      </c>
      <c r="L2551" s="18">
        <v>95459.0</v>
      </c>
      <c r="M2551" s="14">
        <f>STDEV(L2547:L2551)</f>
        <v>38750.06254</v>
      </c>
      <c r="N2551" s="15" t="b">
        <f t="shared" si="1"/>
        <v>0</v>
      </c>
    </row>
    <row r="2552" hidden="1">
      <c r="A2552" s="7" t="s">
        <v>518</v>
      </c>
      <c r="B2552" s="7" t="s">
        <v>519</v>
      </c>
      <c r="C2552" s="7">
        <v>0.1</v>
      </c>
      <c r="D2552" s="7">
        <v>0.1</v>
      </c>
      <c r="E2552" s="7">
        <v>1.0</v>
      </c>
      <c r="F2552" s="7">
        <v>6362.33078932762</v>
      </c>
      <c r="G2552" s="7">
        <v>6547.51165962219</v>
      </c>
      <c r="H2552" s="7">
        <v>0.0</v>
      </c>
      <c r="I2552" s="15">
        <v>0.212908664931847</v>
      </c>
      <c r="J2552" s="15">
        <v>0.0880449176932585</v>
      </c>
      <c r="K2552" s="12">
        <f>AVERAGE(I2552:I2556)</f>
        <v>0.521852114</v>
      </c>
      <c r="L2552" s="18">
        <v>41788.0</v>
      </c>
      <c r="M2552" s="14">
        <f>STDEV(L2552:L2556)</f>
        <v>26059.84295</v>
      </c>
      <c r="N2552" s="15" t="b">
        <f t="shared" si="1"/>
        <v>0</v>
      </c>
    </row>
    <row r="2553" hidden="1">
      <c r="A2553" s="7" t="s">
        <v>518</v>
      </c>
      <c r="B2553" s="7" t="s">
        <v>519</v>
      </c>
      <c r="C2553" s="7">
        <v>0.1</v>
      </c>
      <c r="D2553" s="7">
        <v>0.1</v>
      </c>
      <c r="E2553" s="7">
        <v>1.0</v>
      </c>
      <c r="F2553" s="7">
        <v>6362.33078932762</v>
      </c>
      <c r="G2553" s="7">
        <v>6547.51165962219</v>
      </c>
      <c r="H2553" s="7">
        <v>1.0</v>
      </c>
      <c r="I2553" s="15">
        <v>0.829396902091617</v>
      </c>
      <c r="J2553" s="15">
        <v>0.0964770967115392</v>
      </c>
      <c r="K2553" s="12">
        <f>AVERAGE(I2552:I2556)</f>
        <v>0.521852114</v>
      </c>
      <c r="L2553" s="18">
        <v>7454.0</v>
      </c>
      <c r="M2553" s="14">
        <f>STDEV(L2552:L2556)</f>
        <v>26059.84295</v>
      </c>
      <c r="N2553" s="15" t="b">
        <f t="shared" si="1"/>
        <v>0</v>
      </c>
    </row>
    <row r="2554" hidden="1">
      <c r="A2554" s="7" t="s">
        <v>518</v>
      </c>
      <c r="B2554" s="7" t="s">
        <v>519</v>
      </c>
      <c r="C2554" s="7">
        <v>0.1</v>
      </c>
      <c r="D2554" s="7">
        <v>0.1</v>
      </c>
      <c r="E2554" s="7">
        <v>1.0</v>
      </c>
      <c r="F2554" s="7">
        <v>6362.33078932762</v>
      </c>
      <c r="G2554" s="7">
        <v>6547.51165962219</v>
      </c>
      <c r="H2554" s="7">
        <v>2.0</v>
      </c>
      <c r="I2554" s="15">
        <v>0.0207469831782064</v>
      </c>
      <c r="J2554" s="15">
        <v>0.0650455490493942</v>
      </c>
      <c r="K2554" s="12">
        <f>AVERAGE(I2552:I2556)</f>
        <v>0.521852114</v>
      </c>
      <c r="L2554" s="18">
        <v>67189.0</v>
      </c>
      <c r="M2554" s="14">
        <f>STDEV(L2552:L2556)</f>
        <v>26059.84295</v>
      </c>
      <c r="N2554" s="15" t="b">
        <f t="shared" si="1"/>
        <v>0</v>
      </c>
    </row>
    <row r="2555" hidden="1">
      <c r="A2555" s="7" t="s">
        <v>518</v>
      </c>
      <c r="B2555" s="7" t="s">
        <v>519</v>
      </c>
      <c r="C2555" s="7">
        <v>0.1</v>
      </c>
      <c r="D2555" s="7">
        <v>0.1</v>
      </c>
      <c r="E2555" s="7">
        <v>1.0</v>
      </c>
      <c r="F2555" s="7">
        <v>6362.33078932762</v>
      </c>
      <c r="G2555" s="7">
        <v>6547.51165962219</v>
      </c>
      <c r="H2555" s="7">
        <v>3.0</v>
      </c>
      <c r="I2555" s="15">
        <v>0.73822557191005</v>
      </c>
      <c r="J2555" s="15">
        <v>0.168356073858532</v>
      </c>
      <c r="K2555" s="12">
        <f>AVERAGE(I2552:I2556)</f>
        <v>0.521852114</v>
      </c>
      <c r="L2555" s="18">
        <v>19553.0</v>
      </c>
      <c r="M2555" s="14">
        <f>STDEV(L2552:L2556)</f>
        <v>26059.84295</v>
      </c>
      <c r="N2555" s="15" t="b">
        <f t="shared" si="1"/>
        <v>0</v>
      </c>
    </row>
    <row r="2556" hidden="1">
      <c r="A2556" s="7" t="s">
        <v>518</v>
      </c>
      <c r="B2556" s="7" t="s">
        <v>519</v>
      </c>
      <c r="C2556" s="7">
        <v>0.1</v>
      </c>
      <c r="D2556" s="7">
        <v>0.1</v>
      </c>
      <c r="E2556" s="7">
        <v>1.0</v>
      </c>
      <c r="F2556" s="7">
        <v>6362.33078932762</v>
      </c>
      <c r="G2556" s="7">
        <v>6547.51165962219</v>
      </c>
      <c r="H2556" s="7">
        <v>4.0</v>
      </c>
      <c r="I2556" s="15">
        <v>0.807982447656272</v>
      </c>
      <c r="J2556" s="15">
        <v>0.116858043337254</v>
      </c>
      <c r="K2556" s="12">
        <f>AVERAGE(I2552:I2556)</f>
        <v>0.521852114</v>
      </c>
      <c r="L2556" s="18">
        <v>5692.0</v>
      </c>
      <c r="M2556" s="14">
        <f>STDEV(L2552:L2556)</f>
        <v>26059.84295</v>
      </c>
      <c r="N2556" s="15" t="b">
        <f t="shared" si="1"/>
        <v>0</v>
      </c>
    </row>
    <row r="2557" hidden="1">
      <c r="A2557" s="7" t="s">
        <v>520</v>
      </c>
      <c r="B2557" s="7" t="s">
        <v>519</v>
      </c>
      <c r="C2557" s="7">
        <v>0.1</v>
      </c>
      <c r="D2557" s="7">
        <v>0.1</v>
      </c>
      <c r="E2557" s="7">
        <v>2.0</v>
      </c>
      <c r="F2557" s="7">
        <v>2764.02923846244</v>
      </c>
      <c r="G2557" s="7">
        <v>2956.76710820198</v>
      </c>
      <c r="H2557" s="7">
        <v>0.0</v>
      </c>
      <c r="I2557" s="15">
        <v>0.710923563714857</v>
      </c>
      <c r="J2557" s="15">
        <v>0.192908442434815</v>
      </c>
      <c r="K2557" s="12">
        <f>AVERAGE(I2557:I2561)</f>
        <v>0.6315894721</v>
      </c>
      <c r="L2557" s="18">
        <v>16863.0</v>
      </c>
      <c r="M2557" s="14">
        <f>STDEV(L2557:L2561)</f>
        <v>42745.01722</v>
      </c>
      <c r="N2557" s="15" t="b">
        <f t="shared" si="1"/>
        <v>0</v>
      </c>
    </row>
    <row r="2558" hidden="1">
      <c r="A2558" s="7" t="s">
        <v>520</v>
      </c>
      <c r="B2558" s="7" t="s">
        <v>519</v>
      </c>
      <c r="C2558" s="7">
        <v>0.1</v>
      </c>
      <c r="D2558" s="7">
        <v>0.1</v>
      </c>
      <c r="E2558" s="7">
        <v>2.0</v>
      </c>
      <c r="F2558" s="7">
        <v>2764.02923846244</v>
      </c>
      <c r="G2558" s="7">
        <v>2956.76710820198</v>
      </c>
      <c r="H2558" s="7">
        <v>1.0</v>
      </c>
      <c r="I2558" s="15">
        <v>0.773919794314792</v>
      </c>
      <c r="J2558" s="15">
        <v>0.12370704127283</v>
      </c>
      <c r="K2558" s="12">
        <f>AVERAGE(I2557:I2561)</f>
        <v>0.6315894721</v>
      </c>
      <c r="L2558" s="18">
        <v>11162.0</v>
      </c>
      <c r="M2558" s="14">
        <f>STDEV(L2557:L2561)</f>
        <v>42745.01722</v>
      </c>
      <c r="N2558" s="15" t="b">
        <f t="shared" si="1"/>
        <v>0</v>
      </c>
    </row>
    <row r="2559" hidden="1">
      <c r="A2559" s="7" t="s">
        <v>520</v>
      </c>
      <c r="B2559" s="7" t="s">
        <v>519</v>
      </c>
      <c r="C2559" s="7">
        <v>0.1</v>
      </c>
      <c r="D2559" s="7">
        <v>0.1</v>
      </c>
      <c r="E2559" s="7">
        <v>2.0</v>
      </c>
      <c r="F2559" s="7">
        <v>2764.02923846244</v>
      </c>
      <c r="G2559" s="7">
        <v>2956.76710820198</v>
      </c>
      <c r="H2559" s="7">
        <v>2.0</v>
      </c>
      <c r="I2559" s="15">
        <v>0.905186092419406</v>
      </c>
      <c r="J2559" s="15">
        <v>0.114823547223051</v>
      </c>
      <c r="K2559" s="12">
        <f>AVERAGE(I2557:I2561)</f>
        <v>0.6315894721</v>
      </c>
      <c r="L2559" s="18">
        <v>1625.0</v>
      </c>
      <c r="M2559" s="14">
        <f>STDEV(L2557:L2561)</f>
        <v>42745.01722</v>
      </c>
      <c r="N2559" s="15" t="b">
        <f t="shared" si="1"/>
        <v>0</v>
      </c>
    </row>
    <row r="2560" hidden="1">
      <c r="A2560" s="7" t="s">
        <v>520</v>
      </c>
      <c r="B2560" s="7" t="s">
        <v>519</v>
      </c>
      <c r="C2560" s="7">
        <v>0.1</v>
      </c>
      <c r="D2560" s="7">
        <v>0.1</v>
      </c>
      <c r="E2560" s="7">
        <v>2.0</v>
      </c>
      <c r="F2560" s="7">
        <v>2764.02923846244</v>
      </c>
      <c r="G2560" s="7">
        <v>2956.76710820198</v>
      </c>
      <c r="H2560" s="7">
        <v>3.0</v>
      </c>
      <c r="I2560" s="15">
        <v>0.025858875646328</v>
      </c>
      <c r="J2560" s="15">
        <v>0.170387516939642</v>
      </c>
      <c r="K2560" s="12">
        <f>AVERAGE(I2557:I2561)</f>
        <v>0.6315894721</v>
      </c>
      <c r="L2560" s="18">
        <v>104161.0</v>
      </c>
      <c r="M2560" s="14">
        <f>STDEV(L2557:L2561)</f>
        <v>42745.01722</v>
      </c>
      <c r="N2560" s="15" t="b">
        <f t="shared" si="1"/>
        <v>0</v>
      </c>
    </row>
    <row r="2561" hidden="1">
      <c r="A2561" s="7" t="s">
        <v>520</v>
      </c>
      <c r="B2561" s="7" t="s">
        <v>519</v>
      </c>
      <c r="C2561" s="7">
        <v>0.1</v>
      </c>
      <c r="D2561" s="7">
        <v>0.1</v>
      </c>
      <c r="E2561" s="7">
        <v>2.0</v>
      </c>
      <c r="F2561" s="7">
        <v>2764.02923846244</v>
      </c>
      <c r="G2561" s="7">
        <v>2956.76710820198</v>
      </c>
      <c r="H2561" s="7">
        <v>4.0</v>
      </c>
      <c r="I2561" s="15">
        <v>0.742059034466512</v>
      </c>
      <c r="J2561" s="15">
        <v>0.181941436438</v>
      </c>
      <c r="K2561" s="12">
        <f>AVERAGE(I2557:I2561)</f>
        <v>0.6315894721</v>
      </c>
      <c r="L2561" s="18">
        <v>7865.0</v>
      </c>
      <c r="M2561" s="14">
        <f>STDEV(L2557:L2561)</f>
        <v>42745.01722</v>
      </c>
      <c r="N2561" s="15" t="b">
        <f t="shared" si="1"/>
        <v>0</v>
      </c>
    </row>
    <row r="2562" hidden="1">
      <c r="A2562" s="7" t="s">
        <v>521</v>
      </c>
      <c r="B2562" s="7" t="s">
        <v>519</v>
      </c>
      <c r="C2562" s="7">
        <v>0.1</v>
      </c>
      <c r="D2562" s="7">
        <v>0.1</v>
      </c>
      <c r="E2562" s="7">
        <v>3.0</v>
      </c>
      <c r="F2562" s="7">
        <v>3511.01410579681</v>
      </c>
      <c r="G2562" s="7">
        <v>3688.34613132476</v>
      </c>
      <c r="H2562" s="7">
        <v>0.0</v>
      </c>
      <c r="I2562" s="15">
        <v>0.304761483272492</v>
      </c>
      <c r="J2562" s="15">
        <v>0.111008107808903</v>
      </c>
      <c r="K2562" s="12">
        <f>AVERAGE(I2562:I2566)</f>
        <v>0.3322160914</v>
      </c>
      <c r="L2562" s="18">
        <v>16133.0</v>
      </c>
      <c r="M2562" s="14">
        <f>STDEV(L2562:L2566)</f>
        <v>19491.92456</v>
      </c>
      <c r="N2562" s="15" t="b">
        <f t="shared" si="1"/>
        <v>0</v>
      </c>
    </row>
    <row r="2563" hidden="1">
      <c r="A2563" s="7" t="s">
        <v>521</v>
      </c>
      <c r="B2563" s="7" t="s">
        <v>519</v>
      </c>
      <c r="C2563" s="7">
        <v>0.1</v>
      </c>
      <c r="D2563" s="7">
        <v>0.1</v>
      </c>
      <c r="E2563" s="7">
        <v>3.0</v>
      </c>
      <c r="F2563" s="7">
        <v>3511.01410579681</v>
      </c>
      <c r="G2563" s="7">
        <v>3688.34613132476</v>
      </c>
      <c r="H2563" s="7">
        <v>1.0</v>
      </c>
      <c r="I2563" s="15">
        <v>0.0636171768831255</v>
      </c>
      <c r="J2563" s="15">
        <v>0.0541195634559287</v>
      </c>
      <c r="K2563" s="12">
        <f>AVERAGE(I2562:I2566)</f>
        <v>0.3322160914</v>
      </c>
      <c r="L2563" s="18">
        <v>36755.0</v>
      </c>
      <c r="M2563" s="14">
        <f>STDEV(L2562:L2566)</f>
        <v>19491.92456</v>
      </c>
      <c r="N2563" s="15" t="b">
        <f t="shared" si="1"/>
        <v>0</v>
      </c>
    </row>
    <row r="2564" hidden="1">
      <c r="A2564" s="7" t="s">
        <v>521</v>
      </c>
      <c r="B2564" s="7" t="s">
        <v>519</v>
      </c>
      <c r="C2564" s="7">
        <v>0.1</v>
      </c>
      <c r="D2564" s="7">
        <v>0.1</v>
      </c>
      <c r="E2564" s="7">
        <v>3.0</v>
      </c>
      <c r="F2564" s="7">
        <v>3511.01410579681</v>
      </c>
      <c r="G2564" s="7">
        <v>3688.34613132476</v>
      </c>
      <c r="H2564" s="7">
        <v>2.0</v>
      </c>
      <c r="I2564" s="15">
        <v>0.235686764671254</v>
      </c>
      <c r="J2564" s="15">
        <v>0.0905957593276985</v>
      </c>
      <c r="K2564" s="12">
        <f>AVERAGE(I2562:I2566)</f>
        <v>0.3322160914</v>
      </c>
      <c r="L2564" s="18">
        <v>47087.0</v>
      </c>
      <c r="M2564" s="14">
        <f>STDEV(L2562:L2566)</f>
        <v>19491.92456</v>
      </c>
      <c r="N2564" s="15" t="b">
        <f t="shared" si="1"/>
        <v>0</v>
      </c>
    </row>
    <row r="2565" hidden="1">
      <c r="A2565" s="7" t="s">
        <v>521</v>
      </c>
      <c r="B2565" s="7" t="s">
        <v>519</v>
      </c>
      <c r="C2565" s="7">
        <v>0.1</v>
      </c>
      <c r="D2565" s="7">
        <v>0.1</v>
      </c>
      <c r="E2565" s="7">
        <v>3.0</v>
      </c>
      <c r="F2565" s="7">
        <v>3511.01410579681</v>
      </c>
      <c r="G2565" s="7">
        <v>3688.34613132476</v>
      </c>
      <c r="H2565" s="7">
        <v>3.0</v>
      </c>
      <c r="I2565" s="15">
        <v>0.837742730325838</v>
      </c>
      <c r="J2565" s="15">
        <v>0.136224951836801</v>
      </c>
      <c r="K2565" s="12">
        <f>AVERAGE(I2562:I2566)</f>
        <v>0.3322160914</v>
      </c>
      <c r="L2565" s="18">
        <v>402.0</v>
      </c>
      <c r="M2565" s="14">
        <f>STDEV(L2562:L2566)</f>
        <v>19491.92456</v>
      </c>
      <c r="N2565" s="15" t="b">
        <f t="shared" si="1"/>
        <v>0</v>
      </c>
    </row>
    <row r="2566" hidden="1">
      <c r="A2566" s="7" t="s">
        <v>521</v>
      </c>
      <c r="B2566" s="7" t="s">
        <v>519</v>
      </c>
      <c r="C2566" s="7">
        <v>0.1</v>
      </c>
      <c r="D2566" s="7">
        <v>0.1</v>
      </c>
      <c r="E2566" s="7">
        <v>3.0</v>
      </c>
      <c r="F2566" s="7">
        <v>3511.01410579681</v>
      </c>
      <c r="G2566" s="7">
        <v>3688.34613132476</v>
      </c>
      <c r="H2566" s="7">
        <v>4.0</v>
      </c>
      <c r="I2566" s="15">
        <v>0.219272301779288</v>
      </c>
      <c r="J2566" s="15">
        <v>0.150387582910537</v>
      </c>
      <c r="K2566" s="12">
        <f>AVERAGE(I2562:I2566)</f>
        <v>0.3322160914</v>
      </c>
      <c r="L2566" s="18">
        <v>41299.0</v>
      </c>
      <c r="M2566" s="14">
        <f>STDEV(L2562:L2566)</f>
        <v>19491.92456</v>
      </c>
      <c r="N2566" s="15" t="b">
        <f t="shared" si="1"/>
        <v>0</v>
      </c>
    </row>
    <row r="2567" hidden="1">
      <c r="A2567" s="7" t="s">
        <v>522</v>
      </c>
      <c r="B2567" s="7" t="s">
        <v>519</v>
      </c>
      <c r="C2567" s="7">
        <v>0.1</v>
      </c>
      <c r="D2567" s="7">
        <v>0.1</v>
      </c>
      <c r="E2567" s="7">
        <v>4.0</v>
      </c>
      <c r="F2567" s="7">
        <v>4267.38010168075</v>
      </c>
      <c r="G2567" s="7">
        <v>4452.59874367713</v>
      </c>
      <c r="H2567" s="7">
        <v>0.0</v>
      </c>
      <c r="I2567" s="15">
        <v>0.0819148441547434</v>
      </c>
      <c r="J2567" s="15">
        <v>0.0503636787846891</v>
      </c>
      <c r="K2567" s="12">
        <f>AVERAGE(I2567:I2571)</f>
        <v>0.5372401136</v>
      </c>
      <c r="L2567" s="18">
        <v>109580.0</v>
      </c>
      <c r="M2567" s="14">
        <f>STDEV(L2567:L2571)</f>
        <v>45676.99397</v>
      </c>
      <c r="N2567" s="15" t="b">
        <f t="shared" si="1"/>
        <v>0</v>
      </c>
    </row>
    <row r="2568" hidden="1">
      <c r="A2568" s="7" t="s">
        <v>522</v>
      </c>
      <c r="B2568" s="7" t="s">
        <v>519</v>
      </c>
      <c r="C2568" s="7">
        <v>0.1</v>
      </c>
      <c r="D2568" s="7">
        <v>0.1</v>
      </c>
      <c r="E2568" s="7">
        <v>4.0</v>
      </c>
      <c r="F2568" s="7">
        <v>4267.38010168075</v>
      </c>
      <c r="G2568" s="7">
        <v>4452.59874367713</v>
      </c>
      <c r="H2568" s="7">
        <v>1.0</v>
      </c>
      <c r="I2568" s="15">
        <v>0.828256121218101</v>
      </c>
      <c r="J2568" s="15">
        <v>0.0906333046093799</v>
      </c>
      <c r="K2568" s="12">
        <f>AVERAGE(I2567:I2571)</f>
        <v>0.5372401136</v>
      </c>
      <c r="L2568" s="18">
        <v>4603.0</v>
      </c>
      <c r="M2568" s="14">
        <f>STDEV(L2567:L2571)</f>
        <v>45676.99397</v>
      </c>
      <c r="N2568" s="15" t="b">
        <f t="shared" si="1"/>
        <v>0</v>
      </c>
    </row>
    <row r="2569" hidden="1">
      <c r="A2569" s="7" t="s">
        <v>522</v>
      </c>
      <c r="B2569" s="7" t="s">
        <v>519</v>
      </c>
      <c r="C2569" s="7">
        <v>0.1</v>
      </c>
      <c r="D2569" s="7">
        <v>0.1</v>
      </c>
      <c r="E2569" s="7">
        <v>4.0</v>
      </c>
      <c r="F2569" s="7">
        <v>4267.38010168075</v>
      </c>
      <c r="G2569" s="7">
        <v>4452.59874367713</v>
      </c>
      <c r="H2569" s="7">
        <v>2.0</v>
      </c>
      <c r="I2569" s="15">
        <v>0.682294686286963</v>
      </c>
      <c r="J2569" s="15">
        <v>0.227802925233488</v>
      </c>
      <c r="K2569" s="12">
        <f>AVERAGE(I2567:I2571)</f>
        <v>0.5372401136</v>
      </c>
      <c r="L2569" s="18">
        <v>7493.0</v>
      </c>
      <c r="M2569" s="14">
        <f>STDEV(L2567:L2571)</f>
        <v>45676.99397</v>
      </c>
      <c r="N2569" s="15" t="b">
        <f t="shared" si="1"/>
        <v>0</v>
      </c>
    </row>
    <row r="2570" hidden="1">
      <c r="A2570" s="7" t="s">
        <v>522</v>
      </c>
      <c r="B2570" s="7" t="s">
        <v>519</v>
      </c>
      <c r="C2570" s="7">
        <v>0.1</v>
      </c>
      <c r="D2570" s="7">
        <v>0.1</v>
      </c>
      <c r="E2570" s="7">
        <v>4.0</v>
      </c>
      <c r="F2570" s="7">
        <v>4267.38010168075</v>
      </c>
      <c r="G2570" s="7">
        <v>4452.59874367713</v>
      </c>
      <c r="H2570" s="7">
        <v>3.0</v>
      </c>
      <c r="I2570" s="15">
        <v>0.723483383433802</v>
      </c>
      <c r="J2570" s="15">
        <v>0.159193239126354</v>
      </c>
      <c r="K2570" s="12">
        <f>AVERAGE(I2567:I2571)</f>
        <v>0.5372401136</v>
      </c>
      <c r="L2570" s="18">
        <v>3882.0</v>
      </c>
      <c r="M2570" s="14">
        <f>STDEV(L2567:L2571)</f>
        <v>45676.99397</v>
      </c>
      <c r="N2570" s="15" t="b">
        <f t="shared" si="1"/>
        <v>0</v>
      </c>
    </row>
    <row r="2571" hidden="1">
      <c r="A2571" s="7" t="s">
        <v>522</v>
      </c>
      <c r="B2571" s="7" t="s">
        <v>519</v>
      </c>
      <c r="C2571" s="7">
        <v>0.1</v>
      </c>
      <c r="D2571" s="7">
        <v>0.1</v>
      </c>
      <c r="E2571" s="7">
        <v>4.0</v>
      </c>
      <c r="F2571" s="7">
        <v>4267.38010168075</v>
      </c>
      <c r="G2571" s="7">
        <v>4452.59874367713</v>
      </c>
      <c r="H2571" s="7">
        <v>4.0</v>
      </c>
      <c r="I2571" s="15">
        <v>0.370251532918679</v>
      </c>
      <c r="J2571" s="15">
        <v>0.125703440309929</v>
      </c>
      <c r="K2571" s="12">
        <f>AVERAGE(I2567:I2571)</f>
        <v>0.5372401136</v>
      </c>
      <c r="L2571" s="18">
        <v>16118.0</v>
      </c>
      <c r="M2571" s="14">
        <f>STDEV(L2567:L2571)</f>
        <v>45676.99397</v>
      </c>
      <c r="N2571" s="15" t="b">
        <f t="shared" si="1"/>
        <v>0</v>
      </c>
    </row>
    <row r="2572" hidden="1">
      <c r="A2572" s="7" t="s">
        <v>523</v>
      </c>
      <c r="B2572" s="7" t="s">
        <v>519</v>
      </c>
      <c r="C2572" s="7">
        <v>0.1</v>
      </c>
      <c r="D2572" s="7">
        <v>0.1</v>
      </c>
      <c r="E2572" s="7">
        <v>5.0</v>
      </c>
      <c r="F2572" s="7">
        <v>1758.64455771446</v>
      </c>
      <c r="G2572" s="7">
        <v>1945.19695854187</v>
      </c>
      <c r="H2572" s="7">
        <v>0.0</v>
      </c>
      <c r="I2572" s="15">
        <v>0.773387626258644</v>
      </c>
      <c r="J2572" s="15">
        <v>0.131773862075738</v>
      </c>
      <c r="K2572" s="12">
        <f>AVERAGE(I2572:I2576)</f>
        <v>0.4984828908</v>
      </c>
      <c r="L2572" s="18">
        <v>310.0</v>
      </c>
      <c r="M2572" s="14">
        <f>STDEV(L2572:L2576)</f>
        <v>28236.79236</v>
      </c>
      <c r="N2572" s="15" t="b">
        <f t="shared" si="1"/>
        <v>0</v>
      </c>
    </row>
    <row r="2573" hidden="1">
      <c r="A2573" s="7" t="s">
        <v>523</v>
      </c>
      <c r="B2573" s="7" t="s">
        <v>519</v>
      </c>
      <c r="C2573" s="7">
        <v>0.1</v>
      </c>
      <c r="D2573" s="7">
        <v>0.1</v>
      </c>
      <c r="E2573" s="7">
        <v>5.0</v>
      </c>
      <c r="F2573" s="7">
        <v>1758.64455771446</v>
      </c>
      <c r="G2573" s="7">
        <v>1945.19695854187</v>
      </c>
      <c r="H2573" s="7">
        <v>1.0</v>
      </c>
      <c r="I2573" s="15">
        <v>0.0978291505652213</v>
      </c>
      <c r="J2573" s="15">
        <v>0.0690585282881351</v>
      </c>
      <c r="K2573" s="12">
        <f>AVERAGE(I2572:I2576)</f>
        <v>0.4984828908</v>
      </c>
      <c r="L2573" s="18">
        <v>66724.0</v>
      </c>
      <c r="M2573" s="14">
        <f>STDEV(L2572:L2576)</f>
        <v>28236.79236</v>
      </c>
      <c r="N2573" s="15" t="b">
        <f t="shared" si="1"/>
        <v>0</v>
      </c>
    </row>
    <row r="2574" hidden="1">
      <c r="A2574" s="7" t="s">
        <v>523</v>
      </c>
      <c r="B2574" s="7" t="s">
        <v>519</v>
      </c>
      <c r="C2574" s="7">
        <v>0.1</v>
      </c>
      <c r="D2574" s="7">
        <v>0.1</v>
      </c>
      <c r="E2574" s="7">
        <v>5.0</v>
      </c>
      <c r="F2574" s="7">
        <v>1758.64455771446</v>
      </c>
      <c r="G2574" s="7">
        <v>1945.19695854187</v>
      </c>
      <c r="H2574" s="7">
        <v>2.0</v>
      </c>
      <c r="I2574" s="15">
        <v>0.152863809484054</v>
      </c>
      <c r="J2574" s="15">
        <v>0.105405006369503</v>
      </c>
      <c r="K2574" s="12">
        <f>AVERAGE(I2572:I2576)</f>
        <v>0.4984828908</v>
      </c>
      <c r="L2574" s="18">
        <v>48433.0</v>
      </c>
      <c r="M2574" s="14">
        <f>STDEV(L2572:L2576)</f>
        <v>28236.79236</v>
      </c>
      <c r="N2574" s="15" t="b">
        <f t="shared" si="1"/>
        <v>0</v>
      </c>
    </row>
    <row r="2575" hidden="1">
      <c r="A2575" s="7" t="s">
        <v>523</v>
      </c>
      <c r="B2575" s="7" t="s">
        <v>519</v>
      </c>
      <c r="C2575" s="7">
        <v>0.1</v>
      </c>
      <c r="D2575" s="7">
        <v>0.1</v>
      </c>
      <c r="E2575" s="7">
        <v>5.0</v>
      </c>
      <c r="F2575" s="7">
        <v>1758.64455771446</v>
      </c>
      <c r="G2575" s="7">
        <v>1945.19695854187</v>
      </c>
      <c r="H2575" s="7">
        <v>3.0</v>
      </c>
      <c r="I2575" s="15">
        <v>0.790316178224289</v>
      </c>
      <c r="J2575" s="15">
        <v>0.101297837213896</v>
      </c>
      <c r="K2575" s="12">
        <f>AVERAGE(I2572:I2576)</f>
        <v>0.4984828908</v>
      </c>
      <c r="L2575" s="18">
        <v>18685.0</v>
      </c>
      <c r="M2575" s="14">
        <f>STDEV(L2572:L2576)</f>
        <v>28236.79236</v>
      </c>
      <c r="N2575" s="15" t="b">
        <f t="shared" si="1"/>
        <v>0</v>
      </c>
    </row>
    <row r="2576" hidden="1">
      <c r="A2576" s="7" t="s">
        <v>523</v>
      </c>
      <c r="B2576" s="7" t="s">
        <v>519</v>
      </c>
      <c r="C2576" s="7">
        <v>0.1</v>
      </c>
      <c r="D2576" s="7">
        <v>0.1</v>
      </c>
      <c r="E2576" s="7">
        <v>5.0</v>
      </c>
      <c r="F2576" s="7">
        <v>1758.64455771446</v>
      </c>
      <c r="G2576" s="7">
        <v>1945.19695854187</v>
      </c>
      <c r="H2576" s="7">
        <v>4.0</v>
      </c>
      <c r="I2576" s="15">
        <v>0.678017689310108</v>
      </c>
      <c r="J2576" s="15">
        <v>0.23253299520776</v>
      </c>
      <c r="K2576" s="12">
        <f>AVERAGE(I2572:I2576)</f>
        <v>0.4984828908</v>
      </c>
      <c r="L2576" s="18">
        <v>7524.0</v>
      </c>
      <c r="M2576" s="14">
        <f>STDEV(L2572:L2576)</f>
        <v>28236.79236</v>
      </c>
      <c r="N2576" s="15" t="b">
        <f t="shared" si="1"/>
        <v>0</v>
      </c>
    </row>
    <row r="2577" hidden="1">
      <c r="A2577" s="7" t="s">
        <v>524</v>
      </c>
      <c r="B2577" s="7" t="s">
        <v>519</v>
      </c>
      <c r="C2577" s="7">
        <v>0.1</v>
      </c>
      <c r="D2577" s="7">
        <v>0.1</v>
      </c>
      <c r="E2577" s="7">
        <v>6.0</v>
      </c>
      <c r="F2577" s="7">
        <v>3133.26557540893</v>
      </c>
      <c r="G2577" s="7">
        <v>3352.02593636512</v>
      </c>
      <c r="H2577" s="7">
        <v>0.0</v>
      </c>
      <c r="I2577" s="15">
        <v>0.210825787696822</v>
      </c>
      <c r="J2577" s="15">
        <v>0.0937542287972808</v>
      </c>
      <c r="K2577" s="12">
        <f>AVERAGE(I2577:I2581)</f>
        <v>0.5047264063</v>
      </c>
      <c r="L2577" s="18">
        <v>52622.0</v>
      </c>
      <c r="M2577" s="14">
        <f>STDEV(L2577:L2581)</f>
        <v>24776.71416</v>
      </c>
      <c r="N2577" s="15" t="b">
        <f t="shared" si="1"/>
        <v>0</v>
      </c>
    </row>
    <row r="2578" hidden="1">
      <c r="A2578" s="7" t="s">
        <v>524</v>
      </c>
      <c r="B2578" s="7" t="s">
        <v>519</v>
      </c>
      <c r="C2578" s="7">
        <v>0.1</v>
      </c>
      <c r="D2578" s="7">
        <v>0.1</v>
      </c>
      <c r="E2578" s="7">
        <v>6.0</v>
      </c>
      <c r="F2578" s="7">
        <v>3133.26557540893</v>
      </c>
      <c r="G2578" s="7">
        <v>3352.02593636512</v>
      </c>
      <c r="H2578" s="7">
        <v>1.0</v>
      </c>
      <c r="I2578" s="15">
        <v>0.816329456221899</v>
      </c>
      <c r="J2578" s="15">
        <v>0.103866301416746</v>
      </c>
      <c r="K2578" s="12">
        <f>AVERAGE(I2577:I2581)</f>
        <v>0.5047264063</v>
      </c>
      <c r="L2578" s="18">
        <v>6648.0</v>
      </c>
      <c r="M2578" s="14">
        <f>STDEV(L2577:L2581)</f>
        <v>24776.71416</v>
      </c>
      <c r="N2578" s="15" t="b">
        <f t="shared" si="1"/>
        <v>0</v>
      </c>
    </row>
    <row r="2579" hidden="1">
      <c r="A2579" s="7" t="s">
        <v>524</v>
      </c>
      <c r="B2579" s="7" t="s">
        <v>519</v>
      </c>
      <c r="C2579" s="7">
        <v>0.1</v>
      </c>
      <c r="D2579" s="7">
        <v>0.1</v>
      </c>
      <c r="E2579" s="7">
        <v>6.0</v>
      </c>
      <c r="F2579" s="7">
        <v>3133.26557540893</v>
      </c>
      <c r="G2579" s="7">
        <v>3352.02593636512</v>
      </c>
      <c r="H2579" s="7">
        <v>2.0</v>
      </c>
      <c r="I2579" s="15">
        <v>0.789840698974092</v>
      </c>
      <c r="J2579" s="15">
        <v>0.0998453667931638</v>
      </c>
      <c r="K2579" s="12">
        <f>AVERAGE(I2577:I2581)</f>
        <v>0.5047264063</v>
      </c>
      <c r="L2579" s="18">
        <v>18659.0</v>
      </c>
      <c r="M2579" s="14">
        <f>STDEV(L2577:L2581)</f>
        <v>24776.71416</v>
      </c>
      <c r="N2579" s="15" t="b">
        <f t="shared" si="1"/>
        <v>0</v>
      </c>
    </row>
    <row r="2580" hidden="1">
      <c r="A2580" s="7" t="s">
        <v>524</v>
      </c>
      <c r="B2580" s="7" t="s">
        <v>519</v>
      </c>
      <c r="C2580" s="7">
        <v>0.1</v>
      </c>
      <c r="D2580" s="7">
        <v>0.1</v>
      </c>
      <c r="E2580" s="7">
        <v>6.0</v>
      </c>
      <c r="F2580" s="7">
        <v>3133.26557540893</v>
      </c>
      <c r="G2580" s="7">
        <v>3352.02593636512</v>
      </c>
      <c r="H2580" s="7">
        <v>3.0</v>
      </c>
      <c r="I2580" s="15">
        <v>0.659043793776104</v>
      </c>
      <c r="J2580" s="15">
        <v>0.24035783545162</v>
      </c>
      <c r="K2580" s="12">
        <f>AVERAGE(I2577:I2581)</f>
        <v>0.5047264063</v>
      </c>
      <c r="L2580" s="18">
        <v>6608.0</v>
      </c>
      <c r="M2580" s="14">
        <f>STDEV(L2577:L2581)</f>
        <v>24776.71416</v>
      </c>
      <c r="N2580" s="15" t="b">
        <f t="shared" si="1"/>
        <v>0</v>
      </c>
    </row>
    <row r="2581" hidden="1">
      <c r="A2581" s="7" t="s">
        <v>524</v>
      </c>
      <c r="B2581" s="7" t="s">
        <v>519</v>
      </c>
      <c r="C2581" s="7">
        <v>0.1</v>
      </c>
      <c r="D2581" s="7">
        <v>0.1</v>
      </c>
      <c r="E2581" s="7">
        <v>6.0</v>
      </c>
      <c r="F2581" s="7">
        <v>3133.26557540893</v>
      </c>
      <c r="G2581" s="7">
        <v>3352.02593636512</v>
      </c>
      <c r="H2581" s="7">
        <v>4.0</v>
      </c>
      <c r="I2581" s="15">
        <v>0.0475922946304235</v>
      </c>
      <c r="J2581" s="15">
        <v>0.0407396869142741</v>
      </c>
      <c r="K2581" s="12">
        <f>AVERAGE(I2577:I2581)</f>
        <v>0.5047264063</v>
      </c>
      <c r="L2581" s="18">
        <v>57139.0</v>
      </c>
      <c r="M2581" s="14">
        <f>STDEV(L2577:L2581)</f>
        <v>24776.71416</v>
      </c>
      <c r="N2581" s="15" t="b">
        <f t="shared" si="1"/>
        <v>0</v>
      </c>
    </row>
    <row r="2582" hidden="1">
      <c r="A2582" s="7" t="s">
        <v>525</v>
      </c>
      <c r="B2582" s="7" t="s">
        <v>519</v>
      </c>
      <c r="C2582" s="7">
        <v>0.1</v>
      </c>
      <c r="D2582" s="7">
        <v>0.1</v>
      </c>
      <c r="E2582" s="7">
        <v>7.0</v>
      </c>
      <c r="F2582" s="7">
        <v>1370.15858983993</v>
      </c>
      <c r="G2582" s="7">
        <v>1545.9173913002</v>
      </c>
      <c r="H2582" s="7">
        <v>0.0</v>
      </c>
      <c r="I2582" s="15">
        <v>0.620164520022908</v>
      </c>
      <c r="J2582" s="15">
        <v>0.267952485812557</v>
      </c>
      <c r="K2582" s="12">
        <f>AVERAGE(I2582:I2586)</f>
        <v>0.5868644996</v>
      </c>
      <c r="L2582" s="18">
        <v>2889.0</v>
      </c>
      <c r="M2582" s="14">
        <f>STDEV(L2582:L2586)</f>
        <v>43839.21183</v>
      </c>
      <c r="N2582" s="15" t="b">
        <f t="shared" si="1"/>
        <v>0</v>
      </c>
    </row>
    <row r="2583" hidden="1">
      <c r="A2583" s="7" t="s">
        <v>525</v>
      </c>
      <c r="B2583" s="7" t="s">
        <v>519</v>
      </c>
      <c r="C2583" s="7">
        <v>0.1</v>
      </c>
      <c r="D2583" s="7">
        <v>0.1</v>
      </c>
      <c r="E2583" s="7">
        <v>7.0</v>
      </c>
      <c r="F2583" s="7">
        <v>1370.15858983993</v>
      </c>
      <c r="G2583" s="7">
        <v>1545.9173913002</v>
      </c>
      <c r="H2583" s="7">
        <v>1.0</v>
      </c>
      <c r="I2583" s="15">
        <v>0.789881821949086</v>
      </c>
      <c r="J2583" s="15">
        <v>0.105116251468965</v>
      </c>
      <c r="K2583" s="12">
        <f>AVERAGE(I2582:I2586)</f>
        <v>0.5868644996</v>
      </c>
      <c r="L2583" s="18">
        <v>18681.0</v>
      </c>
      <c r="M2583" s="14">
        <f>STDEV(L2582:L2586)</f>
        <v>43839.21183</v>
      </c>
      <c r="N2583" s="15" t="b">
        <f t="shared" si="1"/>
        <v>0</v>
      </c>
    </row>
    <row r="2584" hidden="1">
      <c r="A2584" s="7" t="s">
        <v>525</v>
      </c>
      <c r="B2584" s="7" t="s">
        <v>519</v>
      </c>
      <c r="C2584" s="7">
        <v>0.1</v>
      </c>
      <c r="D2584" s="7">
        <v>0.1</v>
      </c>
      <c r="E2584" s="7">
        <v>7.0</v>
      </c>
      <c r="F2584" s="7">
        <v>1370.15858983993</v>
      </c>
      <c r="G2584" s="7">
        <v>1545.9173913002</v>
      </c>
      <c r="H2584" s="7">
        <v>2.0</v>
      </c>
      <c r="I2584" s="15">
        <v>0.796947305104879</v>
      </c>
      <c r="J2584" s="15">
        <v>0.122730004654653</v>
      </c>
      <c r="K2584" s="12">
        <f>AVERAGE(I2582:I2586)</f>
        <v>0.5868644996</v>
      </c>
      <c r="L2584" s="18">
        <v>7477.0</v>
      </c>
      <c r="M2584" s="14">
        <f>STDEV(L2582:L2586)</f>
        <v>43839.21183</v>
      </c>
      <c r="N2584" s="15" t="b">
        <f t="shared" si="1"/>
        <v>0</v>
      </c>
    </row>
    <row r="2585" hidden="1">
      <c r="A2585" s="7" t="s">
        <v>525</v>
      </c>
      <c r="B2585" s="7" t="s">
        <v>519</v>
      </c>
      <c r="C2585" s="7">
        <v>0.1</v>
      </c>
      <c r="D2585" s="7">
        <v>0.1</v>
      </c>
      <c r="E2585" s="7">
        <v>7.0</v>
      </c>
      <c r="F2585" s="7">
        <v>1370.15858983993</v>
      </c>
      <c r="G2585" s="7">
        <v>1545.9173913002</v>
      </c>
      <c r="H2585" s="7">
        <v>3.0</v>
      </c>
      <c r="I2585" s="15">
        <v>0.0653036381853636</v>
      </c>
      <c r="J2585" s="15">
        <v>0.0517857788480264</v>
      </c>
      <c r="K2585" s="12">
        <f>AVERAGE(I2582:I2586)</f>
        <v>0.5868644996</v>
      </c>
      <c r="L2585" s="18">
        <v>106044.0</v>
      </c>
      <c r="M2585" s="14">
        <f>STDEV(L2582:L2586)</f>
        <v>43839.21183</v>
      </c>
      <c r="N2585" s="15" t="b">
        <f t="shared" si="1"/>
        <v>0</v>
      </c>
    </row>
    <row r="2586" hidden="1">
      <c r="A2586" s="7" t="s">
        <v>525</v>
      </c>
      <c r="B2586" s="7" t="s">
        <v>519</v>
      </c>
      <c r="C2586" s="7">
        <v>0.1</v>
      </c>
      <c r="D2586" s="7">
        <v>0.1</v>
      </c>
      <c r="E2586" s="7">
        <v>7.0</v>
      </c>
      <c r="F2586" s="7">
        <v>1370.15858983993</v>
      </c>
      <c r="G2586" s="7">
        <v>1545.9173913002</v>
      </c>
      <c r="H2586" s="7">
        <v>4.0</v>
      </c>
      <c r="I2586" s="15">
        <v>0.662025212958795</v>
      </c>
      <c r="J2586" s="15">
        <v>0.235159444580463</v>
      </c>
      <c r="K2586" s="12">
        <f>AVERAGE(I2582:I2586)</f>
        <v>0.5868644996</v>
      </c>
      <c r="L2586" s="18">
        <v>6585.0</v>
      </c>
      <c r="M2586" s="14">
        <f>STDEV(L2582:L2586)</f>
        <v>43839.21183</v>
      </c>
      <c r="N2586" s="15" t="b">
        <f t="shared" si="1"/>
        <v>0</v>
      </c>
    </row>
    <row r="2587" hidden="1">
      <c r="A2587" s="7" t="s">
        <v>526</v>
      </c>
      <c r="B2587" s="7" t="s">
        <v>519</v>
      </c>
      <c r="C2587" s="7">
        <v>0.1</v>
      </c>
      <c r="D2587" s="7">
        <v>0.1</v>
      </c>
      <c r="E2587" s="7">
        <v>8.0</v>
      </c>
      <c r="F2587" s="7">
        <v>835.076689720153</v>
      </c>
      <c r="G2587" s="7">
        <v>984.388498306274</v>
      </c>
      <c r="H2587" s="7">
        <v>0.0</v>
      </c>
      <c r="I2587" s="15">
        <v>0.904692226299977</v>
      </c>
      <c r="J2587" s="15">
        <v>0.11474585403765</v>
      </c>
      <c r="K2587" s="12">
        <f>AVERAGE(I2587:I2591)</f>
        <v>0.4712006264</v>
      </c>
      <c r="L2587" s="18">
        <v>1625.0</v>
      </c>
      <c r="M2587" s="14">
        <f>STDEV(L2587:L2591)</f>
        <v>29345.5246</v>
      </c>
      <c r="N2587" s="15" t="b">
        <f t="shared" si="1"/>
        <v>0</v>
      </c>
    </row>
    <row r="2588" hidden="1">
      <c r="A2588" s="7" t="s">
        <v>526</v>
      </c>
      <c r="B2588" s="7" t="s">
        <v>519</v>
      </c>
      <c r="C2588" s="7">
        <v>0.1</v>
      </c>
      <c r="D2588" s="7">
        <v>0.1</v>
      </c>
      <c r="E2588" s="7">
        <v>8.0</v>
      </c>
      <c r="F2588" s="7">
        <v>835.076689720153</v>
      </c>
      <c r="G2588" s="7">
        <v>984.388498306274</v>
      </c>
      <c r="H2588" s="7">
        <v>1.0</v>
      </c>
      <c r="I2588" s="15">
        <v>0.18701581984289</v>
      </c>
      <c r="J2588" s="15">
        <v>0.160962276589436</v>
      </c>
      <c r="K2588" s="12">
        <f>AVERAGE(I2587:I2591)</f>
        <v>0.4712006264</v>
      </c>
      <c r="L2588" s="18">
        <v>44656.0</v>
      </c>
      <c r="M2588" s="14">
        <f>STDEV(L2587:L2591)</f>
        <v>29345.5246</v>
      </c>
      <c r="N2588" s="15" t="b">
        <f t="shared" si="1"/>
        <v>0</v>
      </c>
    </row>
    <row r="2589" hidden="1">
      <c r="A2589" s="7" t="s">
        <v>526</v>
      </c>
      <c r="B2589" s="7" t="s">
        <v>519</v>
      </c>
      <c r="C2589" s="7">
        <v>0.1</v>
      </c>
      <c r="D2589" s="7">
        <v>0.1</v>
      </c>
      <c r="E2589" s="7">
        <v>8.0</v>
      </c>
      <c r="F2589" s="7">
        <v>835.076689720153</v>
      </c>
      <c r="G2589" s="7">
        <v>984.388498306274</v>
      </c>
      <c r="H2589" s="7">
        <v>2.0</v>
      </c>
      <c r="I2589" s="15">
        <v>0.0912277392913672</v>
      </c>
      <c r="J2589" s="15">
        <v>0.0821806859263474</v>
      </c>
      <c r="K2589" s="12">
        <f>AVERAGE(I2587:I2591)</f>
        <v>0.4712006264</v>
      </c>
      <c r="L2589" s="18">
        <v>69977.0</v>
      </c>
      <c r="M2589" s="14">
        <f>STDEV(L2587:L2591)</f>
        <v>29345.5246</v>
      </c>
      <c r="N2589" s="15" t="b">
        <f t="shared" si="1"/>
        <v>0</v>
      </c>
    </row>
    <row r="2590" hidden="1">
      <c r="A2590" s="7" t="s">
        <v>526</v>
      </c>
      <c r="B2590" s="7" t="s">
        <v>519</v>
      </c>
      <c r="C2590" s="7">
        <v>0.1</v>
      </c>
      <c r="D2590" s="7">
        <v>0.1</v>
      </c>
      <c r="E2590" s="7">
        <v>8.0</v>
      </c>
      <c r="F2590" s="7">
        <v>835.076689720153</v>
      </c>
      <c r="G2590" s="7">
        <v>984.388498306274</v>
      </c>
      <c r="H2590" s="7">
        <v>3.0</v>
      </c>
      <c r="I2590" s="15">
        <v>0.43447359421462</v>
      </c>
      <c r="J2590" s="15">
        <v>0.169241121027627</v>
      </c>
      <c r="K2590" s="12">
        <f>AVERAGE(I2587:I2591)</f>
        <v>0.4712006264</v>
      </c>
      <c r="L2590" s="18">
        <v>23719.0</v>
      </c>
      <c r="M2590" s="14">
        <f>STDEV(L2587:L2591)</f>
        <v>29345.5246</v>
      </c>
      <c r="N2590" s="15" t="b">
        <f t="shared" si="1"/>
        <v>0</v>
      </c>
    </row>
    <row r="2591" hidden="1">
      <c r="A2591" s="7" t="s">
        <v>526</v>
      </c>
      <c r="B2591" s="7" t="s">
        <v>519</v>
      </c>
      <c r="C2591" s="7">
        <v>0.1</v>
      </c>
      <c r="D2591" s="7">
        <v>0.1</v>
      </c>
      <c r="E2591" s="7">
        <v>8.0</v>
      </c>
      <c r="F2591" s="7">
        <v>835.076689720153</v>
      </c>
      <c r="G2591" s="7">
        <v>984.388498306274</v>
      </c>
      <c r="H2591" s="7">
        <v>4.0</v>
      </c>
      <c r="I2591" s="15">
        <v>0.738593752405121</v>
      </c>
      <c r="J2591" s="15">
        <v>0.15271062377616</v>
      </c>
      <c r="K2591" s="12">
        <f>AVERAGE(I2587:I2591)</f>
        <v>0.4712006264</v>
      </c>
      <c r="L2591" s="18">
        <v>1699.0</v>
      </c>
      <c r="M2591" s="14">
        <f>STDEV(L2587:L2591)</f>
        <v>29345.5246</v>
      </c>
      <c r="N2591" s="15" t="b">
        <f t="shared" si="1"/>
        <v>0</v>
      </c>
    </row>
    <row r="2592" hidden="1">
      <c r="A2592" s="7" t="s">
        <v>527</v>
      </c>
      <c r="B2592" s="7" t="s">
        <v>519</v>
      </c>
      <c r="C2592" s="7">
        <v>0.1</v>
      </c>
      <c r="D2592" s="7">
        <v>0.1</v>
      </c>
      <c r="E2592" s="7">
        <v>9.0</v>
      </c>
      <c r="F2592" s="7">
        <v>3117.02093076705</v>
      </c>
      <c r="G2592" s="7">
        <v>3336.12234306335</v>
      </c>
      <c r="H2592" s="7">
        <v>0.0</v>
      </c>
      <c r="I2592" s="15">
        <v>0.909867198295746</v>
      </c>
      <c r="J2592" s="15">
        <v>0.0452556025401511</v>
      </c>
      <c r="K2592" s="12">
        <f>AVERAGE(I2592:I2596)</f>
        <v>0.5332613262</v>
      </c>
      <c r="L2592" s="18">
        <v>2064.0</v>
      </c>
      <c r="M2592" s="14">
        <f>STDEV(L2592:L2596)</f>
        <v>40817.6368</v>
      </c>
      <c r="N2592" s="15" t="b">
        <f t="shared" si="1"/>
        <v>0</v>
      </c>
    </row>
    <row r="2593" hidden="1">
      <c r="A2593" s="7" t="s">
        <v>527</v>
      </c>
      <c r="B2593" s="7" t="s">
        <v>519</v>
      </c>
      <c r="C2593" s="7">
        <v>0.1</v>
      </c>
      <c r="D2593" s="7">
        <v>0.1</v>
      </c>
      <c r="E2593" s="7">
        <v>9.0</v>
      </c>
      <c r="F2593" s="7">
        <v>3117.02093076705</v>
      </c>
      <c r="G2593" s="7">
        <v>3336.12234306335</v>
      </c>
      <c r="H2593" s="7">
        <v>1.0</v>
      </c>
      <c r="I2593" s="15">
        <v>0.806911124060961</v>
      </c>
      <c r="J2593" s="15">
        <v>0.117783316702245</v>
      </c>
      <c r="K2593" s="12">
        <f>AVERAGE(I2592:I2596)</f>
        <v>0.5332613262</v>
      </c>
      <c r="L2593" s="18">
        <v>5709.0</v>
      </c>
      <c r="M2593" s="14">
        <f>STDEV(L2592:L2596)</f>
        <v>40817.6368</v>
      </c>
      <c r="N2593" s="15" t="b">
        <f t="shared" si="1"/>
        <v>0</v>
      </c>
    </row>
    <row r="2594" hidden="1">
      <c r="A2594" s="7" t="s">
        <v>527</v>
      </c>
      <c r="B2594" s="7" t="s">
        <v>519</v>
      </c>
      <c r="C2594" s="7">
        <v>0.1</v>
      </c>
      <c r="D2594" s="7">
        <v>0.1</v>
      </c>
      <c r="E2594" s="7">
        <v>9.0</v>
      </c>
      <c r="F2594" s="7">
        <v>3117.02093076705</v>
      </c>
      <c r="G2594" s="7">
        <v>3336.12234306335</v>
      </c>
      <c r="H2594" s="7">
        <v>2.0</v>
      </c>
      <c r="I2594" s="15">
        <v>0.317883045640362</v>
      </c>
      <c r="J2594" s="15">
        <v>0.144577855111664</v>
      </c>
      <c r="K2594" s="12">
        <f>AVERAGE(I2592:I2596)</f>
        <v>0.5332613262</v>
      </c>
      <c r="L2594" s="18">
        <v>30451.0</v>
      </c>
      <c r="M2594" s="14">
        <f>STDEV(L2592:L2596)</f>
        <v>40817.6368</v>
      </c>
      <c r="N2594" s="15" t="b">
        <f t="shared" si="1"/>
        <v>0</v>
      </c>
    </row>
    <row r="2595" hidden="1">
      <c r="A2595" s="7" t="s">
        <v>527</v>
      </c>
      <c r="B2595" s="7" t="s">
        <v>519</v>
      </c>
      <c r="C2595" s="7">
        <v>0.1</v>
      </c>
      <c r="D2595" s="7">
        <v>0.1</v>
      </c>
      <c r="E2595" s="7">
        <v>9.0</v>
      </c>
      <c r="F2595" s="7">
        <v>3117.02093076705</v>
      </c>
      <c r="G2595" s="7">
        <v>3336.12234306335</v>
      </c>
      <c r="H2595" s="7">
        <v>3.0</v>
      </c>
      <c r="I2595" s="15">
        <v>0.552380592571685</v>
      </c>
      <c r="J2595" s="15">
        <v>0.254108449743435</v>
      </c>
      <c r="K2595" s="12">
        <f>AVERAGE(I2592:I2596)</f>
        <v>0.5332613262</v>
      </c>
      <c r="L2595" s="18">
        <v>5017.0</v>
      </c>
      <c r="M2595" s="14">
        <f>STDEV(L2592:L2596)</f>
        <v>40817.6368</v>
      </c>
      <c r="N2595" s="15" t="b">
        <f t="shared" si="1"/>
        <v>0</v>
      </c>
    </row>
    <row r="2596" hidden="1">
      <c r="A2596" s="7" t="s">
        <v>527</v>
      </c>
      <c r="B2596" s="7" t="s">
        <v>519</v>
      </c>
      <c r="C2596" s="7">
        <v>0.1</v>
      </c>
      <c r="D2596" s="7">
        <v>0.1</v>
      </c>
      <c r="E2596" s="7">
        <v>9.0</v>
      </c>
      <c r="F2596" s="7">
        <v>3117.02093076705</v>
      </c>
      <c r="G2596" s="7">
        <v>3336.12234306335</v>
      </c>
      <c r="H2596" s="7">
        <v>4.0</v>
      </c>
      <c r="I2596" s="15">
        <v>0.0792646705218774</v>
      </c>
      <c r="J2596" s="15">
        <v>0.0559067395567559</v>
      </c>
      <c r="K2596" s="12">
        <f>AVERAGE(I2592:I2596)</f>
        <v>0.5332613262</v>
      </c>
      <c r="L2596" s="18">
        <v>98435.0</v>
      </c>
      <c r="M2596" s="14">
        <f>STDEV(L2592:L2596)</f>
        <v>40817.6368</v>
      </c>
      <c r="N2596" s="15" t="b">
        <f t="shared" si="1"/>
        <v>0</v>
      </c>
    </row>
    <row r="2597" hidden="1">
      <c r="A2597" s="7" t="s">
        <v>528</v>
      </c>
      <c r="B2597" s="7" t="s">
        <v>519</v>
      </c>
      <c r="C2597" s="7">
        <v>0.1</v>
      </c>
      <c r="D2597" s="7">
        <v>0.1</v>
      </c>
      <c r="E2597" s="7">
        <v>10.0</v>
      </c>
      <c r="F2597" s="7">
        <v>5300.22038221359</v>
      </c>
      <c r="G2597" s="7">
        <v>5482.49032831192</v>
      </c>
      <c r="H2597" s="7">
        <v>0.0</v>
      </c>
      <c r="I2597" s="15">
        <v>0.811710125256837</v>
      </c>
      <c r="J2597" s="15">
        <v>0.0741252196227175</v>
      </c>
      <c r="K2597" s="12">
        <f>AVERAGE(I2597:I2601)</f>
        <v>0.509588585</v>
      </c>
      <c r="L2597" s="18">
        <v>18337.0</v>
      </c>
      <c r="M2597" s="14">
        <f>STDEV(L2597:L2601)</f>
        <v>44640.12208</v>
      </c>
      <c r="N2597" s="15" t="b">
        <f t="shared" si="1"/>
        <v>0</v>
      </c>
    </row>
    <row r="2598" hidden="1">
      <c r="A2598" s="7" t="s">
        <v>528</v>
      </c>
      <c r="B2598" s="7" t="s">
        <v>519</v>
      </c>
      <c r="C2598" s="7">
        <v>0.1</v>
      </c>
      <c r="D2598" s="7">
        <v>0.1</v>
      </c>
      <c r="E2598" s="7">
        <v>10.0</v>
      </c>
      <c r="F2598" s="7">
        <v>5300.22038221359</v>
      </c>
      <c r="G2598" s="7">
        <v>5482.49032831192</v>
      </c>
      <c r="H2598" s="7">
        <v>1.0</v>
      </c>
      <c r="I2598" s="15">
        <v>0.693473036651815</v>
      </c>
      <c r="J2598" s="15">
        <v>0.194933211467862</v>
      </c>
      <c r="K2598" s="12">
        <f>AVERAGE(I2597:I2601)</f>
        <v>0.509588585</v>
      </c>
      <c r="L2598" s="18">
        <v>2232.0</v>
      </c>
      <c r="M2598" s="14">
        <f>STDEV(L2597:L2601)</f>
        <v>44640.12208</v>
      </c>
      <c r="N2598" s="15" t="b">
        <f t="shared" si="1"/>
        <v>0</v>
      </c>
    </row>
    <row r="2599" hidden="1">
      <c r="A2599" s="7" t="s">
        <v>528</v>
      </c>
      <c r="B2599" s="7" t="s">
        <v>519</v>
      </c>
      <c r="C2599" s="7">
        <v>0.1</v>
      </c>
      <c r="D2599" s="7">
        <v>0.1</v>
      </c>
      <c r="E2599" s="7">
        <v>10.0</v>
      </c>
      <c r="F2599" s="7">
        <v>5300.22038221359</v>
      </c>
      <c r="G2599" s="7">
        <v>5482.49032831192</v>
      </c>
      <c r="H2599" s="7">
        <v>2.0</v>
      </c>
      <c r="I2599" s="15">
        <v>0.0300603779772921</v>
      </c>
      <c r="J2599" s="15">
        <v>0.153474241413154</v>
      </c>
      <c r="K2599" s="12">
        <f>AVERAGE(I2597:I2601)</f>
        <v>0.509588585</v>
      </c>
      <c r="L2599" s="18">
        <v>107374.0</v>
      </c>
      <c r="M2599" s="14">
        <f>STDEV(L2597:L2601)</f>
        <v>44640.12208</v>
      </c>
      <c r="N2599" s="15" t="b">
        <f t="shared" si="1"/>
        <v>0</v>
      </c>
    </row>
    <row r="2600" hidden="1">
      <c r="A2600" s="7" t="s">
        <v>528</v>
      </c>
      <c r="B2600" s="7" t="s">
        <v>519</v>
      </c>
      <c r="C2600" s="7">
        <v>0.1</v>
      </c>
      <c r="D2600" s="7">
        <v>0.1</v>
      </c>
      <c r="E2600" s="7">
        <v>10.0</v>
      </c>
      <c r="F2600" s="7">
        <v>5300.22038221359</v>
      </c>
      <c r="G2600" s="7">
        <v>5482.49032831192</v>
      </c>
      <c r="H2600" s="7">
        <v>3.0</v>
      </c>
      <c r="I2600" s="15">
        <v>0.673080493118102</v>
      </c>
      <c r="J2600" s="15">
        <v>0.192120230663811</v>
      </c>
      <c r="K2600" s="12">
        <f>AVERAGE(I2597:I2601)</f>
        <v>0.509588585</v>
      </c>
      <c r="L2600" s="18">
        <v>10082.0</v>
      </c>
      <c r="M2600" s="14">
        <f>STDEV(L2597:L2601)</f>
        <v>44640.12208</v>
      </c>
      <c r="N2600" s="15" t="b">
        <f t="shared" si="1"/>
        <v>0</v>
      </c>
    </row>
    <row r="2601" hidden="1">
      <c r="A2601" s="7" t="s">
        <v>528</v>
      </c>
      <c r="B2601" s="7" t="s">
        <v>519</v>
      </c>
      <c r="C2601" s="7">
        <v>0.1</v>
      </c>
      <c r="D2601" s="7">
        <v>0.1</v>
      </c>
      <c r="E2601" s="7">
        <v>10.0</v>
      </c>
      <c r="F2601" s="7">
        <v>5300.22038221359</v>
      </c>
      <c r="G2601" s="7">
        <v>5482.49032831192</v>
      </c>
      <c r="H2601" s="7">
        <v>4.0</v>
      </c>
      <c r="I2601" s="15">
        <v>0.339618892136639</v>
      </c>
      <c r="J2601" s="15">
        <v>0.0959164762406022</v>
      </c>
      <c r="K2601" s="12">
        <f>AVERAGE(I2597:I2601)</f>
        <v>0.509588585</v>
      </c>
      <c r="L2601" s="18">
        <v>3651.0</v>
      </c>
      <c r="M2601" s="14">
        <f>STDEV(L2597:L2601)</f>
        <v>44640.12208</v>
      </c>
      <c r="N2601" s="15" t="b">
        <f t="shared" si="1"/>
        <v>0</v>
      </c>
    </row>
    <row r="2602" hidden="1">
      <c r="A2602" s="7" t="s">
        <v>529</v>
      </c>
      <c r="B2602" s="7" t="s">
        <v>519</v>
      </c>
      <c r="C2602" s="7">
        <v>0.1</v>
      </c>
      <c r="D2602" s="7">
        <v>0.25</v>
      </c>
      <c r="E2602" s="7">
        <v>1.0</v>
      </c>
      <c r="F2602" s="7">
        <v>11533.4238538742</v>
      </c>
      <c r="G2602" s="7">
        <v>11717.6867725849</v>
      </c>
      <c r="H2602" s="7">
        <v>0.0</v>
      </c>
      <c r="I2602" s="15">
        <v>0.137930890500309</v>
      </c>
      <c r="J2602" s="15">
        <v>0.115308301522349</v>
      </c>
      <c r="K2602" s="12">
        <f>AVERAGE(I2602:I2606)</f>
        <v>0.4740479784</v>
      </c>
      <c r="L2602" s="18">
        <v>55747.0</v>
      </c>
      <c r="M2602" s="14">
        <f>STDEV(L2602:L2606)</f>
        <v>23374.79565</v>
      </c>
      <c r="N2602" s="15" t="b">
        <f t="shared" si="1"/>
        <v>0</v>
      </c>
    </row>
    <row r="2603" hidden="1">
      <c r="A2603" s="7" t="s">
        <v>529</v>
      </c>
      <c r="B2603" s="7" t="s">
        <v>519</v>
      </c>
      <c r="C2603" s="7">
        <v>0.1</v>
      </c>
      <c r="D2603" s="7">
        <v>0.25</v>
      </c>
      <c r="E2603" s="7">
        <v>1.0</v>
      </c>
      <c r="F2603" s="7">
        <v>11533.4238538742</v>
      </c>
      <c r="G2603" s="7">
        <v>11717.6867725849</v>
      </c>
      <c r="H2603" s="7">
        <v>1.0</v>
      </c>
      <c r="I2603" s="15">
        <v>0.468718353906764</v>
      </c>
      <c r="J2603" s="15">
        <v>0.194687081338509</v>
      </c>
      <c r="K2603" s="12">
        <f>AVERAGE(I2602:I2606)</f>
        <v>0.4740479784</v>
      </c>
      <c r="L2603" s="18">
        <v>23110.0</v>
      </c>
      <c r="M2603" s="14">
        <f>STDEV(L2602:L2606)</f>
        <v>23374.79565</v>
      </c>
      <c r="N2603" s="15" t="b">
        <f t="shared" si="1"/>
        <v>0</v>
      </c>
    </row>
    <row r="2604" hidden="1">
      <c r="A2604" s="7" t="s">
        <v>529</v>
      </c>
      <c r="B2604" s="7" t="s">
        <v>519</v>
      </c>
      <c r="C2604" s="7">
        <v>0.1</v>
      </c>
      <c r="D2604" s="7">
        <v>0.25</v>
      </c>
      <c r="E2604" s="7">
        <v>1.0</v>
      </c>
      <c r="F2604" s="7">
        <v>11533.4238538742</v>
      </c>
      <c r="G2604" s="7">
        <v>11717.6867725849</v>
      </c>
      <c r="H2604" s="7">
        <v>2.0</v>
      </c>
      <c r="I2604" s="15">
        <v>0.800617689116393</v>
      </c>
      <c r="J2604" s="15">
        <v>0.117234289107752</v>
      </c>
      <c r="K2604" s="12">
        <f>AVERAGE(I2602:I2606)</f>
        <v>0.4740479784</v>
      </c>
      <c r="L2604" s="18">
        <v>7442.0</v>
      </c>
      <c r="M2604" s="14">
        <f>STDEV(L2602:L2606)</f>
        <v>23374.79565</v>
      </c>
      <c r="N2604" s="15" t="b">
        <f t="shared" si="1"/>
        <v>0</v>
      </c>
    </row>
    <row r="2605" hidden="1">
      <c r="A2605" s="7" t="s">
        <v>529</v>
      </c>
      <c r="B2605" s="7" t="s">
        <v>519</v>
      </c>
      <c r="C2605" s="7">
        <v>0.1</v>
      </c>
      <c r="D2605" s="7">
        <v>0.25</v>
      </c>
      <c r="E2605" s="7">
        <v>1.0</v>
      </c>
      <c r="F2605" s="7">
        <v>11533.4238538742</v>
      </c>
      <c r="G2605" s="7">
        <v>11717.6867725849</v>
      </c>
      <c r="H2605" s="7">
        <v>3.0</v>
      </c>
      <c r="I2605" s="15">
        <v>0.809660121563693</v>
      </c>
      <c r="J2605" s="15">
        <v>0.115630377554282</v>
      </c>
      <c r="K2605" s="12">
        <f>AVERAGE(I2602:I2606)</f>
        <v>0.4740479784</v>
      </c>
      <c r="L2605" s="18">
        <v>5672.0</v>
      </c>
      <c r="M2605" s="14">
        <f>STDEV(L2602:L2606)</f>
        <v>23374.79565</v>
      </c>
      <c r="N2605" s="15" t="b">
        <f t="shared" si="1"/>
        <v>0</v>
      </c>
    </row>
    <row r="2606" hidden="1">
      <c r="A2606" s="7" t="s">
        <v>529</v>
      </c>
      <c r="B2606" s="7" t="s">
        <v>519</v>
      </c>
      <c r="C2606" s="7">
        <v>0.1</v>
      </c>
      <c r="D2606" s="7">
        <v>0.25</v>
      </c>
      <c r="E2606" s="7">
        <v>1.0</v>
      </c>
      <c r="F2606" s="7">
        <v>11533.4238538742</v>
      </c>
      <c r="G2606" s="7">
        <v>11717.6867725849</v>
      </c>
      <c r="H2606" s="7">
        <v>4.0</v>
      </c>
      <c r="I2606" s="15">
        <v>0.153312836790278</v>
      </c>
      <c r="J2606" s="15">
        <v>0.0863731813196414</v>
      </c>
      <c r="K2606" s="12">
        <f>AVERAGE(I2602:I2606)</f>
        <v>0.4740479784</v>
      </c>
      <c r="L2606" s="18">
        <v>49705.0</v>
      </c>
      <c r="M2606" s="14">
        <f>STDEV(L2602:L2606)</f>
        <v>23374.79565</v>
      </c>
      <c r="N2606" s="15" t="b">
        <f t="shared" si="1"/>
        <v>0</v>
      </c>
    </row>
    <row r="2607" hidden="1">
      <c r="A2607" s="7" t="s">
        <v>530</v>
      </c>
      <c r="B2607" s="7" t="s">
        <v>519</v>
      </c>
      <c r="C2607" s="7">
        <v>0.1</v>
      </c>
      <c r="D2607" s="7">
        <v>0.25</v>
      </c>
      <c r="E2607" s="7">
        <v>2.0</v>
      </c>
      <c r="F2607" s="7">
        <v>10729.9844057559</v>
      </c>
      <c r="G2607" s="7">
        <v>10913.8795673847</v>
      </c>
      <c r="H2607" s="7">
        <v>0.0</v>
      </c>
      <c r="I2607" s="15">
        <v>0.827676066221266</v>
      </c>
      <c r="J2607" s="15">
        <v>0.0903048767103983</v>
      </c>
      <c r="K2607" s="12">
        <f>AVERAGE(I2607:I2611)</f>
        <v>0.3827636334</v>
      </c>
      <c r="L2607" s="18">
        <v>4600.0</v>
      </c>
      <c r="M2607" s="14">
        <f>STDEV(L2607:L2611)</f>
        <v>19858.91328</v>
      </c>
      <c r="N2607" s="15" t="b">
        <f t="shared" si="1"/>
        <v>0</v>
      </c>
    </row>
    <row r="2608" hidden="1">
      <c r="A2608" s="7" t="s">
        <v>530</v>
      </c>
      <c r="B2608" s="7" t="s">
        <v>519</v>
      </c>
      <c r="C2608" s="7">
        <v>0.1</v>
      </c>
      <c r="D2608" s="7">
        <v>0.25</v>
      </c>
      <c r="E2608" s="7">
        <v>2.0</v>
      </c>
      <c r="F2608" s="7">
        <v>10729.9844057559</v>
      </c>
      <c r="G2608" s="7">
        <v>10913.8795673847</v>
      </c>
      <c r="H2608" s="7">
        <v>1.0</v>
      </c>
      <c r="I2608" s="15">
        <v>0.0614307231799626</v>
      </c>
      <c r="J2608" s="15">
        <v>0.051199560273317</v>
      </c>
      <c r="K2608" s="12">
        <f>AVERAGE(I2607:I2611)</f>
        <v>0.3827636334</v>
      </c>
      <c r="L2608" s="18">
        <v>42954.0</v>
      </c>
      <c r="M2608" s="14">
        <f>STDEV(L2607:L2611)</f>
        <v>19858.91328</v>
      </c>
      <c r="N2608" s="15" t="b">
        <f t="shared" si="1"/>
        <v>0</v>
      </c>
    </row>
    <row r="2609" hidden="1">
      <c r="A2609" s="7" t="s">
        <v>530</v>
      </c>
      <c r="B2609" s="7" t="s">
        <v>519</v>
      </c>
      <c r="C2609" s="7">
        <v>0.1</v>
      </c>
      <c r="D2609" s="7">
        <v>0.25</v>
      </c>
      <c r="E2609" s="7">
        <v>2.0</v>
      </c>
      <c r="F2609" s="7">
        <v>10729.9844057559</v>
      </c>
      <c r="G2609" s="7">
        <v>10913.8795673847</v>
      </c>
      <c r="H2609" s="7">
        <v>2.0</v>
      </c>
      <c r="I2609" s="15">
        <v>0.738574532085961</v>
      </c>
      <c r="J2609" s="15">
        <v>0.128273106321168</v>
      </c>
      <c r="K2609" s="12">
        <f>AVERAGE(I2607:I2611)</f>
        <v>0.3827636334</v>
      </c>
      <c r="L2609" s="18">
        <v>9797.0</v>
      </c>
      <c r="M2609" s="14">
        <f>STDEV(L2607:L2611)</f>
        <v>19858.91328</v>
      </c>
      <c r="N2609" s="15" t="b">
        <f t="shared" si="1"/>
        <v>0</v>
      </c>
    </row>
    <row r="2610" hidden="1">
      <c r="A2610" s="7" t="s">
        <v>530</v>
      </c>
      <c r="B2610" s="7" t="s">
        <v>519</v>
      </c>
      <c r="C2610" s="7">
        <v>0.1</v>
      </c>
      <c r="D2610" s="7">
        <v>0.25</v>
      </c>
      <c r="E2610" s="7">
        <v>2.0</v>
      </c>
      <c r="F2610" s="7">
        <v>10729.9844057559</v>
      </c>
      <c r="G2610" s="7">
        <v>10913.8795673847</v>
      </c>
      <c r="H2610" s="7">
        <v>3.0</v>
      </c>
      <c r="I2610" s="15">
        <v>0.0548922571454892</v>
      </c>
      <c r="J2610" s="15">
        <v>0.354581669675968</v>
      </c>
      <c r="K2610" s="12">
        <f>AVERAGE(I2607:I2611)</f>
        <v>0.3827636334</v>
      </c>
      <c r="L2610" s="18">
        <v>36064.0</v>
      </c>
      <c r="M2610" s="14">
        <f>STDEV(L2607:L2611)</f>
        <v>19858.91328</v>
      </c>
      <c r="N2610" s="15" t="b">
        <f t="shared" si="1"/>
        <v>0</v>
      </c>
    </row>
    <row r="2611" hidden="1">
      <c r="A2611" s="7" t="s">
        <v>530</v>
      </c>
      <c r="B2611" s="7" t="s">
        <v>519</v>
      </c>
      <c r="C2611" s="7">
        <v>0.1</v>
      </c>
      <c r="D2611" s="7">
        <v>0.25</v>
      </c>
      <c r="E2611" s="7">
        <v>2.0</v>
      </c>
      <c r="F2611" s="7">
        <v>10729.9844057559</v>
      </c>
      <c r="G2611" s="7">
        <v>10913.8795673847</v>
      </c>
      <c r="H2611" s="7">
        <v>4.0</v>
      </c>
      <c r="I2611" s="15">
        <v>0.231244588243672</v>
      </c>
      <c r="J2611" s="15">
        <v>0.090585163879432</v>
      </c>
      <c r="K2611" s="12">
        <f>AVERAGE(I2607:I2611)</f>
        <v>0.3827636334</v>
      </c>
      <c r="L2611" s="18">
        <v>48261.0</v>
      </c>
      <c r="M2611" s="14">
        <f>STDEV(L2607:L2611)</f>
        <v>19858.91328</v>
      </c>
      <c r="N2611" s="15" t="b">
        <f t="shared" si="1"/>
        <v>0</v>
      </c>
    </row>
    <row r="2612" hidden="1">
      <c r="A2612" s="7" t="s">
        <v>531</v>
      </c>
      <c r="B2612" s="7" t="s">
        <v>519</v>
      </c>
      <c r="C2612" s="7">
        <v>0.1</v>
      </c>
      <c r="D2612" s="7">
        <v>0.25</v>
      </c>
      <c r="E2612" s="7">
        <v>3.0</v>
      </c>
      <c r="F2612" s="7">
        <v>49417.1299626827</v>
      </c>
      <c r="G2612" s="7">
        <v>49607.7118089199</v>
      </c>
      <c r="H2612" s="7">
        <v>0.0</v>
      </c>
      <c r="I2612" s="15">
        <v>0.153483012141092</v>
      </c>
      <c r="J2612" s="15">
        <v>0.185615366842932</v>
      </c>
      <c r="K2612" s="12">
        <f>AVERAGE(I2612:I2616)</f>
        <v>0.4497619939</v>
      </c>
      <c r="L2612" s="18">
        <v>33569.0</v>
      </c>
      <c r="M2612" s="14">
        <f>STDEV(L2612:L2616)</f>
        <v>27634.78067</v>
      </c>
      <c r="N2612" s="15" t="b">
        <f t="shared" si="1"/>
        <v>0</v>
      </c>
    </row>
    <row r="2613" hidden="1">
      <c r="A2613" s="7" t="s">
        <v>531</v>
      </c>
      <c r="B2613" s="7" t="s">
        <v>519</v>
      </c>
      <c r="C2613" s="7">
        <v>0.1</v>
      </c>
      <c r="D2613" s="7">
        <v>0.25</v>
      </c>
      <c r="E2613" s="7">
        <v>3.0</v>
      </c>
      <c r="F2613" s="7">
        <v>49417.1299626827</v>
      </c>
      <c r="G2613" s="7">
        <v>49607.7118089199</v>
      </c>
      <c r="H2613" s="7">
        <v>1.0</v>
      </c>
      <c r="I2613" s="15">
        <v>0.825849796237937</v>
      </c>
      <c r="J2613" s="15">
        <v>0.0929976818873559</v>
      </c>
      <c r="K2613" s="12">
        <f>AVERAGE(I2612:I2616)</f>
        <v>0.4497619939</v>
      </c>
      <c r="L2613" s="18">
        <v>4613.0</v>
      </c>
      <c r="M2613" s="14">
        <f>STDEV(L2612:L2616)</f>
        <v>27634.78067</v>
      </c>
      <c r="N2613" s="15" t="b">
        <f t="shared" si="1"/>
        <v>0</v>
      </c>
    </row>
    <row r="2614" hidden="1">
      <c r="A2614" s="7" t="s">
        <v>531</v>
      </c>
      <c r="B2614" s="7" t="s">
        <v>519</v>
      </c>
      <c r="C2614" s="7">
        <v>0.1</v>
      </c>
      <c r="D2614" s="7">
        <v>0.25</v>
      </c>
      <c r="E2614" s="7">
        <v>3.0</v>
      </c>
      <c r="F2614" s="7">
        <v>49417.1299626827</v>
      </c>
      <c r="G2614" s="7">
        <v>49607.7118089199</v>
      </c>
      <c r="H2614" s="7">
        <v>2.0</v>
      </c>
      <c r="I2614" s="15">
        <v>0.803358810183191</v>
      </c>
      <c r="J2614" s="15">
        <v>0.123452928955336</v>
      </c>
      <c r="K2614" s="12">
        <f>AVERAGE(I2612:I2616)</f>
        <v>0.4497619939</v>
      </c>
      <c r="L2614" s="18">
        <v>5724.0</v>
      </c>
      <c r="M2614" s="14">
        <f>STDEV(L2612:L2616)</f>
        <v>27634.78067</v>
      </c>
      <c r="N2614" s="15" t="b">
        <f t="shared" si="1"/>
        <v>0</v>
      </c>
    </row>
    <row r="2615" hidden="1">
      <c r="A2615" s="7" t="s">
        <v>531</v>
      </c>
      <c r="B2615" s="7" t="s">
        <v>519</v>
      </c>
      <c r="C2615" s="7">
        <v>0.1</v>
      </c>
      <c r="D2615" s="7">
        <v>0.25</v>
      </c>
      <c r="E2615" s="7">
        <v>3.0</v>
      </c>
      <c r="F2615" s="7">
        <v>49417.1299626827</v>
      </c>
      <c r="G2615" s="7">
        <v>49607.7118089199</v>
      </c>
      <c r="H2615" s="7">
        <v>3.0</v>
      </c>
      <c r="I2615" s="15">
        <v>0.0806188451885366</v>
      </c>
      <c r="J2615" s="15">
        <v>0.0777031661496285</v>
      </c>
      <c r="K2615" s="12">
        <f>AVERAGE(I2612:I2616)</f>
        <v>0.4497619939</v>
      </c>
      <c r="L2615" s="18">
        <v>72430.0</v>
      </c>
      <c r="M2615" s="14">
        <f>STDEV(L2612:L2616)</f>
        <v>27634.78067</v>
      </c>
      <c r="N2615" s="15" t="b">
        <f t="shared" si="1"/>
        <v>0</v>
      </c>
    </row>
    <row r="2616" hidden="1">
      <c r="A2616" s="7" t="s">
        <v>531</v>
      </c>
      <c r="B2616" s="7" t="s">
        <v>519</v>
      </c>
      <c r="C2616" s="7">
        <v>0.1</v>
      </c>
      <c r="D2616" s="7">
        <v>0.25</v>
      </c>
      <c r="E2616" s="7">
        <v>3.0</v>
      </c>
      <c r="F2616" s="7">
        <v>49417.1299626827</v>
      </c>
      <c r="G2616" s="7">
        <v>49607.7118089199</v>
      </c>
      <c r="H2616" s="7">
        <v>4.0</v>
      </c>
      <c r="I2616" s="15">
        <v>0.385499505722333</v>
      </c>
      <c r="J2616" s="15">
        <v>0.187716806752807</v>
      </c>
      <c r="K2616" s="12">
        <f>AVERAGE(I2612:I2616)</f>
        <v>0.4497619939</v>
      </c>
      <c r="L2616" s="18">
        <v>25340.0</v>
      </c>
      <c r="M2616" s="14">
        <f>STDEV(L2612:L2616)</f>
        <v>27634.78067</v>
      </c>
      <c r="N2616" s="15" t="b">
        <f t="shared" si="1"/>
        <v>0</v>
      </c>
    </row>
    <row r="2617" hidden="1">
      <c r="A2617" s="7" t="s">
        <v>532</v>
      </c>
      <c r="B2617" s="7" t="s">
        <v>519</v>
      </c>
      <c r="C2617" s="7">
        <v>0.1</v>
      </c>
      <c r="D2617" s="7">
        <v>0.25</v>
      </c>
      <c r="E2617" s="7">
        <v>4.0</v>
      </c>
      <c r="F2617" s="7">
        <v>8586.83189058303</v>
      </c>
      <c r="G2617" s="7">
        <v>8775.81643438339</v>
      </c>
      <c r="H2617" s="7">
        <v>0.0</v>
      </c>
      <c r="I2617" s="15">
        <v>0.0912787416766021</v>
      </c>
      <c r="J2617" s="15">
        <v>0.069944275099627</v>
      </c>
      <c r="K2617" s="12">
        <f>AVERAGE(I2617:I2621)</f>
        <v>0.4934401032</v>
      </c>
      <c r="L2617" s="18">
        <v>86212.0</v>
      </c>
      <c r="M2617" s="14">
        <f>STDEV(L2617:L2621)</f>
        <v>34910.92818</v>
      </c>
      <c r="N2617" s="15" t="b">
        <f t="shared" si="1"/>
        <v>0</v>
      </c>
    </row>
    <row r="2618" hidden="1">
      <c r="A2618" s="7" t="s">
        <v>532</v>
      </c>
      <c r="B2618" s="7" t="s">
        <v>519</v>
      </c>
      <c r="C2618" s="7">
        <v>0.1</v>
      </c>
      <c r="D2618" s="7">
        <v>0.25</v>
      </c>
      <c r="E2618" s="7">
        <v>4.0</v>
      </c>
      <c r="F2618" s="7">
        <v>8586.83189058303</v>
      </c>
      <c r="G2618" s="7">
        <v>8775.81643438339</v>
      </c>
      <c r="H2618" s="7">
        <v>1.0</v>
      </c>
      <c r="I2618" s="15">
        <v>0.671522703968796</v>
      </c>
      <c r="J2618" s="15">
        <v>0.252447585685622</v>
      </c>
      <c r="K2618" s="12">
        <f>AVERAGE(I2617:I2621)</f>
        <v>0.4934401032</v>
      </c>
      <c r="L2618" s="18">
        <v>7529.0</v>
      </c>
      <c r="M2618" s="14">
        <f>STDEV(L2617:L2621)</f>
        <v>34910.92818</v>
      </c>
      <c r="N2618" s="15" t="b">
        <f t="shared" si="1"/>
        <v>0</v>
      </c>
    </row>
    <row r="2619" hidden="1">
      <c r="A2619" s="7" t="s">
        <v>532</v>
      </c>
      <c r="B2619" s="7" t="s">
        <v>519</v>
      </c>
      <c r="C2619" s="7">
        <v>0.1</v>
      </c>
      <c r="D2619" s="7">
        <v>0.25</v>
      </c>
      <c r="E2619" s="7">
        <v>4.0</v>
      </c>
      <c r="F2619" s="7">
        <v>8586.83189058303</v>
      </c>
      <c r="G2619" s="7">
        <v>8775.81643438339</v>
      </c>
      <c r="H2619" s="7">
        <v>2.0</v>
      </c>
      <c r="I2619" s="15">
        <v>0.737511150469391</v>
      </c>
      <c r="J2619" s="15">
        <v>0.128770506504859</v>
      </c>
      <c r="K2619" s="12">
        <f>AVERAGE(I2617:I2621)</f>
        <v>0.4934401032</v>
      </c>
      <c r="L2619" s="18">
        <v>9821.0</v>
      </c>
      <c r="M2619" s="14">
        <f>STDEV(L2617:L2621)</f>
        <v>34910.92818</v>
      </c>
      <c r="N2619" s="15" t="b">
        <f t="shared" si="1"/>
        <v>0</v>
      </c>
    </row>
    <row r="2620" hidden="1">
      <c r="A2620" s="7" t="s">
        <v>532</v>
      </c>
      <c r="B2620" s="7" t="s">
        <v>519</v>
      </c>
      <c r="C2620" s="7">
        <v>0.1</v>
      </c>
      <c r="D2620" s="7">
        <v>0.25</v>
      </c>
      <c r="E2620" s="7">
        <v>4.0</v>
      </c>
      <c r="F2620" s="7">
        <v>8586.83189058303</v>
      </c>
      <c r="G2620" s="7">
        <v>8775.81643438339</v>
      </c>
      <c r="H2620" s="7">
        <v>3.0</v>
      </c>
      <c r="I2620" s="15">
        <v>0.90953851858282</v>
      </c>
      <c r="J2620" s="15">
        <v>0.0459695430564643</v>
      </c>
      <c r="K2620" s="12">
        <f>AVERAGE(I2617:I2621)</f>
        <v>0.4934401032</v>
      </c>
      <c r="L2620" s="18">
        <v>2064.0</v>
      </c>
      <c r="M2620" s="14">
        <f>STDEV(L2617:L2621)</f>
        <v>34910.92818</v>
      </c>
      <c r="N2620" s="15" t="b">
        <f t="shared" si="1"/>
        <v>0</v>
      </c>
    </row>
    <row r="2621" hidden="1">
      <c r="A2621" s="7" t="s">
        <v>532</v>
      </c>
      <c r="B2621" s="7" t="s">
        <v>519</v>
      </c>
      <c r="C2621" s="7">
        <v>0.1</v>
      </c>
      <c r="D2621" s="7">
        <v>0.25</v>
      </c>
      <c r="E2621" s="7">
        <v>4.0</v>
      </c>
      <c r="F2621" s="7">
        <v>8586.83189058303</v>
      </c>
      <c r="G2621" s="7">
        <v>8775.81643438339</v>
      </c>
      <c r="H2621" s="7">
        <v>4.0</v>
      </c>
      <c r="I2621" s="15">
        <v>0.0573494013810899</v>
      </c>
      <c r="J2621" s="15">
        <v>0.354703796178447</v>
      </c>
      <c r="K2621" s="12">
        <f>AVERAGE(I2617:I2621)</f>
        <v>0.4934401032</v>
      </c>
      <c r="L2621" s="18">
        <v>36050.0</v>
      </c>
      <c r="M2621" s="14">
        <f>STDEV(L2617:L2621)</f>
        <v>34910.92818</v>
      </c>
      <c r="N2621" s="15" t="b">
        <f t="shared" si="1"/>
        <v>0</v>
      </c>
    </row>
    <row r="2622" hidden="1">
      <c r="A2622" s="7" t="s">
        <v>533</v>
      </c>
      <c r="B2622" s="7" t="s">
        <v>519</v>
      </c>
      <c r="C2622" s="7">
        <v>0.1</v>
      </c>
      <c r="D2622" s="7">
        <v>0.25</v>
      </c>
      <c r="E2622" s="7">
        <v>5.0</v>
      </c>
      <c r="F2622" s="7">
        <v>3139.81877422332</v>
      </c>
      <c r="G2622" s="7">
        <v>3347.5606637001</v>
      </c>
      <c r="H2622" s="7">
        <v>0.0</v>
      </c>
      <c r="I2622" s="15">
        <v>0.732510280831581</v>
      </c>
      <c r="J2622" s="15">
        <v>0.190371332067396</v>
      </c>
      <c r="K2622" s="12">
        <f>AVERAGE(I2622:I2626)</f>
        <v>0.5905302114</v>
      </c>
      <c r="L2622" s="18">
        <v>19533.0</v>
      </c>
      <c r="M2622" s="14">
        <f>STDEV(L2622:L2626)</f>
        <v>41470.81432</v>
      </c>
      <c r="N2622" s="15" t="b">
        <f t="shared" si="1"/>
        <v>0</v>
      </c>
    </row>
    <row r="2623" hidden="1">
      <c r="A2623" s="7" t="s">
        <v>533</v>
      </c>
      <c r="B2623" s="7" t="s">
        <v>519</v>
      </c>
      <c r="C2623" s="7">
        <v>0.1</v>
      </c>
      <c r="D2623" s="7">
        <v>0.25</v>
      </c>
      <c r="E2623" s="7">
        <v>5.0</v>
      </c>
      <c r="F2623" s="7">
        <v>3139.81877422332</v>
      </c>
      <c r="G2623" s="7">
        <v>3347.5606637001</v>
      </c>
      <c r="H2623" s="7">
        <v>1.0</v>
      </c>
      <c r="I2623" s="15">
        <v>0.00988762070948179</v>
      </c>
      <c r="J2623" s="15">
        <v>0.206216443911016</v>
      </c>
      <c r="K2623" s="12">
        <f>AVERAGE(I2622:I2626)</f>
        <v>0.5905302114</v>
      </c>
      <c r="L2623" s="18">
        <v>101800.0</v>
      </c>
      <c r="M2623" s="14">
        <f>STDEV(L2622:L2626)</f>
        <v>41470.81432</v>
      </c>
      <c r="N2623" s="15" t="b">
        <f t="shared" si="1"/>
        <v>0</v>
      </c>
    </row>
    <row r="2624" hidden="1">
      <c r="A2624" s="7" t="s">
        <v>533</v>
      </c>
      <c r="B2624" s="7" t="s">
        <v>519</v>
      </c>
      <c r="C2624" s="7">
        <v>0.1</v>
      </c>
      <c r="D2624" s="7">
        <v>0.25</v>
      </c>
      <c r="E2624" s="7">
        <v>5.0</v>
      </c>
      <c r="F2624" s="7">
        <v>3139.81877422332</v>
      </c>
      <c r="G2624" s="7">
        <v>3347.5606637001</v>
      </c>
      <c r="H2624" s="7">
        <v>2.0</v>
      </c>
      <c r="I2624" s="15">
        <v>0.669444213272632</v>
      </c>
      <c r="J2624" s="15">
        <v>0.181846192030137</v>
      </c>
      <c r="K2624" s="12">
        <f>AVERAGE(I2622:I2626)</f>
        <v>0.5905302114</v>
      </c>
      <c r="L2624" s="18">
        <v>8709.0</v>
      </c>
      <c r="M2624" s="14">
        <f>STDEV(L2622:L2626)</f>
        <v>41470.81432</v>
      </c>
      <c r="N2624" s="15" t="b">
        <f t="shared" si="1"/>
        <v>0</v>
      </c>
    </row>
    <row r="2625" hidden="1">
      <c r="A2625" s="7" t="s">
        <v>533</v>
      </c>
      <c r="B2625" s="7" t="s">
        <v>519</v>
      </c>
      <c r="C2625" s="7">
        <v>0.1</v>
      </c>
      <c r="D2625" s="7">
        <v>0.25</v>
      </c>
      <c r="E2625" s="7">
        <v>5.0</v>
      </c>
      <c r="F2625" s="7">
        <v>3139.81877422332</v>
      </c>
      <c r="G2625" s="7">
        <v>3347.5606637001</v>
      </c>
      <c r="H2625" s="7">
        <v>3.0</v>
      </c>
      <c r="I2625" s="15">
        <v>0.742175295524001</v>
      </c>
      <c r="J2625" s="15">
        <v>0.139423954646207</v>
      </c>
      <c r="K2625" s="12">
        <f>AVERAGE(I2622:I2626)</f>
        <v>0.5905302114</v>
      </c>
      <c r="L2625" s="18">
        <v>4169.0</v>
      </c>
      <c r="M2625" s="14">
        <f>STDEV(L2622:L2626)</f>
        <v>41470.81432</v>
      </c>
      <c r="N2625" s="15" t="b">
        <f t="shared" si="1"/>
        <v>0</v>
      </c>
    </row>
    <row r="2626" hidden="1">
      <c r="A2626" s="7" t="s">
        <v>533</v>
      </c>
      <c r="B2626" s="7" t="s">
        <v>519</v>
      </c>
      <c r="C2626" s="7">
        <v>0.1</v>
      </c>
      <c r="D2626" s="7">
        <v>0.25</v>
      </c>
      <c r="E2626" s="7">
        <v>5.0</v>
      </c>
      <c r="F2626" s="7">
        <v>3139.81877422332</v>
      </c>
      <c r="G2626" s="7">
        <v>3347.5606637001</v>
      </c>
      <c r="H2626" s="7">
        <v>4.0</v>
      </c>
      <c r="I2626" s="15">
        <v>0.798633646777389</v>
      </c>
      <c r="J2626" s="15">
        <v>0.118929117349709</v>
      </c>
      <c r="K2626" s="12">
        <f>AVERAGE(I2622:I2626)</f>
        <v>0.5905302114</v>
      </c>
      <c r="L2626" s="18">
        <v>7465.0</v>
      </c>
      <c r="M2626" s="14">
        <f>STDEV(L2622:L2626)</f>
        <v>41470.81432</v>
      </c>
      <c r="N2626" s="15" t="b">
        <f t="shared" si="1"/>
        <v>0</v>
      </c>
    </row>
    <row r="2627" hidden="1">
      <c r="A2627" s="7" t="s">
        <v>534</v>
      </c>
      <c r="B2627" s="7" t="s">
        <v>519</v>
      </c>
      <c r="C2627" s="7">
        <v>0.1</v>
      </c>
      <c r="D2627" s="7">
        <v>0.25</v>
      </c>
      <c r="E2627" s="7">
        <v>6.0</v>
      </c>
      <c r="F2627" s="7">
        <v>4748.32486367225</v>
      </c>
      <c r="G2627" s="7">
        <v>4930.15555667877</v>
      </c>
      <c r="H2627" s="7">
        <v>0.0</v>
      </c>
      <c r="I2627" s="15">
        <v>0.759100595557589</v>
      </c>
      <c r="J2627" s="15">
        <v>0.138121661504262</v>
      </c>
      <c r="K2627" s="12">
        <f>AVERAGE(I2627:I2631)</f>
        <v>0.5273838588</v>
      </c>
      <c r="L2627" s="18">
        <v>16023.0</v>
      </c>
      <c r="M2627" s="14">
        <f>STDEV(L2627:L2631)</f>
        <v>43756.22231</v>
      </c>
      <c r="N2627" s="15" t="b">
        <f t="shared" si="1"/>
        <v>0</v>
      </c>
    </row>
    <row r="2628" hidden="1">
      <c r="A2628" s="7" t="s">
        <v>534</v>
      </c>
      <c r="B2628" s="7" t="s">
        <v>519</v>
      </c>
      <c r="C2628" s="7">
        <v>0.1</v>
      </c>
      <c r="D2628" s="7">
        <v>0.25</v>
      </c>
      <c r="E2628" s="7">
        <v>6.0</v>
      </c>
      <c r="F2628" s="7">
        <v>4748.32486367225</v>
      </c>
      <c r="G2628" s="7">
        <v>4930.15555667877</v>
      </c>
      <c r="H2628" s="7">
        <v>1.0</v>
      </c>
      <c r="I2628" s="15">
        <v>0.419585814220266</v>
      </c>
      <c r="J2628" s="15">
        <v>0.212279725948392</v>
      </c>
      <c r="K2628" s="12">
        <f>AVERAGE(I2627:I2631)</f>
        <v>0.5273838588</v>
      </c>
      <c r="L2628" s="18">
        <v>10611.0</v>
      </c>
      <c r="M2628" s="14">
        <f>STDEV(L2627:L2631)</f>
        <v>43756.22231</v>
      </c>
      <c r="N2628" s="15" t="b">
        <f t="shared" si="1"/>
        <v>0</v>
      </c>
    </row>
    <row r="2629" hidden="1">
      <c r="A2629" s="7" t="s">
        <v>534</v>
      </c>
      <c r="B2629" s="7" t="s">
        <v>519</v>
      </c>
      <c r="C2629" s="7">
        <v>0.1</v>
      </c>
      <c r="D2629" s="7">
        <v>0.25</v>
      </c>
      <c r="E2629" s="7">
        <v>6.0</v>
      </c>
      <c r="F2629" s="7">
        <v>4748.32486367225</v>
      </c>
      <c r="G2629" s="7">
        <v>4930.15555667877</v>
      </c>
      <c r="H2629" s="7">
        <v>2.0</v>
      </c>
      <c r="I2629" s="15">
        <v>0.0464229481409315</v>
      </c>
      <c r="J2629" s="15">
        <v>0.121157934987945</v>
      </c>
      <c r="K2629" s="12">
        <f>AVERAGE(I2627:I2631)</f>
        <v>0.5273838588</v>
      </c>
      <c r="L2629" s="18">
        <v>106130.0</v>
      </c>
      <c r="M2629" s="14">
        <f>STDEV(L2627:L2631)</f>
        <v>43756.22231</v>
      </c>
      <c r="N2629" s="15" t="b">
        <f t="shared" si="1"/>
        <v>0</v>
      </c>
    </row>
    <row r="2630" hidden="1">
      <c r="A2630" s="7" t="s">
        <v>534</v>
      </c>
      <c r="B2630" s="7" t="s">
        <v>519</v>
      </c>
      <c r="C2630" s="7">
        <v>0.1</v>
      </c>
      <c r="D2630" s="7">
        <v>0.25</v>
      </c>
      <c r="E2630" s="7">
        <v>6.0</v>
      </c>
      <c r="F2630" s="7">
        <v>4748.32486367225</v>
      </c>
      <c r="G2630" s="7">
        <v>4930.15555667877</v>
      </c>
      <c r="H2630" s="7">
        <v>3.0</v>
      </c>
      <c r="I2630" s="15">
        <v>0.811196834474373</v>
      </c>
      <c r="J2630" s="15">
        <v>0.076724294550023</v>
      </c>
      <c r="K2630" s="12">
        <f>AVERAGE(I2627:I2631)</f>
        <v>0.5273838588</v>
      </c>
      <c r="L2630" s="18">
        <v>4119.0</v>
      </c>
      <c r="M2630" s="14">
        <f>STDEV(L2627:L2631)</f>
        <v>43756.22231</v>
      </c>
      <c r="N2630" s="15" t="b">
        <f t="shared" si="1"/>
        <v>0</v>
      </c>
    </row>
    <row r="2631" hidden="1">
      <c r="A2631" s="7" t="s">
        <v>534</v>
      </c>
      <c r="B2631" s="7" t="s">
        <v>519</v>
      </c>
      <c r="C2631" s="7">
        <v>0.1</v>
      </c>
      <c r="D2631" s="7">
        <v>0.25</v>
      </c>
      <c r="E2631" s="7">
        <v>6.0</v>
      </c>
      <c r="F2631" s="7">
        <v>4748.32486367225</v>
      </c>
      <c r="G2631" s="7">
        <v>4930.15555667877</v>
      </c>
      <c r="H2631" s="7">
        <v>4.0</v>
      </c>
      <c r="I2631" s="15">
        <v>0.600613101595287</v>
      </c>
      <c r="J2631" s="15">
        <v>0.224942707227677</v>
      </c>
      <c r="K2631" s="12">
        <f>AVERAGE(I2627:I2631)</f>
        <v>0.5273838588</v>
      </c>
      <c r="L2631" s="18">
        <v>4793.0</v>
      </c>
      <c r="M2631" s="14">
        <f>STDEV(L2627:L2631)</f>
        <v>43756.22231</v>
      </c>
      <c r="N2631" s="15" t="b">
        <f t="shared" si="1"/>
        <v>0</v>
      </c>
    </row>
    <row r="2632" hidden="1">
      <c r="A2632" s="7" t="s">
        <v>535</v>
      </c>
      <c r="B2632" s="7" t="s">
        <v>519</v>
      </c>
      <c r="C2632" s="7">
        <v>0.1</v>
      </c>
      <c r="D2632" s="7">
        <v>0.25</v>
      </c>
      <c r="E2632" s="7">
        <v>7.0</v>
      </c>
      <c r="F2632" s="7">
        <v>22204.9486317634</v>
      </c>
      <c r="G2632" s="7">
        <v>22381.2093293666</v>
      </c>
      <c r="H2632" s="7">
        <v>0.0</v>
      </c>
      <c r="I2632" s="15">
        <v>0.183204924467043</v>
      </c>
      <c r="J2632" s="15">
        <v>0.0509901327626197</v>
      </c>
      <c r="K2632" s="12">
        <f>AVERAGE(I2632:I2636)</f>
        <v>0.5029868125</v>
      </c>
      <c r="L2632" s="18">
        <v>30146.0</v>
      </c>
      <c r="M2632" s="14">
        <f>STDEV(L2632:L2636)</f>
        <v>23925.00363</v>
      </c>
      <c r="N2632" s="15" t="b">
        <f t="shared" si="1"/>
        <v>0</v>
      </c>
    </row>
    <row r="2633" hidden="1">
      <c r="A2633" s="7" t="s">
        <v>535</v>
      </c>
      <c r="B2633" s="7" t="s">
        <v>519</v>
      </c>
      <c r="C2633" s="7">
        <v>0.1</v>
      </c>
      <c r="D2633" s="7">
        <v>0.25</v>
      </c>
      <c r="E2633" s="7">
        <v>7.0</v>
      </c>
      <c r="F2633" s="7">
        <v>22204.9486317634</v>
      </c>
      <c r="G2633" s="7">
        <v>22381.2093293666</v>
      </c>
      <c r="H2633" s="7">
        <v>1.0</v>
      </c>
      <c r="I2633" s="15">
        <v>0.799622596593711</v>
      </c>
      <c r="J2633" s="15">
        <v>0.117966006594582</v>
      </c>
      <c r="K2633" s="12">
        <f>AVERAGE(I2632:I2636)</f>
        <v>0.5029868125</v>
      </c>
      <c r="L2633" s="18">
        <v>7442.0</v>
      </c>
      <c r="M2633" s="14">
        <f>STDEV(L2632:L2636)</f>
        <v>23925.00363</v>
      </c>
      <c r="N2633" s="15" t="b">
        <f t="shared" si="1"/>
        <v>0</v>
      </c>
    </row>
    <row r="2634" hidden="1">
      <c r="A2634" s="7" t="s">
        <v>535</v>
      </c>
      <c r="B2634" s="7" t="s">
        <v>519</v>
      </c>
      <c r="C2634" s="7">
        <v>0.1</v>
      </c>
      <c r="D2634" s="7">
        <v>0.25</v>
      </c>
      <c r="E2634" s="7">
        <v>7.0</v>
      </c>
      <c r="F2634" s="7">
        <v>22204.9486317634</v>
      </c>
      <c r="G2634" s="7">
        <v>22381.2093293666</v>
      </c>
      <c r="H2634" s="7">
        <v>2.0</v>
      </c>
      <c r="I2634" s="15">
        <v>0.75988992421151</v>
      </c>
      <c r="J2634" s="15">
        <v>0.135097139982741</v>
      </c>
      <c r="K2634" s="12">
        <f>AVERAGE(I2632:I2636)</f>
        <v>0.5029868125</v>
      </c>
      <c r="L2634" s="18">
        <v>15945.0</v>
      </c>
      <c r="M2634" s="14">
        <f>STDEV(L2632:L2636)</f>
        <v>23925.00363</v>
      </c>
      <c r="N2634" s="15" t="b">
        <f t="shared" si="1"/>
        <v>0</v>
      </c>
    </row>
    <row r="2635" hidden="1">
      <c r="A2635" s="7" t="s">
        <v>535</v>
      </c>
      <c r="B2635" s="7" t="s">
        <v>519</v>
      </c>
      <c r="C2635" s="7">
        <v>0.1</v>
      </c>
      <c r="D2635" s="7">
        <v>0.25</v>
      </c>
      <c r="E2635" s="7">
        <v>7.0</v>
      </c>
      <c r="F2635" s="7">
        <v>22204.9486317634</v>
      </c>
      <c r="G2635" s="7">
        <v>22381.2093293666</v>
      </c>
      <c r="H2635" s="7">
        <v>3.0</v>
      </c>
      <c r="I2635" s="15">
        <v>0.736240237655867</v>
      </c>
      <c r="J2635" s="15">
        <v>0.17024326957684</v>
      </c>
      <c r="K2635" s="12">
        <f>AVERAGE(I2632:I2636)</f>
        <v>0.5029868125</v>
      </c>
      <c r="L2635" s="18">
        <v>19566.0</v>
      </c>
      <c r="M2635" s="14">
        <f>STDEV(L2632:L2636)</f>
        <v>23925.00363</v>
      </c>
      <c r="N2635" s="15" t="b">
        <f t="shared" si="1"/>
        <v>0</v>
      </c>
    </row>
    <row r="2636" hidden="1">
      <c r="A2636" s="7" t="s">
        <v>535</v>
      </c>
      <c r="B2636" s="7" t="s">
        <v>519</v>
      </c>
      <c r="C2636" s="7">
        <v>0.1</v>
      </c>
      <c r="D2636" s="7">
        <v>0.25</v>
      </c>
      <c r="E2636" s="7">
        <v>7.0</v>
      </c>
      <c r="F2636" s="7">
        <v>22204.9486317634</v>
      </c>
      <c r="G2636" s="7">
        <v>22381.2093293666</v>
      </c>
      <c r="H2636" s="7">
        <v>4.0</v>
      </c>
      <c r="I2636" s="15">
        <v>0.0359763793451106</v>
      </c>
      <c r="J2636" s="15">
        <v>0.0916228885770185</v>
      </c>
      <c r="K2636" s="12">
        <f>AVERAGE(I2632:I2636)</f>
        <v>0.5029868125</v>
      </c>
      <c r="L2636" s="18">
        <v>68577.0</v>
      </c>
      <c r="M2636" s="14">
        <f>STDEV(L2632:L2636)</f>
        <v>23925.00363</v>
      </c>
      <c r="N2636" s="15" t="b">
        <f t="shared" si="1"/>
        <v>0</v>
      </c>
    </row>
    <row r="2637" hidden="1">
      <c r="A2637" s="7" t="s">
        <v>536</v>
      </c>
      <c r="B2637" s="7" t="s">
        <v>519</v>
      </c>
      <c r="C2637" s="7">
        <v>0.1</v>
      </c>
      <c r="D2637" s="7">
        <v>0.25</v>
      </c>
      <c r="E2637" s="7">
        <v>8.0</v>
      </c>
      <c r="F2637" s="7">
        <v>8625.41915011406</v>
      </c>
      <c r="G2637" s="7">
        <v>8810.30550479889</v>
      </c>
      <c r="H2637" s="7">
        <v>0.0</v>
      </c>
      <c r="I2637" s="15">
        <v>0.816431354704544</v>
      </c>
      <c r="J2637" s="15">
        <v>0.104169701988293</v>
      </c>
      <c r="K2637" s="12">
        <f>AVERAGE(I2637:I2641)</f>
        <v>0.541106532</v>
      </c>
      <c r="L2637" s="18">
        <v>6648.0</v>
      </c>
      <c r="M2637" s="14">
        <f>STDEV(L2637:L2641)</f>
        <v>38317.97199</v>
      </c>
      <c r="N2637" s="15" t="b">
        <f t="shared" si="1"/>
        <v>0</v>
      </c>
    </row>
    <row r="2638" hidden="1">
      <c r="A2638" s="7" t="s">
        <v>536</v>
      </c>
      <c r="B2638" s="7" t="s">
        <v>519</v>
      </c>
      <c r="C2638" s="7">
        <v>0.1</v>
      </c>
      <c r="D2638" s="7">
        <v>0.25</v>
      </c>
      <c r="E2638" s="7">
        <v>8.0</v>
      </c>
      <c r="F2638" s="7">
        <v>8625.41915011406</v>
      </c>
      <c r="G2638" s="7">
        <v>8810.30550479889</v>
      </c>
      <c r="H2638" s="7">
        <v>1.0</v>
      </c>
      <c r="I2638" s="15">
        <v>0.811581351952554</v>
      </c>
      <c r="J2638" s="15">
        <v>0.0759711232870285</v>
      </c>
      <c r="K2638" s="12">
        <f>AVERAGE(I2637:I2641)</f>
        <v>0.541106532</v>
      </c>
      <c r="L2638" s="18">
        <v>4119.0</v>
      </c>
      <c r="M2638" s="14">
        <f>STDEV(L2637:L2641)</f>
        <v>38317.97199</v>
      </c>
      <c r="N2638" s="15" t="b">
        <f t="shared" si="1"/>
        <v>0</v>
      </c>
    </row>
    <row r="2639" hidden="1">
      <c r="A2639" s="7" t="s">
        <v>536</v>
      </c>
      <c r="B2639" s="7" t="s">
        <v>519</v>
      </c>
      <c r="C2639" s="7">
        <v>0.1</v>
      </c>
      <c r="D2639" s="7">
        <v>0.25</v>
      </c>
      <c r="E2639" s="7">
        <v>8.0</v>
      </c>
      <c r="F2639" s="7">
        <v>8625.41915011406</v>
      </c>
      <c r="G2639" s="7">
        <v>8810.30550479889</v>
      </c>
      <c r="H2639" s="7">
        <v>2.0</v>
      </c>
      <c r="I2639" s="15">
        <v>0.711824256330397</v>
      </c>
      <c r="J2639" s="15">
        <v>0.188858880251969</v>
      </c>
      <c r="K2639" s="12">
        <f>AVERAGE(I2637:I2641)</f>
        <v>0.541106532</v>
      </c>
      <c r="L2639" s="18">
        <v>16866.0</v>
      </c>
      <c r="M2639" s="14">
        <f>STDEV(L2637:L2641)</f>
        <v>38317.97199</v>
      </c>
      <c r="N2639" s="15" t="b">
        <f t="shared" si="1"/>
        <v>0</v>
      </c>
    </row>
    <row r="2640" hidden="1">
      <c r="A2640" s="7" t="s">
        <v>536</v>
      </c>
      <c r="B2640" s="7" t="s">
        <v>519</v>
      </c>
      <c r="C2640" s="7">
        <v>0.1</v>
      </c>
      <c r="D2640" s="7">
        <v>0.25</v>
      </c>
      <c r="E2640" s="7">
        <v>8.0</v>
      </c>
      <c r="F2640" s="7">
        <v>8625.41915011406</v>
      </c>
      <c r="G2640" s="7">
        <v>8810.30550479889</v>
      </c>
      <c r="H2640" s="7">
        <v>3.0</v>
      </c>
      <c r="I2640" s="15">
        <v>0.347174794238041</v>
      </c>
      <c r="J2640" s="15">
        <v>0.0877415653789025</v>
      </c>
      <c r="K2640" s="12">
        <f>AVERAGE(I2637:I2641)</f>
        <v>0.541106532</v>
      </c>
      <c r="L2640" s="18">
        <v>18041.0</v>
      </c>
      <c r="M2640" s="14">
        <f>STDEV(L2637:L2641)</f>
        <v>38317.97199</v>
      </c>
      <c r="N2640" s="15" t="b">
        <f t="shared" si="1"/>
        <v>0</v>
      </c>
    </row>
    <row r="2641" hidden="1">
      <c r="A2641" s="7" t="s">
        <v>536</v>
      </c>
      <c r="B2641" s="7" t="s">
        <v>519</v>
      </c>
      <c r="C2641" s="7">
        <v>0.1</v>
      </c>
      <c r="D2641" s="7">
        <v>0.25</v>
      </c>
      <c r="E2641" s="7">
        <v>8.0</v>
      </c>
      <c r="F2641" s="7">
        <v>8625.41915011406</v>
      </c>
      <c r="G2641" s="7">
        <v>8810.30550479889</v>
      </c>
      <c r="H2641" s="7">
        <v>4.0</v>
      </c>
      <c r="I2641" s="15">
        <v>0.018520902993774</v>
      </c>
      <c r="J2641" s="15">
        <v>0.137447374343162</v>
      </c>
      <c r="K2641" s="12">
        <f>AVERAGE(I2637:I2641)</f>
        <v>0.541106532</v>
      </c>
      <c r="L2641" s="18">
        <v>96002.0</v>
      </c>
      <c r="M2641" s="14">
        <f>STDEV(L2637:L2641)</f>
        <v>38317.97199</v>
      </c>
      <c r="N2641" s="15" t="b">
        <f t="shared" si="1"/>
        <v>0</v>
      </c>
    </row>
    <row r="2642" hidden="1">
      <c r="A2642" s="7" t="s">
        <v>537</v>
      </c>
      <c r="B2642" s="7" t="s">
        <v>519</v>
      </c>
      <c r="C2642" s="7">
        <v>0.1</v>
      </c>
      <c r="D2642" s="7">
        <v>0.25</v>
      </c>
      <c r="E2642" s="7">
        <v>9.0</v>
      </c>
      <c r="F2642" s="7">
        <v>5824.43328475952</v>
      </c>
      <c r="G2642" s="7">
        <v>6012.67983436584</v>
      </c>
      <c r="H2642" s="7">
        <v>0.0</v>
      </c>
      <c r="I2642" s="15">
        <v>0.13673912118842</v>
      </c>
      <c r="J2642" s="15">
        <v>0.0836127241490048</v>
      </c>
      <c r="K2642" s="12">
        <f>AVERAGE(I2642:I2646)</f>
        <v>0.5226853363</v>
      </c>
      <c r="L2642" s="18">
        <v>51564.0</v>
      </c>
      <c r="M2642" s="14">
        <f>STDEV(L2642:L2646)</f>
        <v>25662.28512</v>
      </c>
      <c r="N2642" s="15" t="b">
        <f t="shared" si="1"/>
        <v>0</v>
      </c>
    </row>
    <row r="2643" hidden="1">
      <c r="A2643" s="7" t="s">
        <v>537</v>
      </c>
      <c r="B2643" s="7" t="s">
        <v>519</v>
      </c>
      <c r="C2643" s="7">
        <v>0.1</v>
      </c>
      <c r="D2643" s="7">
        <v>0.25</v>
      </c>
      <c r="E2643" s="7">
        <v>9.0</v>
      </c>
      <c r="F2643" s="7">
        <v>5824.43328475952</v>
      </c>
      <c r="G2643" s="7">
        <v>6012.67983436584</v>
      </c>
      <c r="H2643" s="7">
        <v>1.0</v>
      </c>
      <c r="I2643" s="15">
        <v>0.124220167406921</v>
      </c>
      <c r="J2643" s="15">
        <v>0.0957601944545645</v>
      </c>
      <c r="K2643" s="12">
        <f>AVERAGE(I2642:I2646)</f>
        <v>0.5226853363</v>
      </c>
      <c r="L2643" s="18">
        <v>60156.0</v>
      </c>
      <c r="M2643" s="14">
        <f>STDEV(L2642:L2646)</f>
        <v>25662.28512</v>
      </c>
      <c r="N2643" s="15" t="b">
        <f t="shared" si="1"/>
        <v>0</v>
      </c>
    </row>
    <row r="2644" hidden="1">
      <c r="A2644" s="7" t="s">
        <v>537</v>
      </c>
      <c r="B2644" s="7" t="s">
        <v>519</v>
      </c>
      <c r="C2644" s="7">
        <v>0.1</v>
      </c>
      <c r="D2644" s="7">
        <v>0.25</v>
      </c>
      <c r="E2644" s="7">
        <v>9.0</v>
      </c>
      <c r="F2644" s="7">
        <v>5824.43328475952</v>
      </c>
      <c r="G2644" s="7">
        <v>6012.67983436584</v>
      </c>
      <c r="H2644" s="7">
        <v>2.0</v>
      </c>
      <c r="I2644" s="15">
        <v>0.71443452704912</v>
      </c>
      <c r="J2644" s="15">
        <v>0.184478494152296</v>
      </c>
      <c r="K2644" s="12">
        <f>AVERAGE(I2642:I2646)</f>
        <v>0.5226853363</v>
      </c>
      <c r="L2644" s="18">
        <v>16833.0</v>
      </c>
      <c r="M2644" s="14">
        <f>STDEV(L2642:L2646)</f>
        <v>25662.28512</v>
      </c>
      <c r="N2644" s="15" t="b">
        <f t="shared" si="1"/>
        <v>0</v>
      </c>
    </row>
    <row r="2645" hidden="1">
      <c r="A2645" s="7" t="s">
        <v>537</v>
      </c>
      <c r="B2645" s="7" t="s">
        <v>519</v>
      </c>
      <c r="C2645" s="7">
        <v>0.1</v>
      </c>
      <c r="D2645" s="7">
        <v>0.25</v>
      </c>
      <c r="E2645" s="7">
        <v>9.0</v>
      </c>
      <c r="F2645" s="7">
        <v>5824.43328475952</v>
      </c>
      <c r="G2645" s="7">
        <v>6012.67983436584</v>
      </c>
      <c r="H2645" s="7">
        <v>3.0</v>
      </c>
      <c r="I2645" s="15">
        <v>0.809649762714852</v>
      </c>
      <c r="J2645" s="15">
        <v>0.114675627887701</v>
      </c>
      <c r="K2645" s="12">
        <f>AVERAGE(I2642:I2646)</f>
        <v>0.5226853363</v>
      </c>
      <c r="L2645" s="18">
        <v>5672.0</v>
      </c>
      <c r="M2645" s="14">
        <f>STDEV(L2642:L2646)</f>
        <v>25662.28512</v>
      </c>
      <c r="N2645" s="15" t="b">
        <f t="shared" si="1"/>
        <v>0</v>
      </c>
    </row>
    <row r="2646" hidden="1">
      <c r="A2646" s="7" t="s">
        <v>537</v>
      </c>
      <c r="B2646" s="7" t="s">
        <v>519</v>
      </c>
      <c r="C2646" s="7">
        <v>0.1</v>
      </c>
      <c r="D2646" s="7">
        <v>0.25</v>
      </c>
      <c r="E2646" s="7">
        <v>9.0</v>
      </c>
      <c r="F2646" s="7">
        <v>5824.43328475952</v>
      </c>
      <c r="G2646" s="7">
        <v>6012.67983436584</v>
      </c>
      <c r="H2646" s="7">
        <v>4.0</v>
      </c>
      <c r="I2646" s="15">
        <v>0.82838310325041</v>
      </c>
      <c r="J2646" s="15">
        <v>0.0980869013191372</v>
      </c>
      <c r="K2646" s="12">
        <f>AVERAGE(I2642:I2646)</f>
        <v>0.5226853363</v>
      </c>
      <c r="L2646" s="18">
        <v>7451.0</v>
      </c>
      <c r="M2646" s="14">
        <f>STDEV(L2642:L2646)</f>
        <v>25662.28512</v>
      </c>
      <c r="N2646" s="15" t="b">
        <f t="shared" si="1"/>
        <v>0</v>
      </c>
    </row>
    <row r="2647" hidden="1">
      <c r="A2647" s="7" t="s">
        <v>538</v>
      </c>
      <c r="B2647" s="7" t="s">
        <v>519</v>
      </c>
      <c r="C2647" s="7">
        <v>0.1</v>
      </c>
      <c r="D2647" s="7">
        <v>0.25</v>
      </c>
      <c r="E2647" s="7">
        <v>10.0</v>
      </c>
      <c r="F2647" s="7">
        <v>9595.03579449653</v>
      </c>
      <c r="G2647" s="7">
        <v>9750.61502122879</v>
      </c>
      <c r="H2647" s="7">
        <v>0.0</v>
      </c>
      <c r="I2647" s="15">
        <v>0.0588527753167347</v>
      </c>
      <c r="J2647" s="15">
        <v>0.0448823242460955</v>
      </c>
      <c r="K2647" s="12">
        <f>AVERAGE(I2647:I2651)</f>
        <v>0.4463685792</v>
      </c>
      <c r="L2647" s="18">
        <v>90227.0</v>
      </c>
      <c r="M2647" s="14">
        <f>STDEV(L2647:L2651)</f>
        <v>36798.29352</v>
      </c>
      <c r="N2647" s="15" t="b">
        <f t="shared" si="1"/>
        <v>0</v>
      </c>
    </row>
    <row r="2648" hidden="1">
      <c r="A2648" s="7" t="s">
        <v>538</v>
      </c>
      <c r="B2648" s="7" t="s">
        <v>519</v>
      </c>
      <c r="C2648" s="7">
        <v>0.1</v>
      </c>
      <c r="D2648" s="7">
        <v>0.25</v>
      </c>
      <c r="E2648" s="7">
        <v>10.0</v>
      </c>
      <c r="F2648" s="7">
        <v>9595.03579449653</v>
      </c>
      <c r="G2648" s="7">
        <v>9750.61502122879</v>
      </c>
      <c r="H2648" s="7">
        <v>1.0</v>
      </c>
      <c r="I2648" s="15">
        <v>0.39279482295251</v>
      </c>
      <c r="J2648" s="15">
        <v>0.0755744526094506</v>
      </c>
      <c r="K2648" s="12">
        <f>AVERAGE(I2647:I2651)</f>
        <v>0.4463685792</v>
      </c>
      <c r="L2648" s="18">
        <v>34457.0</v>
      </c>
      <c r="M2648" s="14">
        <f>STDEV(L2647:L2651)</f>
        <v>36798.29352</v>
      </c>
      <c r="N2648" s="15" t="b">
        <f t="shared" si="1"/>
        <v>0</v>
      </c>
    </row>
    <row r="2649" hidden="1">
      <c r="A2649" s="7" t="s">
        <v>538</v>
      </c>
      <c r="B2649" s="7" t="s">
        <v>519</v>
      </c>
      <c r="C2649" s="7">
        <v>0.1</v>
      </c>
      <c r="D2649" s="7">
        <v>0.25</v>
      </c>
      <c r="E2649" s="7">
        <v>10.0</v>
      </c>
      <c r="F2649" s="7">
        <v>9595.03579449653</v>
      </c>
      <c r="G2649" s="7">
        <v>9750.61502122879</v>
      </c>
      <c r="H2649" s="7">
        <v>2.0</v>
      </c>
      <c r="I2649" s="15">
        <v>0.25150807804804</v>
      </c>
      <c r="J2649" s="15">
        <v>0.0987586428512008</v>
      </c>
      <c r="K2649" s="12">
        <f>AVERAGE(I2647:I2651)</f>
        <v>0.4463685792</v>
      </c>
      <c r="L2649" s="18">
        <v>5760.0</v>
      </c>
      <c r="M2649" s="14">
        <f>STDEV(L2647:L2651)</f>
        <v>36798.29352</v>
      </c>
      <c r="N2649" s="15" t="b">
        <f t="shared" si="1"/>
        <v>0</v>
      </c>
    </row>
    <row r="2650" hidden="1">
      <c r="A2650" s="7" t="s">
        <v>538</v>
      </c>
      <c r="B2650" s="7" t="s">
        <v>519</v>
      </c>
      <c r="C2650" s="7">
        <v>0.1</v>
      </c>
      <c r="D2650" s="7">
        <v>0.25</v>
      </c>
      <c r="E2650" s="7">
        <v>10.0</v>
      </c>
      <c r="F2650" s="7">
        <v>9595.03579449653</v>
      </c>
      <c r="G2650" s="7">
        <v>9750.61502122879</v>
      </c>
      <c r="H2650" s="7">
        <v>3.0</v>
      </c>
      <c r="I2650" s="15">
        <v>0.733067073376798</v>
      </c>
      <c r="J2650" s="15">
        <v>0.161410963989084</v>
      </c>
      <c r="K2650" s="12">
        <f>AVERAGE(I2647:I2651)</f>
        <v>0.4463685792</v>
      </c>
      <c r="L2650" s="18">
        <v>3824.0</v>
      </c>
      <c r="M2650" s="14">
        <f>STDEV(L2647:L2651)</f>
        <v>36798.29352</v>
      </c>
      <c r="N2650" s="15" t="b">
        <f t="shared" si="1"/>
        <v>0</v>
      </c>
    </row>
    <row r="2651" hidden="1">
      <c r="A2651" s="7" t="s">
        <v>538</v>
      </c>
      <c r="B2651" s="7" t="s">
        <v>519</v>
      </c>
      <c r="C2651" s="7">
        <v>0.1</v>
      </c>
      <c r="D2651" s="7">
        <v>0.25</v>
      </c>
      <c r="E2651" s="7">
        <v>10.0</v>
      </c>
      <c r="F2651" s="7">
        <v>9595.03579449653</v>
      </c>
      <c r="G2651" s="7">
        <v>9750.61502122879</v>
      </c>
      <c r="H2651" s="7">
        <v>4.0</v>
      </c>
      <c r="I2651" s="15">
        <v>0.795620146327302</v>
      </c>
      <c r="J2651" s="15">
        <v>0.140559170239841</v>
      </c>
      <c r="K2651" s="12">
        <f>AVERAGE(I2647:I2651)</f>
        <v>0.4463685792</v>
      </c>
      <c r="L2651" s="18">
        <v>7408.0</v>
      </c>
      <c r="M2651" s="14">
        <f>STDEV(L2647:L2651)</f>
        <v>36798.29352</v>
      </c>
      <c r="N2651" s="15" t="b">
        <f t="shared" si="1"/>
        <v>0</v>
      </c>
    </row>
    <row r="2652" hidden="1">
      <c r="A2652" s="7" t="s">
        <v>539</v>
      </c>
      <c r="B2652" s="7" t="s">
        <v>519</v>
      </c>
      <c r="C2652" s="7">
        <v>0.1</v>
      </c>
      <c r="D2652" s="7">
        <v>0.5</v>
      </c>
      <c r="E2652" s="7">
        <v>1.0</v>
      </c>
      <c r="F2652" s="7">
        <v>17718.5972132682</v>
      </c>
      <c r="G2652" s="7">
        <v>17872.4032509326</v>
      </c>
      <c r="H2652" s="7">
        <v>0.0</v>
      </c>
      <c r="I2652" s="15">
        <v>0.00761648065264709</v>
      </c>
      <c r="J2652" s="15">
        <v>0.193958028272524</v>
      </c>
      <c r="K2652" s="12">
        <f>AVERAGE(I2652:I2656)</f>
        <v>0.4105130835</v>
      </c>
      <c r="L2652" s="18">
        <v>91076.0</v>
      </c>
      <c r="M2652" s="14">
        <f>STDEV(L2652:L2656)</f>
        <v>38959.81851</v>
      </c>
      <c r="N2652" s="15" t="b">
        <f t="shared" si="1"/>
        <v>0</v>
      </c>
    </row>
    <row r="2653" hidden="1">
      <c r="A2653" s="7" t="s">
        <v>539</v>
      </c>
      <c r="B2653" s="7" t="s">
        <v>519</v>
      </c>
      <c r="C2653" s="7">
        <v>0.1</v>
      </c>
      <c r="D2653" s="7">
        <v>0.5</v>
      </c>
      <c r="E2653" s="7">
        <v>1.0</v>
      </c>
      <c r="F2653" s="7">
        <v>17718.5972132682</v>
      </c>
      <c r="G2653" s="7">
        <v>17872.4032509326</v>
      </c>
      <c r="H2653" s="7">
        <v>1.0</v>
      </c>
      <c r="I2653" s="15">
        <v>0.632777331632162</v>
      </c>
      <c r="J2653" s="15">
        <v>0.143591972142287</v>
      </c>
      <c r="K2653" s="12">
        <f>AVERAGE(I2652:I2656)</f>
        <v>0.4105130835</v>
      </c>
      <c r="L2653" s="18">
        <v>1656.0</v>
      </c>
      <c r="M2653" s="14">
        <f>STDEV(L2652:L2656)</f>
        <v>38959.81851</v>
      </c>
      <c r="N2653" s="15" t="b">
        <f t="shared" si="1"/>
        <v>0</v>
      </c>
    </row>
    <row r="2654" hidden="1">
      <c r="A2654" s="7" t="s">
        <v>539</v>
      </c>
      <c r="B2654" s="7" t="s">
        <v>519</v>
      </c>
      <c r="C2654" s="7">
        <v>0.1</v>
      </c>
      <c r="D2654" s="7">
        <v>0.5</v>
      </c>
      <c r="E2654" s="7">
        <v>1.0</v>
      </c>
      <c r="F2654" s="7">
        <v>17718.5972132682</v>
      </c>
      <c r="G2654" s="7">
        <v>17872.4032509326</v>
      </c>
      <c r="H2654" s="7">
        <v>2.0</v>
      </c>
      <c r="I2654" s="15">
        <v>0.859601125974272</v>
      </c>
      <c r="J2654" s="15">
        <v>0.143644792174747</v>
      </c>
      <c r="K2654" s="12">
        <f>AVERAGE(I2652:I2656)</f>
        <v>0.4105130835</v>
      </c>
      <c r="L2654" s="18">
        <v>1046.0</v>
      </c>
      <c r="M2654" s="14">
        <f>STDEV(L2652:L2656)</f>
        <v>38959.81851</v>
      </c>
      <c r="N2654" s="15" t="b">
        <f t="shared" si="1"/>
        <v>0</v>
      </c>
    </row>
    <row r="2655" hidden="1">
      <c r="A2655" s="7" t="s">
        <v>539</v>
      </c>
      <c r="B2655" s="7" t="s">
        <v>519</v>
      </c>
      <c r="C2655" s="7">
        <v>0.1</v>
      </c>
      <c r="D2655" s="7">
        <v>0.5</v>
      </c>
      <c r="E2655" s="7">
        <v>1.0</v>
      </c>
      <c r="F2655" s="7">
        <v>17718.5972132682</v>
      </c>
      <c r="G2655" s="7">
        <v>17872.4032509326</v>
      </c>
      <c r="H2655" s="7">
        <v>3.0</v>
      </c>
      <c r="I2655" s="15">
        <v>0.263054449017766</v>
      </c>
      <c r="J2655" s="15">
        <v>0.153527911523992</v>
      </c>
      <c r="K2655" s="12">
        <f>AVERAGE(I2652:I2656)</f>
        <v>0.4105130835</v>
      </c>
      <c r="L2655" s="18">
        <v>6059.0</v>
      </c>
      <c r="M2655" s="14">
        <f>STDEV(L2652:L2656)</f>
        <v>38959.81851</v>
      </c>
      <c r="N2655" s="15" t="b">
        <f t="shared" si="1"/>
        <v>0</v>
      </c>
    </row>
    <row r="2656" hidden="1">
      <c r="A2656" s="7" t="s">
        <v>539</v>
      </c>
      <c r="B2656" s="7" t="s">
        <v>519</v>
      </c>
      <c r="C2656" s="7">
        <v>0.1</v>
      </c>
      <c r="D2656" s="7">
        <v>0.5</v>
      </c>
      <c r="E2656" s="7">
        <v>1.0</v>
      </c>
      <c r="F2656" s="7">
        <v>17718.5972132682</v>
      </c>
      <c r="G2656" s="7">
        <v>17872.4032509326</v>
      </c>
      <c r="H2656" s="7">
        <v>4.0</v>
      </c>
      <c r="I2656" s="15">
        <v>0.289516030376646</v>
      </c>
      <c r="J2656" s="15">
        <v>0.0930116563453996</v>
      </c>
      <c r="K2656" s="12">
        <f>AVERAGE(I2652:I2656)</f>
        <v>0.4105130835</v>
      </c>
      <c r="L2656" s="18">
        <v>41839.0</v>
      </c>
      <c r="M2656" s="14">
        <f>STDEV(L2652:L2656)</f>
        <v>38959.81851</v>
      </c>
      <c r="N2656" s="15" t="b">
        <f t="shared" si="1"/>
        <v>0</v>
      </c>
    </row>
    <row r="2657" hidden="1">
      <c r="A2657" s="7" t="s">
        <v>540</v>
      </c>
      <c r="B2657" s="7" t="s">
        <v>519</v>
      </c>
      <c r="C2657" s="7">
        <v>0.1</v>
      </c>
      <c r="D2657" s="7">
        <v>0.5</v>
      </c>
      <c r="E2657" s="7">
        <v>2.0</v>
      </c>
      <c r="F2657" s="7">
        <v>31696.0901565551</v>
      </c>
      <c r="G2657" s="7">
        <v>31850.599707365</v>
      </c>
      <c r="H2657" s="7">
        <v>0.0</v>
      </c>
      <c r="I2657" s="15">
        <v>0.0419087890424426</v>
      </c>
      <c r="J2657" s="15">
        <v>0.0536011408491034</v>
      </c>
      <c r="K2657" s="12">
        <f>AVERAGE(I2657:I2661)</f>
        <v>0.4137158176</v>
      </c>
      <c r="L2657" s="18">
        <v>38736.0</v>
      </c>
      <c r="M2657" s="14">
        <f>STDEV(L2657:L2661)</f>
        <v>22833.15197</v>
      </c>
      <c r="N2657" s="15" t="b">
        <f t="shared" si="1"/>
        <v>0</v>
      </c>
    </row>
    <row r="2658" hidden="1">
      <c r="A2658" s="7" t="s">
        <v>540</v>
      </c>
      <c r="B2658" s="7" t="s">
        <v>519</v>
      </c>
      <c r="C2658" s="7">
        <v>0.1</v>
      </c>
      <c r="D2658" s="7">
        <v>0.5</v>
      </c>
      <c r="E2658" s="7">
        <v>2.0</v>
      </c>
      <c r="F2658" s="7">
        <v>31696.0901565551</v>
      </c>
      <c r="G2658" s="7">
        <v>31850.599707365</v>
      </c>
      <c r="H2658" s="7">
        <v>1.0</v>
      </c>
      <c r="I2658" s="15">
        <v>0.212390694433005</v>
      </c>
      <c r="J2658" s="15">
        <v>0.123469801260519</v>
      </c>
      <c r="K2658" s="12">
        <f>AVERAGE(I2657:I2661)</f>
        <v>0.4137158176</v>
      </c>
      <c r="L2658" s="18">
        <v>40378.0</v>
      </c>
      <c r="M2658" s="14">
        <f>STDEV(L2657:L2661)</f>
        <v>22833.15197</v>
      </c>
      <c r="N2658" s="15" t="b">
        <f t="shared" si="1"/>
        <v>0</v>
      </c>
    </row>
    <row r="2659" hidden="1">
      <c r="A2659" s="7" t="s">
        <v>540</v>
      </c>
      <c r="B2659" s="7" t="s">
        <v>519</v>
      </c>
      <c r="C2659" s="7">
        <v>0.1</v>
      </c>
      <c r="D2659" s="7">
        <v>0.5</v>
      </c>
      <c r="E2659" s="7">
        <v>2.0</v>
      </c>
      <c r="F2659" s="7">
        <v>31696.0901565551</v>
      </c>
      <c r="G2659" s="7">
        <v>31850.599707365</v>
      </c>
      <c r="H2659" s="7">
        <v>2.0</v>
      </c>
      <c r="I2659" s="15">
        <v>0.816848192134695</v>
      </c>
      <c r="J2659" s="15">
        <v>0.104291936996046</v>
      </c>
      <c r="K2659" s="12">
        <f>AVERAGE(I2657:I2661)</f>
        <v>0.4137158176</v>
      </c>
      <c r="L2659" s="18">
        <v>6648.0</v>
      </c>
      <c r="M2659" s="14">
        <f>STDEV(L2657:L2661)</f>
        <v>22833.15197</v>
      </c>
      <c r="N2659" s="15" t="b">
        <f t="shared" si="1"/>
        <v>0</v>
      </c>
    </row>
    <row r="2660" hidden="1">
      <c r="A2660" s="7" t="s">
        <v>540</v>
      </c>
      <c r="B2660" s="7" t="s">
        <v>519</v>
      </c>
      <c r="C2660" s="7">
        <v>0.1</v>
      </c>
      <c r="D2660" s="7">
        <v>0.5</v>
      </c>
      <c r="E2660" s="7">
        <v>2.0</v>
      </c>
      <c r="F2660" s="7">
        <v>31696.0901565551</v>
      </c>
      <c r="G2660" s="7">
        <v>31850.599707365</v>
      </c>
      <c r="H2660" s="7">
        <v>3.0</v>
      </c>
      <c r="I2660" s="15">
        <v>0.799554628616173</v>
      </c>
      <c r="J2660" s="15">
        <v>0.133851241753684</v>
      </c>
      <c r="K2660" s="12">
        <f>AVERAGE(I2657:I2661)</f>
        <v>0.4137158176</v>
      </c>
      <c r="L2660" s="18">
        <v>1865.0</v>
      </c>
      <c r="M2660" s="14">
        <f>STDEV(L2657:L2661)</f>
        <v>22833.15197</v>
      </c>
      <c r="N2660" s="15" t="b">
        <f t="shared" si="1"/>
        <v>0</v>
      </c>
    </row>
    <row r="2661" hidden="1">
      <c r="A2661" s="7" t="s">
        <v>540</v>
      </c>
      <c r="B2661" s="7" t="s">
        <v>519</v>
      </c>
      <c r="C2661" s="7">
        <v>0.1</v>
      </c>
      <c r="D2661" s="7">
        <v>0.5</v>
      </c>
      <c r="E2661" s="7">
        <v>2.0</v>
      </c>
      <c r="F2661" s="7">
        <v>31696.0901565551</v>
      </c>
      <c r="G2661" s="7">
        <v>31850.599707365</v>
      </c>
      <c r="H2661" s="7">
        <v>4.0</v>
      </c>
      <c r="I2661" s="15">
        <v>0.197876783719604</v>
      </c>
      <c r="J2661" s="15">
        <v>0.0847590808441141</v>
      </c>
      <c r="K2661" s="12">
        <f>AVERAGE(I2657:I2661)</f>
        <v>0.4137158176</v>
      </c>
      <c r="L2661" s="18">
        <v>54049.0</v>
      </c>
      <c r="M2661" s="14">
        <f>STDEV(L2657:L2661)</f>
        <v>22833.15197</v>
      </c>
      <c r="N2661" s="15" t="b">
        <f t="shared" si="1"/>
        <v>0</v>
      </c>
    </row>
    <row r="2662" hidden="1">
      <c r="A2662" s="7" t="s">
        <v>541</v>
      </c>
      <c r="B2662" s="19" t="s">
        <v>519</v>
      </c>
      <c r="C2662" s="19">
        <v>0.1</v>
      </c>
      <c r="D2662" s="19">
        <v>0.5</v>
      </c>
      <c r="E2662" s="19">
        <v>3.0</v>
      </c>
      <c r="F2662" s="7">
        <v>58999.7692623138</v>
      </c>
      <c r="G2662" s="7">
        <v>59186.6802649498</v>
      </c>
      <c r="H2662" s="7">
        <v>0.0</v>
      </c>
      <c r="I2662" s="15">
        <v>0.282376838751526</v>
      </c>
      <c r="J2662" s="15">
        <v>0.0909695932677214</v>
      </c>
      <c r="K2662" s="12">
        <f>AVERAGE(I2662:I2666)</f>
        <v>0.3558966513</v>
      </c>
      <c r="L2662" s="18">
        <v>42018.0</v>
      </c>
      <c r="M2662" s="14">
        <f>STDEV(L2662:L2666)</f>
        <v>21752.26546</v>
      </c>
      <c r="N2662" s="15" t="b">
        <f t="shared" si="1"/>
        <v>0</v>
      </c>
    </row>
    <row r="2663" hidden="1">
      <c r="A2663" s="7" t="s">
        <v>541</v>
      </c>
      <c r="B2663" s="19" t="s">
        <v>519</v>
      </c>
      <c r="C2663" s="19">
        <v>0.1</v>
      </c>
      <c r="D2663" s="19">
        <v>0.5</v>
      </c>
      <c r="E2663" s="19">
        <v>3.0</v>
      </c>
      <c r="F2663" s="7">
        <v>58999.7692623138</v>
      </c>
      <c r="G2663" s="7">
        <v>59186.6802649498</v>
      </c>
      <c r="H2663" s="7">
        <v>1.0</v>
      </c>
      <c r="I2663" s="15">
        <v>0.0443394052371241</v>
      </c>
      <c r="J2663" s="15">
        <v>0.0519887105710302</v>
      </c>
      <c r="K2663" s="12">
        <f>AVERAGE(I2662:I2666)</f>
        <v>0.3558966513</v>
      </c>
      <c r="L2663" s="18">
        <v>53451.0</v>
      </c>
      <c r="M2663" s="14">
        <f>STDEV(L2662:L2666)</f>
        <v>21752.26546</v>
      </c>
      <c r="N2663" s="15" t="b">
        <f t="shared" si="1"/>
        <v>0</v>
      </c>
    </row>
    <row r="2664" hidden="1">
      <c r="A2664" s="7" t="s">
        <v>541</v>
      </c>
      <c r="B2664" s="19" t="s">
        <v>519</v>
      </c>
      <c r="C2664" s="19">
        <v>0.1</v>
      </c>
      <c r="D2664" s="19">
        <v>0.5</v>
      </c>
      <c r="E2664" s="19">
        <v>3.0</v>
      </c>
      <c r="F2664" s="7">
        <v>58999.7692623138</v>
      </c>
      <c r="G2664" s="7">
        <v>59186.6802649498</v>
      </c>
      <c r="H2664" s="7">
        <v>2.0</v>
      </c>
      <c r="I2664" s="15">
        <v>0.811626435772665</v>
      </c>
      <c r="J2664" s="15">
        <v>0.0762792867353553</v>
      </c>
      <c r="K2664" s="12">
        <f>AVERAGE(I2662:I2666)</f>
        <v>0.3558966513</v>
      </c>
      <c r="L2664" s="18">
        <v>4119.0</v>
      </c>
      <c r="M2664" s="14">
        <f>STDEV(L2662:L2666)</f>
        <v>21752.26546</v>
      </c>
      <c r="N2664" s="15" t="b">
        <f t="shared" si="1"/>
        <v>0</v>
      </c>
    </row>
    <row r="2665" hidden="1">
      <c r="A2665" s="7" t="s">
        <v>541</v>
      </c>
      <c r="B2665" s="19" t="s">
        <v>519</v>
      </c>
      <c r="C2665" s="19">
        <v>0.1</v>
      </c>
      <c r="D2665" s="19">
        <v>0.5</v>
      </c>
      <c r="E2665" s="19">
        <v>3.0</v>
      </c>
      <c r="F2665" s="7">
        <v>58999.7692623138</v>
      </c>
      <c r="G2665" s="7">
        <v>59186.6802649498</v>
      </c>
      <c r="H2665" s="7">
        <v>3.0</v>
      </c>
      <c r="I2665" s="15">
        <v>0.67856733043868</v>
      </c>
      <c r="J2665" s="15">
        <v>0.139667774906155</v>
      </c>
      <c r="K2665" s="12">
        <f>AVERAGE(I2662:I2666)</f>
        <v>0.3558966513</v>
      </c>
      <c r="L2665" s="18">
        <v>7226.0</v>
      </c>
      <c r="M2665" s="14">
        <f>STDEV(L2662:L2666)</f>
        <v>21752.26546</v>
      </c>
      <c r="N2665" s="15" t="b">
        <f t="shared" si="1"/>
        <v>0</v>
      </c>
    </row>
    <row r="2666" hidden="1">
      <c r="A2666" s="7" t="s">
        <v>541</v>
      </c>
      <c r="B2666" s="19" t="s">
        <v>519</v>
      </c>
      <c r="C2666" s="19">
        <v>0.1</v>
      </c>
      <c r="D2666" s="19">
        <v>0.5</v>
      </c>
      <c r="E2666" s="19">
        <v>3.0</v>
      </c>
      <c r="F2666" s="7">
        <v>58999.7692623138</v>
      </c>
      <c r="G2666" s="7">
        <v>59186.6802649498</v>
      </c>
      <c r="H2666" s="7">
        <v>4.0</v>
      </c>
      <c r="I2666" s="15">
        <v>-0.0374267535388548</v>
      </c>
      <c r="J2666" s="15">
        <v>0.403253952596654</v>
      </c>
      <c r="K2666" s="12">
        <f>AVERAGE(I2662:I2666)</f>
        <v>0.3558966513</v>
      </c>
      <c r="L2666" s="18">
        <v>34862.0</v>
      </c>
      <c r="M2666" s="14">
        <f>STDEV(L2662:L2666)</f>
        <v>21752.26546</v>
      </c>
      <c r="N2666" s="15" t="b">
        <f t="shared" si="1"/>
        <v>0</v>
      </c>
    </row>
    <row r="2667" hidden="1">
      <c r="A2667" s="7" t="s">
        <v>542</v>
      </c>
      <c r="B2667" s="7" t="s">
        <v>519</v>
      </c>
      <c r="C2667" s="7">
        <v>0.1</v>
      </c>
      <c r="D2667" s="7">
        <v>0.5</v>
      </c>
      <c r="E2667" s="7">
        <v>4.0</v>
      </c>
      <c r="F2667" s="7">
        <v>8961.94205355644</v>
      </c>
      <c r="G2667" s="7">
        <v>9143.57386946678</v>
      </c>
      <c r="H2667" s="7">
        <v>0.0</v>
      </c>
      <c r="I2667" s="15">
        <v>0.832328081895587</v>
      </c>
      <c r="J2667" s="15">
        <v>0.0975975376701097</v>
      </c>
      <c r="K2667" s="12">
        <f>AVERAGE(I2667:I2671)</f>
        <v>0.4687554651</v>
      </c>
      <c r="L2667" s="18">
        <v>5519.0</v>
      </c>
      <c r="M2667" s="14">
        <f>STDEV(L2667:L2671)</f>
        <v>43679.90228</v>
      </c>
      <c r="N2667" s="15" t="b">
        <f t="shared" si="1"/>
        <v>0</v>
      </c>
    </row>
    <row r="2668" hidden="1">
      <c r="A2668" s="7" t="s">
        <v>542</v>
      </c>
      <c r="B2668" s="7" t="s">
        <v>519</v>
      </c>
      <c r="C2668" s="7">
        <v>0.1</v>
      </c>
      <c r="D2668" s="7">
        <v>0.5</v>
      </c>
      <c r="E2668" s="7">
        <v>4.0</v>
      </c>
      <c r="F2668" s="7">
        <v>8961.94205355644</v>
      </c>
      <c r="G2668" s="7">
        <v>9143.57386946678</v>
      </c>
      <c r="H2668" s="7">
        <v>1.0</v>
      </c>
      <c r="I2668" s="15">
        <v>0.0937222411421186</v>
      </c>
      <c r="J2668" s="15">
        <v>0.0509282482245386</v>
      </c>
      <c r="K2668" s="12">
        <f>AVERAGE(I2667:I2671)</f>
        <v>0.4687554651</v>
      </c>
      <c r="L2668" s="18">
        <v>104029.0</v>
      </c>
      <c r="M2668" s="14">
        <f>STDEV(L2667:L2671)</f>
        <v>43679.90228</v>
      </c>
      <c r="N2668" s="15" t="b">
        <f t="shared" si="1"/>
        <v>0</v>
      </c>
    </row>
    <row r="2669" hidden="1">
      <c r="A2669" s="7" t="s">
        <v>542</v>
      </c>
      <c r="B2669" s="7" t="s">
        <v>519</v>
      </c>
      <c r="C2669" s="7">
        <v>0.1</v>
      </c>
      <c r="D2669" s="7">
        <v>0.5</v>
      </c>
      <c r="E2669" s="7">
        <v>4.0</v>
      </c>
      <c r="F2669" s="7">
        <v>8961.94205355644</v>
      </c>
      <c r="G2669" s="7">
        <v>9143.57386946678</v>
      </c>
      <c r="H2669" s="7">
        <v>2.0</v>
      </c>
      <c r="I2669" s="15">
        <v>0.168652308846393</v>
      </c>
      <c r="J2669" s="15">
        <v>0.0713918600443744</v>
      </c>
      <c r="K2669" s="12">
        <f>AVERAGE(I2667:I2671)</f>
        <v>0.4687554651</v>
      </c>
      <c r="L2669" s="18">
        <v>27881.0</v>
      </c>
      <c r="M2669" s="14">
        <f>STDEV(L2667:L2671)</f>
        <v>43679.90228</v>
      </c>
      <c r="N2669" s="15" t="b">
        <f t="shared" si="1"/>
        <v>0</v>
      </c>
    </row>
    <row r="2670" hidden="1">
      <c r="A2670" s="7" t="s">
        <v>542</v>
      </c>
      <c r="B2670" s="7" t="s">
        <v>519</v>
      </c>
      <c r="C2670" s="7">
        <v>0.1</v>
      </c>
      <c r="D2670" s="7">
        <v>0.5</v>
      </c>
      <c r="E2670" s="7">
        <v>4.0</v>
      </c>
      <c r="F2670" s="7">
        <v>8961.94205355644</v>
      </c>
      <c r="G2670" s="7">
        <v>9143.57386946678</v>
      </c>
      <c r="H2670" s="7">
        <v>3.0</v>
      </c>
      <c r="I2670" s="15">
        <v>0.901952704637944</v>
      </c>
      <c r="J2670" s="15">
        <v>0.0232194283158024</v>
      </c>
      <c r="K2670" s="12">
        <f>AVERAGE(I2667:I2671)</f>
        <v>0.4687554651</v>
      </c>
      <c r="L2670" s="18">
        <v>214.0</v>
      </c>
      <c r="M2670" s="14">
        <f>STDEV(L2667:L2671)</f>
        <v>43679.90228</v>
      </c>
      <c r="N2670" s="15" t="b">
        <f t="shared" si="1"/>
        <v>0</v>
      </c>
    </row>
    <row r="2671" hidden="1">
      <c r="A2671" s="7" t="s">
        <v>542</v>
      </c>
      <c r="B2671" s="7" t="s">
        <v>519</v>
      </c>
      <c r="C2671" s="7">
        <v>0.1</v>
      </c>
      <c r="D2671" s="7">
        <v>0.5</v>
      </c>
      <c r="E2671" s="7">
        <v>4.0</v>
      </c>
      <c r="F2671" s="7">
        <v>8961.94205355644</v>
      </c>
      <c r="G2671" s="7">
        <v>9143.57386946678</v>
      </c>
      <c r="H2671" s="7">
        <v>4.0</v>
      </c>
      <c r="I2671" s="15">
        <v>0.347121989057895</v>
      </c>
      <c r="J2671" s="15">
        <v>0.105101843359174</v>
      </c>
      <c r="K2671" s="12">
        <f>AVERAGE(I2667:I2671)</f>
        <v>0.4687554651</v>
      </c>
      <c r="L2671" s="18">
        <v>4033.0</v>
      </c>
      <c r="M2671" s="14">
        <f>STDEV(L2667:L2671)</f>
        <v>43679.90228</v>
      </c>
      <c r="N2671" s="15" t="b">
        <f t="shared" si="1"/>
        <v>0</v>
      </c>
    </row>
    <row r="2672" hidden="1">
      <c r="A2672" s="7" t="s">
        <v>543</v>
      </c>
      <c r="B2672" s="7" t="s">
        <v>519</v>
      </c>
      <c r="C2672" s="7">
        <v>0.1</v>
      </c>
      <c r="D2672" s="7">
        <v>0.5</v>
      </c>
      <c r="E2672" s="7">
        <v>5.0</v>
      </c>
      <c r="F2672" s="7">
        <v>72590.8414587974</v>
      </c>
      <c r="G2672" s="7">
        <v>72768.0636460781</v>
      </c>
      <c r="H2672" s="7">
        <v>0.0</v>
      </c>
      <c r="I2672" s="15">
        <v>0.759463882485318</v>
      </c>
      <c r="J2672" s="15">
        <v>0.139217108329956</v>
      </c>
      <c r="K2672" s="12">
        <f>AVERAGE(I2672:I2676)</f>
        <v>0.3835543288</v>
      </c>
      <c r="L2672" s="18">
        <v>15947.0</v>
      </c>
      <c r="M2672" s="14">
        <f>STDEV(L2672:L2676)</f>
        <v>22215.37774</v>
      </c>
      <c r="N2672" s="15" t="b">
        <f t="shared" si="1"/>
        <v>0</v>
      </c>
    </row>
    <row r="2673" hidden="1">
      <c r="A2673" s="7" t="s">
        <v>543</v>
      </c>
      <c r="B2673" s="7" t="s">
        <v>519</v>
      </c>
      <c r="C2673" s="7">
        <v>0.1</v>
      </c>
      <c r="D2673" s="7">
        <v>0.5</v>
      </c>
      <c r="E2673" s="7">
        <v>5.0</v>
      </c>
      <c r="F2673" s="7">
        <v>72590.8414587974</v>
      </c>
      <c r="G2673" s="7">
        <v>72768.0636460781</v>
      </c>
      <c r="H2673" s="7">
        <v>1.0</v>
      </c>
      <c r="I2673" s="15">
        <v>0.0322296342723705</v>
      </c>
      <c r="J2673" s="15">
        <v>0.0438453321612682</v>
      </c>
      <c r="K2673" s="12">
        <f>AVERAGE(I2672:I2676)</f>
        <v>0.3835543288</v>
      </c>
      <c r="L2673" s="18">
        <v>18263.0</v>
      </c>
      <c r="M2673" s="14">
        <f>STDEV(L2672:L2676)</f>
        <v>22215.37774</v>
      </c>
      <c r="N2673" s="15" t="b">
        <f t="shared" si="1"/>
        <v>0</v>
      </c>
    </row>
    <row r="2674" hidden="1">
      <c r="A2674" s="7" t="s">
        <v>543</v>
      </c>
      <c r="B2674" s="7" t="s">
        <v>519</v>
      </c>
      <c r="C2674" s="7">
        <v>0.1</v>
      </c>
      <c r="D2674" s="7">
        <v>0.5</v>
      </c>
      <c r="E2674" s="7">
        <v>5.0</v>
      </c>
      <c r="F2674" s="7">
        <v>72590.8414587974</v>
      </c>
      <c r="G2674" s="7">
        <v>72768.0636460781</v>
      </c>
      <c r="H2674" s="7">
        <v>2.0</v>
      </c>
      <c r="I2674" s="15">
        <v>0.810364911316006</v>
      </c>
      <c r="J2674" s="15">
        <v>0.116009696355242</v>
      </c>
      <c r="K2674" s="12">
        <f>AVERAGE(I2672:I2676)</f>
        <v>0.3835543288</v>
      </c>
      <c r="L2674" s="18">
        <v>5660.0</v>
      </c>
      <c r="M2674" s="14">
        <f>STDEV(L2672:L2676)</f>
        <v>22215.37774</v>
      </c>
      <c r="N2674" s="15" t="b">
        <f t="shared" si="1"/>
        <v>0</v>
      </c>
    </row>
    <row r="2675" hidden="1">
      <c r="A2675" s="7" t="s">
        <v>543</v>
      </c>
      <c r="B2675" s="7" t="s">
        <v>519</v>
      </c>
      <c r="C2675" s="7">
        <v>0.1</v>
      </c>
      <c r="D2675" s="7">
        <v>0.5</v>
      </c>
      <c r="E2675" s="7">
        <v>5.0</v>
      </c>
      <c r="F2675" s="7">
        <v>72590.8414587974</v>
      </c>
      <c r="G2675" s="7">
        <v>72768.0636460781</v>
      </c>
      <c r="H2675" s="7">
        <v>3.0</v>
      </c>
      <c r="I2675" s="15">
        <v>0.129635381015842</v>
      </c>
      <c r="J2675" s="15">
        <v>0.0889520271439374</v>
      </c>
      <c r="K2675" s="12">
        <f>AVERAGE(I2672:I2676)</f>
        <v>0.3835543288</v>
      </c>
      <c r="L2675" s="18">
        <v>60557.0</v>
      </c>
      <c r="M2675" s="14">
        <f>STDEV(L2672:L2676)</f>
        <v>22215.37774</v>
      </c>
      <c r="N2675" s="15" t="b">
        <f t="shared" si="1"/>
        <v>0</v>
      </c>
    </row>
    <row r="2676" hidden="1">
      <c r="A2676" s="7" t="s">
        <v>543</v>
      </c>
      <c r="B2676" s="7" t="s">
        <v>519</v>
      </c>
      <c r="C2676" s="7">
        <v>0.1</v>
      </c>
      <c r="D2676" s="7">
        <v>0.5</v>
      </c>
      <c r="E2676" s="7">
        <v>5.0</v>
      </c>
      <c r="F2676" s="7">
        <v>72590.8414587974</v>
      </c>
      <c r="G2676" s="7">
        <v>72768.0636460781</v>
      </c>
      <c r="H2676" s="7">
        <v>4.0</v>
      </c>
      <c r="I2676" s="15">
        <v>0.186077834883281</v>
      </c>
      <c r="J2676" s="15">
        <v>0.13959489659418</v>
      </c>
      <c r="K2676" s="12">
        <f>AVERAGE(I2672:I2676)</f>
        <v>0.3835543288</v>
      </c>
      <c r="L2676" s="18">
        <v>41249.0</v>
      </c>
      <c r="M2676" s="14">
        <f>STDEV(L2672:L2676)</f>
        <v>22215.37774</v>
      </c>
      <c r="N2676" s="15" t="b">
        <f t="shared" si="1"/>
        <v>0</v>
      </c>
    </row>
    <row r="2677" hidden="1">
      <c r="A2677" s="7" t="s">
        <v>544</v>
      </c>
      <c r="B2677" s="7" t="s">
        <v>519</v>
      </c>
      <c r="C2677" s="7">
        <v>0.1</v>
      </c>
      <c r="D2677" s="7">
        <v>0.5</v>
      </c>
      <c r="E2677" s="7">
        <v>6.0</v>
      </c>
      <c r="F2677" s="7">
        <v>13374.1337208747</v>
      </c>
      <c r="G2677" s="7">
        <v>13535.7767059803</v>
      </c>
      <c r="H2677" s="7">
        <v>0.0</v>
      </c>
      <c r="I2677" s="15">
        <v>0.829649240772733</v>
      </c>
      <c r="J2677" s="15">
        <v>0.0991242441061571</v>
      </c>
      <c r="K2677" s="12">
        <f>AVERAGE(I2677:I2681)</f>
        <v>0.5210723991</v>
      </c>
      <c r="L2677" s="18">
        <v>7446.0</v>
      </c>
      <c r="M2677" s="14">
        <f>STDEV(L2677:L2681)</f>
        <v>30024.23912</v>
      </c>
      <c r="N2677" s="15" t="b">
        <f t="shared" si="1"/>
        <v>0</v>
      </c>
    </row>
    <row r="2678" hidden="1">
      <c r="A2678" s="7" t="s">
        <v>544</v>
      </c>
      <c r="B2678" s="7" t="s">
        <v>519</v>
      </c>
      <c r="C2678" s="7">
        <v>0.1</v>
      </c>
      <c r="D2678" s="7">
        <v>0.5</v>
      </c>
      <c r="E2678" s="7">
        <v>6.0</v>
      </c>
      <c r="F2678" s="7">
        <v>13374.1337208747</v>
      </c>
      <c r="G2678" s="7">
        <v>13535.7767059803</v>
      </c>
      <c r="H2678" s="7">
        <v>1.0</v>
      </c>
      <c r="I2678" s="15">
        <v>0.799578948103862</v>
      </c>
      <c r="J2678" s="15">
        <v>0.119540245364283</v>
      </c>
      <c r="K2678" s="12">
        <f>AVERAGE(I2677:I2681)</f>
        <v>0.5210723991</v>
      </c>
      <c r="L2678" s="18">
        <v>7458.0</v>
      </c>
      <c r="M2678" s="14">
        <f>STDEV(L2677:L2681)</f>
        <v>30024.23912</v>
      </c>
      <c r="N2678" s="15" t="b">
        <f t="shared" si="1"/>
        <v>0</v>
      </c>
    </row>
    <row r="2679" hidden="1">
      <c r="A2679" s="7" t="s">
        <v>544</v>
      </c>
      <c r="B2679" s="7" t="s">
        <v>519</v>
      </c>
      <c r="C2679" s="7">
        <v>0.1</v>
      </c>
      <c r="D2679" s="7">
        <v>0.5</v>
      </c>
      <c r="E2679" s="7">
        <v>6.0</v>
      </c>
      <c r="F2679" s="7">
        <v>13374.1337208747</v>
      </c>
      <c r="G2679" s="7">
        <v>13535.7767059803</v>
      </c>
      <c r="H2679" s="7">
        <v>2.0</v>
      </c>
      <c r="I2679" s="15">
        <v>0.673947814832928</v>
      </c>
      <c r="J2679" s="15">
        <v>0.239491570173667</v>
      </c>
      <c r="K2679" s="12">
        <f>AVERAGE(I2677:I2681)</f>
        <v>0.5210723991</v>
      </c>
      <c r="L2679" s="18">
        <v>7535.0</v>
      </c>
      <c r="M2679" s="14">
        <f>STDEV(L2677:L2681)</f>
        <v>30024.23912</v>
      </c>
      <c r="N2679" s="15" t="b">
        <f t="shared" si="1"/>
        <v>0</v>
      </c>
    </row>
    <row r="2680" hidden="1">
      <c r="A2680" s="7" t="s">
        <v>544</v>
      </c>
      <c r="B2680" s="7" t="s">
        <v>519</v>
      </c>
      <c r="C2680" s="7">
        <v>0.1</v>
      </c>
      <c r="D2680" s="7">
        <v>0.5</v>
      </c>
      <c r="E2680" s="7">
        <v>6.0</v>
      </c>
      <c r="F2680" s="7">
        <v>13374.1337208747</v>
      </c>
      <c r="G2680" s="7">
        <v>13535.7767059803</v>
      </c>
      <c r="H2680" s="7">
        <v>3.0</v>
      </c>
      <c r="I2680" s="15">
        <v>0.117756316746319</v>
      </c>
      <c r="J2680" s="15">
        <v>0.0888521068801027</v>
      </c>
      <c r="K2680" s="12">
        <f>AVERAGE(I2677:I2681)</f>
        <v>0.5210723991</v>
      </c>
      <c r="L2680" s="18">
        <v>72727.0</v>
      </c>
      <c r="M2680" s="14">
        <f>STDEV(L2677:L2681)</f>
        <v>30024.23912</v>
      </c>
      <c r="N2680" s="15" t="b">
        <f t="shared" si="1"/>
        <v>0</v>
      </c>
    </row>
    <row r="2681" hidden="1">
      <c r="A2681" s="7" t="s">
        <v>544</v>
      </c>
      <c r="B2681" s="7" t="s">
        <v>519</v>
      </c>
      <c r="C2681" s="7">
        <v>0.1</v>
      </c>
      <c r="D2681" s="7">
        <v>0.5</v>
      </c>
      <c r="E2681" s="7">
        <v>6.0</v>
      </c>
      <c r="F2681" s="7">
        <v>13374.1337208747</v>
      </c>
      <c r="G2681" s="7">
        <v>13535.7767059803</v>
      </c>
      <c r="H2681" s="7">
        <v>4.0</v>
      </c>
      <c r="I2681" s="15">
        <v>0.184429675187118</v>
      </c>
      <c r="J2681" s="15">
        <v>0.0954002990168179</v>
      </c>
      <c r="K2681" s="12">
        <f>AVERAGE(I2677:I2681)</f>
        <v>0.5210723991</v>
      </c>
      <c r="L2681" s="18">
        <v>46510.0</v>
      </c>
      <c r="M2681" s="14">
        <f>STDEV(L2677:L2681)</f>
        <v>30024.23912</v>
      </c>
      <c r="N2681" s="15" t="b">
        <f t="shared" si="1"/>
        <v>0</v>
      </c>
    </row>
    <row r="2682" hidden="1">
      <c r="A2682" s="7" t="s">
        <v>545</v>
      </c>
      <c r="B2682" s="7" t="s">
        <v>519</v>
      </c>
      <c r="C2682" s="7">
        <v>0.1</v>
      </c>
      <c r="D2682" s="7">
        <v>0.5</v>
      </c>
      <c r="E2682" s="7">
        <v>7.0</v>
      </c>
      <c r="F2682" s="7">
        <v>43108.847869873</v>
      </c>
      <c r="G2682" s="7">
        <v>43286.574656248</v>
      </c>
      <c r="H2682" s="7">
        <v>0.0</v>
      </c>
      <c r="I2682" s="15">
        <v>0.817403565775831</v>
      </c>
      <c r="J2682" s="15">
        <v>0.104366505831588</v>
      </c>
      <c r="K2682" s="12">
        <f>AVERAGE(I2682:I2686)</f>
        <v>0.3770598233</v>
      </c>
      <c r="L2682" s="18">
        <v>6639.0</v>
      </c>
      <c r="M2682" s="14">
        <f>STDEV(L2682:L2686)</f>
        <v>22312.40615</v>
      </c>
      <c r="N2682" s="15" t="b">
        <f t="shared" si="1"/>
        <v>0</v>
      </c>
    </row>
    <row r="2683" hidden="1">
      <c r="A2683" s="7" t="s">
        <v>545</v>
      </c>
      <c r="B2683" s="7" t="s">
        <v>519</v>
      </c>
      <c r="C2683" s="7">
        <v>0.1</v>
      </c>
      <c r="D2683" s="7">
        <v>0.5</v>
      </c>
      <c r="E2683" s="7">
        <v>7.0</v>
      </c>
      <c r="F2683" s="7">
        <v>43108.847869873</v>
      </c>
      <c r="G2683" s="7">
        <v>43286.574656248</v>
      </c>
      <c r="H2683" s="7">
        <v>1.0</v>
      </c>
      <c r="I2683" s="15">
        <v>0.199759084783211</v>
      </c>
      <c r="J2683" s="15">
        <v>0.0836900246926146</v>
      </c>
      <c r="K2683" s="12">
        <f>AVERAGE(I2682:I2686)</f>
        <v>0.3770598233</v>
      </c>
      <c r="L2683" s="18">
        <v>53843.0</v>
      </c>
      <c r="M2683" s="14">
        <f>STDEV(L2682:L2686)</f>
        <v>22312.40615</v>
      </c>
      <c r="N2683" s="15" t="b">
        <f t="shared" si="1"/>
        <v>0</v>
      </c>
    </row>
    <row r="2684" hidden="1">
      <c r="A2684" s="7" t="s">
        <v>545</v>
      </c>
      <c r="B2684" s="7" t="s">
        <v>519</v>
      </c>
      <c r="C2684" s="7">
        <v>0.1</v>
      </c>
      <c r="D2684" s="7">
        <v>0.5</v>
      </c>
      <c r="E2684" s="7">
        <v>7.0</v>
      </c>
      <c r="F2684" s="7">
        <v>43108.847869873</v>
      </c>
      <c r="G2684" s="7">
        <v>43286.574656248</v>
      </c>
      <c r="H2684" s="7">
        <v>2.0</v>
      </c>
      <c r="I2684" s="15">
        <v>0.0475295704741524</v>
      </c>
      <c r="J2684" s="15">
        <v>0.0610177081712383</v>
      </c>
      <c r="K2684" s="12">
        <f>AVERAGE(I2682:I2686)</f>
        <v>0.3770598233</v>
      </c>
      <c r="L2684" s="18">
        <v>36349.0</v>
      </c>
      <c r="M2684" s="14">
        <f>STDEV(L2682:L2686)</f>
        <v>22312.40615</v>
      </c>
      <c r="N2684" s="15" t="b">
        <f t="shared" si="1"/>
        <v>0</v>
      </c>
    </row>
    <row r="2685" hidden="1">
      <c r="A2685" s="7" t="s">
        <v>545</v>
      </c>
      <c r="B2685" s="7" t="s">
        <v>519</v>
      </c>
      <c r="C2685" s="7">
        <v>0.1</v>
      </c>
      <c r="D2685" s="7">
        <v>0.5</v>
      </c>
      <c r="E2685" s="7">
        <v>7.0</v>
      </c>
      <c r="F2685" s="7">
        <v>43108.847869873</v>
      </c>
      <c r="G2685" s="7">
        <v>43286.574656248</v>
      </c>
      <c r="H2685" s="7">
        <v>3.0</v>
      </c>
      <c r="I2685" s="15">
        <v>0.684537573817476</v>
      </c>
      <c r="J2685" s="15">
        <v>0.145484217987651</v>
      </c>
      <c r="K2685" s="12">
        <f>AVERAGE(I2682:I2686)</f>
        <v>0.3770598233</v>
      </c>
      <c r="L2685" s="18">
        <v>3241.0</v>
      </c>
      <c r="M2685" s="14">
        <f>STDEV(L2682:L2686)</f>
        <v>22312.40615</v>
      </c>
      <c r="N2685" s="15" t="b">
        <f t="shared" si="1"/>
        <v>0</v>
      </c>
    </row>
    <row r="2686" hidden="1">
      <c r="A2686" s="7" t="s">
        <v>545</v>
      </c>
      <c r="B2686" s="7" t="s">
        <v>519</v>
      </c>
      <c r="C2686" s="7">
        <v>0.1</v>
      </c>
      <c r="D2686" s="7">
        <v>0.5</v>
      </c>
      <c r="E2686" s="7">
        <v>7.0</v>
      </c>
      <c r="F2686" s="7">
        <v>43108.847869873</v>
      </c>
      <c r="G2686" s="7">
        <v>43286.574656248</v>
      </c>
      <c r="H2686" s="7">
        <v>4.0</v>
      </c>
      <c r="I2686" s="15">
        <v>0.136069321725848</v>
      </c>
      <c r="J2686" s="15">
        <v>0.288145386752883</v>
      </c>
      <c r="K2686" s="12">
        <f>AVERAGE(I2682:I2686)</f>
        <v>0.3770598233</v>
      </c>
      <c r="L2686" s="18">
        <v>41604.0</v>
      </c>
      <c r="M2686" s="14">
        <f>STDEV(L2682:L2686)</f>
        <v>22312.40615</v>
      </c>
      <c r="N2686" s="15" t="b">
        <f t="shared" si="1"/>
        <v>0</v>
      </c>
    </row>
    <row r="2687" hidden="1">
      <c r="A2687" s="7" t="s">
        <v>546</v>
      </c>
      <c r="B2687" s="7" t="s">
        <v>519</v>
      </c>
      <c r="C2687" s="7">
        <v>0.1</v>
      </c>
      <c r="D2687" s="7">
        <v>0.5</v>
      </c>
      <c r="E2687" s="7">
        <v>8.0</v>
      </c>
      <c r="F2687" s="7">
        <v>7769.30949068069</v>
      </c>
      <c r="G2687" s="7">
        <v>7953.0671737194</v>
      </c>
      <c r="H2687" s="7">
        <v>0.0</v>
      </c>
      <c r="I2687" s="15">
        <v>0.688036324777229</v>
      </c>
      <c r="J2687" s="15">
        <v>0.229268643159114</v>
      </c>
      <c r="K2687" s="12">
        <f>AVERAGE(I2687:I2691)</f>
        <v>0.5217279113</v>
      </c>
      <c r="L2687" s="18">
        <v>7430.0</v>
      </c>
      <c r="M2687" s="14">
        <f>STDEV(L2687:L2691)</f>
        <v>51847.75371</v>
      </c>
      <c r="N2687" s="15" t="b">
        <f t="shared" si="1"/>
        <v>0</v>
      </c>
    </row>
    <row r="2688" hidden="1">
      <c r="A2688" s="7" t="s">
        <v>546</v>
      </c>
      <c r="B2688" s="7" t="s">
        <v>519</v>
      </c>
      <c r="C2688" s="7">
        <v>0.1</v>
      </c>
      <c r="D2688" s="7">
        <v>0.5</v>
      </c>
      <c r="E2688" s="7">
        <v>8.0</v>
      </c>
      <c r="F2688" s="7">
        <v>7769.30949068069</v>
      </c>
      <c r="G2688" s="7">
        <v>7953.0671737194</v>
      </c>
      <c r="H2688" s="7">
        <v>1.0</v>
      </c>
      <c r="I2688" s="15">
        <v>0.0765604044131935</v>
      </c>
      <c r="J2688" s="15">
        <v>0.0471465484135176</v>
      </c>
      <c r="K2688" s="12">
        <f>AVERAGE(I2687:I2691)</f>
        <v>0.5217279113</v>
      </c>
      <c r="L2688" s="18">
        <v>120994.0</v>
      </c>
      <c r="M2688" s="14">
        <f>STDEV(L2687:L2691)</f>
        <v>51847.75371</v>
      </c>
      <c r="N2688" s="15" t="b">
        <f t="shared" si="1"/>
        <v>0</v>
      </c>
    </row>
    <row r="2689" hidden="1">
      <c r="A2689" s="7" t="s">
        <v>546</v>
      </c>
      <c r="B2689" s="7" t="s">
        <v>519</v>
      </c>
      <c r="C2689" s="7">
        <v>0.1</v>
      </c>
      <c r="D2689" s="7">
        <v>0.5</v>
      </c>
      <c r="E2689" s="7">
        <v>8.0</v>
      </c>
      <c r="F2689" s="7">
        <v>7769.30949068069</v>
      </c>
      <c r="G2689" s="7">
        <v>7953.0671737194</v>
      </c>
      <c r="H2689" s="7">
        <v>2.0</v>
      </c>
      <c r="I2689" s="15">
        <v>0.263806884860633</v>
      </c>
      <c r="J2689" s="15">
        <v>0.177930695673777</v>
      </c>
      <c r="K2689" s="12">
        <f>AVERAGE(I2687:I2691)</f>
        <v>0.5217279113</v>
      </c>
      <c r="L2689" s="18">
        <v>4069.0</v>
      </c>
      <c r="M2689" s="14">
        <f>STDEV(L2687:L2691)</f>
        <v>51847.75371</v>
      </c>
      <c r="N2689" s="15" t="b">
        <f t="shared" si="1"/>
        <v>0</v>
      </c>
    </row>
    <row r="2690" hidden="1">
      <c r="A2690" s="7" t="s">
        <v>546</v>
      </c>
      <c r="B2690" s="7" t="s">
        <v>519</v>
      </c>
      <c r="C2690" s="7">
        <v>0.1</v>
      </c>
      <c r="D2690" s="7">
        <v>0.5</v>
      </c>
      <c r="E2690" s="7">
        <v>8.0</v>
      </c>
      <c r="F2690" s="7">
        <v>7769.30949068069</v>
      </c>
      <c r="G2690" s="7">
        <v>7953.0671737194</v>
      </c>
      <c r="H2690" s="7">
        <v>3.0</v>
      </c>
      <c r="I2690" s="15">
        <v>0.834771097266</v>
      </c>
      <c r="J2690" s="15">
        <v>0.0895887821967044</v>
      </c>
      <c r="K2690" s="12">
        <f>AVERAGE(I2687:I2691)</f>
        <v>0.5217279113</v>
      </c>
      <c r="L2690" s="18">
        <v>7209.0</v>
      </c>
      <c r="M2690" s="14">
        <f>STDEV(L2687:L2691)</f>
        <v>51847.75371</v>
      </c>
      <c r="N2690" s="15" t="b">
        <f t="shared" si="1"/>
        <v>0</v>
      </c>
    </row>
    <row r="2691" hidden="1">
      <c r="A2691" s="7" t="s">
        <v>546</v>
      </c>
      <c r="B2691" s="7" t="s">
        <v>519</v>
      </c>
      <c r="C2691" s="7">
        <v>0.1</v>
      </c>
      <c r="D2691" s="7">
        <v>0.5</v>
      </c>
      <c r="E2691" s="7">
        <v>8.0</v>
      </c>
      <c r="F2691" s="7">
        <v>7769.30949068069</v>
      </c>
      <c r="G2691" s="7">
        <v>7953.0671737194</v>
      </c>
      <c r="H2691" s="7">
        <v>4.0</v>
      </c>
      <c r="I2691" s="15">
        <v>0.745464845079331</v>
      </c>
      <c r="J2691" s="15">
        <v>0.142164313028163</v>
      </c>
      <c r="K2691" s="12">
        <f>AVERAGE(I2687:I2691)</f>
        <v>0.5217279113</v>
      </c>
      <c r="L2691" s="18">
        <v>1974.0</v>
      </c>
      <c r="M2691" s="14">
        <f>STDEV(L2687:L2691)</f>
        <v>51847.75371</v>
      </c>
      <c r="N2691" s="15" t="b">
        <f t="shared" si="1"/>
        <v>0</v>
      </c>
    </row>
    <row r="2692" hidden="1">
      <c r="A2692" s="7" t="s">
        <v>547</v>
      </c>
      <c r="B2692" s="7" t="s">
        <v>519</v>
      </c>
      <c r="C2692" s="7">
        <v>0.1</v>
      </c>
      <c r="D2692" s="7">
        <v>0.5</v>
      </c>
      <c r="E2692" s="7">
        <v>9.0</v>
      </c>
      <c r="F2692" s="7">
        <v>29964.5202846527</v>
      </c>
      <c r="G2692" s="7">
        <v>30142.4186155796</v>
      </c>
      <c r="H2692" s="7">
        <v>0.0</v>
      </c>
      <c r="I2692" s="15">
        <v>0.127950289985691</v>
      </c>
      <c r="J2692" s="15">
        <v>0.297504434786236</v>
      </c>
      <c r="K2692" s="12">
        <f>AVERAGE(I2692:I2696)</f>
        <v>0.4512964302</v>
      </c>
      <c r="L2692" s="18">
        <v>41640.0</v>
      </c>
      <c r="M2692" s="14">
        <f>STDEV(L2692:L2696)</f>
        <v>26654.03613</v>
      </c>
      <c r="N2692" s="15" t="b">
        <f t="shared" si="1"/>
        <v>0</v>
      </c>
    </row>
    <row r="2693" hidden="1">
      <c r="A2693" s="7" t="s">
        <v>547</v>
      </c>
      <c r="B2693" s="7" t="s">
        <v>519</v>
      </c>
      <c r="C2693" s="7">
        <v>0.1</v>
      </c>
      <c r="D2693" s="7">
        <v>0.5</v>
      </c>
      <c r="E2693" s="7">
        <v>9.0</v>
      </c>
      <c r="F2693" s="7">
        <v>29964.5202846527</v>
      </c>
      <c r="G2693" s="7">
        <v>30142.4186155796</v>
      </c>
      <c r="H2693" s="7">
        <v>1.0</v>
      </c>
      <c r="I2693" s="15">
        <v>0.844897557503508</v>
      </c>
      <c r="J2693" s="15">
        <v>0.120931792385351</v>
      </c>
      <c r="K2693" s="12">
        <f>AVERAGE(I2692:I2696)</f>
        <v>0.4512964302</v>
      </c>
      <c r="L2693" s="18">
        <v>2051.0</v>
      </c>
      <c r="M2693" s="14">
        <f>STDEV(L2692:L2696)</f>
        <v>26654.03613</v>
      </c>
      <c r="N2693" s="15" t="b">
        <f t="shared" si="1"/>
        <v>0</v>
      </c>
    </row>
    <row r="2694" hidden="1">
      <c r="A2694" s="7" t="s">
        <v>547</v>
      </c>
      <c r="B2694" s="7" t="s">
        <v>519</v>
      </c>
      <c r="C2694" s="7">
        <v>0.1</v>
      </c>
      <c r="D2694" s="7">
        <v>0.5</v>
      </c>
      <c r="E2694" s="7">
        <v>9.0</v>
      </c>
      <c r="F2694" s="7">
        <v>29964.5202846527</v>
      </c>
      <c r="G2694" s="7">
        <v>30142.4186155796</v>
      </c>
      <c r="H2694" s="7">
        <v>2.0</v>
      </c>
      <c r="I2694" s="15">
        <v>0.407249538466998</v>
      </c>
      <c r="J2694" s="15">
        <v>0.223379906789994</v>
      </c>
      <c r="K2694" s="12">
        <f>AVERAGE(I2692:I2696)</f>
        <v>0.4512964302</v>
      </c>
      <c r="L2694" s="18">
        <v>11183.0</v>
      </c>
      <c r="M2694" s="14">
        <f>STDEV(L2692:L2696)</f>
        <v>26654.03613</v>
      </c>
      <c r="N2694" s="15" t="b">
        <f t="shared" si="1"/>
        <v>0</v>
      </c>
    </row>
    <row r="2695" hidden="1">
      <c r="A2695" s="7" t="s">
        <v>547</v>
      </c>
      <c r="B2695" s="7" t="s">
        <v>519</v>
      </c>
      <c r="C2695" s="7">
        <v>0.1</v>
      </c>
      <c r="D2695" s="7">
        <v>0.5</v>
      </c>
      <c r="E2695" s="7">
        <v>9.0</v>
      </c>
      <c r="F2695" s="7">
        <v>29964.5202846527</v>
      </c>
      <c r="G2695" s="7">
        <v>30142.4186155796</v>
      </c>
      <c r="H2695" s="7">
        <v>3.0</v>
      </c>
      <c r="I2695" s="15">
        <v>0.086189587427876</v>
      </c>
      <c r="J2695" s="15">
        <v>0.0810607045036199</v>
      </c>
      <c r="K2695" s="12">
        <f>AVERAGE(I2692:I2696)</f>
        <v>0.4512964302</v>
      </c>
      <c r="L2695" s="18">
        <v>68157.0</v>
      </c>
      <c r="M2695" s="14">
        <f>STDEV(L2692:L2696)</f>
        <v>26654.03613</v>
      </c>
      <c r="N2695" s="15" t="b">
        <f t="shared" si="1"/>
        <v>0</v>
      </c>
    </row>
    <row r="2696" hidden="1">
      <c r="A2696" s="7" t="s">
        <v>547</v>
      </c>
      <c r="B2696" s="7" t="s">
        <v>519</v>
      </c>
      <c r="C2696" s="7">
        <v>0.1</v>
      </c>
      <c r="D2696" s="7">
        <v>0.5</v>
      </c>
      <c r="E2696" s="7">
        <v>9.0</v>
      </c>
      <c r="F2696" s="7">
        <v>29964.5202846527</v>
      </c>
      <c r="G2696" s="7">
        <v>30142.4186155796</v>
      </c>
      <c r="H2696" s="7">
        <v>4.0</v>
      </c>
      <c r="I2696" s="15">
        <v>0.790195177547092</v>
      </c>
      <c r="J2696" s="15">
        <v>0.101198085489636</v>
      </c>
      <c r="K2696" s="12">
        <f>AVERAGE(I2692:I2696)</f>
        <v>0.4512964302</v>
      </c>
      <c r="L2696" s="18">
        <v>18645.0</v>
      </c>
      <c r="M2696" s="14">
        <f>STDEV(L2692:L2696)</f>
        <v>26654.03613</v>
      </c>
      <c r="N2696" s="15" t="b">
        <f t="shared" si="1"/>
        <v>0</v>
      </c>
    </row>
    <row r="2697" hidden="1">
      <c r="A2697" s="7" t="s">
        <v>548</v>
      </c>
      <c r="B2697" s="7" t="s">
        <v>519</v>
      </c>
      <c r="C2697" s="7">
        <v>0.1</v>
      </c>
      <c r="D2697" s="7">
        <v>0.5</v>
      </c>
      <c r="E2697" s="7">
        <v>10.0</v>
      </c>
      <c r="F2697" s="7">
        <v>9511.59203290939</v>
      </c>
      <c r="G2697" s="7">
        <v>9694.66656851768</v>
      </c>
      <c r="H2697" s="7">
        <v>0.0</v>
      </c>
      <c r="I2697" s="15">
        <v>0.247147037781045</v>
      </c>
      <c r="J2697" s="15">
        <v>0.126637330311648</v>
      </c>
      <c r="K2697" s="12">
        <f>AVERAGE(I2697:I2701)</f>
        <v>0.5219412158</v>
      </c>
      <c r="L2697" s="18">
        <v>36047.0</v>
      </c>
      <c r="M2697" s="14">
        <f>STDEV(L2697:L2701)</f>
        <v>38028.37775</v>
      </c>
      <c r="N2697" s="15" t="b">
        <f t="shared" si="1"/>
        <v>0</v>
      </c>
    </row>
    <row r="2698" hidden="1">
      <c r="A2698" s="7" t="s">
        <v>548</v>
      </c>
      <c r="B2698" s="7" t="s">
        <v>519</v>
      </c>
      <c r="C2698" s="7">
        <v>0.1</v>
      </c>
      <c r="D2698" s="7">
        <v>0.5</v>
      </c>
      <c r="E2698" s="7">
        <v>10.0</v>
      </c>
      <c r="F2698" s="7">
        <v>9511.59203290939</v>
      </c>
      <c r="G2698" s="7">
        <v>9694.66656851768</v>
      </c>
      <c r="H2698" s="7">
        <v>1.0</v>
      </c>
      <c r="I2698" s="15">
        <v>0.0707208429871892</v>
      </c>
      <c r="J2698" s="15">
        <v>0.145294448241542</v>
      </c>
      <c r="K2698" s="12">
        <f>AVERAGE(I2697:I2701)</f>
        <v>0.5219412158</v>
      </c>
      <c r="L2698" s="18">
        <v>91675.0</v>
      </c>
      <c r="M2698" s="14">
        <f>STDEV(L2697:L2701)</f>
        <v>38028.37775</v>
      </c>
      <c r="N2698" s="15" t="b">
        <f t="shared" si="1"/>
        <v>0</v>
      </c>
    </row>
    <row r="2699" hidden="1">
      <c r="A2699" s="7" t="s">
        <v>548</v>
      </c>
      <c r="B2699" s="7" t="s">
        <v>519</v>
      </c>
      <c r="C2699" s="7">
        <v>0.1</v>
      </c>
      <c r="D2699" s="7">
        <v>0.5</v>
      </c>
      <c r="E2699" s="7">
        <v>10.0</v>
      </c>
      <c r="F2699" s="7">
        <v>9511.59203290939</v>
      </c>
      <c r="G2699" s="7">
        <v>9694.66656851768</v>
      </c>
      <c r="H2699" s="7">
        <v>2.0</v>
      </c>
      <c r="I2699" s="15">
        <v>0.617764116274194</v>
      </c>
      <c r="J2699" s="15">
        <v>0.242461868339938</v>
      </c>
      <c r="K2699" s="12">
        <f>AVERAGE(I2697:I2701)</f>
        <v>0.5219412158</v>
      </c>
      <c r="L2699" s="18">
        <v>8787.0</v>
      </c>
      <c r="M2699" s="14">
        <f>STDEV(L2697:L2701)</f>
        <v>38028.37775</v>
      </c>
      <c r="N2699" s="15" t="b">
        <f t="shared" si="1"/>
        <v>0</v>
      </c>
    </row>
    <row r="2700" hidden="1">
      <c r="A2700" s="7" t="s">
        <v>548</v>
      </c>
      <c r="B2700" s="7" t="s">
        <v>519</v>
      </c>
      <c r="C2700" s="7">
        <v>0.1</v>
      </c>
      <c r="D2700" s="7">
        <v>0.5</v>
      </c>
      <c r="E2700" s="7">
        <v>10.0</v>
      </c>
      <c r="F2700" s="7">
        <v>9511.59203290939</v>
      </c>
      <c r="G2700" s="7">
        <v>9694.66656851768</v>
      </c>
      <c r="H2700" s="7">
        <v>3.0</v>
      </c>
      <c r="I2700" s="15">
        <v>0.809659630209483</v>
      </c>
      <c r="J2700" s="15">
        <v>0.0824756015490539</v>
      </c>
      <c r="K2700" s="12">
        <f>AVERAGE(I2697:I2701)</f>
        <v>0.5219412158</v>
      </c>
      <c r="L2700" s="18">
        <v>4132.0</v>
      </c>
      <c r="M2700" s="14">
        <f>STDEV(L2697:L2701)</f>
        <v>38028.37775</v>
      </c>
      <c r="N2700" s="15" t="b">
        <f t="shared" si="1"/>
        <v>0</v>
      </c>
    </row>
    <row r="2701" hidden="1">
      <c r="A2701" s="7" t="s">
        <v>548</v>
      </c>
      <c r="B2701" s="7" t="s">
        <v>519</v>
      </c>
      <c r="C2701" s="7">
        <v>0.1</v>
      </c>
      <c r="D2701" s="7">
        <v>0.5</v>
      </c>
      <c r="E2701" s="7">
        <v>10.0</v>
      </c>
      <c r="F2701" s="7">
        <v>9511.59203290939</v>
      </c>
      <c r="G2701" s="7">
        <v>9694.66656851768</v>
      </c>
      <c r="H2701" s="7">
        <v>4.0</v>
      </c>
      <c r="I2701" s="15">
        <v>0.864414451986685</v>
      </c>
      <c r="J2701" s="15">
        <v>0.137019345823243</v>
      </c>
      <c r="K2701" s="12">
        <f>AVERAGE(I2697:I2701)</f>
        <v>0.5219412158</v>
      </c>
      <c r="L2701" s="18">
        <v>1035.0</v>
      </c>
      <c r="M2701" s="14">
        <f>STDEV(L2697:L2701)</f>
        <v>38028.37775</v>
      </c>
      <c r="N2701" s="15" t="b">
        <f t="shared" si="1"/>
        <v>0</v>
      </c>
    </row>
    <row r="2702" hidden="1">
      <c r="A2702" s="7" t="s">
        <v>549</v>
      </c>
      <c r="B2702" s="7" t="s">
        <v>519</v>
      </c>
      <c r="C2702" s="7">
        <v>0.1</v>
      </c>
      <c r="D2702" s="7">
        <v>0.75</v>
      </c>
      <c r="E2702" s="7">
        <v>1.0</v>
      </c>
      <c r="F2702" s="7">
        <v>49330.9482955932</v>
      </c>
      <c r="G2702" s="7">
        <v>49524.1005818843</v>
      </c>
      <c r="H2702" s="7">
        <v>0.0</v>
      </c>
      <c r="I2702" s="15">
        <v>0.794157320657679</v>
      </c>
      <c r="J2702" s="15">
        <v>0.145009688404073</v>
      </c>
      <c r="K2702" s="12">
        <f>AVERAGE(I2702:I2706)</f>
        <v>0.441039664</v>
      </c>
      <c r="L2702" s="18">
        <v>1052.0</v>
      </c>
      <c r="M2702" s="14">
        <f>STDEV(L2702:L2706)</f>
        <v>29238.15127</v>
      </c>
      <c r="N2702" s="15" t="b">
        <f t="shared" si="1"/>
        <v>0</v>
      </c>
    </row>
    <row r="2703" hidden="1">
      <c r="A2703" s="7" t="s">
        <v>549</v>
      </c>
      <c r="B2703" s="7" t="s">
        <v>519</v>
      </c>
      <c r="C2703" s="7">
        <v>0.1</v>
      </c>
      <c r="D2703" s="7">
        <v>0.75</v>
      </c>
      <c r="E2703" s="7">
        <v>1.0</v>
      </c>
      <c r="F2703" s="7">
        <v>49330.9482955932</v>
      </c>
      <c r="G2703" s="7">
        <v>49524.1005818843</v>
      </c>
      <c r="H2703" s="7">
        <v>1.0</v>
      </c>
      <c r="I2703" s="15">
        <v>0.378432446732198</v>
      </c>
      <c r="J2703" s="15">
        <v>0.0875641479982061</v>
      </c>
      <c r="K2703" s="12">
        <f>AVERAGE(I2702:I2706)</f>
        <v>0.441039664</v>
      </c>
      <c r="L2703" s="18">
        <v>35427.0</v>
      </c>
      <c r="M2703" s="14">
        <f>STDEV(L2702:L2706)</f>
        <v>29238.15127</v>
      </c>
      <c r="N2703" s="15" t="b">
        <f t="shared" si="1"/>
        <v>0</v>
      </c>
    </row>
    <row r="2704" hidden="1">
      <c r="A2704" s="7" t="s">
        <v>549</v>
      </c>
      <c r="B2704" s="7" t="s">
        <v>519</v>
      </c>
      <c r="C2704" s="7">
        <v>0.1</v>
      </c>
      <c r="D2704" s="7">
        <v>0.75</v>
      </c>
      <c r="E2704" s="7">
        <v>1.0</v>
      </c>
      <c r="F2704" s="7">
        <v>49330.9482955932</v>
      </c>
      <c r="G2704" s="7">
        <v>49524.1005818843</v>
      </c>
      <c r="H2704" s="7">
        <v>2.0</v>
      </c>
      <c r="I2704" s="15">
        <v>0.79709729030102</v>
      </c>
      <c r="J2704" s="15">
        <v>0.121000457027859</v>
      </c>
      <c r="K2704" s="12">
        <f>AVERAGE(I2702:I2706)</f>
        <v>0.441039664</v>
      </c>
      <c r="L2704" s="18">
        <v>7484.0</v>
      </c>
      <c r="M2704" s="14">
        <f>STDEV(L2702:L2706)</f>
        <v>29238.15127</v>
      </c>
      <c r="N2704" s="15" t="b">
        <f t="shared" si="1"/>
        <v>0</v>
      </c>
    </row>
    <row r="2705" hidden="1">
      <c r="A2705" s="7" t="s">
        <v>549</v>
      </c>
      <c r="B2705" s="7" t="s">
        <v>519</v>
      </c>
      <c r="C2705" s="7">
        <v>0.1</v>
      </c>
      <c r="D2705" s="7">
        <v>0.75</v>
      </c>
      <c r="E2705" s="7">
        <v>1.0</v>
      </c>
      <c r="F2705" s="7">
        <v>49330.9482955932</v>
      </c>
      <c r="G2705" s="7">
        <v>49524.1005818843</v>
      </c>
      <c r="H2705" s="7">
        <v>3.0</v>
      </c>
      <c r="I2705" s="15">
        <v>0.204575244531102</v>
      </c>
      <c r="J2705" s="15">
        <v>0.0848490300600724</v>
      </c>
      <c r="K2705" s="12">
        <f>AVERAGE(I2702:I2706)</f>
        <v>0.441039664</v>
      </c>
      <c r="L2705" s="18">
        <v>22897.0</v>
      </c>
      <c r="M2705" s="14">
        <f>STDEV(L2702:L2706)</f>
        <v>29238.15127</v>
      </c>
      <c r="N2705" s="15" t="b">
        <f t="shared" si="1"/>
        <v>0</v>
      </c>
    </row>
    <row r="2706" hidden="1">
      <c r="A2706" s="7" t="s">
        <v>549</v>
      </c>
      <c r="B2706" s="7" t="s">
        <v>519</v>
      </c>
      <c r="C2706" s="7">
        <v>0.1</v>
      </c>
      <c r="D2706" s="7">
        <v>0.75</v>
      </c>
      <c r="E2706" s="7">
        <v>1.0</v>
      </c>
      <c r="F2706" s="7">
        <v>49330.9482955932</v>
      </c>
      <c r="G2706" s="7">
        <v>49524.1005818843</v>
      </c>
      <c r="H2706" s="7">
        <v>4.0</v>
      </c>
      <c r="I2706" s="15">
        <v>0.0309360176628078</v>
      </c>
      <c r="J2706" s="15">
        <v>0.207614129300295</v>
      </c>
      <c r="K2706" s="12">
        <f>AVERAGE(I2702:I2706)</f>
        <v>0.441039664</v>
      </c>
      <c r="L2706" s="18">
        <v>74816.0</v>
      </c>
      <c r="M2706" s="14">
        <f>STDEV(L2702:L2706)</f>
        <v>29238.15127</v>
      </c>
      <c r="N2706" s="15" t="b">
        <f t="shared" si="1"/>
        <v>0</v>
      </c>
    </row>
    <row r="2707" hidden="1">
      <c r="A2707" s="7" t="s">
        <v>550</v>
      </c>
      <c r="B2707" s="7" t="s">
        <v>519</v>
      </c>
      <c r="C2707" s="7">
        <v>0.1</v>
      </c>
      <c r="D2707" s="7">
        <v>0.75</v>
      </c>
      <c r="E2707" s="7">
        <v>2.0</v>
      </c>
      <c r="F2707" s="7">
        <v>19298.8076868057</v>
      </c>
      <c r="G2707" s="7">
        <v>19480.1776864528</v>
      </c>
      <c r="H2707" s="7">
        <v>0.0</v>
      </c>
      <c r="I2707" s="15">
        <v>0.0796484158979537</v>
      </c>
      <c r="J2707" s="15">
        <v>0.0492359468380016</v>
      </c>
      <c r="K2707" s="12">
        <f>AVERAGE(I2707:I2711)</f>
        <v>0.5431821442</v>
      </c>
      <c r="L2707" s="18">
        <v>116254.0</v>
      </c>
      <c r="M2707" s="14">
        <f>STDEV(L2707:L2711)</f>
        <v>49177.29607</v>
      </c>
      <c r="N2707" s="15" t="b">
        <f t="shared" si="1"/>
        <v>0</v>
      </c>
    </row>
    <row r="2708" hidden="1">
      <c r="A2708" s="7" t="s">
        <v>550</v>
      </c>
      <c r="B2708" s="7" t="s">
        <v>519</v>
      </c>
      <c r="C2708" s="7">
        <v>0.1</v>
      </c>
      <c r="D2708" s="7">
        <v>0.75</v>
      </c>
      <c r="E2708" s="7">
        <v>2.0</v>
      </c>
      <c r="F2708" s="7">
        <v>19298.8076868057</v>
      </c>
      <c r="G2708" s="7">
        <v>19480.1776864528</v>
      </c>
      <c r="H2708" s="7">
        <v>1.0</v>
      </c>
      <c r="I2708" s="15">
        <v>0.776137899688523</v>
      </c>
      <c r="J2708" s="15">
        <v>0.129268605373026</v>
      </c>
      <c r="K2708" s="12">
        <f>AVERAGE(I2707:I2711)</f>
        <v>0.5431821442</v>
      </c>
      <c r="L2708" s="18">
        <v>7731.0</v>
      </c>
      <c r="M2708" s="14">
        <f>STDEV(L2707:L2711)</f>
        <v>49177.29607</v>
      </c>
      <c r="N2708" s="15" t="b">
        <f t="shared" si="1"/>
        <v>0</v>
      </c>
    </row>
    <row r="2709" hidden="1">
      <c r="A2709" s="7" t="s">
        <v>550</v>
      </c>
      <c r="B2709" s="7" t="s">
        <v>519</v>
      </c>
      <c r="C2709" s="7">
        <v>0.1</v>
      </c>
      <c r="D2709" s="7">
        <v>0.75</v>
      </c>
      <c r="E2709" s="7">
        <v>2.0</v>
      </c>
      <c r="F2709" s="7">
        <v>19298.8076868057</v>
      </c>
      <c r="G2709" s="7">
        <v>19480.1776864528</v>
      </c>
      <c r="H2709" s="7">
        <v>2.0</v>
      </c>
      <c r="I2709" s="15">
        <v>0.831743149996651</v>
      </c>
      <c r="J2709" s="15">
        <v>0.100329457223901</v>
      </c>
      <c r="K2709" s="12">
        <f>AVERAGE(I2707:I2711)</f>
        <v>0.5431821442</v>
      </c>
      <c r="L2709" s="18">
        <v>5519.0</v>
      </c>
      <c r="M2709" s="14">
        <f>STDEV(L2707:L2711)</f>
        <v>49177.29607</v>
      </c>
      <c r="N2709" s="15" t="b">
        <f t="shared" si="1"/>
        <v>0</v>
      </c>
    </row>
    <row r="2710" hidden="1">
      <c r="A2710" s="7" t="s">
        <v>550</v>
      </c>
      <c r="B2710" s="7" t="s">
        <v>519</v>
      </c>
      <c r="C2710" s="7">
        <v>0.1</v>
      </c>
      <c r="D2710" s="7">
        <v>0.75</v>
      </c>
      <c r="E2710" s="7">
        <v>2.0</v>
      </c>
      <c r="F2710" s="7">
        <v>19298.8076868057</v>
      </c>
      <c r="G2710" s="7">
        <v>19480.1776864528</v>
      </c>
      <c r="H2710" s="7">
        <v>3.0</v>
      </c>
      <c r="I2710" s="15">
        <v>0.334414412305692</v>
      </c>
      <c r="J2710" s="15">
        <v>0.135380544203701</v>
      </c>
      <c r="K2710" s="12">
        <f>AVERAGE(I2707:I2711)</f>
        <v>0.5431821442</v>
      </c>
      <c r="L2710" s="18">
        <v>3995.0</v>
      </c>
      <c r="M2710" s="14">
        <f>STDEV(L2707:L2711)</f>
        <v>49177.29607</v>
      </c>
      <c r="N2710" s="15" t="b">
        <f t="shared" si="1"/>
        <v>0</v>
      </c>
    </row>
    <row r="2711" hidden="1">
      <c r="A2711" s="7" t="s">
        <v>550</v>
      </c>
      <c r="B2711" s="7" t="s">
        <v>519</v>
      </c>
      <c r="C2711" s="7">
        <v>0.1</v>
      </c>
      <c r="D2711" s="7">
        <v>0.75</v>
      </c>
      <c r="E2711" s="7">
        <v>2.0</v>
      </c>
      <c r="F2711" s="7">
        <v>19298.8076868057</v>
      </c>
      <c r="G2711" s="7">
        <v>19480.1776864528</v>
      </c>
      <c r="H2711" s="7">
        <v>4.0</v>
      </c>
      <c r="I2711" s="15">
        <v>0.693966843227858</v>
      </c>
      <c r="J2711" s="15">
        <v>0.234452277060407</v>
      </c>
      <c r="K2711" s="12">
        <f>AVERAGE(I2707:I2711)</f>
        <v>0.5431821442</v>
      </c>
      <c r="L2711" s="18">
        <v>8177.0</v>
      </c>
      <c r="M2711" s="14">
        <f>STDEV(L2707:L2711)</f>
        <v>49177.29607</v>
      </c>
      <c r="N2711" s="15" t="b">
        <f t="shared" si="1"/>
        <v>0</v>
      </c>
    </row>
    <row r="2712" hidden="1">
      <c r="A2712" s="7" t="s">
        <v>551</v>
      </c>
      <c r="B2712" s="7" t="s">
        <v>519</v>
      </c>
      <c r="C2712" s="7">
        <v>0.1</v>
      </c>
      <c r="D2712" s="7">
        <v>0.75</v>
      </c>
      <c r="E2712" s="7">
        <v>3.0</v>
      </c>
      <c r="F2712" s="7">
        <v>19677.0392746925</v>
      </c>
      <c r="G2712" s="7">
        <v>19856.9100897312</v>
      </c>
      <c r="H2712" s="7">
        <v>0.0</v>
      </c>
      <c r="I2712" s="15">
        <v>0.14776234615252</v>
      </c>
      <c r="J2712" s="15">
        <v>0.0759465157706259</v>
      </c>
      <c r="K2712" s="12">
        <f>AVERAGE(I2712:I2716)</f>
        <v>0.442087282</v>
      </c>
      <c r="L2712" s="18">
        <v>64063.0</v>
      </c>
      <c r="M2712" s="14">
        <f>STDEV(L2712:L2716)</f>
        <v>24010.82835</v>
      </c>
      <c r="N2712" s="15" t="b">
        <f t="shared" si="1"/>
        <v>0</v>
      </c>
    </row>
    <row r="2713" hidden="1">
      <c r="A2713" s="7" t="s">
        <v>551</v>
      </c>
      <c r="B2713" s="7" t="s">
        <v>519</v>
      </c>
      <c r="C2713" s="7">
        <v>0.1</v>
      </c>
      <c r="D2713" s="7">
        <v>0.75</v>
      </c>
      <c r="E2713" s="7">
        <v>3.0</v>
      </c>
      <c r="F2713" s="7">
        <v>19677.0392746925</v>
      </c>
      <c r="G2713" s="7">
        <v>19856.9100897312</v>
      </c>
      <c r="H2713" s="7">
        <v>1.0</v>
      </c>
      <c r="I2713" s="15">
        <v>0.378501113263019</v>
      </c>
      <c r="J2713" s="15">
        <v>0.182351656490118</v>
      </c>
      <c r="K2713" s="12">
        <f>AVERAGE(I2712:I2716)</f>
        <v>0.442087282</v>
      </c>
      <c r="L2713" s="18">
        <v>12165.0</v>
      </c>
      <c r="M2713" s="14">
        <f>STDEV(L2712:L2716)</f>
        <v>24010.82835</v>
      </c>
      <c r="N2713" s="15" t="b">
        <f t="shared" si="1"/>
        <v>0</v>
      </c>
    </row>
    <row r="2714" hidden="1">
      <c r="A2714" s="7" t="s">
        <v>551</v>
      </c>
      <c r="B2714" s="7" t="s">
        <v>519</v>
      </c>
      <c r="C2714" s="7">
        <v>0.1</v>
      </c>
      <c r="D2714" s="7">
        <v>0.75</v>
      </c>
      <c r="E2714" s="7">
        <v>3.0</v>
      </c>
      <c r="F2714" s="7">
        <v>19677.0392746925</v>
      </c>
      <c r="G2714" s="7">
        <v>19856.9100897312</v>
      </c>
      <c r="H2714" s="7">
        <v>2.0</v>
      </c>
      <c r="I2714" s="15">
        <v>0.0887557933522503</v>
      </c>
      <c r="J2714" s="15">
        <v>0.0590551690041622</v>
      </c>
      <c r="K2714" s="12">
        <f>AVERAGE(I2712:I2716)</f>
        <v>0.442087282</v>
      </c>
      <c r="L2714" s="18">
        <v>41077.0</v>
      </c>
      <c r="M2714" s="14">
        <f>STDEV(L2712:L2716)</f>
        <v>24010.82835</v>
      </c>
      <c r="N2714" s="15" t="b">
        <f t="shared" si="1"/>
        <v>0</v>
      </c>
    </row>
    <row r="2715" hidden="1">
      <c r="A2715" s="7" t="s">
        <v>551</v>
      </c>
      <c r="B2715" s="7" t="s">
        <v>519</v>
      </c>
      <c r="C2715" s="7">
        <v>0.1</v>
      </c>
      <c r="D2715" s="7">
        <v>0.75</v>
      </c>
      <c r="E2715" s="7">
        <v>3.0</v>
      </c>
      <c r="F2715" s="7">
        <v>19677.0392746925</v>
      </c>
      <c r="G2715" s="7">
        <v>19856.9100897312</v>
      </c>
      <c r="H2715" s="7">
        <v>3.0</v>
      </c>
      <c r="I2715" s="15">
        <v>0.80600601721297</v>
      </c>
      <c r="J2715" s="15">
        <v>0.119949689971415</v>
      </c>
      <c r="K2715" s="12">
        <f>AVERAGE(I2712:I2716)</f>
        <v>0.442087282</v>
      </c>
      <c r="L2715" s="18">
        <v>5699.0</v>
      </c>
      <c r="M2715" s="14">
        <f>STDEV(L2712:L2716)</f>
        <v>24010.82835</v>
      </c>
      <c r="N2715" s="15" t="b">
        <f t="shared" si="1"/>
        <v>0</v>
      </c>
    </row>
    <row r="2716" hidden="1">
      <c r="A2716" s="7" t="s">
        <v>551</v>
      </c>
      <c r="B2716" s="7" t="s">
        <v>519</v>
      </c>
      <c r="C2716" s="7">
        <v>0.1</v>
      </c>
      <c r="D2716" s="7">
        <v>0.75</v>
      </c>
      <c r="E2716" s="7">
        <v>3.0</v>
      </c>
      <c r="F2716" s="7">
        <v>19677.0392746925</v>
      </c>
      <c r="G2716" s="7">
        <v>19856.9100897312</v>
      </c>
      <c r="H2716" s="7">
        <v>4.0</v>
      </c>
      <c r="I2716" s="15">
        <v>0.789411139861544</v>
      </c>
      <c r="J2716" s="15">
        <v>0.102779120843122</v>
      </c>
      <c r="K2716" s="12">
        <f>AVERAGE(I2712:I2716)</f>
        <v>0.442087282</v>
      </c>
      <c r="L2716" s="18">
        <v>18672.0</v>
      </c>
      <c r="M2716" s="14">
        <f>STDEV(L2712:L2716)</f>
        <v>24010.82835</v>
      </c>
      <c r="N2716" s="15" t="b">
        <f t="shared" si="1"/>
        <v>0</v>
      </c>
    </row>
    <row r="2717" hidden="1">
      <c r="A2717" s="7" t="s">
        <v>552</v>
      </c>
      <c r="B2717" s="7" t="s">
        <v>519</v>
      </c>
      <c r="C2717" s="7">
        <v>0.1</v>
      </c>
      <c r="D2717" s="7">
        <v>0.75</v>
      </c>
      <c r="E2717" s="7">
        <v>4.0</v>
      </c>
      <c r="F2717" s="7">
        <v>23408.9178569316</v>
      </c>
      <c r="G2717" s="7">
        <v>23593.7919309139</v>
      </c>
      <c r="H2717" s="7">
        <v>0.0</v>
      </c>
      <c r="I2717" s="15">
        <v>0.430684289056504</v>
      </c>
      <c r="J2717" s="15">
        <v>0.167283327829596</v>
      </c>
      <c r="K2717" s="12">
        <f>AVERAGE(I2717:I2721)</f>
        <v>0.4521820409</v>
      </c>
      <c r="L2717" s="18">
        <v>23721.0</v>
      </c>
      <c r="M2717" s="14">
        <f>STDEV(L2717:L2721)</f>
        <v>19000.31798</v>
      </c>
      <c r="N2717" s="15" t="b">
        <f t="shared" si="1"/>
        <v>0</v>
      </c>
    </row>
    <row r="2718" hidden="1">
      <c r="A2718" s="7" t="s">
        <v>552</v>
      </c>
      <c r="B2718" s="7" t="s">
        <v>519</v>
      </c>
      <c r="C2718" s="7">
        <v>0.1</v>
      </c>
      <c r="D2718" s="7">
        <v>0.75</v>
      </c>
      <c r="E2718" s="7">
        <v>4.0</v>
      </c>
      <c r="F2718" s="7">
        <v>23408.9178569316</v>
      </c>
      <c r="G2718" s="7">
        <v>23593.7919309139</v>
      </c>
      <c r="H2718" s="7">
        <v>1.0</v>
      </c>
      <c r="I2718" s="15">
        <v>0.811271382199585</v>
      </c>
      <c r="J2718" s="15">
        <v>0.0762855623934034</v>
      </c>
      <c r="K2718" s="12">
        <f>AVERAGE(I2717:I2721)</f>
        <v>0.4521820409</v>
      </c>
      <c r="L2718" s="18">
        <v>4119.0</v>
      </c>
      <c r="M2718" s="14">
        <f>STDEV(L2717:L2721)</f>
        <v>19000.31798</v>
      </c>
      <c r="N2718" s="15" t="b">
        <f t="shared" si="1"/>
        <v>0</v>
      </c>
    </row>
    <row r="2719" hidden="1">
      <c r="A2719" s="7" t="s">
        <v>552</v>
      </c>
      <c r="B2719" s="7" t="s">
        <v>519</v>
      </c>
      <c r="C2719" s="7">
        <v>0.1</v>
      </c>
      <c r="D2719" s="7">
        <v>0.75</v>
      </c>
      <c r="E2719" s="7">
        <v>4.0</v>
      </c>
      <c r="F2719" s="7">
        <v>23408.9178569316</v>
      </c>
      <c r="G2719" s="7">
        <v>23593.7919309139</v>
      </c>
      <c r="H2719" s="7">
        <v>2.0</v>
      </c>
      <c r="I2719" s="15">
        <v>0.160258433339966</v>
      </c>
      <c r="J2719" s="15">
        <v>0.0872636883324111</v>
      </c>
      <c r="K2719" s="12">
        <f>AVERAGE(I2717:I2721)</f>
        <v>0.4521820409</v>
      </c>
      <c r="L2719" s="18">
        <v>48330.0</v>
      </c>
      <c r="M2719" s="14">
        <f>STDEV(L2717:L2721)</f>
        <v>19000.31798</v>
      </c>
      <c r="N2719" s="15" t="b">
        <f t="shared" si="1"/>
        <v>0</v>
      </c>
    </row>
    <row r="2720" hidden="1">
      <c r="A2720" s="7" t="s">
        <v>552</v>
      </c>
      <c r="B2720" s="7" t="s">
        <v>519</v>
      </c>
      <c r="C2720" s="7">
        <v>0.1</v>
      </c>
      <c r="D2720" s="7">
        <v>0.75</v>
      </c>
      <c r="E2720" s="7">
        <v>4.0</v>
      </c>
      <c r="F2720" s="7">
        <v>23408.9178569316</v>
      </c>
      <c r="G2720" s="7">
        <v>23593.7919309139</v>
      </c>
      <c r="H2720" s="7">
        <v>3.0</v>
      </c>
      <c r="I2720" s="15">
        <v>0.78950215235851</v>
      </c>
      <c r="J2720" s="15">
        <v>0.100637853183916</v>
      </c>
      <c r="K2720" s="12">
        <f>AVERAGE(I2717:I2721)</f>
        <v>0.4521820409</v>
      </c>
      <c r="L2720" s="18">
        <v>18655.0</v>
      </c>
      <c r="M2720" s="14">
        <f>STDEV(L2717:L2721)</f>
        <v>19000.31798</v>
      </c>
      <c r="N2720" s="15" t="b">
        <f t="shared" si="1"/>
        <v>0</v>
      </c>
    </row>
    <row r="2721" hidden="1">
      <c r="A2721" s="7" t="s">
        <v>552</v>
      </c>
      <c r="B2721" s="7" t="s">
        <v>519</v>
      </c>
      <c r="C2721" s="7">
        <v>0.1</v>
      </c>
      <c r="D2721" s="7">
        <v>0.75</v>
      </c>
      <c r="E2721" s="7">
        <v>4.0</v>
      </c>
      <c r="F2721" s="7">
        <v>23408.9178569316</v>
      </c>
      <c r="G2721" s="7">
        <v>23593.7919309139</v>
      </c>
      <c r="H2721" s="7">
        <v>4.0</v>
      </c>
      <c r="I2721" s="15">
        <v>0.0691939475814752</v>
      </c>
      <c r="J2721" s="15">
        <v>0.0476512487607621</v>
      </c>
      <c r="K2721" s="12">
        <f>AVERAGE(I2717:I2721)</f>
        <v>0.4521820409</v>
      </c>
      <c r="L2721" s="18">
        <v>46851.0</v>
      </c>
      <c r="M2721" s="14">
        <f>STDEV(L2717:L2721)</f>
        <v>19000.31798</v>
      </c>
      <c r="N2721" s="15" t="b">
        <f t="shared" si="1"/>
        <v>0</v>
      </c>
    </row>
    <row r="2722" hidden="1">
      <c r="A2722" s="7" t="s">
        <v>553</v>
      </c>
      <c r="B2722" s="7" t="s">
        <v>519</v>
      </c>
      <c r="C2722" s="7">
        <v>0.1</v>
      </c>
      <c r="D2722" s="7">
        <v>0.75</v>
      </c>
      <c r="E2722" s="7">
        <v>5.0</v>
      </c>
      <c r="F2722" s="7">
        <v>134835.966484069</v>
      </c>
      <c r="G2722" s="7">
        <v>135011.583873033</v>
      </c>
      <c r="H2722" s="7">
        <v>0.0</v>
      </c>
      <c r="I2722" s="15">
        <v>0.311143395878213</v>
      </c>
      <c r="J2722" s="15">
        <v>0.0887577942314525</v>
      </c>
      <c r="K2722" s="12">
        <f>AVERAGE(I2722:I2726)</f>
        <v>0.1832949759</v>
      </c>
      <c r="L2722" s="18">
        <v>16946.0</v>
      </c>
      <c r="M2722" s="14">
        <f>STDEV(L2722:L2726)</f>
        <v>28400.68749</v>
      </c>
      <c r="N2722" s="15" t="b">
        <f t="shared" si="1"/>
        <v>0</v>
      </c>
    </row>
    <row r="2723" hidden="1">
      <c r="A2723" s="7" t="s">
        <v>553</v>
      </c>
      <c r="B2723" s="7" t="s">
        <v>519</v>
      </c>
      <c r="C2723" s="7">
        <v>0.1</v>
      </c>
      <c r="D2723" s="7">
        <v>0.75</v>
      </c>
      <c r="E2723" s="7">
        <v>5.0</v>
      </c>
      <c r="F2723" s="7">
        <v>134835.966484069</v>
      </c>
      <c r="G2723" s="7">
        <v>135011.583873033</v>
      </c>
      <c r="H2723" s="7">
        <v>1.0</v>
      </c>
      <c r="I2723" s="15">
        <v>-0.06842414866341</v>
      </c>
      <c r="J2723" s="15">
        <v>0.158493451173315</v>
      </c>
      <c r="K2723" s="12">
        <f>AVERAGE(I2722:I2726)</f>
        <v>0.1832949759</v>
      </c>
      <c r="L2723" s="18">
        <v>71757.0</v>
      </c>
      <c r="M2723" s="14">
        <f>STDEV(L2722:L2726)</f>
        <v>28400.68749</v>
      </c>
      <c r="N2723" s="15" t="b">
        <f t="shared" si="1"/>
        <v>0</v>
      </c>
    </row>
    <row r="2724" hidden="1">
      <c r="A2724" s="7" t="s">
        <v>553</v>
      </c>
      <c r="B2724" s="7" t="s">
        <v>519</v>
      </c>
      <c r="C2724" s="7">
        <v>0.1</v>
      </c>
      <c r="D2724" s="7">
        <v>0.75</v>
      </c>
      <c r="E2724" s="7">
        <v>5.0</v>
      </c>
      <c r="F2724" s="7">
        <v>134835.966484069</v>
      </c>
      <c r="G2724" s="7">
        <v>135011.583873033</v>
      </c>
      <c r="H2724" s="7">
        <v>2.0</v>
      </c>
      <c r="I2724" s="15">
        <v>0.109607011733659</v>
      </c>
      <c r="J2724" s="15">
        <v>0.0739270380858599</v>
      </c>
      <c r="K2724" s="12">
        <f>AVERAGE(I2722:I2726)</f>
        <v>0.1832949759</v>
      </c>
      <c r="L2724" s="18">
        <v>5130.0</v>
      </c>
      <c r="M2724" s="14">
        <f>STDEV(L2722:L2726)</f>
        <v>28400.68749</v>
      </c>
      <c r="N2724" s="15" t="b">
        <f t="shared" si="1"/>
        <v>0</v>
      </c>
    </row>
    <row r="2725" hidden="1">
      <c r="A2725" s="7" t="s">
        <v>553</v>
      </c>
      <c r="B2725" s="7" t="s">
        <v>519</v>
      </c>
      <c r="C2725" s="7">
        <v>0.1</v>
      </c>
      <c r="D2725" s="7">
        <v>0.75</v>
      </c>
      <c r="E2725" s="7">
        <v>5.0</v>
      </c>
      <c r="F2725" s="7">
        <v>134835.966484069</v>
      </c>
      <c r="G2725" s="7">
        <v>135011.583873033</v>
      </c>
      <c r="H2725" s="7">
        <v>3.0</v>
      </c>
      <c r="I2725" s="15">
        <v>0.283043996088879</v>
      </c>
      <c r="J2725" s="15">
        <v>0.0983200773112242</v>
      </c>
      <c r="K2725" s="12">
        <f>AVERAGE(I2722:I2726)</f>
        <v>0.1832949759</v>
      </c>
      <c r="L2725" s="18">
        <v>41723.0</v>
      </c>
      <c r="M2725" s="14">
        <f>STDEV(L2722:L2726)</f>
        <v>28400.68749</v>
      </c>
      <c r="N2725" s="15" t="b">
        <f t="shared" si="1"/>
        <v>0</v>
      </c>
    </row>
    <row r="2726" hidden="1">
      <c r="A2726" s="7" t="s">
        <v>553</v>
      </c>
      <c r="B2726" s="7" t="s">
        <v>519</v>
      </c>
      <c r="C2726" s="7">
        <v>0.1</v>
      </c>
      <c r="D2726" s="7">
        <v>0.75</v>
      </c>
      <c r="E2726" s="7">
        <v>5.0</v>
      </c>
      <c r="F2726" s="7">
        <v>134835.966484069</v>
      </c>
      <c r="G2726" s="7">
        <v>135011.583873033</v>
      </c>
      <c r="H2726" s="7">
        <v>4.0</v>
      </c>
      <c r="I2726" s="15">
        <v>0.281104624559549</v>
      </c>
      <c r="J2726" s="15">
        <v>0.0736033817500674</v>
      </c>
      <c r="K2726" s="12">
        <f>AVERAGE(I2722:I2726)</f>
        <v>0.1832949759</v>
      </c>
      <c r="L2726" s="18">
        <v>6120.0</v>
      </c>
      <c r="M2726" s="14">
        <f>STDEV(L2722:L2726)</f>
        <v>28400.68749</v>
      </c>
      <c r="N2726" s="15" t="b">
        <f t="shared" si="1"/>
        <v>0</v>
      </c>
    </row>
    <row r="2727" hidden="1">
      <c r="A2727" s="7" t="s">
        <v>554</v>
      </c>
      <c r="B2727" s="7" t="s">
        <v>519</v>
      </c>
      <c r="C2727" s="7">
        <v>0.1</v>
      </c>
      <c r="D2727" s="7">
        <v>0.75</v>
      </c>
      <c r="E2727" s="7">
        <v>6.0</v>
      </c>
      <c r="F2727" s="7">
        <v>134688.039716005</v>
      </c>
      <c r="G2727" s="7">
        <v>134865.869744539</v>
      </c>
      <c r="H2727" s="7">
        <v>0.0</v>
      </c>
      <c r="I2727" s="15">
        <v>0.581212834083528</v>
      </c>
      <c r="J2727" s="15">
        <v>0.148301917016735</v>
      </c>
      <c r="K2727" s="12">
        <f>AVERAGE(I2727:I2731)</f>
        <v>0.3621197233</v>
      </c>
      <c r="L2727" s="18">
        <v>3994.0</v>
      </c>
      <c r="M2727" s="14">
        <f>STDEV(L2727:L2731)</f>
        <v>24107.91424</v>
      </c>
      <c r="N2727" s="15" t="b">
        <f t="shared" si="1"/>
        <v>0</v>
      </c>
    </row>
    <row r="2728" hidden="1">
      <c r="A2728" s="7" t="s">
        <v>554</v>
      </c>
      <c r="B2728" s="7" t="s">
        <v>519</v>
      </c>
      <c r="C2728" s="7">
        <v>0.1</v>
      </c>
      <c r="D2728" s="7">
        <v>0.75</v>
      </c>
      <c r="E2728" s="7">
        <v>6.0</v>
      </c>
      <c r="F2728" s="7">
        <v>134688.039716005</v>
      </c>
      <c r="G2728" s="7">
        <v>134865.869744539</v>
      </c>
      <c r="H2728" s="7">
        <v>1.0</v>
      </c>
      <c r="I2728" s="15">
        <v>0.118117597238003</v>
      </c>
      <c r="J2728" s="15">
        <v>0.0987808444906246</v>
      </c>
      <c r="K2728" s="12">
        <f>AVERAGE(I2727:I2731)</f>
        <v>0.3621197233</v>
      </c>
      <c r="L2728" s="18">
        <v>59484.0</v>
      </c>
      <c r="M2728" s="14">
        <f>STDEV(L2727:L2731)</f>
        <v>24107.91424</v>
      </c>
      <c r="N2728" s="15" t="b">
        <f t="shared" si="1"/>
        <v>0</v>
      </c>
    </row>
    <row r="2729" hidden="1">
      <c r="A2729" s="7" t="s">
        <v>554</v>
      </c>
      <c r="B2729" s="7" t="s">
        <v>519</v>
      </c>
      <c r="C2729" s="7">
        <v>0.1</v>
      </c>
      <c r="D2729" s="7">
        <v>0.75</v>
      </c>
      <c r="E2729" s="7">
        <v>6.0</v>
      </c>
      <c r="F2729" s="7">
        <v>134688.039716005</v>
      </c>
      <c r="G2729" s="7">
        <v>134865.869744539</v>
      </c>
      <c r="H2729" s="7">
        <v>2.0</v>
      </c>
      <c r="I2729" s="15">
        <v>-0.0729791953673212</v>
      </c>
      <c r="J2729" s="15">
        <v>0.346317076333174</v>
      </c>
      <c r="K2729" s="12">
        <f>AVERAGE(I2727:I2731)</f>
        <v>0.3621197233</v>
      </c>
      <c r="L2729" s="18">
        <v>46340.0</v>
      </c>
      <c r="M2729" s="14">
        <f>STDEV(L2727:L2731)</f>
        <v>24107.91424</v>
      </c>
      <c r="N2729" s="15" t="b">
        <f t="shared" si="1"/>
        <v>0</v>
      </c>
    </row>
    <row r="2730" hidden="1">
      <c r="A2730" s="7" t="s">
        <v>554</v>
      </c>
      <c r="B2730" s="7" t="s">
        <v>519</v>
      </c>
      <c r="C2730" s="7">
        <v>0.1</v>
      </c>
      <c r="D2730" s="7">
        <v>0.75</v>
      </c>
      <c r="E2730" s="7">
        <v>6.0</v>
      </c>
      <c r="F2730" s="7">
        <v>134688.039716005</v>
      </c>
      <c r="G2730" s="7">
        <v>134865.869744539</v>
      </c>
      <c r="H2730" s="7">
        <v>3.0</v>
      </c>
      <c r="I2730" s="15">
        <v>0.761207261353692</v>
      </c>
      <c r="J2730" s="15">
        <v>0.137835227770179</v>
      </c>
      <c r="K2730" s="12">
        <f>AVERAGE(I2727:I2731)</f>
        <v>0.3621197233</v>
      </c>
      <c r="L2730" s="18">
        <v>7866.0</v>
      </c>
      <c r="M2730" s="14">
        <f>STDEV(L2727:L2731)</f>
        <v>24107.91424</v>
      </c>
      <c r="N2730" s="15" t="b">
        <f t="shared" si="1"/>
        <v>0</v>
      </c>
    </row>
    <row r="2731" hidden="1">
      <c r="A2731" s="7" t="s">
        <v>554</v>
      </c>
      <c r="B2731" s="7" t="s">
        <v>519</v>
      </c>
      <c r="C2731" s="7">
        <v>0.1</v>
      </c>
      <c r="D2731" s="7">
        <v>0.75</v>
      </c>
      <c r="E2731" s="7">
        <v>6.0</v>
      </c>
      <c r="F2731" s="7">
        <v>134688.039716005</v>
      </c>
      <c r="G2731" s="7">
        <v>134865.869744539</v>
      </c>
      <c r="H2731" s="7">
        <v>4.0</v>
      </c>
      <c r="I2731" s="15">
        <v>0.423040119300307</v>
      </c>
      <c r="J2731" s="15">
        <v>0.172302295369172</v>
      </c>
      <c r="K2731" s="12">
        <f>AVERAGE(I2727:I2731)</f>
        <v>0.3621197233</v>
      </c>
      <c r="L2731" s="18">
        <v>23992.0</v>
      </c>
      <c r="M2731" s="14">
        <f>STDEV(L2727:L2731)</f>
        <v>24107.91424</v>
      </c>
      <c r="N2731" s="15" t="b">
        <f t="shared" si="1"/>
        <v>0</v>
      </c>
    </row>
    <row r="2732" hidden="1">
      <c r="A2732" s="7" t="s">
        <v>555</v>
      </c>
      <c r="B2732" s="7" t="s">
        <v>519</v>
      </c>
      <c r="C2732" s="7">
        <v>0.1</v>
      </c>
      <c r="D2732" s="7">
        <v>0.75</v>
      </c>
      <c r="E2732" s="7">
        <v>7.0</v>
      </c>
      <c r="F2732" s="7">
        <v>23502.6460840702</v>
      </c>
      <c r="G2732" s="7">
        <v>23674.7940852642</v>
      </c>
      <c r="H2732" s="7">
        <v>0.0</v>
      </c>
      <c r="I2732" s="15">
        <v>0.107391265029598</v>
      </c>
      <c r="J2732" s="15">
        <v>0.0802991336658302</v>
      </c>
      <c r="K2732" s="12">
        <f>AVERAGE(I2732:I2736)</f>
        <v>0.4693386881</v>
      </c>
      <c r="L2732" s="18">
        <v>67553.0</v>
      </c>
      <c r="M2732" s="14">
        <f>STDEV(L2732:L2736)</f>
        <v>30031.06575</v>
      </c>
      <c r="N2732" s="15" t="b">
        <f t="shared" si="1"/>
        <v>0</v>
      </c>
    </row>
    <row r="2733" hidden="1">
      <c r="A2733" s="7" t="s">
        <v>555</v>
      </c>
      <c r="B2733" s="7" t="s">
        <v>519</v>
      </c>
      <c r="C2733" s="7">
        <v>0.1</v>
      </c>
      <c r="D2733" s="7">
        <v>0.75</v>
      </c>
      <c r="E2733" s="7">
        <v>7.0</v>
      </c>
      <c r="F2733" s="7">
        <v>23502.6460840702</v>
      </c>
      <c r="G2733" s="7">
        <v>23674.7940852642</v>
      </c>
      <c r="H2733" s="7">
        <v>1.0</v>
      </c>
      <c r="I2733" s="15">
        <v>0.759500700539553</v>
      </c>
      <c r="J2733" s="15">
        <v>0.140280526021291</v>
      </c>
      <c r="K2733" s="12">
        <f>AVERAGE(I2732:I2736)</f>
        <v>0.4693386881</v>
      </c>
      <c r="L2733" s="18">
        <v>15955.0</v>
      </c>
      <c r="M2733" s="14">
        <f>STDEV(L2732:L2736)</f>
        <v>30031.06575</v>
      </c>
      <c r="N2733" s="15" t="b">
        <f t="shared" si="1"/>
        <v>0</v>
      </c>
    </row>
    <row r="2734" hidden="1">
      <c r="A2734" s="7" t="s">
        <v>555</v>
      </c>
      <c r="B2734" s="7" t="s">
        <v>519</v>
      </c>
      <c r="C2734" s="7">
        <v>0.1</v>
      </c>
      <c r="D2734" s="7">
        <v>0.75</v>
      </c>
      <c r="E2734" s="7">
        <v>7.0</v>
      </c>
      <c r="F2734" s="7">
        <v>23502.6460840702</v>
      </c>
      <c r="G2734" s="7">
        <v>23674.7940852642</v>
      </c>
      <c r="H2734" s="7">
        <v>2.0</v>
      </c>
      <c r="I2734" s="15">
        <v>0.909506223817767</v>
      </c>
      <c r="J2734" s="15">
        <v>0.0443673890695439</v>
      </c>
      <c r="K2734" s="12">
        <f>AVERAGE(I2732:I2736)</f>
        <v>0.4693386881</v>
      </c>
      <c r="L2734" s="18">
        <v>2064.0</v>
      </c>
      <c r="M2734" s="14">
        <f>STDEV(L2732:L2736)</f>
        <v>30031.06575</v>
      </c>
      <c r="N2734" s="15" t="b">
        <f t="shared" si="1"/>
        <v>0</v>
      </c>
    </row>
    <row r="2735" hidden="1">
      <c r="A2735" s="7" t="s">
        <v>555</v>
      </c>
      <c r="B2735" s="7" t="s">
        <v>519</v>
      </c>
      <c r="C2735" s="7">
        <v>0.1</v>
      </c>
      <c r="D2735" s="7">
        <v>0.75</v>
      </c>
      <c r="E2735" s="7">
        <v>7.0</v>
      </c>
      <c r="F2735" s="7">
        <v>23502.6460840702</v>
      </c>
      <c r="G2735" s="7">
        <v>23674.7940852642</v>
      </c>
      <c r="H2735" s="7">
        <v>3.0</v>
      </c>
      <c r="I2735" s="15">
        <v>0.432947008474056</v>
      </c>
      <c r="J2735" s="15">
        <v>0.223199636340268</v>
      </c>
      <c r="K2735" s="12">
        <f>AVERAGE(I2732:I2736)</f>
        <v>0.4693386881</v>
      </c>
      <c r="L2735" s="18">
        <v>3295.0</v>
      </c>
      <c r="M2735" s="14">
        <f>STDEV(L2732:L2736)</f>
        <v>30031.06575</v>
      </c>
      <c r="N2735" s="15" t="b">
        <f t="shared" si="1"/>
        <v>0</v>
      </c>
    </row>
    <row r="2736" hidden="1">
      <c r="A2736" s="7" t="s">
        <v>555</v>
      </c>
      <c r="B2736" s="7" t="s">
        <v>519</v>
      </c>
      <c r="C2736" s="7">
        <v>0.1</v>
      </c>
      <c r="D2736" s="7">
        <v>0.75</v>
      </c>
      <c r="E2736" s="7">
        <v>7.0</v>
      </c>
      <c r="F2736" s="7">
        <v>23502.6460840702</v>
      </c>
      <c r="G2736" s="7">
        <v>23674.7940852642</v>
      </c>
      <c r="H2736" s="7">
        <v>4.0</v>
      </c>
      <c r="I2736" s="15">
        <v>0.137348242835398</v>
      </c>
      <c r="J2736" s="15">
        <v>0.0857259872952131</v>
      </c>
      <c r="K2736" s="12">
        <f>AVERAGE(I2732:I2736)</f>
        <v>0.4693386881</v>
      </c>
      <c r="L2736" s="18">
        <v>52809.0</v>
      </c>
      <c r="M2736" s="14">
        <f>STDEV(L2732:L2736)</f>
        <v>30031.06575</v>
      </c>
      <c r="N2736" s="15" t="b">
        <f t="shared" si="1"/>
        <v>0</v>
      </c>
    </row>
    <row r="2737" hidden="1">
      <c r="A2737" s="7" t="s">
        <v>556</v>
      </c>
      <c r="B2737" s="7" t="s">
        <v>519</v>
      </c>
      <c r="C2737" s="7">
        <v>0.1</v>
      </c>
      <c r="D2737" s="7">
        <v>0.75</v>
      </c>
      <c r="E2737" s="7">
        <v>8.0</v>
      </c>
      <c r="F2737" s="7">
        <v>23376.9003276824</v>
      </c>
      <c r="G2737" s="7">
        <v>23547.4865398407</v>
      </c>
      <c r="H2737" s="7">
        <v>0.0</v>
      </c>
      <c r="I2737" s="15">
        <v>0.115700988831694</v>
      </c>
      <c r="J2737" s="15">
        <v>0.0952082294060891</v>
      </c>
      <c r="K2737" s="12">
        <f>AVERAGE(I2737:I2741)</f>
        <v>0.4751628383</v>
      </c>
      <c r="L2737" s="18">
        <v>57826.0</v>
      </c>
      <c r="M2737" s="14">
        <f>STDEV(L2737:L2741)</f>
        <v>26531.51166</v>
      </c>
      <c r="N2737" s="15" t="b">
        <f t="shared" si="1"/>
        <v>0</v>
      </c>
    </row>
    <row r="2738" hidden="1">
      <c r="A2738" s="7" t="s">
        <v>556</v>
      </c>
      <c r="B2738" s="7" t="s">
        <v>519</v>
      </c>
      <c r="C2738" s="7">
        <v>0.1</v>
      </c>
      <c r="D2738" s="7">
        <v>0.75</v>
      </c>
      <c r="E2738" s="7">
        <v>8.0</v>
      </c>
      <c r="F2738" s="7">
        <v>23376.9003276824</v>
      </c>
      <c r="G2738" s="7">
        <v>23547.4865398407</v>
      </c>
      <c r="H2738" s="7">
        <v>1.0</v>
      </c>
      <c r="I2738" s="15">
        <v>0.790361722233324</v>
      </c>
      <c r="J2738" s="15">
        <v>0.102159470313915</v>
      </c>
      <c r="K2738" s="12">
        <f>AVERAGE(I2737:I2741)</f>
        <v>0.4751628383</v>
      </c>
      <c r="L2738" s="18">
        <v>18666.0</v>
      </c>
      <c r="M2738" s="14">
        <f>STDEV(L2737:L2741)</f>
        <v>26531.51166</v>
      </c>
      <c r="N2738" s="15" t="b">
        <f t="shared" si="1"/>
        <v>0</v>
      </c>
    </row>
    <row r="2739" hidden="1">
      <c r="A2739" s="7" t="s">
        <v>556</v>
      </c>
      <c r="B2739" s="7" t="s">
        <v>519</v>
      </c>
      <c r="C2739" s="7">
        <v>0.1</v>
      </c>
      <c r="D2739" s="7">
        <v>0.75</v>
      </c>
      <c r="E2739" s="7">
        <v>8.0</v>
      </c>
      <c r="F2739" s="7">
        <v>23376.9003276824</v>
      </c>
      <c r="G2739" s="7">
        <v>23547.4865398407</v>
      </c>
      <c r="H2739" s="7">
        <v>2.0</v>
      </c>
      <c r="I2739" s="15">
        <v>0.605993272987786</v>
      </c>
      <c r="J2739" s="15">
        <v>0.251188248834774</v>
      </c>
      <c r="K2739" s="12">
        <f>AVERAGE(I2737:I2741)</f>
        <v>0.4751628383</v>
      </c>
      <c r="L2739" s="18">
        <v>8831.0</v>
      </c>
      <c r="M2739" s="14">
        <f>STDEV(L2737:L2741)</f>
        <v>26531.51166</v>
      </c>
      <c r="N2739" s="15" t="b">
        <f t="shared" si="1"/>
        <v>0</v>
      </c>
    </row>
    <row r="2740" hidden="1">
      <c r="A2740" s="7" t="s">
        <v>556</v>
      </c>
      <c r="B2740" s="7" t="s">
        <v>519</v>
      </c>
      <c r="C2740" s="7">
        <v>0.1</v>
      </c>
      <c r="D2740" s="7">
        <v>0.75</v>
      </c>
      <c r="E2740" s="7">
        <v>8.0</v>
      </c>
      <c r="F2740" s="7">
        <v>23376.9003276824</v>
      </c>
      <c r="G2740" s="7">
        <v>23547.4865398407</v>
      </c>
      <c r="H2740" s="7">
        <v>3.0</v>
      </c>
      <c r="I2740" s="15">
        <v>0.792177398194174</v>
      </c>
      <c r="J2740" s="15">
        <v>0.157373471624858</v>
      </c>
      <c r="K2740" s="12">
        <f>AVERAGE(I2737:I2741)</f>
        <v>0.4751628383</v>
      </c>
      <c r="L2740" s="18">
        <v>1047.0</v>
      </c>
      <c r="M2740" s="14">
        <f>STDEV(L2737:L2741)</f>
        <v>26531.51166</v>
      </c>
      <c r="N2740" s="15" t="b">
        <f t="shared" si="1"/>
        <v>0</v>
      </c>
    </row>
    <row r="2741" hidden="1">
      <c r="A2741" s="7" t="s">
        <v>556</v>
      </c>
      <c r="B2741" s="7" t="s">
        <v>519</v>
      </c>
      <c r="C2741" s="7">
        <v>0.1</v>
      </c>
      <c r="D2741" s="7">
        <v>0.75</v>
      </c>
      <c r="E2741" s="7">
        <v>8.0</v>
      </c>
      <c r="F2741" s="7">
        <v>23376.9003276824</v>
      </c>
      <c r="G2741" s="7">
        <v>23547.4865398407</v>
      </c>
      <c r="H2741" s="7">
        <v>4.0</v>
      </c>
      <c r="I2741" s="15">
        <v>0.0715808092727727</v>
      </c>
      <c r="J2741" s="15">
        <v>0.254551499126499</v>
      </c>
      <c r="K2741" s="12">
        <f>AVERAGE(I2737:I2741)</f>
        <v>0.4751628383</v>
      </c>
      <c r="L2741" s="18">
        <v>55306.0</v>
      </c>
      <c r="M2741" s="14">
        <f>STDEV(L2737:L2741)</f>
        <v>26531.51166</v>
      </c>
      <c r="N2741" s="15" t="b">
        <f t="shared" si="1"/>
        <v>0</v>
      </c>
    </row>
    <row r="2742" hidden="1">
      <c r="A2742" s="7" t="s">
        <v>557</v>
      </c>
      <c r="B2742" s="7" t="s">
        <v>519</v>
      </c>
      <c r="C2742" s="7">
        <v>0.1</v>
      </c>
      <c r="D2742" s="7">
        <v>0.75</v>
      </c>
      <c r="E2742" s="7">
        <v>9.0</v>
      </c>
      <c r="F2742" s="7">
        <v>23303.1766555309</v>
      </c>
      <c r="G2742" s="7">
        <v>23486.3762001991</v>
      </c>
      <c r="H2742" s="7">
        <v>0.0</v>
      </c>
      <c r="I2742" s="15">
        <v>0.816896187372553</v>
      </c>
      <c r="J2742" s="15">
        <v>0.104278638668149</v>
      </c>
      <c r="K2742" s="12">
        <f>AVERAGE(I2742:I2746)</f>
        <v>0.5212509737</v>
      </c>
      <c r="L2742" s="18">
        <v>6648.0</v>
      </c>
      <c r="M2742" s="14">
        <f>STDEV(L2742:L2746)</f>
        <v>34667.88662</v>
      </c>
      <c r="N2742" s="15" t="b">
        <f t="shared" si="1"/>
        <v>0</v>
      </c>
    </row>
    <row r="2743" hidden="1">
      <c r="A2743" s="7" t="s">
        <v>557</v>
      </c>
      <c r="B2743" s="7" t="s">
        <v>519</v>
      </c>
      <c r="C2743" s="7">
        <v>0.1</v>
      </c>
      <c r="D2743" s="7">
        <v>0.75</v>
      </c>
      <c r="E2743" s="7">
        <v>9.0</v>
      </c>
      <c r="F2743" s="7">
        <v>23303.1766555309</v>
      </c>
      <c r="G2743" s="7">
        <v>23486.3762001991</v>
      </c>
      <c r="H2743" s="7">
        <v>1.0</v>
      </c>
      <c r="I2743" s="15">
        <v>0.0914228942645742</v>
      </c>
      <c r="J2743" s="15">
        <v>0.0595743970887167</v>
      </c>
      <c r="K2743" s="12">
        <f>AVERAGE(I2742:I2746)</f>
        <v>0.5212509737</v>
      </c>
      <c r="L2743" s="18">
        <v>43742.0</v>
      </c>
      <c r="M2743" s="14">
        <f>STDEV(L2742:L2746)</f>
        <v>34667.88662</v>
      </c>
      <c r="N2743" s="15" t="b">
        <f t="shared" si="1"/>
        <v>0</v>
      </c>
    </row>
    <row r="2744" hidden="1">
      <c r="A2744" s="7" t="s">
        <v>557</v>
      </c>
      <c r="B2744" s="7" t="s">
        <v>519</v>
      </c>
      <c r="C2744" s="7">
        <v>0.1</v>
      </c>
      <c r="D2744" s="7">
        <v>0.75</v>
      </c>
      <c r="E2744" s="7">
        <v>9.0</v>
      </c>
      <c r="F2744" s="7">
        <v>23303.1766555309</v>
      </c>
      <c r="G2744" s="7">
        <v>23486.3762001991</v>
      </c>
      <c r="H2744" s="7">
        <v>2.0</v>
      </c>
      <c r="I2744" s="15">
        <v>0.138535496032826</v>
      </c>
      <c r="J2744" s="15">
        <v>0.0602863105697087</v>
      </c>
      <c r="K2744" s="12">
        <f>AVERAGE(I2742:I2746)</f>
        <v>0.5212509737</v>
      </c>
      <c r="L2744" s="18">
        <v>82556.0</v>
      </c>
      <c r="M2744" s="14">
        <f>STDEV(L2742:L2746)</f>
        <v>34667.88662</v>
      </c>
      <c r="N2744" s="15" t="b">
        <f t="shared" si="1"/>
        <v>0</v>
      </c>
    </row>
    <row r="2745" hidden="1">
      <c r="A2745" s="7" t="s">
        <v>557</v>
      </c>
      <c r="B2745" s="7" t="s">
        <v>519</v>
      </c>
      <c r="C2745" s="7">
        <v>0.1</v>
      </c>
      <c r="D2745" s="7">
        <v>0.75</v>
      </c>
      <c r="E2745" s="7">
        <v>9.0</v>
      </c>
      <c r="F2745" s="7">
        <v>23303.1766555309</v>
      </c>
      <c r="G2745" s="7">
        <v>23486.3762001991</v>
      </c>
      <c r="H2745" s="7">
        <v>3.0</v>
      </c>
      <c r="I2745" s="15">
        <v>0.912094777346585</v>
      </c>
      <c r="J2745" s="15">
        <v>0.0355106338946022</v>
      </c>
      <c r="K2745" s="12">
        <f>AVERAGE(I2742:I2746)</f>
        <v>0.5212509737</v>
      </c>
      <c r="L2745" s="18">
        <v>2051.0</v>
      </c>
      <c r="M2745" s="14">
        <f>STDEV(L2742:L2746)</f>
        <v>34667.88662</v>
      </c>
      <c r="N2745" s="15" t="b">
        <f t="shared" si="1"/>
        <v>0</v>
      </c>
    </row>
    <row r="2746" hidden="1">
      <c r="A2746" s="7" t="s">
        <v>557</v>
      </c>
      <c r="B2746" s="7" t="s">
        <v>519</v>
      </c>
      <c r="C2746" s="7">
        <v>0.1</v>
      </c>
      <c r="D2746" s="7">
        <v>0.75</v>
      </c>
      <c r="E2746" s="7">
        <v>9.0</v>
      </c>
      <c r="F2746" s="7">
        <v>23303.1766555309</v>
      </c>
      <c r="G2746" s="7">
        <v>23486.3762001991</v>
      </c>
      <c r="H2746" s="7">
        <v>4.0</v>
      </c>
      <c r="I2746" s="15">
        <v>0.647305513595098</v>
      </c>
      <c r="J2746" s="15">
        <v>0.240819487946588</v>
      </c>
      <c r="K2746" s="12">
        <f>AVERAGE(I2742:I2746)</f>
        <v>0.5212509737</v>
      </c>
      <c r="L2746" s="18">
        <v>6679.0</v>
      </c>
      <c r="M2746" s="14">
        <f>STDEV(L2742:L2746)</f>
        <v>34667.88662</v>
      </c>
      <c r="N2746" s="15" t="b">
        <f t="shared" si="1"/>
        <v>0</v>
      </c>
    </row>
    <row r="2747" hidden="1">
      <c r="A2747" s="7" t="s">
        <v>558</v>
      </c>
      <c r="B2747" s="7" t="s">
        <v>519</v>
      </c>
      <c r="C2747" s="7">
        <v>0.1</v>
      </c>
      <c r="D2747" s="7">
        <v>0.75</v>
      </c>
      <c r="E2747" s="7">
        <v>10.0</v>
      </c>
      <c r="F2747" s="7">
        <v>31012.1209299564</v>
      </c>
      <c r="G2747" s="7">
        <v>31186.8922746181</v>
      </c>
      <c r="H2747" s="7">
        <v>0.0</v>
      </c>
      <c r="I2747" s="15">
        <v>0.166660105415648</v>
      </c>
      <c r="J2747" s="15">
        <v>0.0905605325148741</v>
      </c>
      <c r="K2747" s="12">
        <f>AVERAGE(I2747:I2751)</f>
        <v>0.4189016898</v>
      </c>
      <c r="L2747" s="18">
        <v>47466.0</v>
      </c>
      <c r="M2747" s="14">
        <f>STDEV(L2747:L2751)</f>
        <v>20027.08727</v>
      </c>
      <c r="N2747" s="15" t="b">
        <f t="shared" si="1"/>
        <v>0</v>
      </c>
    </row>
    <row r="2748" hidden="1">
      <c r="A2748" s="7" t="s">
        <v>558</v>
      </c>
      <c r="B2748" s="7" t="s">
        <v>519</v>
      </c>
      <c r="C2748" s="7">
        <v>0.1</v>
      </c>
      <c r="D2748" s="7">
        <v>0.75</v>
      </c>
      <c r="E2748" s="7">
        <v>10.0</v>
      </c>
      <c r="F2748" s="7">
        <v>31012.1209299564</v>
      </c>
      <c r="G2748" s="7">
        <v>31186.8922746181</v>
      </c>
      <c r="H2748" s="7">
        <v>1.0</v>
      </c>
      <c r="I2748" s="15">
        <v>0.788755293397089</v>
      </c>
      <c r="J2748" s="15">
        <v>0.104337691655109</v>
      </c>
      <c r="K2748" s="12">
        <f>AVERAGE(I2747:I2751)</f>
        <v>0.4189016898</v>
      </c>
      <c r="L2748" s="18">
        <v>18655.0</v>
      </c>
      <c r="M2748" s="14">
        <f>STDEV(L2747:L2751)</f>
        <v>20027.08727</v>
      </c>
      <c r="N2748" s="15" t="b">
        <f t="shared" si="1"/>
        <v>0</v>
      </c>
    </row>
    <row r="2749" hidden="1">
      <c r="A2749" s="7" t="s">
        <v>558</v>
      </c>
      <c r="B2749" s="7" t="s">
        <v>519</v>
      </c>
      <c r="C2749" s="7">
        <v>0.1</v>
      </c>
      <c r="D2749" s="7">
        <v>0.75</v>
      </c>
      <c r="E2749" s="7">
        <v>10.0</v>
      </c>
      <c r="F2749" s="7">
        <v>31012.1209299564</v>
      </c>
      <c r="G2749" s="7">
        <v>31186.8922746181</v>
      </c>
      <c r="H2749" s="7">
        <v>2.0</v>
      </c>
      <c r="I2749" s="15">
        <v>0.0634973970527632</v>
      </c>
      <c r="J2749" s="15">
        <v>0.0510760568598608</v>
      </c>
      <c r="K2749" s="12">
        <f>AVERAGE(I2747:I2751)</f>
        <v>0.4189016898</v>
      </c>
      <c r="L2749" s="18">
        <v>49498.0</v>
      </c>
      <c r="M2749" s="14">
        <f>STDEV(L2747:L2751)</f>
        <v>20027.08727</v>
      </c>
      <c r="N2749" s="15" t="b">
        <f t="shared" si="1"/>
        <v>0</v>
      </c>
    </row>
    <row r="2750" hidden="1">
      <c r="A2750" s="7" t="s">
        <v>558</v>
      </c>
      <c r="B2750" s="7" t="s">
        <v>519</v>
      </c>
      <c r="C2750" s="7">
        <v>0.1</v>
      </c>
      <c r="D2750" s="7">
        <v>0.75</v>
      </c>
      <c r="E2750" s="7">
        <v>10.0</v>
      </c>
      <c r="F2750" s="7">
        <v>31012.1209299564</v>
      </c>
      <c r="G2750" s="7">
        <v>31186.8922746181</v>
      </c>
      <c r="H2750" s="7">
        <v>3.0</v>
      </c>
      <c r="I2750" s="15">
        <v>0.645884328896795</v>
      </c>
      <c r="J2750" s="15">
        <v>0.126440787202157</v>
      </c>
      <c r="K2750" s="12">
        <f>AVERAGE(I2747:I2751)</f>
        <v>0.4189016898</v>
      </c>
      <c r="L2750" s="18">
        <v>2347.0</v>
      </c>
      <c r="M2750" s="14">
        <f>STDEV(L2747:L2751)</f>
        <v>20027.08727</v>
      </c>
      <c r="N2750" s="15" t="b">
        <f t="shared" si="1"/>
        <v>0</v>
      </c>
    </row>
    <row r="2751" hidden="1">
      <c r="A2751" s="7" t="s">
        <v>558</v>
      </c>
      <c r="B2751" s="7" t="s">
        <v>519</v>
      </c>
      <c r="C2751" s="7">
        <v>0.1</v>
      </c>
      <c r="D2751" s="7">
        <v>0.75</v>
      </c>
      <c r="E2751" s="7">
        <v>10.0</v>
      </c>
      <c r="F2751" s="7">
        <v>31012.1209299564</v>
      </c>
      <c r="G2751" s="7">
        <v>31186.8922746181</v>
      </c>
      <c r="H2751" s="7">
        <v>4.0</v>
      </c>
      <c r="I2751" s="15">
        <v>0.429711324076376</v>
      </c>
      <c r="J2751" s="15">
        <v>0.169119641867916</v>
      </c>
      <c r="K2751" s="12">
        <f>AVERAGE(I2747:I2751)</f>
        <v>0.4189016898</v>
      </c>
      <c r="L2751" s="18">
        <v>23710.0</v>
      </c>
      <c r="M2751" s="14">
        <f>STDEV(L2747:L2751)</f>
        <v>20027.08727</v>
      </c>
      <c r="N2751" s="15" t="b">
        <f t="shared" si="1"/>
        <v>0</v>
      </c>
    </row>
    <row r="2752" hidden="1">
      <c r="A2752" s="7" t="s">
        <v>559</v>
      </c>
      <c r="B2752" s="7" t="s">
        <v>519</v>
      </c>
      <c r="C2752" s="7">
        <v>0.1</v>
      </c>
      <c r="D2752" s="7">
        <v>1.0</v>
      </c>
      <c r="E2752" s="7">
        <v>1.0</v>
      </c>
      <c r="F2752" s="7">
        <v>53657.3532354831</v>
      </c>
      <c r="G2752" s="7">
        <v>53846.6258544921</v>
      </c>
      <c r="H2752" s="7">
        <v>0.0</v>
      </c>
      <c r="I2752" s="15">
        <v>0.109086116871996</v>
      </c>
      <c r="J2752" s="15">
        <v>0.0760509381472267</v>
      </c>
      <c r="K2752" s="12">
        <f>AVERAGE(I2752:I2756)</f>
        <v>0.5282759896</v>
      </c>
      <c r="L2752" s="18">
        <v>59197.0</v>
      </c>
      <c r="M2752" s="14">
        <f>STDEV(L2752:L2756)</f>
        <v>24679.39711</v>
      </c>
      <c r="N2752" s="15" t="b">
        <f t="shared" si="1"/>
        <v>0</v>
      </c>
    </row>
    <row r="2753" hidden="1">
      <c r="A2753" s="7" t="s">
        <v>559</v>
      </c>
      <c r="B2753" s="7" t="s">
        <v>519</v>
      </c>
      <c r="C2753" s="7">
        <v>0.1</v>
      </c>
      <c r="D2753" s="7">
        <v>1.0</v>
      </c>
      <c r="E2753" s="7">
        <v>1.0</v>
      </c>
      <c r="F2753" s="7">
        <v>53657.3532354831</v>
      </c>
      <c r="G2753" s="7">
        <v>53846.6258544921</v>
      </c>
      <c r="H2753" s="7">
        <v>1.0</v>
      </c>
      <c r="I2753" s="15">
        <v>0.1605951891493</v>
      </c>
      <c r="J2753" s="15">
        <v>0.108771454075025</v>
      </c>
      <c r="K2753" s="12">
        <f>AVERAGE(I2752:I2756)</f>
        <v>0.5282759896</v>
      </c>
      <c r="L2753" s="18">
        <v>49738.0</v>
      </c>
      <c r="M2753" s="14">
        <f>STDEV(L2752:L2756)</f>
        <v>24679.39711</v>
      </c>
      <c r="N2753" s="15" t="b">
        <f t="shared" si="1"/>
        <v>0</v>
      </c>
    </row>
    <row r="2754" hidden="1">
      <c r="A2754" s="7" t="s">
        <v>559</v>
      </c>
      <c r="B2754" s="7" t="s">
        <v>519</v>
      </c>
      <c r="C2754" s="7">
        <v>0.1</v>
      </c>
      <c r="D2754" s="7">
        <v>1.0</v>
      </c>
      <c r="E2754" s="7">
        <v>1.0</v>
      </c>
      <c r="F2754" s="7">
        <v>53657.3532354831</v>
      </c>
      <c r="G2754" s="7">
        <v>53846.6258544921</v>
      </c>
      <c r="H2754" s="7">
        <v>2.0</v>
      </c>
      <c r="I2754" s="15">
        <v>0.809569380729858</v>
      </c>
      <c r="J2754" s="15">
        <v>0.115288843675973</v>
      </c>
      <c r="K2754" s="12">
        <f>AVERAGE(I2752:I2756)</f>
        <v>0.5282759896</v>
      </c>
      <c r="L2754" s="18">
        <v>5672.0</v>
      </c>
      <c r="M2754" s="14">
        <f>STDEV(L2752:L2756)</f>
        <v>24679.39711</v>
      </c>
      <c r="N2754" s="15" t="b">
        <f t="shared" si="1"/>
        <v>0</v>
      </c>
    </row>
    <row r="2755" hidden="1">
      <c r="A2755" s="7" t="s">
        <v>559</v>
      </c>
      <c r="B2755" s="7" t="s">
        <v>519</v>
      </c>
      <c r="C2755" s="7">
        <v>0.1</v>
      </c>
      <c r="D2755" s="7">
        <v>1.0</v>
      </c>
      <c r="E2755" s="7">
        <v>1.0</v>
      </c>
      <c r="F2755" s="7">
        <v>53657.3532354831</v>
      </c>
      <c r="G2755" s="7">
        <v>53846.6258544921</v>
      </c>
      <c r="H2755" s="7">
        <v>3.0</v>
      </c>
      <c r="I2755" s="15">
        <v>0.828280412529366</v>
      </c>
      <c r="J2755" s="15">
        <v>0.0984504103863109</v>
      </c>
      <c r="K2755" s="12">
        <f>AVERAGE(I2752:I2756)</f>
        <v>0.5282759896</v>
      </c>
      <c r="L2755" s="18">
        <v>7451.0</v>
      </c>
      <c r="M2755" s="14">
        <f>STDEV(L2752:L2756)</f>
        <v>24679.39711</v>
      </c>
      <c r="N2755" s="15" t="b">
        <f t="shared" si="1"/>
        <v>0</v>
      </c>
    </row>
    <row r="2756" hidden="1">
      <c r="A2756" s="7" t="s">
        <v>559</v>
      </c>
      <c r="B2756" s="7" t="s">
        <v>519</v>
      </c>
      <c r="C2756" s="7">
        <v>0.1</v>
      </c>
      <c r="D2756" s="7">
        <v>1.0</v>
      </c>
      <c r="E2756" s="7">
        <v>1.0</v>
      </c>
      <c r="F2756" s="7">
        <v>53657.3532354831</v>
      </c>
      <c r="G2756" s="7">
        <v>53846.6258544921</v>
      </c>
      <c r="H2756" s="7">
        <v>4.0</v>
      </c>
      <c r="I2756" s="15">
        <v>0.733848848903124</v>
      </c>
      <c r="J2756" s="15">
        <v>0.175489013123916</v>
      </c>
      <c r="K2756" s="12">
        <f>AVERAGE(I2752:I2756)</f>
        <v>0.5282759896</v>
      </c>
      <c r="L2756" s="18">
        <v>19618.0</v>
      </c>
      <c r="M2756" s="14">
        <f>STDEV(L2752:L2756)</f>
        <v>24679.39711</v>
      </c>
      <c r="N2756" s="15" t="b">
        <f t="shared" si="1"/>
        <v>0</v>
      </c>
    </row>
    <row r="2757" hidden="1">
      <c r="A2757" s="7" t="s">
        <v>560</v>
      </c>
      <c r="B2757" s="7" t="s">
        <v>519</v>
      </c>
      <c r="C2757" s="7">
        <v>0.1</v>
      </c>
      <c r="D2757" s="7">
        <v>1.0</v>
      </c>
      <c r="E2757" s="7">
        <v>2.0</v>
      </c>
      <c r="F2757" s="7">
        <v>35955.0384788513</v>
      </c>
      <c r="G2757" s="7">
        <v>36125.6152944564</v>
      </c>
      <c r="H2757" s="7">
        <v>0.0</v>
      </c>
      <c r="I2757" s="15">
        <v>0.462840639106079</v>
      </c>
      <c r="J2757" s="15">
        <v>0.153761471364283</v>
      </c>
      <c r="K2757" s="12">
        <f>AVERAGE(I2757:I2761)</f>
        <v>0.3574823577</v>
      </c>
      <c r="L2757" s="18">
        <v>22467.0</v>
      </c>
      <c r="M2757" s="14">
        <f>STDEV(L2757:L2761)</f>
        <v>26837.81992</v>
      </c>
      <c r="N2757" s="15" t="b">
        <f t="shared" si="1"/>
        <v>0</v>
      </c>
    </row>
    <row r="2758" hidden="1">
      <c r="A2758" s="7" t="s">
        <v>560</v>
      </c>
      <c r="B2758" s="7" t="s">
        <v>519</v>
      </c>
      <c r="C2758" s="7">
        <v>0.1</v>
      </c>
      <c r="D2758" s="7">
        <v>1.0</v>
      </c>
      <c r="E2758" s="7">
        <v>2.0</v>
      </c>
      <c r="F2758" s="7">
        <v>35955.0384788513</v>
      </c>
      <c r="G2758" s="7">
        <v>36125.6152944564</v>
      </c>
      <c r="H2758" s="7">
        <v>1.0</v>
      </c>
      <c r="I2758" s="15">
        <v>0.909511928245683</v>
      </c>
      <c r="J2758" s="15">
        <v>0.0463558149069565</v>
      </c>
      <c r="K2758" s="12">
        <f>AVERAGE(I2757:I2761)</f>
        <v>0.3574823577</v>
      </c>
      <c r="L2758" s="18">
        <v>2064.0</v>
      </c>
      <c r="M2758" s="14">
        <f>STDEV(L2757:L2761)</f>
        <v>26837.81992</v>
      </c>
      <c r="N2758" s="15" t="b">
        <f t="shared" si="1"/>
        <v>0</v>
      </c>
    </row>
    <row r="2759" hidden="1">
      <c r="A2759" s="7" t="s">
        <v>560</v>
      </c>
      <c r="B2759" s="7" t="s">
        <v>519</v>
      </c>
      <c r="C2759" s="7">
        <v>0.1</v>
      </c>
      <c r="D2759" s="7">
        <v>1.0</v>
      </c>
      <c r="E2759" s="7">
        <v>2.0</v>
      </c>
      <c r="F2759" s="7">
        <v>35955.0384788513</v>
      </c>
      <c r="G2759" s="7">
        <v>36125.6152944564</v>
      </c>
      <c r="H2759" s="7">
        <v>2.0</v>
      </c>
      <c r="I2759" s="15">
        <v>0.110776273499933</v>
      </c>
      <c r="J2759" s="15">
        <v>0.0916282435143335</v>
      </c>
      <c r="K2759" s="12">
        <f>AVERAGE(I2757:I2761)</f>
        <v>0.3574823577</v>
      </c>
      <c r="L2759" s="18">
        <v>64345.0</v>
      </c>
      <c r="M2759" s="14">
        <f>STDEV(L2757:L2761)</f>
        <v>26837.81992</v>
      </c>
      <c r="N2759" s="15" t="b">
        <f t="shared" si="1"/>
        <v>0</v>
      </c>
    </row>
    <row r="2760" hidden="1">
      <c r="A2760" s="7" t="s">
        <v>560</v>
      </c>
      <c r="B2760" s="7" t="s">
        <v>519</v>
      </c>
      <c r="C2760" s="7">
        <v>0.1</v>
      </c>
      <c r="D2760" s="7">
        <v>1.0</v>
      </c>
      <c r="E2760" s="7">
        <v>2.0</v>
      </c>
      <c r="F2760" s="7">
        <v>35955.0384788513</v>
      </c>
      <c r="G2760" s="7">
        <v>36125.6152944564</v>
      </c>
      <c r="H2760" s="7">
        <v>3.0</v>
      </c>
      <c r="I2760" s="15">
        <v>0.146834282779732</v>
      </c>
      <c r="J2760" s="15">
        <v>0.0627406182870283</v>
      </c>
      <c r="K2760" s="12">
        <f>AVERAGE(I2757:I2761)</f>
        <v>0.3574823577</v>
      </c>
      <c r="L2760" s="18">
        <v>5757.0</v>
      </c>
      <c r="M2760" s="14">
        <f>STDEV(L2757:L2761)</f>
        <v>26837.81992</v>
      </c>
      <c r="N2760" s="15" t="b">
        <f t="shared" si="1"/>
        <v>0</v>
      </c>
    </row>
    <row r="2761" hidden="1">
      <c r="A2761" s="7" t="s">
        <v>560</v>
      </c>
      <c r="B2761" s="7" t="s">
        <v>519</v>
      </c>
      <c r="C2761" s="7">
        <v>0.1</v>
      </c>
      <c r="D2761" s="7">
        <v>1.0</v>
      </c>
      <c r="E2761" s="7">
        <v>2.0</v>
      </c>
      <c r="F2761" s="7">
        <v>35955.0384788513</v>
      </c>
      <c r="G2761" s="7">
        <v>36125.6152944564</v>
      </c>
      <c r="H2761" s="7">
        <v>4.0</v>
      </c>
      <c r="I2761" s="15">
        <v>0.157448664903264</v>
      </c>
      <c r="J2761" s="15">
        <v>0.0856691416040774</v>
      </c>
      <c r="K2761" s="12">
        <f>AVERAGE(I2757:I2761)</f>
        <v>0.3574823577</v>
      </c>
      <c r="L2761" s="18">
        <v>47043.0</v>
      </c>
      <c r="M2761" s="14">
        <f>STDEV(L2757:L2761)</f>
        <v>26837.81992</v>
      </c>
      <c r="N2761" s="15" t="b">
        <f t="shared" si="1"/>
        <v>0</v>
      </c>
    </row>
    <row r="2762" hidden="1">
      <c r="A2762" s="7" t="s">
        <v>561</v>
      </c>
      <c r="B2762" s="7" t="s">
        <v>519</v>
      </c>
      <c r="C2762" s="7">
        <v>0.1</v>
      </c>
      <c r="D2762" s="7">
        <v>1.0</v>
      </c>
      <c r="E2762" s="7">
        <v>3.0</v>
      </c>
      <c r="F2762" s="7">
        <v>32083.9910240173</v>
      </c>
      <c r="G2762" s="7">
        <v>32266.100017786</v>
      </c>
      <c r="H2762" s="7">
        <v>0.0</v>
      </c>
      <c r="I2762" s="15">
        <v>0.835294179482765</v>
      </c>
      <c r="J2762" s="15">
        <v>0.0977963179898167</v>
      </c>
      <c r="K2762" s="12">
        <f>AVERAGE(I2762:I2766)</f>
        <v>0.4490332037</v>
      </c>
      <c r="L2762" s="18">
        <v>5489.0</v>
      </c>
      <c r="M2762" s="14">
        <f>STDEV(L2762:L2766)</f>
        <v>52545.75439</v>
      </c>
      <c r="N2762" s="15" t="b">
        <f t="shared" si="1"/>
        <v>0</v>
      </c>
    </row>
    <row r="2763" hidden="1">
      <c r="A2763" s="7" t="s">
        <v>561</v>
      </c>
      <c r="B2763" s="7" t="s">
        <v>519</v>
      </c>
      <c r="C2763" s="7">
        <v>0.1</v>
      </c>
      <c r="D2763" s="7">
        <v>1.0</v>
      </c>
      <c r="E2763" s="7">
        <v>3.0</v>
      </c>
      <c r="F2763" s="7">
        <v>32083.9910240173</v>
      </c>
      <c r="G2763" s="7">
        <v>32266.100017786</v>
      </c>
      <c r="H2763" s="7">
        <v>1.0</v>
      </c>
      <c r="I2763" s="15">
        <v>0.0708868262561689</v>
      </c>
      <c r="J2763" s="15">
        <v>0.0455295142083859</v>
      </c>
      <c r="K2763" s="12">
        <f>AVERAGE(I2762:I2766)</f>
        <v>0.4490332037</v>
      </c>
      <c r="L2763" s="18">
        <v>122321.0</v>
      </c>
      <c r="M2763" s="14">
        <f>STDEV(L2762:L2766)</f>
        <v>52545.75439</v>
      </c>
      <c r="N2763" s="15" t="b">
        <f t="shared" si="1"/>
        <v>0</v>
      </c>
    </row>
    <row r="2764" hidden="1">
      <c r="A2764" s="7" t="s">
        <v>561</v>
      </c>
      <c r="B2764" s="7" t="s">
        <v>519</v>
      </c>
      <c r="C2764" s="7">
        <v>0.1</v>
      </c>
      <c r="D2764" s="7">
        <v>1.0</v>
      </c>
      <c r="E2764" s="7">
        <v>3.0</v>
      </c>
      <c r="F2764" s="7">
        <v>32083.9910240173</v>
      </c>
      <c r="G2764" s="7">
        <v>32266.100017786</v>
      </c>
      <c r="H2764" s="7">
        <v>2.0</v>
      </c>
      <c r="I2764" s="15">
        <v>0.177800249309953</v>
      </c>
      <c r="J2764" s="15">
        <v>0.0655101030807264</v>
      </c>
      <c r="K2764" s="12">
        <f>AVERAGE(I2762:I2766)</f>
        <v>0.4490332037</v>
      </c>
      <c r="L2764" s="18">
        <v>5772.0</v>
      </c>
      <c r="M2764" s="14">
        <f>STDEV(L2762:L2766)</f>
        <v>52545.75439</v>
      </c>
      <c r="N2764" s="15" t="b">
        <f t="shared" si="1"/>
        <v>0</v>
      </c>
    </row>
    <row r="2765" hidden="1">
      <c r="A2765" s="7" t="s">
        <v>561</v>
      </c>
      <c r="B2765" s="7" t="s">
        <v>519</v>
      </c>
      <c r="C2765" s="7">
        <v>0.1</v>
      </c>
      <c r="D2765" s="7">
        <v>1.0</v>
      </c>
      <c r="E2765" s="7">
        <v>3.0</v>
      </c>
      <c r="F2765" s="7">
        <v>32083.9910240173</v>
      </c>
      <c r="G2765" s="7">
        <v>32266.100017786</v>
      </c>
      <c r="H2765" s="7">
        <v>3.0</v>
      </c>
      <c r="I2765" s="15">
        <v>0.354446554299732</v>
      </c>
      <c r="J2765" s="15">
        <v>0.104453593071081</v>
      </c>
      <c r="K2765" s="12">
        <f>AVERAGE(I2762:I2766)</f>
        <v>0.4490332037</v>
      </c>
      <c r="L2765" s="18">
        <v>3962.0</v>
      </c>
      <c r="M2765" s="14">
        <f>STDEV(L2762:L2766)</f>
        <v>52545.75439</v>
      </c>
      <c r="N2765" s="15" t="b">
        <f t="shared" si="1"/>
        <v>0</v>
      </c>
    </row>
    <row r="2766" hidden="1">
      <c r="A2766" s="7" t="s">
        <v>561</v>
      </c>
      <c r="B2766" s="7" t="s">
        <v>519</v>
      </c>
      <c r="C2766" s="7">
        <v>0.1</v>
      </c>
      <c r="D2766" s="7">
        <v>1.0</v>
      </c>
      <c r="E2766" s="7">
        <v>3.0</v>
      </c>
      <c r="F2766" s="7">
        <v>32083.9910240173</v>
      </c>
      <c r="G2766" s="7">
        <v>32266.100017786</v>
      </c>
      <c r="H2766" s="7">
        <v>4.0</v>
      </c>
      <c r="I2766" s="15">
        <v>0.806738208965061</v>
      </c>
      <c r="J2766" s="15">
        <v>0.0968250799070831</v>
      </c>
      <c r="K2766" s="12">
        <f>AVERAGE(I2762:I2766)</f>
        <v>0.4490332037</v>
      </c>
      <c r="L2766" s="18">
        <v>4132.0</v>
      </c>
      <c r="M2766" s="14">
        <f>STDEV(L2762:L2766)</f>
        <v>52545.75439</v>
      </c>
      <c r="N2766" s="15" t="b">
        <f t="shared" si="1"/>
        <v>0</v>
      </c>
    </row>
    <row r="2767" hidden="1">
      <c r="A2767" s="7" t="s">
        <v>562</v>
      </c>
      <c r="B2767" s="7" t="s">
        <v>519</v>
      </c>
      <c r="C2767" s="7">
        <v>0.1</v>
      </c>
      <c r="D2767" s="7">
        <v>1.0</v>
      </c>
      <c r="E2767" s="7">
        <v>4.0</v>
      </c>
      <c r="F2767" s="7">
        <v>30006.9178638458</v>
      </c>
      <c r="G2767" s="7">
        <v>30185.9318861961</v>
      </c>
      <c r="H2767" s="7">
        <v>0.0</v>
      </c>
      <c r="I2767" s="15">
        <v>0.455532565364097</v>
      </c>
      <c r="J2767" s="15">
        <v>0.245163740248534</v>
      </c>
      <c r="K2767" s="12">
        <f>AVERAGE(I2767:I2771)</f>
        <v>0.5111712955</v>
      </c>
      <c r="L2767" s="18">
        <v>4988.0</v>
      </c>
      <c r="M2767" s="14">
        <f>STDEV(L2767:L2771)</f>
        <v>52161.13324</v>
      </c>
      <c r="N2767" s="15" t="b">
        <f t="shared" si="1"/>
        <v>0</v>
      </c>
    </row>
    <row r="2768" hidden="1">
      <c r="A2768" s="7" t="s">
        <v>562</v>
      </c>
      <c r="B2768" s="7" t="s">
        <v>519</v>
      </c>
      <c r="C2768" s="7">
        <v>0.1</v>
      </c>
      <c r="D2768" s="7">
        <v>1.0</v>
      </c>
      <c r="E2768" s="7">
        <v>4.0</v>
      </c>
      <c r="F2768" s="7">
        <v>30006.9178638458</v>
      </c>
      <c r="G2768" s="7">
        <v>30185.9318861961</v>
      </c>
      <c r="H2768" s="7">
        <v>1.0</v>
      </c>
      <c r="I2768" s="15">
        <v>0.0722379075996829</v>
      </c>
      <c r="J2768" s="15">
        <v>0.0460714699606068</v>
      </c>
      <c r="K2768" s="12">
        <f>AVERAGE(I2767:I2771)</f>
        <v>0.5111712955</v>
      </c>
      <c r="L2768" s="18">
        <v>121629.0</v>
      </c>
      <c r="M2768" s="14">
        <f>STDEV(L2767:L2771)</f>
        <v>52161.13324</v>
      </c>
      <c r="N2768" s="15" t="b">
        <f t="shared" si="1"/>
        <v>0</v>
      </c>
    </row>
    <row r="2769" hidden="1">
      <c r="A2769" s="7" t="s">
        <v>562</v>
      </c>
      <c r="B2769" s="7" t="s">
        <v>519</v>
      </c>
      <c r="C2769" s="7">
        <v>0.1</v>
      </c>
      <c r="D2769" s="7">
        <v>1.0</v>
      </c>
      <c r="E2769" s="7">
        <v>4.0</v>
      </c>
      <c r="F2769" s="7">
        <v>30006.9178638458</v>
      </c>
      <c r="G2769" s="7">
        <v>30185.9318861961</v>
      </c>
      <c r="H2769" s="7">
        <v>2.0</v>
      </c>
      <c r="I2769" s="15">
        <v>0.842991982353359</v>
      </c>
      <c r="J2769" s="15">
        <v>0.0767878454560714</v>
      </c>
      <c r="K2769" s="12">
        <f>AVERAGE(I2767:I2771)</f>
        <v>0.5111712955</v>
      </c>
      <c r="L2769" s="18">
        <v>4516.0</v>
      </c>
      <c r="M2769" s="14">
        <f>STDEV(L2767:L2771)</f>
        <v>52161.13324</v>
      </c>
      <c r="N2769" s="15" t="b">
        <f t="shared" si="1"/>
        <v>0</v>
      </c>
    </row>
    <row r="2770" hidden="1">
      <c r="A2770" s="7" t="s">
        <v>562</v>
      </c>
      <c r="B2770" s="7" t="s">
        <v>519</v>
      </c>
      <c r="C2770" s="7">
        <v>0.1</v>
      </c>
      <c r="D2770" s="7">
        <v>1.0</v>
      </c>
      <c r="E2770" s="7">
        <v>4.0</v>
      </c>
      <c r="F2770" s="7">
        <v>30006.9178638458</v>
      </c>
      <c r="G2770" s="7">
        <v>30185.9318861961</v>
      </c>
      <c r="H2770" s="7">
        <v>3.0</v>
      </c>
      <c r="I2770" s="15">
        <v>0.834218701912862</v>
      </c>
      <c r="J2770" s="15">
        <v>0.0907877426207181</v>
      </c>
      <c r="K2770" s="12">
        <f>AVERAGE(I2767:I2771)</f>
        <v>0.5111712955</v>
      </c>
      <c r="L2770" s="18">
        <v>6514.0</v>
      </c>
      <c r="M2770" s="14">
        <f>STDEV(L2767:L2771)</f>
        <v>52161.13324</v>
      </c>
      <c r="N2770" s="15" t="b">
        <f t="shared" si="1"/>
        <v>0</v>
      </c>
    </row>
    <row r="2771" hidden="1">
      <c r="A2771" s="7" t="s">
        <v>562</v>
      </c>
      <c r="B2771" s="7" t="s">
        <v>519</v>
      </c>
      <c r="C2771" s="7">
        <v>0.1</v>
      </c>
      <c r="D2771" s="7">
        <v>1.0</v>
      </c>
      <c r="E2771" s="7">
        <v>4.0</v>
      </c>
      <c r="F2771" s="7">
        <v>30006.9178638458</v>
      </c>
      <c r="G2771" s="7">
        <v>30185.9318861961</v>
      </c>
      <c r="H2771" s="7">
        <v>4.0</v>
      </c>
      <c r="I2771" s="15">
        <v>0.350875320050143</v>
      </c>
      <c r="J2771" s="15">
        <v>0.116362345015291</v>
      </c>
      <c r="K2771" s="12">
        <f>AVERAGE(I2767:I2771)</f>
        <v>0.5111712955</v>
      </c>
      <c r="L2771" s="18">
        <v>4029.0</v>
      </c>
      <c r="M2771" s="14">
        <f>STDEV(L2767:L2771)</f>
        <v>52161.13324</v>
      </c>
      <c r="N2771" s="15" t="b">
        <f t="shared" si="1"/>
        <v>0</v>
      </c>
    </row>
    <row r="2772" hidden="1">
      <c r="A2772" s="7" t="s">
        <v>563</v>
      </c>
      <c r="B2772" s="7" t="s">
        <v>519</v>
      </c>
      <c r="C2772" s="7">
        <v>0.1</v>
      </c>
      <c r="D2772" s="7">
        <v>1.0</v>
      </c>
      <c r="E2772" s="7">
        <v>5.0</v>
      </c>
      <c r="F2772" s="7">
        <v>36269.9566404819</v>
      </c>
      <c r="G2772" s="7">
        <v>36439.8609833717</v>
      </c>
      <c r="H2772" s="7">
        <v>0.0</v>
      </c>
      <c r="I2772" s="15">
        <v>0.104467003620535</v>
      </c>
      <c r="J2772" s="15">
        <v>0.0696381959146655</v>
      </c>
      <c r="K2772" s="12">
        <f>AVERAGE(I2772:I2776)</f>
        <v>0.4192727709</v>
      </c>
      <c r="L2772" s="18">
        <v>76840.0</v>
      </c>
      <c r="M2772" s="14">
        <f>STDEV(L2772:L2776)</f>
        <v>32114.04435</v>
      </c>
      <c r="N2772" s="15" t="b">
        <f t="shared" si="1"/>
        <v>0</v>
      </c>
    </row>
    <row r="2773" hidden="1">
      <c r="A2773" s="7" t="s">
        <v>563</v>
      </c>
      <c r="B2773" s="7" t="s">
        <v>519</v>
      </c>
      <c r="C2773" s="7">
        <v>0.1</v>
      </c>
      <c r="D2773" s="7">
        <v>1.0</v>
      </c>
      <c r="E2773" s="7">
        <v>5.0</v>
      </c>
      <c r="F2773" s="7">
        <v>36269.9566404819</v>
      </c>
      <c r="G2773" s="7">
        <v>36439.8609833717</v>
      </c>
      <c r="H2773" s="7">
        <v>1.0</v>
      </c>
      <c r="I2773" s="15">
        <v>0.80962477057984</v>
      </c>
      <c r="J2773" s="15">
        <v>0.119268461750897</v>
      </c>
      <c r="K2773" s="12">
        <f>AVERAGE(I2772:I2776)</f>
        <v>0.4192727709</v>
      </c>
      <c r="L2773" s="18">
        <v>5679.0</v>
      </c>
      <c r="M2773" s="14">
        <f>STDEV(L2772:L2776)</f>
        <v>32114.04435</v>
      </c>
      <c r="N2773" s="15" t="b">
        <f t="shared" si="1"/>
        <v>0</v>
      </c>
    </row>
    <row r="2774" hidden="1">
      <c r="A2774" s="7" t="s">
        <v>563</v>
      </c>
      <c r="B2774" s="7" t="s">
        <v>519</v>
      </c>
      <c r="C2774" s="7">
        <v>0.1</v>
      </c>
      <c r="D2774" s="7">
        <v>1.0</v>
      </c>
      <c r="E2774" s="7">
        <v>5.0</v>
      </c>
      <c r="F2774" s="7">
        <v>36269.9566404819</v>
      </c>
      <c r="G2774" s="7">
        <v>36439.8609833717</v>
      </c>
      <c r="H2774" s="7">
        <v>2.0</v>
      </c>
      <c r="I2774" s="15">
        <v>0.190884931303358</v>
      </c>
      <c r="J2774" s="15">
        <v>0.117474430190771</v>
      </c>
      <c r="K2774" s="12">
        <f>AVERAGE(I2772:I2776)</f>
        <v>0.4192727709</v>
      </c>
      <c r="L2774" s="18">
        <v>45987.0</v>
      </c>
      <c r="M2774" s="14">
        <f>STDEV(L2772:L2776)</f>
        <v>32114.04435</v>
      </c>
      <c r="N2774" s="15" t="b">
        <f t="shared" si="1"/>
        <v>0</v>
      </c>
    </row>
    <row r="2775" hidden="1">
      <c r="A2775" s="7" t="s">
        <v>563</v>
      </c>
      <c r="B2775" s="7" t="s">
        <v>519</v>
      </c>
      <c r="C2775" s="7">
        <v>0.1</v>
      </c>
      <c r="D2775" s="7">
        <v>1.0</v>
      </c>
      <c r="E2775" s="7">
        <v>5.0</v>
      </c>
      <c r="F2775" s="7">
        <v>36269.9566404819</v>
      </c>
      <c r="G2775" s="7">
        <v>36439.8609833717</v>
      </c>
      <c r="H2775" s="7">
        <v>3.0</v>
      </c>
      <c r="I2775" s="15">
        <v>0.829244402402817</v>
      </c>
      <c r="J2775" s="15">
        <v>0.100917716282866</v>
      </c>
      <c r="K2775" s="12">
        <f>AVERAGE(I2772:I2776)</f>
        <v>0.4192727709</v>
      </c>
      <c r="L2775" s="18">
        <v>7451.0</v>
      </c>
      <c r="M2775" s="14">
        <f>STDEV(L2772:L2776)</f>
        <v>32114.04435</v>
      </c>
      <c r="N2775" s="15" t="b">
        <f t="shared" si="1"/>
        <v>0</v>
      </c>
    </row>
    <row r="2776" hidden="1">
      <c r="A2776" s="7" t="s">
        <v>563</v>
      </c>
      <c r="B2776" s="7" t="s">
        <v>519</v>
      </c>
      <c r="C2776" s="7">
        <v>0.1</v>
      </c>
      <c r="D2776" s="7">
        <v>1.0</v>
      </c>
      <c r="E2776" s="7">
        <v>5.0</v>
      </c>
      <c r="F2776" s="7">
        <v>36269.9566404819</v>
      </c>
      <c r="G2776" s="7">
        <v>36439.8609833717</v>
      </c>
      <c r="H2776" s="7">
        <v>4.0</v>
      </c>
      <c r="I2776" s="15">
        <v>0.162142746359284</v>
      </c>
      <c r="J2776" s="15">
        <v>0.0661110759512823</v>
      </c>
      <c r="K2776" s="12">
        <f>AVERAGE(I2772:I2776)</f>
        <v>0.4192727709</v>
      </c>
      <c r="L2776" s="18">
        <v>5719.0</v>
      </c>
      <c r="M2776" s="14">
        <f>STDEV(L2772:L2776)</f>
        <v>32114.04435</v>
      </c>
      <c r="N2776" s="15" t="b">
        <f t="shared" si="1"/>
        <v>0</v>
      </c>
    </row>
    <row r="2777" hidden="1">
      <c r="A2777" s="7" t="s">
        <v>564</v>
      </c>
      <c r="B2777" s="22" t="s">
        <v>519</v>
      </c>
      <c r="C2777" s="22">
        <v>0.1</v>
      </c>
      <c r="D2777" s="22">
        <v>1.0</v>
      </c>
      <c r="E2777" s="22">
        <v>6.0</v>
      </c>
      <c r="F2777" s="7">
        <v>25464.0790688991</v>
      </c>
      <c r="G2777" s="7">
        <v>25647.0076787471</v>
      </c>
      <c r="H2777" s="7">
        <v>0.0</v>
      </c>
      <c r="I2777" s="15">
        <v>0.798566151770176</v>
      </c>
      <c r="J2777" s="15">
        <v>0.119466011153345</v>
      </c>
      <c r="K2777" s="12">
        <f>AVERAGE(I2777:I2781)</f>
        <v>0.5419684331</v>
      </c>
      <c r="L2777" s="18">
        <v>7467.0</v>
      </c>
      <c r="M2777" s="14">
        <f>STDEV(L2777:L2781)</f>
        <v>26768.95711</v>
      </c>
      <c r="N2777" s="15" t="b">
        <f t="shared" si="1"/>
        <v>0</v>
      </c>
    </row>
    <row r="2778" hidden="1">
      <c r="A2778" s="7" t="s">
        <v>564</v>
      </c>
      <c r="B2778" s="22" t="s">
        <v>519</v>
      </c>
      <c r="C2778" s="22">
        <v>0.1</v>
      </c>
      <c r="D2778" s="22">
        <v>1.0</v>
      </c>
      <c r="E2778" s="22">
        <v>6.0</v>
      </c>
      <c r="F2778" s="7">
        <v>25464.0790688991</v>
      </c>
      <c r="G2778" s="7">
        <v>25647.0076787471</v>
      </c>
      <c r="H2778" s="7">
        <v>1.0</v>
      </c>
      <c r="I2778" s="15">
        <v>0.109406873085545</v>
      </c>
      <c r="J2778" s="15">
        <v>0.0922710274531616</v>
      </c>
      <c r="K2778" s="12">
        <f>AVERAGE(I2777:I2781)</f>
        <v>0.5419684331</v>
      </c>
      <c r="L2778" s="18">
        <v>63464.0</v>
      </c>
      <c r="M2778" s="14">
        <f>STDEV(L2777:L2781)</f>
        <v>26768.95711</v>
      </c>
      <c r="N2778" s="15" t="b">
        <f t="shared" si="1"/>
        <v>0</v>
      </c>
    </row>
    <row r="2779" hidden="1">
      <c r="A2779" s="7" t="s">
        <v>564</v>
      </c>
      <c r="B2779" s="22" t="s">
        <v>519</v>
      </c>
      <c r="C2779" s="22">
        <v>0.1</v>
      </c>
      <c r="D2779" s="22">
        <v>1.0</v>
      </c>
      <c r="E2779" s="22">
        <v>6.0</v>
      </c>
      <c r="F2779" s="7">
        <v>25464.0790688991</v>
      </c>
      <c r="G2779" s="7">
        <v>25647.0076787471</v>
      </c>
      <c r="H2779" s="7">
        <v>2.0</v>
      </c>
      <c r="I2779" s="15">
        <v>0.157328129926234</v>
      </c>
      <c r="J2779" s="15">
        <v>0.0847388656595513</v>
      </c>
      <c r="K2779" s="12">
        <f>AVERAGE(I2777:I2781)</f>
        <v>0.5419684331</v>
      </c>
      <c r="L2779" s="18">
        <v>49072.0</v>
      </c>
      <c r="M2779" s="14">
        <f>STDEV(L2777:L2781)</f>
        <v>26768.95711</v>
      </c>
      <c r="N2779" s="15" t="b">
        <f t="shared" si="1"/>
        <v>0</v>
      </c>
    </row>
    <row r="2780" hidden="1">
      <c r="A2780" s="7" t="s">
        <v>564</v>
      </c>
      <c r="B2780" s="22" t="s">
        <v>519</v>
      </c>
      <c r="C2780" s="22">
        <v>0.1</v>
      </c>
      <c r="D2780" s="22">
        <v>1.0</v>
      </c>
      <c r="E2780" s="22">
        <v>6.0</v>
      </c>
      <c r="F2780" s="7">
        <v>25464.0790688991</v>
      </c>
      <c r="G2780" s="7">
        <v>25647.0076787471</v>
      </c>
      <c r="H2780" s="7">
        <v>3.0</v>
      </c>
      <c r="I2780" s="15">
        <v>0.9118713741994</v>
      </c>
      <c r="J2780" s="15">
        <v>0.0357987699174414</v>
      </c>
      <c r="K2780" s="12">
        <f>AVERAGE(I2777:I2781)</f>
        <v>0.5419684331</v>
      </c>
      <c r="L2780" s="18">
        <v>2051.0</v>
      </c>
      <c r="M2780" s="14">
        <f>STDEV(L2777:L2781)</f>
        <v>26768.95711</v>
      </c>
      <c r="N2780" s="15" t="b">
        <f t="shared" si="1"/>
        <v>0</v>
      </c>
    </row>
    <row r="2781" hidden="1">
      <c r="A2781" s="7" t="s">
        <v>564</v>
      </c>
      <c r="B2781" s="22" t="s">
        <v>519</v>
      </c>
      <c r="C2781" s="22">
        <v>0.1</v>
      </c>
      <c r="D2781" s="22">
        <v>1.0</v>
      </c>
      <c r="E2781" s="22">
        <v>6.0</v>
      </c>
      <c r="F2781" s="7">
        <v>25464.0790688991</v>
      </c>
      <c r="G2781" s="7">
        <v>25647.0076787471</v>
      </c>
      <c r="H2781" s="7">
        <v>4.0</v>
      </c>
      <c r="I2781" s="15">
        <v>0.732669636362987</v>
      </c>
      <c r="J2781" s="15">
        <v>0.177388490552403</v>
      </c>
      <c r="K2781" s="12">
        <f>AVERAGE(I2777:I2781)</f>
        <v>0.5419684331</v>
      </c>
      <c r="L2781" s="18">
        <v>19622.0</v>
      </c>
      <c r="M2781" s="14">
        <f>STDEV(L2777:L2781)</f>
        <v>26768.95711</v>
      </c>
      <c r="N2781" s="15" t="b">
        <f t="shared" si="1"/>
        <v>0</v>
      </c>
    </row>
    <row r="2782" hidden="1">
      <c r="A2782" s="7" t="s">
        <v>565</v>
      </c>
      <c r="B2782" s="7" t="s">
        <v>519</v>
      </c>
      <c r="C2782" s="7">
        <v>0.1</v>
      </c>
      <c r="D2782" s="7">
        <v>1.0</v>
      </c>
      <c r="E2782" s="7">
        <v>7.0</v>
      </c>
      <c r="F2782" s="7">
        <v>68052.3547749519</v>
      </c>
      <c r="G2782" s="7">
        <v>68239.3694684505</v>
      </c>
      <c r="H2782" s="7">
        <v>0.0</v>
      </c>
      <c r="I2782" s="15">
        <v>0.832378028710392</v>
      </c>
      <c r="J2782" s="15">
        <v>0.0888784179834267</v>
      </c>
      <c r="K2782" s="12">
        <f>AVERAGE(I2782:I2786)</f>
        <v>0.4912585264</v>
      </c>
      <c r="L2782" s="18">
        <v>6536.0</v>
      </c>
      <c r="M2782" s="14">
        <f>STDEV(L2782:L2786)</f>
        <v>35101.04037</v>
      </c>
      <c r="N2782" s="15" t="b">
        <f t="shared" si="1"/>
        <v>0</v>
      </c>
    </row>
    <row r="2783" hidden="1">
      <c r="A2783" s="7" t="s">
        <v>565</v>
      </c>
      <c r="B2783" s="7" t="s">
        <v>519</v>
      </c>
      <c r="C2783" s="7">
        <v>0.1</v>
      </c>
      <c r="D2783" s="7">
        <v>1.0</v>
      </c>
      <c r="E2783" s="7">
        <v>7.0</v>
      </c>
      <c r="F2783" s="7">
        <v>68052.3547749519</v>
      </c>
      <c r="G2783" s="7">
        <v>68239.3694684505</v>
      </c>
      <c r="H2783" s="7">
        <v>1.0</v>
      </c>
      <c r="I2783" s="15">
        <v>0.0570026299540852</v>
      </c>
      <c r="J2783" s="15">
        <v>0.0481536192915855</v>
      </c>
      <c r="K2783" s="12">
        <f>AVERAGE(I2782:I2786)</f>
        <v>0.4912585264</v>
      </c>
      <c r="L2783" s="18">
        <v>89468.0</v>
      </c>
      <c r="M2783" s="14">
        <f>STDEV(L2782:L2786)</f>
        <v>35101.04037</v>
      </c>
      <c r="N2783" s="15" t="b">
        <f t="shared" si="1"/>
        <v>0</v>
      </c>
    </row>
    <row r="2784" hidden="1">
      <c r="A2784" s="7" t="s">
        <v>565</v>
      </c>
      <c r="B2784" s="7" t="s">
        <v>519</v>
      </c>
      <c r="C2784" s="7">
        <v>0.1</v>
      </c>
      <c r="D2784" s="7">
        <v>1.0</v>
      </c>
      <c r="E2784" s="7">
        <v>7.0</v>
      </c>
      <c r="F2784" s="7">
        <v>68052.3547749519</v>
      </c>
      <c r="G2784" s="7">
        <v>68239.3694684505</v>
      </c>
      <c r="H2784" s="7">
        <v>2.0</v>
      </c>
      <c r="I2784" s="15">
        <v>0.44324773249312</v>
      </c>
      <c r="J2784" s="15">
        <v>0.164070714621602</v>
      </c>
      <c r="K2784" s="12">
        <f>AVERAGE(I2782:I2786)</f>
        <v>0.4912585264</v>
      </c>
      <c r="L2784" s="18">
        <v>23312.0</v>
      </c>
      <c r="M2784" s="14">
        <f>STDEV(L2782:L2786)</f>
        <v>35101.04037</v>
      </c>
      <c r="N2784" s="15" t="b">
        <f t="shared" si="1"/>
        <v>0</v>
      </c>
    </row>
    <row r="2785" hidden="1">
      <c r="A2785" s="7" t="s">
        <v>565</v>
      </c>
      <c r="B2785" s="7" t="s">
        <v>519</v>
      </c>
      <c r="C2785" s="7">
        <v>0.1</v>
      </c>
      <c r="D2785" s="7">
        <v>1.0</v>
      </c>
      <c r="E2785" s="7">
        <v>7.0</v>
      </c>
      <c r="F2785" s="7">
        <v>68052.3547749519</v>
      </c>
      <c r="G2785" s="7">
        <v>68239.3694684505</v>
      </c>
      <c r="H2785" s="7">
        <v>3.0</v>
      </c>
      <c r="I2785" s="15">
        <v>0.312693191779759</v>
      </c>
      <c r="J2785" s="15">
        <v>0.0958817126789181</v>
      </c>
      <c r="K2785" s="12">
        <f>AVERAGE(I2782:I2786)</f>
        <v>0.4912585264</v>
      </c>
      <c r="L2785" s="18">
        <v>4036.0</v>
      </c>
      <c r="M2785" s="14">
        <f>STDEV(L2782:L2786)</f>
        <v>35101.04037</v>
      </c>
      <c r="N2785" s="15" t="b">
        <f t="shared" si="1"/>
        <v>0</v>
      </c>
    </row>
    <row r="2786" hidden="1">
      <c r="A2786" s="7" t="s">
        <v>565</v>
      </c>
      <c r="B2786" s="7" t="s">
        <v>519</v>
      </c>
      <c r="C2786" s="7">
        <v>0.1</v>
      </c>
      <c r="D2786" s="7">
        <v>1.0</v>
      </c>
      <c r="E2786" s="7">
        <v>7.0</v>
      </c>
      <c r="F2786" s="7">
        <v>68052.3547749519</v>
      </c>
      <c r="G2786" s="7">
        <v>68239.3694684505</v>
      </c>
      <c r="H2786" s="7">
        <v>4.0</v>
      </c>
      <c r="I2786" s="15">
        <v>0.810971049310694</v>
      </c>
      <c r="J2786" s="15">
        <v>0.0728862068886113</v>
      </c>
      <c r="K2786" s="12">
        <f>AVERAGE(I2782:I2786)</f>
        <v>0.4912585264</v>
      </c>
      <c r="L2786" s="18">
        <v>18324.0</v>
      </c>
      <c r="M2786" s="14">
        <f>STDEV(L2782:L2786)</f>
        <v>35101.04037</v>
      </c>
      <c r="N2786" s="15" t="b">
        <f t="shared" si="1"/>
        <v>0</v>
      </c>
    </row>
    <row r="2787" hidden="1">
      <c r="A2787" s="7" t="s">
        <v>566</v>
      </c>
      <c r="B2787" s="7" t="s">
        <v>519</v>
      </c>
      <c r="C2787" s="7">
        <v>0.1</v>
      </c>
      <c r="D2787" s="7">
        <v>1.0</v>
      </c>
      <c r="E2787" s="7">
        <v>8.0</v>
      </c>
      <c r="F2787" s="7">
        <v>51190.7381756305</v>
      </c>
      <c r="G2787" s="7">
        <v>51375.2369613647</v>
      </c>
      <c r="H2787" s="7">
        <v>0.0</v>
      </c>
      <c r="I2787" s="15">
        <v>0.811169574788332</v>
      </c>
      <c r="J2787" s="15">
        <v>0.0775404371640183</v>
      </c>
      <c r="K2787" s="12">
        <f>AVERAGE(I2787:I2791)</f>
        <v>0.5073607899</v>
      </c>
      <c r="L2787" s="18">
        <v>4119.0</v>
      </c>
      <c r="M2787" s="14">
        <f>STDEV(L2787:L2791)</f>
        <v>38607.01399</v>
      </c>
      <c r="N2787" s="15" t="b">
        <f t="shared" si="1"/>
        <v>0</v>
      </c>
    </row>
    <row r="2788" hidden="1">
      <c r="A2788" s="7" t="s">
        <v>566</v>
      </c>
      <c r="B2788" s="7" t="s">
        <v>519</v>
      </c>
      <c r="C2788" s="7">
        <v>0.1</v>
      </c>
      <c r="D2788" s="7">
        <v>1.0</v>
      </c>
      <c r="E2788" s="7">
        <v>8.0</v>
      </c>
      <c r="F2788" s="7">
        <v>51190.7381756305</v>
      </c>
      <c r="G2788" s="7">
        <v>51375.2369613647</v>
      </c>
      <c r="H2788" s="7">
        <v>1.0</v>
      </c>
      <c r="I2788" s="15">
        <v>0.644841619338832</v>
      </c>
      <c r="J2788" s="15">
        <v>0.128829647908646</v>
      </c>
      <c r="K2788" s="12">
        <f>AVERAGE(I2787:I2791)</f>
        <v>0.5073607899</v>
      </c>
      <c r="L2788" s="18">
        <v>2347.0</v>
      </c>
      <c r="M2788" s="14">
        <f>STDEV(L2787:L2791)</f>
        <v>38607.01399</v>
      </c>
      <c r="N2788" s="15" t="b">
        <f t="shared" si="1"/>
        <v>0</v>
      </c>
    </row>
    <row r="2789" hidden="1">
      <c r="A2789" s="7" t="s">
        <v>566</v>
      </c>
      <c r="B2789" s="7" t="s">
        <v>519</v>
      </c>
      <c r="C2789" s="7">
        <v>0.1</v>
      </c>
      <c r="D2789" s="7">
        <v>1.0</v>
      </c>
      <c r="E2789" s="7">
        <v>8.0</v>
      </c>
      <c r="F2789" s="7">
        <v>51190.7381756305</v>
      </c>
      <c r="G2789" s="7">
        <v>51375.2369613647</v>
      </c>
      <c r="H2789" s="7">
        <v>2.0</v>
      </c>
      <c r="I2789" s="15">
        <v>0.0584665835435666</v>
      </c>
      <c r="J2789" s="15">
        <v>0.0415477282496168</v>
      </c>
      <c r="K2789" s="12">
        <f>AVERAGE(I2787:I2791)</f>
        <v>0.5073607899</v>
      </c>
      <c r="L2789" s="18">
        <v>92965.0</v>
      </c>
      <c r="M2789" s="14">
        <f>STDEV(L2787:L2791)</f>
        <v>38607.01399</v>
      </c>
      <c r="N2789" s="15" t="b">
        <f t="shared" si="1"/>
        <v>0</v>
      </c>
    </row>
    <row r="2790" hidden="1">
      <c r="A2790" s="7" t="s">
        <v>566</v>
      </c>
      <c r="B2790" s="7" t="s">
        <v>519</v>
      </c>
      <c r="C2790" s="7">
        <v>0.1</v>
      </c>
      <c r="D2790" s="7">
        <v>1.0</v>
      </c>
      <c r="E2790" s="7">
        <v>8.0</v>
      </c>
      <c r="F2790" s="7">
        <v>51190.7381756305</v>
      </c>
      <c r="G2790" s="7">
        <v>51375.2369613647</v>
      </c>
      <c r="H2790" s="7">
        <v>3.0</v>
      </c>
      <c r="I2790" s="15">
        <v>0.37483340182652</v>
      </c>
      <c r="J2790" s="15">
        <v>0.0907325174925648</v>
      </c>
      <c r="K2790" s="12">
        <f>AVERAGE(I2787:I2791)</f>
        <v>0.5073607899</v>
      </c>
      <c r="L2790" s="18">
        <v>35599.0</v>
      </c>
      <c r="M2790" s="14">
        <f>STDEV(L2787:L2791)</f>
        <v>38607.01399</v>
      </c>
      <c r="N2790" s="15" t="b">
        <f t="shared" si="1"/>
        <v>0</v>
      </c>
    </row>
    <row r="2791" hidden="1">
      <c r="A2791" s="7" t="s">
        <v>566</v>
      </c>
      <c r="B2791" s="7" t="s">
        <v>519</v>
      </c>
      <c r="C2791" s="7">
        <v>0.1</v>
      </c>
      <c r="D2791" s="7">
        <v>1.0</v>
      </c>
      <c r="E2791" s="7">
        <v>8.0</v>
      </c>
      <c r="F2791" s="7">
        <v>51190.7381756305</v>
      </c>
      <c r="G2791" s="7">
        <v>51375.2369613647</v>
      </c>
      <c r="H2791" s="7">
        <v>4.0</v>
      </c>
      <c r="I2791" s="15">
        <v>0.647492770165157</v>
      </c>
      <c r="J2791" s="15">
        <v>0.241364734608386</v>
      </c>
      <c r="K2791" s="12">
        <f>AVERAGE(I2787:I2791)</f>
        <v>0.5073607899</v>
      </c>
      <c r="L2791" s="18">
        <v>6646.0</v>
      </c>
      <c r="M2791" s="14">
        <f>STDEV(L2787:L2791)</f>
        <v>38607.01399</v>
      </c>
      <c r="N2791" s="15" t="b">
        <f t="shared" si="1"/>
        <v>0</v>
      </c>
    </row>
    <row r="2792" hidden="1">
      <c r="A2792" s="7" t="s">
        <v>567</v>
      </c>
      <c r="B2792" s="7" t="s">
        <v>519</v>
      </c>
      <c r="C2792" s="7">
        <v>0.1</v>
      </c>
      <c r="D2792" s="7">
        <v>1.0</v>
      </c>
      <c r="E2792" s="7">
        <v>9.0</v>
      </c>
      <c r="F2792" s="7">
        <v>35770.7052388191</v>
      </c>
      <c r="G2792" s="7">
        <v>35942.0824768543</v>
      </c>
      <c r="H2792" s="7">
        <v>0.0</v>
      </c>
      <c r="I2792" s="15">
        <v>0.832362248050058</v>
      </c>
      <c r="J2792" s="15">
        <v>0.0888379678393545</v>
      </c>
      <c r="K2792" s="12">
        <f>AVERAGE(I2792:I2796)</f>
        <v>0.4380106354</v>
      </c>
      <c r="L2792" s="18">
        <v>6536.0</v>
      </c>
      <c r="M2792" s="14">
        <f>STDEV(L2792:L2796)</f>
        <v>26645.74239</v>
      </c>
      <c r="N2792" s="15" t="b">
        <f t="shared" si="1"/>
        <v>0</v>
      </c>
    </row>
    <row r="2793" hidden="1">
      <c r="A2793" s="7" t="s">
        <v>567</v>
      </c>
      <c r="B2793" s="7" t="s">
        <v>519</v>
      </c>
      <c r="C2793" s="7">
        <v>0.1</v>
      </c>
      <c r="D2793" s="7">
        <v>1.0</v>
      </c>
      <c r="E2793" s="7">
        <v>9.0</v>
      </c>
      <c r="F2793" s="7">
        <v>35770.7052388191</v>
      </c>
      <c r="G2793" s="7">
        <v>35942.0824768543</v>
      </c>
      <c r="H2793" s="7">
        <v>1.0</v>
      </c>
      <c r="I2793" s="15">
        <v>0.811146838604301</v>
      </c>
      <c r="J2793" s="15">
        <v>0.0738196720573416</v>
      </c>
      <c r="K2793" s="12">
        <f>AVERAGE(I2792:I2796)</f>
        <v>0.4380106354</v>
      </c>
      <c r="L2793" s="18">
        <v>18337.0</v>
      </c>
      <c r="M2793" s="14">
        <f>STDEV(L2792:L2796)</f>
        <v>26645.74239</v>
      </c>
      <c r="N2793" s="15" t="b">
        <f t="shared" si="1"/>
        <v>0</v>
      </c>
    </row>
    <row r="2794" hidden="1">
      <c r="A2794" s="7" t="s">
        <v>567</v>
      </c>
      <c r="B2794" s="7" t="s">
        <v>519</v>
      </c>
      <c r="C2794" s="7">
        <v>0.1</v>
      </c>
      <c r="D2794" s="7">
        <v>1.0</v>
      </c>
      <c r="E2794" s="7">
        <v>9.0</v>
      </c>
      <c r="F2794" s="7">
        <v>35770.7052388191</v>
      </c>
      <c r="G2794" s="7">
        <v>35942.0824768543</v>
      </c>
      <c r="H2794" s="7">
        <v>2.0</v>
      </c>
      <c r="I2794" s="15">
        <v>0.323611671568266</v>
      </c>
      <c r="J2794" s="15">
        <v>0.102057317668482</v>
      </c>
      <c r="K2794" s="12">
        <f>AVERAGE(I2792:I2796)</f>
        <v>0.4380106354</v>
      </c>
      <c r="L2794" s="18">
        <v>4036.0</v>
      </c>
      <c r="M2794" s="14">
        <f>STDEV(L2792:L2796)</f>
        <v>26645.74239</v>
      </c>
      <c r="N2794" s="15" t="b">
        <f t="shared" si="1"/>
        <v>0</v>
      </c>
    </row>
    <row r="2795" hidden="1">
      <c r="A2795" s="7" t="s">
        <v>567</v>
      </c>
      <c r="B2795" s="7" t="s">
        <v>519</v>
      </c>
      <c r="C2795" s="7">
        <v>0.1</v>
      </c>
      <c r="D2795" s="7">
        <v>1.0</v>
      </c>
      <c r="E2795" s="7">
        <v>9.0</v>
      </c>
      <c r="F2795" s="7">
        <v>35770.7052388191</v>
      </c>
      <c r="G2795" s="7">
        <v>35942.0824768543</v>
      </c>
      <c r="H2795" s="7">
        <v>3.0</v>
      </c>
      <c r="I2795" s="15">
        <v>0.0740079655759041</v>
      </c>
      <c r="J2795" s="15">
        <v>0.0490794288255486</v>
      </c>
      <c r="K2795" s="12">
        <f>AVERAGE(I2792:I2796)</f>
        <v>0.4380106354</v>
      </c>
      <c r="L2795" s="18">
        <v>49279.0</v>
      </c>
      <c r="M2795" s="14">
        <f>STDEV(L2792:L2796)</f>
        <v>26645.74239</v>
      </c>
      <c r="N2795" s="15" t="b">
        <f t="shared" si="1"/>
        <v>0</v>
      </c>
    </row>
    <row r="2796" hidden="1">
      <c r="A2796" s="7" t="s">
        <v>567</v>
      </c>
      <c r="B2796" s="7" t="s">
        <v>519</v>
      </c>
      <c r="C2796" s="7">
        <v>0.1</v>
      </c>
      <c r="D2796" s="7">
        <v>1.0</v>
      </c>
      <c r="E2796" s="7">
        <v>9.0</v>
      </c>
      <c r="F2796" s="7">
        <v>35770.7052388191</v>
      </c>
      <c r="G2796" s="7">
        <v>35942.0824768543</v>
      </c>
      <c r="H2796" s="7">
        <v>4.0</v>
      </c>
      <c r="I2796" s="15">
        <v>0.148924453231961</v>
      </c>
      <c r="J2796" s="15">
        <v>0.0747352711965284</v>
      </c>
      <c r="K2796" s="12">
        <f>AVERAGE(I2792:I2796)</f>
        <v>0.4380106354</v>
      </c>
      <c r="L2796" s="18">
        <v>63488.0</v>
      </c>
      <c r="M2796" s="14">
        <f>STDEV(L2792:L2796)</f>
        <v>26645.74239</v>
      </c>
      <c r="N2796" s="15" t="b">
        <f t="shared" si="1"/>
        <v>0</v>
      </c>
    </row>
    <row r="2797" hidden="1">
      <c r="A2797" s="7" t="s">
        <v>568</v>
      </c>
      <c r="B2797" s="7" t="s">
        <v>519</v>
      </c>
      <c r="C2797" s="7">
        <v>0.1</v>
      </c>
      <c r="D2797" s="7">
        <v>1.0</v>
      </c>
      <c r="E2797" s="7">
        <v>10.0</v>
      </c>
      <c r="F2797" s="7">
        <v>81692.5249876976</v>
      </c>
      <c r="G2797" s="7">
        <v>81862.1060149669</v>
      </c>
      <c r="H2797" s="7">
        <v>0.0</v>
      </c>
      <c r="I2797" s="15">
        <v>0.59617915846604</v>
      </c>
      <c r="J2797" s="15">
        <v>0.189151290015705</v>
      </c>
      <c r="K2797" s="12">
        <f>AVERAGE(I2797:I2801)</f>
        <v>0.3956856784</v>
      </c>
      <c r="L2797" s="18">
        <v>2347.0</v>
      </c>
      <c r="M2797" s="14">
        <f>STDEV(L2797:L2801)</f>
        <v>47057.83598</v>
      </c>
      <c r="N2797" s="15" t="b">
        <f t="shared" si="1"/>
        <v>0</v>
      </c>
    </row>
    <row r="2798" hidden="1">
      <c r="A2798" s="7" t="s">
        <v>568</v>
      </c>
      <c r="B2798" s="7" t="s">
        <v>519</v>
      </c>
      <c r="C2798" s="7">
        <v>0.1</v>
      </c>
      <c r="D2798" s="7">
        <v>1.0</v>
      </c>
      <c r="E2798" s="7">
        <v>10.0</v>
      </c>
      <c r="F2798" s="7">
        <v>81692.5249876976</v>
      </c>
      <c r="G2798" s="7">
        <v>81862.1060149669</v>
      </c>
      <c r="H2798" s="7">
        <v>1.0</v>
      </c>
      <c r="I2798" s="15">
        <v>0.818346445939214</v>
      </c>
      <c r="J2798" s="15">
        <v>0.0619069999016083</v>
      </c>
      <c r="K2798" s="12">
        <f>AVERAGE(I2797:I2801)</f>
        <v>0.3956856784</v>
      </c>
      <c r="L2798" s="18">
        <v>18191.0</v>
      </c>
      <c r="M2798" s="14">
        <f>STDEV(L2797:L2801)</f>
        <v>47057.83598</v>
      </c>
      <c r="N2798" s="15" t="b">
        <f t="shared" si="1"/>
        <v>0</v>
      </c>
    </row>
    <row r="2799" hidden="1">
      <c r="A2799" s="7" t="s">
        <v>568</v>
      </c>
      <c r="B2799" s="7" t="s">
        <v>519</v>
      </c>
      <c r="C2799" s="7">
        <v>0.1</v>
      </c>
      <c r="D2799" s="7">
        <v>1.0</v>
      </c>
      <c r="E2799" s="7">
        <v>10.0</v>
      </c>
      <c r="F2799" s="7">
        <v>81692.5249876976</v>
      </c>
      <c r="G2799" s="7">
        <v>81862.1060149669</v>
      </c>
      <c r="H2799" s="7">
        <v>2.0</v>
      </c>
      <c r="I2799" s="15">
        <v>0.0558790777027926</v>
      </c>
      <c r="J2799" s="15">
        <v>0.0423146477355361</v>
      </c>
      <c r="K2799" s="12">
        <f>AVERAGE(I2797:I2801)</f>
        <v>0.3956856784</v>
      </c>
      <c r="L2799" s="18">
        <v>111757.0</v>
      </c>
      <c r="M2799" s="14">
        <f>STDEV(L2797:L2801)</f>
        <v>47057.83598</v>
      </c>
      <c r="N2799" s="15" t="b">
        <f t="shared" si="1"/>
        <v>0</v>
      </c>
    </row>
    <row r="2800" hidden="1">
      <c r="A2800" s="7" t="s">
        <v>568</v>
      </c>
      <c r="B2800" s="7" t="s">
        <v>519</v>
      </c>
      <c r="C2800" s="7">
        <v>0.1</v>
      </c>
      <c r="D2800" s="7">
        <v>1.0</v>
      </c>
      <c r="E2800" s="7">
        <v>10.0</v>
      </c>
      <c r="F2800" s="7">
        <v>81692.5249876976</v>
      </c>
      <c r="G2800" s="7">
        <v>81862.1060149669</v>
      </c>
      <c r="H2800" s="7">
        <v>3.0</v>
      </c>
      <c r="I2800" s="15">
        <v>0.337223600558578</v>
      </c>
      <c r="J2800" s="15">
        <v>0.0851933852426495</v>
      </c>
      <c r="K2800" s="12">
        <f>AVERAGE(I2797:I2801)</f>
        <v>0.3956856784</v>
      </c>
      <c r="L2800" s="18">
        <v>3659.0</v>
      </c>
      <c r="M2800" s="14">
        <f>STDEV(L2797:L2801)</f>
        <v>47057.83598</v>
      </c>
      <c r="N2800" s="15" t="b">
        <f t="shared" si="1"/>
        <v>0</v>
      </c>
    </row>
    <row r="2801" hidden="1">
      <c r="A2801" s="7" t="s">
        <v>568</v>
      </c>
      <c r="B2801" s="7" t="s">
        <v>519</v>
      </c>
      <c r="C2801" s="7">
        <v>0.1</v>
      </c>
      <c r="D2801" s="7">
        <v>1.0</v>
      </c>
      <c r="E2801" s="7">
        <v>10.0</v>
      </c>
      <c r="F2801" s="7">
        <v>81692.5249876976</v>
      </c>
      <c r="G2801" s="7">
        <v>81862.1060149669</v>
      </c>
      <c r="H2801" s="7">
        <v>4.0</v>
      </c>
      <c r="I2801" s="15">
        <v>0.170800109322642</v>
      </c>
      <c r="J2801" s="15">
        <v>0.0691704406755432</v>
      </c>
      <c r="K2801" s="12">
        <f>AVERAGE(I2797:I2801)</f>
        <v>0.3956856784</v>
      </c>
      <c r="L2801" s="18">
        <v>5722.0</v>
      </c>
      <c r="M2801" s="14">
        <f>STDEV(L2797:L2801)</f>
        <v>47057.83598</v>
      </c>
      <c r="N2801" s="15" t="b">
        <f t="shared" si="1"/>
        <v>0</v>
      </c>
    </row>
    <row r="2802" hidden="1">
      <c r="A2802" s="7" t="s">
        <v>569</v>
      </c>
      <c r="B2802" s="7" t="s">
        <v>519</v>
      </c>
      <c r="C2802" s="7">
        <v>0.25</v>
      </c>
      <c r="D2802" s="7">
        <v>0.1</v>
      </c>
      <c r="E2802" s="7">
        <v>1.0</v>
      </c>
      <c r="F2802" s="7">
        <v>10945.1134426593</v>
      </c>
      <c r="G2802" s="7">
        <v>11126.8813958168</v>
      </c>
      <c r="H2802" s="7">
        <v>0.0</v>
      </c>
      <c r="I2802" s="15">
        <v>0.369732520633585</v>
      </c>
      <c r="J2802" s="15">
        <v>0.119158446088368</v>
      </c>
      <c r="K2802" s="12">
        <f>AVERAGE(I2802:I2806)</f>
        <v>0.4552712312</v>
      </c>
      <c r="L2802" s="18">
        <v>22787.0</v>
      </c>
      <c r="M2802" s="14">
        <f>STDEV(L2802:L2806)</f>
        <v>41836.20179</v>
      </c>
      <c r="N2802" s="15" t="b">
        <f t="shared" si="1"/>
        <v>0</v>
      </c>
    </row>
    <row r="2803" hidden="1">
      <c r="A2803" s="7" t="s">
        <v>569</v>
      </c>
      <c r="B2803" s="7" t="s">
        <v>519</v>
      </c>
      <c r="C2803" s="7">
        <v>0.25</v>
      </c>
      <c r="D2803" s="7">
        <v>0.1</v>
      </c>
      <c r="E2803" s="7">
        <v>1.0</v>
      </c>
      <c r="F2803" s="7">
        <v>10945.1134426593</v>
      </c>
      <c r="G2803" s="7">
        <v>11126.8813958168</v>
      </c>
      <c r="H2803" s="7">
        <v>1.0</v>
      </c>
      <c r="I2803" s="15">
        <v>0.278546316750745</v>
      </c>
      <c r="J2803" s="15">
        <v>0.177249863245975</v>
      </c>
      <c r="K2803" s="12">
        <f>AVERAGE(I2802:I2806)</f>
        <v>0.4552712312</v>
      </c>
      <c r="L2803" s="18">
        <v>3747.0</v>
      </c>
      <c r="M2803" s="14">
        <f>STDEV(L2802:L2806)</f>
        <v>41836.20179</v>
      </c>
      <c r="N2803" s="15" t="b">
        <f t="shared" si="1"/>
        <v>0</v>
      </c>
    </row>
    <row r="2804" hidden="1">
      <c r="A2804" s="7" t="s">
        <v>569</v>
      </c>
      <c r="B2804" s="7" t="s">
        <v>519</v>
      </c>
      <c r="C2804" s="7">
        <v>0.25</v>
      </c>
      <c r="D2804" s="7">
        <v>0.1</v>
      </c>
      <c r="E2804" s="7">
        <v>1.0</v>
      </c>
      <c r="F2804" s="7">
        <v>10945.1134426593</v>
      </c>
      <c r="G2804" s="7">
        <v>11126.8813958168</v>
      </c>
      <c r="H2804" s="7">
        <v>2.0</v>
      </c>
      <c r="I2804" s="15">
        <v>0.796014931471091</v>
      </c>
      <c r="J2804" s="15">
        <v>0.125889058049259</v>
      </c>
      <c r="K2804" s="12">
        <f>AVERAGE(I2802:I2806)</f>
        <v>0.4552712312</v>
      </c>
      <c r="L2804" s="18">
        <v>7484.0</v>
      </c>
      <c r="M2804" s="14">
        <f>STDEV(L2802:L2806)</f>
        <v>41836.20179</v>
      </c>
      <c r="N2804" s="15" t="b">
        <f t="shared" si="1"/>
        <v>0</v>
      </c>
    </row>
    <row r="2805" hidden="1">
      <c r="A2805" s="7" t="s">
        <v>569</v>
      </c>
      <c r="B2805" s="7" t="s">
        <v>519</v>
      </c>
      <c r="C2805" s="7">
        <v>0.25</v>
      </c>
      <c r="D2805" s="7">
        <v>0.1</v>
      </c>
      <c r="E2805" s="7">
        <v>1.0</v>
      </c>
      <c r="F2805" s="7">
        <v>10945.1134426593</v>
      </c>
      <c r="G2805" s="7">
        <v>11126.8813958168</v>
      </c>
      <c r="H2805" s="7">
        <v>3.0</v>
      </c>
      <c r="I2805" s="15">
        <v>0.0280163308247651</v>
      </c>
      <c r="J2805" s="15">
        <v>0.133513625036848</v>
      </c>
      <c r="K2805" s="12">
        <f>AVERAGE(I2802:I2806)</f>
        <v>0.4552712312</v>
      </c>
      <c r="L2805" s="18">
        <v>101949.0</v>
      </c>
      <c r="M2805" s="14">
        <f>STDEV(L2802:L2806)</f>
        <v>41836.20179</v>
      </c>
      <c r="N2805" s="15" t="b">
        <f t="shared" si="1"/>
        <v>0</v>
      </c>
    </row>
    <row r="2806" hidden="1">
      <c r="A2806" s="7" t="s">
        <v>569</v>
      </c>
      <c r="B2806" s="7" t="s">
        <v>519</v>
      </c>
      <c r="C2806" s="7">
        <v>0.25</v>
      </c>
      <c r="D2806" s="7">
        <v>0.1</v>
      </c>
      <c r="E2806" s="7">
        <v>1.0</v>
      </c>
      <c r="F2806" s="7">
        <v>10945.1134426593</v>
      </c>
      <c r="G2806" s="7">
        <v>11126.8813958168</v>
      </c>
      <c r="H2806" s="7">
        <v>4.0</v>
      </c>
      <c r="I2806" s="15">
        <v>0.804046056253577</v>
      </c>
      <c r="J2806" s="15">
        <v>0.126137905153845</v>
      </c>
      <c r="K2806" s="12">
        <f>AVERAGE(I2802:I2806)</f>
        <v>0.4552712312</v>
      </c>
      <c r="L2806" s="18">
        <v>5709.0</v>
      </c>
      <c r="M2806" s="14">
        <f>STDEV(L2802:L2806)</f>
        <v>41836.20179</v>
      </c>
      <c r="N2806" s="15" t="b">
        <f t="shared" si="1"/>
        <v>0</v>
      </c>
    </row>
    <row r="2807" hidden="1">
      <c r="A2807" s="7" t="s">
        <v>570</v>
      </c>
      <c r="B2807" s="7" t="s">
        <v>519</v>
      </c>
      <c r="C2807" s="7">
        <v>0.25</v>
      </c>
      <c r="D2807" s="7">
        <v>0.1</v>
      </c>
      <c r="E2807" s="7">
        <v>2.0</v>
      </c>
      <c r="F2807" s="7">
        <v>10848.8508462905</v>
      </c>
      <c r="G2807" s="7">
        <v>11017.1963763237</v>
      </c>
      <c r="H2807" s="7">
        <v>0.0</v>
      </c>
      <c r="I2807" s="15">
        <v>0.896949780717479</v>
      </c>
      <c r="J2807" s="15">
        <v>0.13991391159795</v>
      </c>
      <c r="K2807" s="12">
        <f>AVERAGE(I2807:I2811)</f>
        <v>0.55218757</v>
      </c>
      <c r="L2807" s="18">
        <v>1588.0</v>
      </c>
      <c r="M2807" s="14">
        <f>STDEV(L2807:L2811)</f>
        <v>49159.48559</v>
      </c>
      <c r="N2807" s="15" t="b">
        <f t="shared" si="1"/>
        <v>0</v>
      </c>
    </row>
    <row r="2808" hidden="1">
      <c r="A2808" s="7" t="s">
        <v>570</v>
      </c>
      <c r="B2808" s="7" t="s">
        <v>519</v>
      </c>
      <c r="C2808" s="7">
        <v>0.25</v>
      </c>
      <c r="D2808" s="7">
        <v>0.1</v>
      </c>
      <c r="E2808" s="7">
        <v>2.0</v>
      </c>
      <c r="F2808" s="7">
        <v>10848.8508462905</v>
      </c>
      <c r="G2808" s="7">
        <v>11017.1963763237</v>
      </c>
      <c r="H2808" s="7">
        <v>1.0</v>
      </c>
      <c r="I2808" s="15">
        <v>0.772304077021296</v>
      </c>
      <c r="J2808" s="15">
        <v>0.132620388897656</v>
      </c>
      <c r="K2808" s="12">
        <f>AVERAGE(I2807:I2811)</f>
        <v>0.55218757</v>
      </c>
      <c r="L2808" s="18">
        <v>7751.0</v>
      </c>
      <c r="M2808" s="14">
        <f>STDEV(L2807:L2811)</f>
        <v>49159.48559</v>
      </c>
      <c r="N2808" s="15" t="b">
        <f t="shared" si="1"/>
        <v>0</v>
      </c>
    </row>
    <row r="2809" hidden="1">
      <c r="A2809" s="7" t="s">
        <v>570</v>
      </c>
      <c r="B2809" s="7" t="s">
        <v>519</v>
      </c>
      <c r="C2809" s="7">
        <v>0.25</v>
      </c>
      <c r="D2809" s="7">
        <v>0.1</v>
      </c>
      <c r="E2809" s="7">
        <v>2.0</v>
      </c>
      <c r="F2809" s="7">
        <v>10848.8508462905</v>
      </c>
      <c r="G2809" s="7">
        <v>11017.1963763237</v>
      </c>
      <c r="H2809" s="7">
        <v>2.0</v>
      </c>
      <c r="I2809" s="15">
        <v>0.0286599738017478</v>
      </c>
      <c r="J2809" s="15">
        <v>0.159830358388092</v>
      </c>
      <c r="K2809" s="12">
        <f>AVERAGE(I2807:I2811)</f>
        <v>0.55218757</v>
      </c>
      <c r="L2809" s="18">
        <v>115973.0</v>
      </c>
      <c r="M2809" s="14">
        <f>STDEV(L2807:L2811)</f>
        <v>49159.48559</v>
      </c>
      <c r="N2809" s="15" t="b">
        <f t="shared" si="1"/>
        <v>0</v>
      </c>
    </row>
    <row r="2810" hidden="1">
      <c r="A2810" s="7" t="s">
        <v>570</v>
      </c>
      <c r="B2810" s="7" t="s">
        <v>519</v>
      </c>
      <c r="C2810" s="7">
        <v>0.25</v>
      </c>
      <c r="D2810" s="7">
        <v>0.1</v>
      </c>
      <c r="E2810" s="7">
        <v>2.0</v>
      </c>
      <c r="F2810" s="7">
        <v>10848.8508462905</v>
      </c>
      <c r="G2810" s="7">
        <v>11017.1963763237</v>
      </c>
      <c r="H2810" s="7">
        <v>3.0</v>
      </c>
      <c r="I2810" s="15">
        <v>0.331752837907437</v>
      </c>
      <c r="J2810" s="15">
        <v>0.0897004199064228</v>
      </c>
      <c r="K2810" s="12">
        <f>AVERAGE(I2807:I2811)</f>
        <v>0.55218757</v>
      </c>
      <c r="L2810" s="18">
        <v>4010.0</v>
      </c>
      <c r="M2810" s="14">
        <f>STDEV(L2807:L2811)</f>
        <v>49159.48559</v>
      </c>
      <c r="N2810" s="15" t="b">
        <f t="shared" si="1"/>
        <v>0</v>
      </c>
    </row>
    <row r="2811" hidden="1">
      <c r="A2811" s="7" t="s">
        <v>570</v>
      </c>
      <c r="B2811" s="7" t="s">
        <v>519</v>
      </c>
      <c r="C2811" s="7">
        <v>0.25</v>
      </c>
      <c r="D2811" s="7">
        <v>0.1</v>
      </c>
      <c r="E2811" s="7">
        <v>2.0</v>
      </c>
      <c r="F2811" s="7">
        <v>10848.8508462905</v>
      </c>
      <c r="G2811" s="7">
        <v>11017.1963763237</v>
      </c>
      <c r="H2811" s="7">
        <v>4.0</v>
      </c>
      <c r="I2811" s="15">
        <v>0.731271180373349</v>
      </c>
      <c r="J2811" s="15">
        <v>0.193010448504942</v>
      </c>
      <c r="K2811" s="12">
        <f>AVERAGE(I2807:I2811)</f>
        <v>0.55218757</v>
      </c>
      <c r="L2811" s="18">
        <v>12354.0</v>
      </c>
      <c r="M2811" s="14">
        <f>STDEV(L2807:L2811)</f>
        <v>49159.48559</v>
      </c>
      <c r="N2811" s="15" t="b">
        <f t="shared" si="1"/>
        <v>0</v>
      </c>
    </row>
    <row r="2812" hidden="1">
      <c r="A2812" s="7" t="s">
        <v>571</v>
      </c>
      <c r="B2812" s="7" t="s">
        <v>519</v>
      </c>
      <c r="C2812" s="7">
        <v>0.25</v>
      </c>
      <c r="D2812" s="7">
        <v>0.1</v>
      </c>
      <c r="E2812" s="7">
        <v>3.0</v>
      </c>
      <c r="F2812" s="7">
        <v>23006.6476409435</v>
      </c>
      <c r="G2812" s="7">
        <v>23185.1008968353</v>
      </c>
      <c r="H2812" s="7">
        <v>0.0</v>
      </c>
      <c r="I2812" s="15">
        <v>0.341235825502567</v>
      </c>
      <c r="J2812" s="15">
        <v>0.0744252307904448</v>
      </c>
      <c r="K2812" s="12">
        <f>AVERAGE(I2812:I2816)</f>
        <v>0.3488112326</v>
      </c>
      <c r="L2812" s="18">
        <v>4052.0</v>
      </c>
      <c r="M2812" s="14">
        <f>STDEV(L2812:L2816)</f>
        <v>28249.2071</v>
      </c>
      <c r="N2812" s="15" t="b">
        <f t="shared" si="1"/>
        <v>0</v>
      </c>
    </row>
    <row r="2813" hidden="1">
      <c r="A2813" s="7" t="s">
        <v>571</v>
      </c>
      <c r="B2813" s="7" t="s">
        <v>519</v>
      </c>
      <c r="C2813" s="7">
        <v>0.25</v>
      </c>
      <c r="D2813" s="7">
        <v>0.1</v>
      </c>
      <c r="E2813" s="7">
        <v>3.0</v>
      </c>
      <c r="F2813" s="7">
        <v>23006.6476409435</v>
      </c>
      <c r="G2813" s="7">
        <v>23185.1008968353</v>
      </c>
      <c r="H2813" s="7">
        <v>1.0</v>
      </c>
      <c r="I2813" s="15">
        <v>0.372493432384969</v>
      </c>
      <c r="J2813" s="15">
        <v>0.0677036291328674</v>
      </c>
      <c r="K2813" s="12">
        <f>AVERAGE(I2812:I2816)</f>
        <v>0.3488112326</v>
      </c>
      <c r="L2813" s="18">
        <v>19409.0</v>
      </c>
      <c r="M2813" s="14">
        <f>STDEV(L2812:L2816)</f>
        <v>28249.2071</v>
      </c>
      <c r="N2813" s="15" t="b">
        <f t="shared" si="1"/>
        <v>0</v>
      </c>
    </row>
    <row r="2814" hidden="1">
      <c r="A2814" s="7" t="s">
        <v>571</v>
      </c>
      <c r="B2814" s="7" t="s">
        <v>519</v>
      </c>
      <c r="C2814" s="7">
        <v>0.25</v>
      </c>
      <c r="D2814" s="7">
        <v>0.1</v>
      </c>
      <c r="E2814" s="7">
        <v>3.0</v>
      </c>
      <c r="F2814" s="7">
        <v>23006.6476409435</v>
      </c>
      <c r="G2814" s="7">
        <v>23185.1008968353</v>
      </c>
      <c r="H2814" s="7">
        <v>2.0</v>
      </c>
      <c r="I2814" s="15">
        <v>0.16218604442956</v>
      </c>
      <c r="J2814" s="15">
        <v>0.0703396774849065</v>
      </c>
      <c r="K2814" s="12">
        <f>AVERAGE(I2812:I2816)</f>
        <v>0.3488112326</v>
      </c>
      <c r="L2814" s="18">
        <v>55946.0</v>
      </c>
      <c r="M2814" s="14">
        <f>STDEV(L2812:L2816)</f>
        <v>28249.2071</v>
      </c>
      <c r="N2814" s="15" t="b">
        <f t="shared" si="1"/>
        <v>0</v>
      </c>
    </row>
    <row r="2815" hidden="1">
      <c r="A2815" s="7" t="s">
        <v>571</v>
      </c>
      <c r="B2815" s="7" t="s">
        <v>519</v>
      </c>
      <c r="C2815" s="7">
        <v>0.25</v>
      </c>
      <c r="D2815" s="7">
        <v>0.1</v>
      </c>
      <c r="E2815" s="7">
        <v>3.0</v>
      </c>
      <c r="F2815" s="7">
        <v>23006.6476409435</v>
      </c>
      <c r="G2815" s="7">
        <v>23185.1008968353</v>
      </c>
      <c r="H2815" s="7">
        <v>3.0</v>
      </c>
      <c r="I2815" s="15">
        <v>-0.0271667516264257</v>
      </c>
      <c r="J2815" s="15">
        <v>0.171719059192247</v>
      </c>
      <c r="K2815" s="12">
        <f>AVERAGE(I2812:I2816)</f>
        <v>0.3488112326</v>
      </c>
      <c r="L2815" s="18">
        <v>60670.0</v>
      </c>
      <c r="M2815" s="14">
        <f>STDEV(L2812:L2816)</f>
        <v>28249.2071</v>
      </c>
      <c r="N2815" s="15" t="b">
        <f t="shared" si="1"/>
        <v>0</v>
      </c>
    </row>
    <row r="2816" hidden="1">
      <c r="A2816" s="7" t="s">
        <v>571</v>
      </c>
      <c r="B2816" s="7" t="s">
        <v>519</v>
      </c>
      <c r="C2816" s="7">
        <v>0.25</v>
      </c>
      <c r="D2816" s="7">
        <v>0.1</v>
      </c>
      <c r="E2816" s="7">
        <v>3.0</v>
      </c>
      <c r="F2816" s="7">
        <v>23006.6476409435</v>
      </c>
      <c r="G2816" s="7">
        <v>23185.1008968353</v>
      </c>
      <c r="H2816" s="7">
        <v>4.0</v>
      </c>
      <c r="I2816" s="15">
        <v>0.89530761235368</v>
      </c>
      <c r="J2816" s="15">
        <v>0.139263660521769</v>
      </c>
      <c r="K2816" s="12">
        <f>AVERAGE(I2812:I2816)</f>
        <v>0.3488112326</v>
      </c>
      <c r="L2816" s="18">
        <v>1599.0</v>
      </c>
      <c r="M2816" s="14">
        <f>STDEV(L2812:L2816)</f>
        <v>28249.2071</v>
      </c>
      <c r="N2816" s="15" t="b">
        <f t="shared" si="1"/>
        <v>0</v>
      </c>
    </row>
    <row r="2817" hidden="1">
      <c r="A2817" s="7" t="s">
        <v>572</v>
      </c>
      <c r="B2817" s="7" t="s">
        <v>519</v>
      </c>
      <c r="C2817" s="7">
        <v>0.25</v>
      </c>
      <c r="D2817" s="7">
        <v>0.1</v>
      </c>
      <c r="E2817" s="7">
        <v>4.0</v>
      </c>
      <c r="F2817" s="7">
        <v>18312.2537624836</v>
      </c>
      <c r="G2817" s="7">
        <v>18502.5645010471</v>
      </c>
      <c r="H2817" s="7">
        <v>0.0</v>
      </c>
      <c r="I2817" s="15">
        <v>0.0557712306313829</v>
      </c>
      <c r="J2817" s="15">
        <v>0.122490615021045</v>
      </c>
      <c r="K2817" s="12">
        <f>AVERAGE(I2817:I2821)</f>
        <v>0.5527327056</v>
      </c>
      <c r="L2817" s="18">
        <v>97623.0</v>
      </c>
      <c r="M2817" s="14">
        <f>STDEV(L2817:L2821)</f>
        <v>39222.73565</v>
      </c>
      <c r="N2817" s="15" t="b">
        <f t="shared" si="1"/>
        <v>0</v>
      </c>
    </row>
    <row r="2818" hidden="1">
      <c r="A2818" s="7" t="s">
        <v>572</v>
      </c>
      <c r="B2818" s="7" t="s">
        <v>519</v>
      </c>
      <c r="C2818" s="7">
        <v>0.25</v>
      </c>
      <c r="D2818" s="7">
        <v>0.1</v>
      </c>
      <c r="E2818" s="7">
        <v>4.0</v>
      </c>
      <c r="F2818" s="7">
        <v>18312.2537624836</v>
      </c>
      <c r="G2818" s="7">
        <v>18502.5645010471</v>
      </c>
      <c r="H2818" s="7">
        <v>1.0</v>
      </c>
      <c r="I2818" s="15">
        <v>0.717530780557702</v>
      </c>
      <c r="J2818" s="15">
        <v>0.190681554039138</v>
      </c>
      <c r="K2818" s="12">
        <f>AVERAGE(I2817:I2821)</f>
        <v>0.5527327056</v>
      </c>
      <c r="L2818" s="18">
        <v>19959.0</v>
      </c>
      <c r="M2818" s="14">
        <f>STDEV(L2817:L2821)</f>
        <v>39222.73565</v>
      </c>
      <c r="N2818" s="15" t="b">
        <f t="shared" si="1"/>
        <v>0</v>
      </c>
    </row>
    <row r="2819" hidden="1">
      <c r="A2819" s="7" t="s">
        <v>572</v>
      </c>
      <c r="B2819" s="7" t="s">
        <v>519</v>
      </c>
      <c r="C2819" s="7">
        <v>0.25</v>
      </c>
      <c r="D2819" s="7">
        <v>0.1</v>
      </c>
      <c r="E2819" s="7">
        <v>4.0</v>
      </c>
      <c r="F2819" s="7">
        <v>18312.2537624836</v>
      </c>
      <c r="G2819" s="7">
        <v>18502.5645010471</v>
      </c>
      <c r="H2819" s="7">
        <v>2.0</v>
      </c>
      <c r="I2819" s="15">
        <v>0.355063448496423</v>
      </c>
      <c r="J2819" s="15">
        <v>0.147349538098264</v>
      </c>
      <c r="K2819" s="12">
        <f>AVERAGE(I2817:I2821)</f>
        <v>0.5527327056</v>
      </c>
      <c r="L2819" s="18">
        <v>12927.0</v>
      </c>
      <c r="M2819" s="14">
        <f>STDEV(L2817:L2821)</f>
        <v>39222.73565</v>
      </c>
      <c r="N2819" s="15" t="b">
        <f t="shared" si="1"/>
        <v>0</v>
      </c>
    </row>
    <row r="2820" hidden="1">
      <c r="A2820" s="7" t="s">
        <v>572</v>
      </c>
      <c r="B2820" s="7" t="s">
        <v>519</v>
      </c>
      <c r="C2820" s="7">
        <v>0.25</v>
      </c>
      <c r="D2820" s="7">
        <v>0.1</v>
      </c>
      <c r="E2820" s="7">
        <v>4.0</v>
      </c>
      <c r="F2820" s="7">
        <v>18312.2537624836</v>
      </c>
      <c r="G2820" s="7">
        <v>18502.5645010471</v>
      </c>
      <c r="H2820" s="7">
        <v>3.0</v>
      </c>
      <c r="I2820" s="15">
        <v>0.870793693979227</v>
      </c>
      <c r="J2820" s="15">
        <v>0.111291007542326</v>
      </c>
      <c r="K2820" s="12">
        <f>AVERAGE(I2817:I2821)</f>
        <v>0.5527327056</v>
      </c>
      <c r="L2820" s="18">
        <v>3343.0</v>
      </c>
      <c r="M2820" s="14">
        <f>STDEV(L2817:L2821)</f>
        <v>39222.73565</v>
      </c>
      <c r="N2820" s="15" t="b">
        <f t="shared" si="1"/>
        <v>0</v>
      </c>
    </row>
    <row r="2821" hidden="1">
      <c r="A2821" s="7" t="s">
        <v>572</v>
      </c>
      <c r="B2821" s="7" t="s">
        <v>519</v>
      </c>
      <c r="C2821" s="7">
        <v>0.25</v>
      </c>
      <c r="D2821" s="7">
        <v>0.1</v>
      </c>
      <c r="E2821" s="7">
        <v>4.0</v>
      </c>
      <c r="F2821" s="7">
        <v>18312.2537624836</v>
      </c>
      <c r="G2821" s="7">
        <v>18502.5645010471</v>
      </c>
      <c r="H2821" s="7">
        <v>4.0</v>
      </c>
      <c r="I2821" s="15">
        <v>0.764504374370197</v>
      </c>
      <c r="J2821" s="15">
        <v>0.134944380882715</v>
      </c>
      <c r="K2821" s="12">
        <f>AVERAGE(I2817:I2821)</f>
        <v>0.5527327056</v>
      </c>
      <c r="L2821" s="18">
        <v>7824.0</v>
      </c>
      <c r="M2821" s="14">
        <f>STDEV(L2817:L2821)</f>
        <v>39222.73565</v>
      </c>
      <c r="N2821" s="15" t="b">
        <f t="shared" si="1"/>
        <v>0</v>
      </c>
    </row>
    <row r="2822" hidden="1">
      <c r="A2822" s="7" t="s">
        <v>573</v>
      </c>
      <c r="B2822" s="7" t="s">
        <v>519</v>
      </c>
      <c r="C2822" s="7">
        <v>0.25</v>
      </c>
      <c r="D2822" s="7">
        <v>0.1</v>
      </c>
      <c r="E2822" s="7">
        <v>5.0</v>
      </c>
      <c r="F2822" s="7">
        <v>9326.50269651413</v>
      </c>
      <c r="G2822" s="7">
        <v>9512.95749759674</v>
      </c>
      <c r="H2822" s="7">
        <v>0.0</v>
      </c>
      <c r="I2822" s="15">
        <v>0.871064020899902</v>
      </c>
      <c r="J2822" s="15">
        <v>0.107445766136791</v>
      </c>
      <c r="K2822" s="12">
        <f>AVERAGE(I2822:I2826)</f>
        <v>0.47037821</v>
      </c>
      <c r="L2822" s="18">
        <v>3343.0</v>
      </c>
      <c r="M2822" s="14">
        <f>STDEV(L2822:L2826)</f>
        <v>33477.59053</v>
      </c>
      <c r="N2822" s="15" t="b">
        <f t="shared" si="1"/>
        <v>0</v>
      </c>
    </row>
    <row r="2823" hidden="1">
      <c r="A2823" s="7" t="s">
        <v>573</v>
      </c>
      <c r="B2823" s="7" t="s">
        <v>519</v>
      </c>
      <c r="C2823" s="7">
        <v>0.25</v>
      </c>
      <c r="D2823" s="7">
        <v>0.1</v>
      </c>
      <c r="E2823" s="7">
        <v>5.0</v>
      </c>
      <c r="F2823" s="7">
        <v>9326.50269651413</v>
      </c>
      <c r="G2823" s="7">
        <v>9512.95749759674</v>
      </c>
      <c r="H2823" s="7">
        <v>1.0</v>
      </c>
      <c r="I2823" s="15">
        <v>0.64751736355253</v>
      </c>
      <c r="J2823" s="15">
        <v>0.127846135746967</v>
      </c>
      <c r="K2823" s="12">
        <f>AVERAGE(I2822:I2826)</f>
        <v>0.47037821</v>
      </c>
      <c r="L2823" s="18">
        <v>2334.0</v>
      </c>
      <c r="M2823" s="14">
        <f>STDEV(L2822:L2826)</f>
        <v>33477.59053</v>
      </c>
      <c r="N2823" s="15" t="b">
        <f t="shared" si="1"/>
        <v>0</v>
      </c>
    </row>
    <row r="2824" hidden="1">
      <c r="A2824" s="7" t="s">
        <v>573</v>
      </c>
      <c r="B2824" s="7" t="s">
        <v>519</v>
      </c>
      <c r="C2824" s="7">
        <v>0.25</v>
      </c>
      <c r="D2824" s="7">
        <v>0.1</v>
      </c>
      <c r="E2824" s="7">
        <v>5.0</v>
      </c>
      <c r="F2824" s="7">
        <v>9326.50269651413</v>
      </c>
      <c r="G2824" s="7">
        <v>9512.95749759674</v>
      </c>
      <c r="H2824" s="7">
        <v>2.0</v>
      </c>
      <c r="I2824" s="15">
        <v>0.0836418895851378</v>
      </c>
      <c r="J2824" s="15">
        <v>0.144090687732427</v>
      </c>
      <c r="K2824" s="12">
        <f>AVERAGE(I2822:I2826)</f>
        <v>0.47037821</v>
      </c>
      <c r="L2824" s="18">
        <v>76772.0</v>
      </c>
      <c r="M2824" s="14">
        <f>STDEV(L2822:L2826)</f>
        <v>33477.59053</v>
      </c>
      <c r="N2824" s="15" t="b">
        <f t="shared" si="1"/>
        <v>0</v>
      </c>
    </row>
    <row r="2825" hidden="1">
      <c r="A2825" s="7" t="s">
        <v>573</v>
      </c>
      <c r="B2825" s="7" t="s">
        <v>519</v>
      </c>
      <c r="C2825" s="7">
        <v>0.25</v>
      </c>
      <c r="D2825" s="7">
        <v>0.1</v>
      </c>
      <c r="E2825" s="7">
        <v>5.0</v>
      </c>
      <c r="F2825" s="7">
        <v>9326.50269651413</v>
      </c>
      <c r="G2825" s="7">
        <v>9512.95749759674</v>
      </c>
      <c r="H2825" s="7">
        <v>3.0</v>
      </c>
      <c r="I2825" s="15">
        <v>0.175868133193673</v>
      </c>
      <c r="J2825" s="15">
        <v>0.11005893437992</v>
      </c>
      <c r="K2825" s="12">
        <f>AVERAGE(I2822:I2826)</f>
        <v>0.47037821</v>
      </c>
      <c r="L2825" s="18">
        <v>50021.0</v>
      </c>
      <c r="M2825" s="14">
        <f>STDEV(L2822:L2826)</f>
        <v>33477.59053</v>
      </c>
      <c r="N2825" s="15" t="b">
        <f t="shared" si="1"/>
        <v>0</v>
      </c>
    </row>
    <row r="2826" hidden="1">
      <c r="A2826" s="7" t="s">
        <v>573</v>
      </c>
      <c r="B2826" s="7" t="s">
        <v>519</v>
      </c>
      <c r="C2826" s="7">
        <v>0.25</v>
      </c>
      <c r="D2826" s="7">
        <v>0.1</v>
      </c>
      <c r="E2826" s="7">
        <v>5.0</v>
      </c>
      <c r="F2826" s="7">
        <v>9326.50269651413</v>
      </c>
      <c r="G2826" s="7">
        <v>9512.95749759674</v>
      </c>
      <c r="H2826" s="7">
        <v>4.0</v>
      </c>
      <c r="I2826" s="15">
        <v>0.573799642558432</v>
      </c>
      <c r="J2826" s="15">
        <v>0.246266863929884</v>
      </c>
      <c r="K2826" s="12">
        <f>AVERAGE(I2822:I2826)</f>
        <v>0.47037821</v>
      </c>
      <c r="L2826" s="18">
        <v>9206.0</v>
      </c>
      <c r="M2826" s="14">
        <f>STDEV(L2822:L2826)</f>
        <v>33477.59053</v>
      </c>
      <c r="N2826" s="15" t="b">
        <f t="shared" si="1"/>
        <v>0</v>
      </c>
    </row>
    <row r="2827" hidden="1">
      <c r="A2827" s="7" t="s">
        <v>574</v>
      </c>
      <c r="B2827" s="7" t="s">
        <v>519</v>
      </c>
      <c r="C2827" s="7">
        <v>0.25</v>
      </c>
      <c r="D2827" s="7">
        <v>0.1</v>
      </c>
      <c r="E2827" s="7">
        <v>6.0</v>
      </c>
      <c r="F2827" s="7">
        <v>174692.676064014</v>
      </c>
      <c r="G2827" s="7">
        <v>174877.281373262</v>
      </c>
      <c r="H2827" s="7">
        <v>0.0</v>
      </c>
      <c r="I2827" s="15">
        <v>-0.050057850980164</v>
      </c>
      <c r="J2827" s="15">
        <v>0.214024117725372</v>
      </c>
      <c r="K2827" s="12">
        <f>AVERAGE(I2827:I2831)</f>
        <v>0.359671905</v>
      </c>
      <c r="L2827" s="18">
        <v>51047.0</v>
      </c>
      <c r="M2827" s="14">
        <f>STDEV(L2827:L2831)</f>
        <v>22512.77084</v>
      </c>
      <c r="N2827" s="15" t="b">
        <f t="shared" si="1"/>
        <v>0</v>
      </c>
    </row>
    <row r="2828" hidden="1">
      <c r="A2828" s="7" t="s">
        <v>574</v>
      </c>
      <c r="B2828" s="7" t="s">
        <v>519</v>
      </c>
      <c r="C2828" s="7">
        <v>0.25</v>
      </c>
      <c r="D2828" s="7">
        <v>0.1</v>
      </c>
      <c r="E2828" s="7">
        <v>6.0</v>
      </c>
      <c r="F2828" s="7">
        <v>174692.676064014</v>
      </c>
      <c r="G2828" s="7">
        <v>174877.281373262</v>
      </c>
      <c r="H2828" s="7">
        <v>1.0</v>
      </c>
      <c r="I2828" s="15">
        <v>0.580362810402354</v>
      </c>
      <c r="J2828" s="15">
        <v>0.267159969909241</v>
      </c>
      <c r="K2828" s="12">
        <f>AVERAGE(I2827:I2831)</f>
        <v>0.359671905</v>
      </c>
      <c r="L2828" s="18">
        <v>5322.0</v>
      </c>
      <c r="M2828" s="14">
        <f>STDEV(L2827:L2831)</f>
        <v>22512.77084</v>
      </c>
      <c r="N2828" s="15" t="b">
        <f t="shared" si="1"/>
        <v>0</v>
      </c>
    </row>
    <row r="2829" hidden="1">
      <c r="A2829" s="7" t="s">
        <v>574</v>
      </c>
      <c r="B2829" s="7" t="s">
        <v>519</v>
      </c>
      <c r="C2829" s="7">
        <v>0.25</v>
      </c>
      <c r="D2829" s="7">
        <v>0.1</v>
      </c>
      <c r="E2829" s="7">
        <v>6.0</v>
      </c>
      <c r="F2829" s="7">
        <v>174692.676064014</v>
      </c>
      <c r="G2829" s="7">
        <v>174877.281373262</v>
      </c>
      <c r="H2829" s="7">
        <v>2.0</v>
      </c>
      <c r="I2829" s="15">
        <v>0.115226757935964</v>
      </c>
      <c r="J2829" s="15">
        <v>0.0508559799789228</v>
      </c>
      <c r="K2829" s="12">
        <f>AVERAGE(I2827:I2831)</f>
        <v>0.359671905</v>
      </c>
      <c r="L2829" s="18">
        <v>45324.0</v>
      </c>
      <c r="M2829" s="14">
        <f>STDEV(L2827:L2831)</f>
        <v>22512.77084</v>
      </c>
      <c r="N2829" s="15" t="b">
        <f t="shared" si="1"/>
        <v>0</v>
      </c>
    </row>
    <row r="2830" hidden="1">
      <c r="A2830" s="7" t="s">
        <v>574</v>
      </c>
      <c r="B2830" s="7" t="s">
        <v>519</v>
      </c>
      <c r="C2830" s="7">
        <v>0.25</v>
      </c>
      <c r="D2830" s="7">
        <v>0.1</v>
      </c>
      <c r="E2830" s="7">
        <v>6.0</v>
      </c>
      <c r="F2830" s="7">
        <v>174692.676064014</v>
      </c>
      <c r="G2830" s="7">
        <v>174877.281373262</v>
      </c>
      <c r="H2830" s="7">
        <v>3.0</v>
      </c>
      <c r="I2830" s="15">
        <v>0.869228710212891</v>
      </c>
      <c r="J2830" s="15">
        <v>0.106767764351657</v>
      </c>
      <c r="K2830" s="12">
        <f>AVERAGE(I2827:I2831)</f>
        <v>0.359671905</v>
      </c>
      <c r="L2830" s="18">
        <v>3348.0</v>
      </c>
      <c r="M2830" s="14">
        <f>STDEV(L2827:L2831)</f>
        <v>22512.77084</v>
      </c>
      <c r="N2830" s="15" t="b">
        <f t="shared" si="1"/>
        <v>0</v>
      </c>
    </row>
    <row r="2831" hidden="1">
      <c r="A2831" s="7" t="s">
        <v>574</v>
      </c>
      <c r="B2831" s="7" t="s">
        <v>519</v>
      </c>
      <c r="C2831" s="7">
        <v>0.25</v>
      </c>
      <c r="D2831" s="7">
        <v>0.1</v>
      </c>
      <c r="E2831" s="7">
        <v>6.0</v>
      </c>
      <c r="F2831" s="7">
        <v>174692.676064014</v>
      </c>
      <c r="G2831" s="7">
        <v>174877.281373262</v>
      </c>
      <c r="H2831" s="7">
        <v>4.0</v>
      </c>
      <c r="I2831" s="15">
        <v>0.283599097651197</v>
      </c>
      <c r="J2831" s="15">
        <v>0.0779733580619884</v>
      </c>
      <c r="K2831" s="12">
        <f>AVERAGE(I2827:I2831)</f>
        <v>0.359671905</v>
      </c>
      <c r="L2831" s="18">
        <v>36635.0</v>
      </c>
      <c r="M2831" s="14">
        <f>STDEV(L2827:L2831)</f>
        <v>22512.77084</v>
      </c>
      <c r="N2831" s="15" t="b">
        <f t="shared" si="1"/>
        <v>0</v>
      </c>
    </row>
    <row r="2832" hidden="1">
      <c r="A2832" s="7" t="s">
        <v>575</v>
      </c>
      <c r="B2832" s="7" t="s">
        <v>519</v>
      </c>
      <c r="C2832" s="7">
        <v>0.25</v>
      </c>
      <c r="D2832" s="7">
        <v>0.1</v>
      </c>
      <c r="E2832" s="7">
        <v>7.0</v>
      </c>
      <c r="F2832" s="7">
        <v>5818.92734384536</v>
      </c>
      <c r="G2832" s="7">
        <v>5975.18788814544</v>
      </c>
      <c r="H2832" s="7">
        <v>0.0</v>
      </c>
      <c r="I2832" s="15">
        <v>0.798523394850226</v>
      </c>
      <c r="J2832" s="15">
        <v>0.118412129462697</v>
      </c>
      <c r="K2832" s="12">
        <f>AVERAGE(I2832:I2836)</f>
        <v>0.5019973337</v>
      </c>
      <c r="L2832" s="18">
        <v>7477.0</v>
      </c>
      <c r="M2832" s="14">
        <f>STDEV(L2832:L2836)</f>
        <v>25904.311</v>
      </c>
      <c r="N2832" s="15" t="b">
        <f t="shared" si="1"/>
        <v>0</v>
      </c>
    </row>
    <row r="2833" hidden="1">
      <c r="A2833" s="7" t="s">
        <v>575</v>
      </c>
      <c r="B2833" s="7" t="s">
        <v>519</v>
      </c>
      <c r="C2833" s="7">
        <v>0.25</v>
      </c>
      <c r="D2833" s="7">
        <v>0.1</v>
      </c>
      <c r="E2833" s="7">
        <v>7.0</v>
      </c>
      <c r="F2833" s="7">
        <v>5818.92734384536</v>
      </c>
      <c r="G2833" s="7">
        <v>5975.18788814544</v>
      </c>
      <c r="H2833" s="7">
        <v>1.0</v>
      </c>
      <c r="I2833" s="15">
        <v>0.711044078350908</v>
      </c>
      <c r="J2833" s="15">
        <v>0.195472307767427</v>
      </c>
      <c r="K2833" s="12">
        <f>AVERAGE(I2832:I2836)</f>
        <v>0.5019973337</v>
      </c>
      <c r="L2833" s="18">
        <v>20069.0</v>
      </c>
      <c r="M2833" s="14">
        <f>STDEV(L2832:L2836)</f>
        <v>25904.311</v>
      </c>
      <c r="N2833" s="15" t="b">
        <f t="shared" si="1"/>
        <v>0</v>
      </c>
    </row>
    <row r="2834" hidden="1">
      <c r="A2834" s="7" t="s">
        <v>575</v>
      </c>
      <c r="B2834" s="7" t="s">
        <v>519</v>
      </c>
      <c r="C2834" s="7">
        <v>0.25</v>
      </c>
      <c r="D2834" s="7">
        <v>0.1</v>
      </c>
      <c r="E2834" s="7">
        <v>7.0</v>
      </c>
      <c r="F2834" s="7">
        <v>5818.92734384536</v>
      </c>
      <c r="G2834" s="7">
        <v>5975.18788814544</v>
      </c>
      <c r="H2834" s="7">
        <v>2.0</v>
      </c>
      <c r="I2834" s="15">
        <v>0.826050386942022</v>
      </c>
      <c r="J2834" s="15">
        <v>0.0923080319406438</v>
      </c>
      <c r="K2834" s="12">
        <f>AVERAGE(I2832:I2836)</f>
        <v>0.5019973337</v>
      </c>
      <c r="L2834" s="18">
        <v>4613.0</v>
      </c>
      <c r="M2834" s="14">
        <f>STDEV(L2832:L2836)</f>
        <v>25904.311</v>
      </c>
      <c r="N2834" s="15" t="b">
        <f t="shared" si="1"/>
        <v>0</v>
      </c>
    </row>
    <row r="2835" hidden="1">
      <c r="A2835" s="7" t="s">
        <v>575</v>
      </c>
      <c r="B2835" s="7" t="s">
        <v>519</v>
      </c>
      <c r="C2835" s="7">
        <v>0.25</v>
      </c>
      <c r="D2835" s="7">
        <v>0.1</v>
      </c>
      <c r="E2835" s="7">
        <v>7.0</v>
      </c>
      <c r="F2835" s="7">
        <v>5818.92734384536</v>
      </c>
      <c r="G2835" s="7">
        <v>5975.18788814544</v>
      </c>
      <c r="H2835" s="7">
        <v>3.0</v>
      </c>
      <c r="I2835" s="15">
        <v>0.0572149753668955</v>
      </c>
      <c r="J2835" s="15">
        <v>0.0420626754308944</v>
      </c>
      <c r="K2835" s="12">
        <f>AVERAGE(I2832:I2836)</f>
        <v>0.5019973337</v>
      </c>
      <c r="L2835" s="18">
        <v>65285.0</v>
      </c>
      <c r="M2835" s="14">
        <f>STDEV(L2832:L2836)</f>
        <v>25904.311</v>
      </c>
      <c r="N2835" s="15" t="b">
        <f t="shared" si="1"/>
        <v>0</v>
      </c>
    </row>
    <row r="2836" hidden="1">
      <c r="A2836" s="7" t="s">
        <v>575</v>
      </c>
      <c r="B2836" s="7" t="s">
        <v>519</v>
      </c>
      <c r="C2836" s="7">
        <v>0.25</v>
      </c>
      <c r="D2836" s="7">
        <v>0.1</v>
      </c>
      <c r="E2836" s="7">
        <v>7.0</v>
      </c>
      <c r="F2836" s="7">
        <v>5818.92734384536</v>
      </c>
      <c r="G2836" s="7">
        <v>5975.18788814544</v>
      </c>
      <c r="H2836" s="7">
        <v>4.0</v>
      </c>
      <c r="I2836" s="15">
        <v>0.117153832812674</v>
      </c>
      <c r="J2836" s="15">
        <v>0.12847596438913</v>
      </c>
      <c r="K2836" s="12">
        <f>AVERAGE(I2832:I2836)</f>
        <v>0.5019973337</v>
      </c>
      <c r="L2836" s="18">
        <v>44232.0</v>
      </c>
      <c r="M2836" s="14">
        <f>STDEV(L2832:L2836)</f>
        <v>25904.311</v>
      </c>
      <c r="N2836" s="15" t="b">
        <f t="shared" si="1"/>
        <v>0</v>
      </c>
    </row>
    <row r="2837" hidden="1">
      <c r="A2837" s="7" t="s">
        <v>576</v>
      </c>
      <c r="B2837" s="7" t="s">
        <v>519</v>
      </c>
      <c r="C2837" s="7">
        <v>0.25</v>
      </c>
      <c r="D2837" s="7">
        <v>0.1</v>
      </c>
      <c r="E2837" s="7">
        <v>8.0</v>
      </c>
      <c r="F2837" s="7">
        <v>34819.3160545825</v>
      </c>
      <c r="G2837" s="7">
        <v>34976.1631147861</v>
      </c>
      <c r="H2837" s="7">
        <v>0.0</v>
      </c>
      <c r="I2837" s="15">
        <v>0.249948957233511</v>
      </c>
      <c r="J2837" s="15">
        <v>0.0827614125045708</v>
      </c>
      <c r="K2837" s="12">
        <f>AVERAGE(I2837:I2841)</f>
        <v>0.387494211</v>
      </c>
      <c r="L2837" s="18">
        <v>30179.0</v>
      </c>
      <c r="M2837" s="14">
        <f>STDEV(L2837:L2841)</f>
        <v>24945.63995</v>
      </c>
      <c r="N2837" s="15" t="b">
        <f t="shared" si="1"/>
        <v>0</v>
      </c>
    </row>
    <row r="2838" hidden="1">
      <c r="A2838" s="7" t="s">
        <v>576</v>
      </c>
      <c r="B2838" s="7" t="s">
        <v>519</v>
      </c>
      <c r="C2838" s="7">
        <v>0.25</v>
      </c>
      <c r="D2838" s="7">
        <v>0.1</v>
      </c>
      <c r="E2838" s="7">
        <v>8.0</v>
      </c>
      <c r="F2838" s="7">
        <v>34819.3160545825</v>
      </c>
      <c r="G2838" s="7">
        <v>34976.1631147861</v>
      </c>
      <c r="H2838" s="7">
        <v>1.0</v>
      </c>
      <c r="I2838" s="15">
        <v>0.238689462555803</v>
      </c>
      <c r="J2838" s="15">
        <v>0.122343398029378</v>
      </c>
      <c r="K2838" s="12">
        <f>AVERAGE(I2837:I2841)</f>
        <v>0.387494211</v>
      </c>
      <c r="L2838" s="18">
        <v>41624.0</v>
      </c>
      <c r="M2838" s="14">
        <f>STDEV(L2837:L2841)</f>
        <v>24945.63995</v>
      </c>
      <c r="N2838" s="15" t="b">
        <f t="shared" si="1"/>
        <v>0</v>
      </c>
    </row>
    <row r="2839" hidden="1">
      <c r="A2839" s="7" t="s">
        <v>576</v>
      </c>
      <c r="B2839" s="7" t="s">
        <v>519</v>
      </c>
      <c r="C2839" s="7">
        <v>0.25</v>
      </c>
      <c r="D2839" s="7">
        <v>0.1</v>
      </c>
      <c r="E2839" s="7">
        <v>8.0</v>
      </c>
      <c r="F2839" s="7">
        <v>34819.3160545825</v>
      </c>
      <c r="G2839" s="7">
        <v>34976.1631147861</v>
      </c>
      <c r="H2839" s="7">
        <v>2.0</v>
      </c>
      <c r="I2839" s="15">
        <v>0.645872870380768</v>
      </c>
      <c r="J2839" s="15">
        <v>0.127595072443698</v>
      </c>
      <c r="K2839" s="12">
        <f>AVERAGE(I2837:I2841)</f>
        <v>0.387494211</v>
      </c>
      <c r="L2839" s="18">
        <v>2347.0</v>
      </c>
      <c r="M2839" s="14">
        <f>STDEV(L2837:L2841)</f>
        <v>24945.63995</v>
      </c>
      <c r="N2839" s="15" t="b">
        <f t="shared" si="1"/>
        <v>0</v>
      </c>
    </row>
    <row r="2840" hidden="1">
      <c r="A2840" s="7" t="s">
        <v>576</v>
      </c>
      <c r="B2840" s="7" t="s">
        <v>519</v>
      </c>
      <c r="C2840" s="7">
        <v>0.25</v>
      </c>
      <c r="D2840" s="7">
        <v>0.1</v>
      </c>
      <c r="E2840" s="7">
        <v>8.0</v>
      </c>
      <c r="F2840" s="7">
        <v>34819.3160545825</v>
      </c>
      <c r="G2840" s="7">
        <v>34976.1631147861</v>
      </c>
      <c r="H2840" s="7">
        <v>3.0</v>
      </c>
      <c r="I2840" s="15">
        <v>0.806071989332827</v>
      </c>
      <c r="J2840" s="15">
        <v>0.122330653562069</v>
      </c>
      <c r="K2840" s="12">
        <f>AVERAGE(I2837:I2841)</f>
        <v>0.387494211</v>
      </c>
      <c r="L2840" s="18">
        <v>5702.0</v>
      </c>
      <c r="M2840" s="14">
        <f>STDEV(L2837:L2841)</f>
        <v>24945.63995</v>
      </c>
      <c r="N2840" s="15" t="b">
        <f t="shared" si="1"/>
        <v>0</v>
      </c>
    </row>
    <row r="2841" hidden="1">
      <c r="A2841" s="7" t="s">
        <v>576</v>
      </c>
      <c r="B2841" s="7" t="s">
        <v>519</v>
      </c>
      <c r="C2841" s="7">
        <v>0.25</v>
      </c>
      <c r="D2841" s="7">
        <v>0.1</v>
      </c>
      <c r="E2841" s="7">
        <v>8.0</v>
      </c>
      <c r="F2841" s="7">
        <v>34819.3160545825</v>
      </c>
      <c r="G2841" s="7">
        <v>34976.1631147861</v>
      </c>
      <c r="H2841" s="7">
        <v>4.0</v>
      </c>
      <c r="I2841" s="15">
        <v>-0.00311222433526439</v>
      </c>
      <c r="J2841" s="15">
        <v>0.11412181197188</v>
      </c>
      <c r="K2841" s="12">
        <f>AVERAGE(I2837:I2841)</f>
        <v>0.387494211</v>
      </c>
      <c r="L2841" s="18">
        <v>61824.0</v>
      </c>
      <c r="M2841" s="14">
        <f>STDEV(L2837:L2841)</f>
        <v>24945.63995</v>
      </c>
      <c r="N2841" s="15" t="b">
        <f t="shared" si="1"/>
        <v>0</v>
      </c>
    </row>
    <row r="2842" hidden="1">
      <c r="A2842" s="7" t="s">
        <v>577</v>
      </c>
      <c r="B2842" s="7" t="s">
        <v>519</v>
      </c>
      <c r="C2842" s="7">
        <v>0.25</v>
      </c>
      <c r="D2842" s="7">
        <v>0.1</v>
      </c>
      <c r="E2842" s="7">
        <v>9.0</v>
      </c>
      <c r="F2842" s="7">
        <v>20039.877649784</v>
      </c>
      <c r="G2842" s="7">
        <v>20217.7332468032</v>
      </c>
      <c r="H2842" s="7">
        <v>0.0</v>
      </c>
      <c r="I2842" s="15">
        <v>0.841186822480514</v>
      </c>
      <c r="J2842" s="15">
        <v>0.0803198182565972</v>
      </c>
      <c r="K2842" s="12">
        <f>AVERAGE(I2842:I2846)</f>
        <v>0.512282785</v>
      </c>
      <c r="L2842" s="18">
        <v>4526.0</v>
      </c>
      <c r="M2842" s="14">
        <f>STDEV(L2842:L2846)</f>
        <v>56006.75394</v>
      </c>
      <c r="N2842" s="15" t="b">
        <f t="shared" si="1"/>
        <v>0</v>
      </c>
    </row>
    <row r="2843" hidden="1">
      <c r="A2843" s="7" t="s">
        <v>577</v>
      </c>
      <c r="B2843" s="7" t="s">
        <v>519</v>
      </c>
      <c r="C2843" s="7">
        <v>0.25</v>
      </c>
      <c r="D2843" s="7">
        <v>0.1</v>
      </c>
      <c r="E2843" s="7">
        <v>9.0</v>
      </c>
      <c r="F2843" s="7">
        <v>20039.877649784</v>
      </c>
      <c r="G2843" s="7">
        <v>20217.7332468032</v>
      </c>
      <c r="H2843" s="7">
        <v>1.0</v>
      </c>
      <c r="I2843" s="15">
        <v>0.0648315181496644</v>
      </c>
      <c r="J2843" s="15">
        <v>0.0980327859777622</v>
      </c>
      <c r="K2843" s="12">
        <f>AVERAGE(I2842:I2846)</f>
        <v>0.512282785</v>
      </c>
      <c r="L2843" s="18">
        <v>128504.0</v>
      </c>
      <c r="M2843" s="14">
        <f>STDEV(L2842:L2846)</f>
        <v>56006.75394</v>
      </c>
      <c r="N2843" s="15" t="b">
        <f t="shared" si="1"/>
        <v>0</v>
      </c>
    </row>
    <row r="2844" hidden="1">
      <c r="A2844" s="7" t="s">
        <v>577</v>
      </c>
      <c r="B2844" s="7" t="s">
        <v>519</v>
      </c>
      <c r="C2844" s="7">
        <v>0.25</v>
      </c>
      <c r="D2844" s="7">
        <v>0.1</v>
      </c>
      <c r="E2844" s="7">
        <v>9.0</v>
      </c>
      <c r="F2844" s="7">
        <v>20039.877649784</v>
      </c>
      <c r="G2844" s="7">
        <v>20217.7332468032</v>
      </c>
      <c r="H2844" s="7">
        <v>2.0</v>
      </c>
      <c r="I2844" s="15">
        <v>0.412450179335676</v>
      </c>
      <c r="J2844" s="15">
        <v>0.248293171587641</v>
      </c>
      <c r="K2844" s="12">
        <f>AVERAGE(I2842:I2846)</f>
        <v>0.512282785</v>
      </c>
      <c r="L2844" s="18">
        <v>3140.0</v>
      </c>
      <c r="M2844" s="14">
        <f>STDEV(L2842:L2846)</f>
        <v>56006.75394</v>
      </c>
      <c r="N2844" s="15" t="b">
        <f t="shared" si="1"/>
        <v>0</v>
      </c>
    </row>
    <row r="2845" hidden="1">
      <c r="A2845" s="7" t="s">
        <v>577</v>
      </c>
      <c r="B2845" s="7" t="s">
        <v>519</v>
      </c>
      <c r="C2845" s="7">
        <v>0.25</v>
      </c>
      <c r="D2845" s="7">
        <v>0.1</v>
      </c>
      <c r="E2845" s="7">
        <v>9.0</v>
      </c>
      <c r="F2845" s="7">
        <v>20039.877649784</v>
      </c>
      <c r="G2845" s="7">
        <v>20217.7332468032</v>
      </c>
      <c r="H2845" s="7">
        <v>3.0</v>
      </c>
      <c r="I2845" s="15">
        <v>0.348311967625524</v>
      </c>
      <c r="J2845" s="15">
        <v>0.129388007577713</v>
      </c>
      <c r="K2845" s="12">
        <f>AVERAGE(I2842:I2846)</f>
        <v>0.512282785</v>
      </c>
      <c r="L2845" s="18">
        <v>3907.0</v>
      </c>
      <c r="M2845" s="14">
        <f>STDEV(L2842:L2846)</f>
        <v>56006.75394</v>
      </c>
      <c r="N2845" s="15" t="b">
        <f t="shared" si="1"/>
        <v>0</v>
      </c>
    </row>
    <row r="2846" hidden="1">
      <c r="A2846" s="7" t="s">
        <v>577</v>
      </c>
      <c r="B2846" s="7" t="s">
        <v>519</v>
      </c>
      <c r="C2846" s="7">
        <v>0.25</v>
      </c>
      <c r="D2846" s="7">
        <v>0.1</v>
      </c>
      <c r="E2846" s="7">
        <v>9.0</v>
      </c>
      <c r="F2846" s="7">
        <v>20039.877649784</v>
      </c>
      <c r="G2846" s="7">
        <v>20217.7332468032</v>
      </c>
      <c r="H2846" s="7">
        <v>4.0</v>
      </c>
      <c r="I2846" s="15">
        <v>0.894633437583727</v>
      </c>
      <c r="J2846" s="15">
        <v>0.141948168937386</v>
      </c>
      <c r="K2846" s="12">
        <f>AVERAGE(I2842:I2846)</f>
        <v>0.512282785</v>
      </c>
      <c r="L2846" s="18">
        <v>1599.0</v>
      </c>
      <c r="M2846" s="14">
        <f>STDEV(L2842:L2846)</f>
        <v>56006.75394</v>
      </c>
      <c r="N2846" s="15" t="b">
        <f t="shared" si="1"/>
        <v>0</v>
      </c>
    </row>
    <row r="2847" hidden="1">
      <c r="A2847" s="7" t="s">
        <v>578</v>
      </c>
      <c r="B2847" s="7" t="s">
        <v>519</v>
      </c>
      <c r="C2847" s="7">
        <v>0.25</v>
      </c>
      <c r="D2847" s="7">
        <v>0.1</v>
      </c>
      <c r="E2847" s="7">
        <v>10.0</v>
      </c>
      <c r="F2847" s="7">
        <v>13882.6583547592</v>
      </c>
      <c r="G2847" s="7">
        <v>14068.3936960697</v>
      </c>
      <c r="H2847" s="7">
        <v>0.0</v>
      </c>
      <c r="I2847" s="15">
        <v>0.909629090247692</v>
      </c>
      <c r="J2847" s="15">
        <v>0.0436026296631683</v>
      </c>
      <c r="K2847" s="12">
        <f>AVERAGE(I2847:I2851)</f>
        <v>0.6004497612</v>
      </c>
      <c r="L2847" s="18">
        <v>2064.0</v>
      </c>
      <c r="M2847" s="14">
        <f>STDEV(L2847:L2851)</f>
        <v>42258.34828</v>
      </c>
      <c r="N2847" s="15" t="b">
        <f t="shared" si="1"/>
        <v>0</v>
      </c>
    </row>
    <row r="2848" hidden="1">
      <c r="A2848" s="7" t="s">
        <v>578</v>
      </c>
      <c r="B2848" s="7" t="s">
        <v>519</v>
      </c>
      <c r="C2848" s="7">
        <v>0.25</v>
      </c>
      <c r="D2848" s="7">
        <v>0.1</v>
      </c>
      <c r="E2848" s="7">
        <v>10.0</v>
      </c>
      <c r="F2848" s="7">
        <v>13882.6583547592</v>
      </c>
      <c r="G2848" s="7">
        <v>14068.3936960697</v>
      </c>
      <c r="H2848" s="7">
        <v>1.0</v>
      </c>
      <c r="I2848" s="15">
        <v>0.601202062969096</v>
      </c>
      <c r="J2848" s="15">
        <v>0.249583461565872</v>
      </c>
      <c r="K2848" s="12">
        <f>AVERAGE(I2847:I2851)</f>
        <v>0.6004497612</v>
      </c>
      <c r="L2848" s="18">
        <v>5138.0</v>
      </c>
      <c r="M2848" s="14">
        <f>STDEV(L2847:L2851)</f>
        <v>42258.34828</v>
      </c>
      <c r="N2848" s="15" t="b">
        <f t="shared" si="1"/>
        <v>0</v>
      </c>
    </row>
    <row r="2849" hidden="1">
      <c r="A2849" s="7" t="s">
        <v>578</v>
      </c>
      <c r="B2849" s="7" t="s">
        <v>519</v>
      </c>
      <c r="C2849" s="7">
        <v>0.25</v>
      </c>
      <c r="D2849" s="7">
        <v>0.1</v>
      </c>
      <c r="E2849" s="7">
        <v>10.0</v>
      </c>
      <c r="F2849" s="7">
        <v>13882.6583547592</v>
      </c>
      <c r="G2849" s="7">
        <v>14068.3936960697</v>
      </c>
      <c r="H2849" s="7">
        <v>2.0</v>
      </c>
      <c r="I2849" s="15">
        <v>0.00893852399785919</v>
      </c>
      <c r="J2849" s="15">
        <v>0.180336530539836</v>
      </c>
      <c r="K2849" s="12">
        <f>AVERAGE(I2847:I2851)</f>
        <v>0.6004497612</v>
      </c>
      <c r="L2849" s="18">
        <v>102918.0</v>
      </c>
      <c r="M2849" s="14">
        <f>STDEV(L2847:L2851)</f>
        <v>42258.34828</v>
      </c>
      <c r="N2849" s="15" t="b">
        <f t="shared" si="1"/>
        <v>0</v>
      </c>
    </row>
    <row r="2850" hidden="1">
      <c r="A2850" s="7" t="s">
        <v>578</v>
      </c>
      <c r="B2850" s="7" t="s">
        <v>519</v>
      </c>
      <c r="C2850" s="7">
        <v>0.25</v>
      </c>
      <c r="D2850" s="7">
        <v>0.1</v>
      </c>
      <c r="E2850" s="7">
        <v>10.0</v>
      </c>
      <c r="F2850" s="7">
        <v>13882.6583547592</v>
      </c>
      <c r="G2850" s="7">
        <v>14068.3936960697</v>
      </c>
      <c r="H2850" s="7">
        <v>3.0</v>
      </c>
      <c r="I2850" s="15">
        <v>0.772866805585328</v>
      </c>
      <c r="J2850" s="15">
        <v>0.137140870211522</v>
      </c>
      <c r="K2850" s="12">
        <f>AVERAGE(I2847:I2851)</f>
        <v>0.6004497612</v>
      </c>
      <c r="L2850" s="18">
        <v>11487.0</v>
      </c>
      <c r="M2850" s="14">
        <f>STDEV(L2847:L2851)</f>
        <v>42258.34828</v>
      </c>
      <c r="N2850" s="15" t="b">
        <f t="shared" si="1"/>
        <v>0</v>
      </c>
    </row>
    <row r="2851" hidden="1">
      <c r="A2851" s="7" t="s">
        <v>578</v>
      </c>
      <c r="B2851" s="7" t="s">
        <v>519</v>
      </c>
      <c r="C2851" s="7">
        <v>0.25</v>
      </c>
      <c r="D2851" s="7">
        <v>0.1</v>
      </c>
      <c r="E2851" s="7">
        <v>10.0</v>
      </c>
      <c r="F2851" s="7">
        <v>13882.6583547592</v>
      </c>
      <c r="G2851" s="7">
        <v>14068.3936960697</v>
      </c>
      <c r="H2851" s="7">
        <v>4.0</v>
      </c>
      <c r="I2851" s="15">
        <v>0.709612323311302</v>
      </c>
      <c r="J2851" s="15">
        <v>0.192378498777701</v>
      </c>
      <c r="K2851" s="12">
        <f>AVERAGE(I2847:I2851)</f>
        <v>0.6004497612</v>
      </c>
      <c r="L2851" s="18">
        <v>20069.0</v>
      </c>
      <c r="M2851" s="14">
        <f>STDEV(L2847:L2851)</f>
        <v>42258.34828</v>
      </c>
      <c r="N2851" s="15" t="b">
        <f t="shared" si="1"/>
        <v>0</v>
      </c>
    </row>
    <row r="2852" hidden="1">
      <c r="A2852" s="7" t="s">
        <v>579</v>
      </c>
      <c r="B2852" s="7" t="s">
        <v>519</v>
      </c>
      <c r="C2852" s="7">
        <v>0.25</v>
      </c>
      <c r="D2852" s="7">
        <v>0.25</v>
      </c>
      <c r="E2852" s="7">
        <v>1.0</v>
      </c>
      <c r="F2852" s="7">
        <v>45427.4560296535</v>
      </c>
      <c r="G2852" s="7">
        <v>45615.0262329578</v>
      </c>
      <c r="H2852" s="7">
        <v>0.0</v>
      </c>
      <c r="I2852" s="15">
        <v>0.834978127978322</v>
      </c>
      <c r="J2852" s="15">
        <v>0.0878381585080707</v>
      </c>
      <c r="K2852" s="12">
        <f>AVERAGE(I2852:I2856)</f>
        <v>0.4598094457</v>
      </c>
      <c r="L2852" s="18">
        <v>7202.0</v>
      </c>
      <c r="M2852" s="14">
        <f>STDEV(L2852:L2856)</f>
        <v>42197.16423</v>
      </c>
      <c r="N2852" s="15" t="b">
        <f t="shared" si="1"/>
        <v>0</v>
      </c>
    </row>
    <row r="2853" hidden="1">
      <c r="A2853" s="7" t="s">
        <v>579</v>
      </c>
      <c r="B2853" s="7" t="s">
        <v>519</v>
      </c>
      <c r="C2853" s="7">
        <v>0.25</v>
      </c>
      <c r="D2853" s="7">
        <v>0.25</v>
      </c>
      <c r="E2853" s="7">
        <v>1.0</v>
      </c>
      <c r="F2853" s="7">
        <v>45427.4560296535</v>
      </c>
      <c r="G2853" s="7">
        <v>45615.0262329578</v>
      </c>
      <c r="H2853" s="7">
        <v>1.0</v>
      </c>
      <c r="I2853" s="15">
        <v>0.471136991564525</v>
      </c>
      <c r="J2853" s="15">
        <v>0.190020454731591</v>
      </c>
      <c r="K2853" s="12">
        <f>AVERAGE(I2852:I2856)</f>
        <v>0.4598094457</v>
      </c>
      <c r="L2853" s="18">
        <v>26652.0</v>
      </c>
      <c r="M2853" s="14">
        <f>STDEV(L2852:L2856)</f>
        <v>42197.16423</v>
      </c>
      <c r="N2853" s="15" t="b">
        <f t="shared" si="1"/>
        <v>0</v>
      </c>
    </row>
    <row r="2854" hidden="1">
      <c r="A2854" s="7" t="s">
        <v>579</v>
      </c>
      <c r="B2854" s="7" t="s">
        <v>519</v>
      </c>
      <c r="C2854" s="7">
        <v>0.25</v>
      </c>
      <c r="D2854" s="7">
        <v>0.25</v>
      </c>
      <c r="E2854" s="7">
        <v>1.0</v>
      </c>
      <c r="F2854" s="7">
        <v>45427.4560296535</v>
      </c>
      <c r="G2854" s="7">
        <v>45615.0262329578</v>
      </c>
      <c r="H2854" s="7">
        <v>2.0</v>
      </c>
      <c r="I2854" s="15">
        <v>0.31372108390812</v>
      </c>
      <c r="J2854" s="15">
        <v>0.110894092517658</v>
      </c>
      <c r="K2854" s="12">
        <f>AVERAGE(I2852:I2856)</f>
        <v>0.4598094457</v>
      </c>
      <c r="L2854" s="18">
        <v>3721.0</v>
      </c>
      <c r="M2854" s="14">
        <f>STDEV(L2852:L2856)</f>
        <v>42197.16423</v>
      </c>
      <c r="N2854" s="15" t="b">
        <f t="shared" si="1"/>
        <v>0</v>
      </c>
    </row>
    <row r="2855" hidden="1">
      <c r="A2855" s="7" t="s">
        <v>579</v>
      </c>
      <c r="B2855" s="7" t="s">
        <v>519</v>
      </c>
      <c r="C2855" s="7">
        <v>0.25</v>
      </c>
      <c r="D2855" s="7">
        <v>0.25</v>
      </c>
      <c r="E2855" s="7">
        <v>1.0</v>
      </c>
      <c r="F2855" s="7">
        <v>45427.4560296535</v>
      </c>
      <c r="G2855" s="7">
        <v>45615.0262329578</v>
      </c>
      <c r="H2855" s="7">
        <v>3.0</v>
      </c>
      <c r="I2855" s="15">
        <v>0.0724960702083921</v>
      </c>
      <c r="J2855" s="15">
        <v>0.0524003541342736</v>
      </c>
      <c r="K2855" s="12">
        <f>AVERAGE(I2852:I2856)</f>
        <v>0.4598094457</v>
      </c>
      <c r="L2855" s="18">
        <v>101761.0</v>
      </c>
      <c r="M2855" s="14">
        <f>STDEV(L2852:L2856)</f>
        <v>42197.16423</v>
      </c>
      <c r="N2855" s="15" t="b">
        <f t="shared" si="1"/>
        <v>0</v>
      </c>
    </row>
    <row r="2856" hidden="1">
      <c r="A2856" s="7" t="s">
        <v>579</v>
      </c>
      <c r="B2856" s="7" t="s">
        <v>519</v>
      </c>
      <c r="C2856" s="7">
        <v>0.25</v>
      </c>
      <c r="D2856" s="7">
        <v>0.25</v>
      </c>
      <c r="E2856" s="7">
        <v>1.0</v>
      </c>
      <c r="F2856" s="7">
        <v>45427.4560296535</v>
      </c>
      <c r="G2856" s="7">
        <v>45615.0262329578</v>
      </c>
      <c r="H2856" s="7">
        <v>4.0</v>
      </c>
      <c r="I2856" s="15">
        <v>0.606714954962423</v>
      </c>
      <c r="J2856" s="15">
        <v>0.177700842881047</v>
      </c>
      <c r="K2856" s="12">
        <f>AVERAGE(I2852:I2856)</f>
        <v>0.4598094457</v>
      </c>
      <c r="L2856" s="18">
        <v>2340.0</v>
      </c>
      <c r="M2856" s="14">
        <f>STDEV(L2852:L2856)</f>
        <v>42197.16423</v>
      </c>
      <c r="N2856" s="15" t="b">
        <f t="shared" si="1"/>
        <v>0</v>
      </c>
    </row>
    <row r="2857" hidden="1">
      <c r="A2857" s="7" t="s">
        <v>580</v>
      </c>
      <c r="B2857" s="7" t="s">
        <v>519</v>
      </c>
      <c r="C2857" s="7">
        <v>0.25</v>
      </c>
      <c r="D2857" s="7">
        <v>0.25</v>
      </c>
      <c r="E2857" s="7">
        <v>2.0</v>
      </c>
      <c r="F2857" s="7">
        <v>21622.3676824569</v>
      </c>
      <c r="G2857" s="7">
        <v>21799.686961174</v>
      </c>
      <c r="H2857" s="7">
        <v>0.0</v>
      </c>
      <c r="I2857" s="15">
        <v>1.47028794287357E-4</v>
      </c>
      <c r="J2857" s="15">
        <v>0.177612617996694</v>
      </c>
      <c r="K2857" s="12">
        <f>AVERAGE(I2857:I2861)</f>
        <v>0.470743255</v>
      </c>
      <c r="L2857" s="18">
        <v>98962.0</v>
      </c>
      <c r="M2857" s="14">
        <f>STDEV(L2857:L2861)</f>
        <v>40138.36735</v>
      </c>
      <c r="N2857" s="15" t="b">
        <f t="shared" si="1"/>
        <v>0</v>
      </c>
    </row>
    <row r="2858" hidden="1">
      <c r="A2858" s="7" t="s">
        <v>580</v>
      </c>
      <c r="B2858" s="7" t="s">
        <v>519</v>
      </c>
      <c r="C2858" s="7">
        <v>0.25</v>
      </c>
      <c r="D2858" s="7">
        <v>0.25</v>
      </c>
      <c r="E2858" s="7">
        <v>2.0</v>
      </c>
      <c r="F2858" s="7">
        <v>21622.3676824569</v>
      </c>
      <c r="G2858" s="7">
        <v>21799.686961174</v>
      </c>
      <c r="H2858" s="7">
        <v>1.0</v>
      </c>
      <c r="I2858" s="15">
        <v>0.350835131364837</v>
      </c>
      <c r="J2858" s="15">
        <v>0.0856572712376019</v>
      </c>
      <c r="K2858" s="12">
        <f>AVERAGE(I2857:I2861)</f>
        <v>0.470743255</v>
      </c>
      <c r="L2858" s="18">
        <v>17488.0</v>
      </c>
      <c r="M2858" s="14">
        <f>STDEV(L2857:L2861)</f>
        <v>40138.36735</v>
      </c>
      <c r="N2858" s="15" t="b">
        <f t="shared" si="1"/>
        <v>0</v>
      </c>
    </row>
    <row r="2859" hidden="1">
      <c r="A2859" s="7" t="s">
        <v>580</v>
      </c>
      <c r="B2859" s="7" t="s">
        <v>519</v>
      </c>
      <c r="C2859" s="7">
        <v>0.25</v>
      </c>
      <c r="D2859" s="7">
        <v>0.25</v>
      </c>
      <c r="E2859" s="7">
        <v>2.0</v>
      </c>
      <c r="F2859" s="7">
        <v>21622.3676824569</v>
      </c>
      <c r="G2859" s="7">
        <v>21799.686961174</v>
      </c>
      <c r="H2859" s="7">
        <v>2.0</v>
      </c>
      <c r="I2859" s="15">
        <v>0.811714036030534</v>
      </c>
      <c r="J2859" s="15">
        <v>0.074027566664897</v>
      </c>
      <c r="K2859" s="12">
        <f>AVERAGE(I2857:I2861)</f>
        <v>0.470743255</v>
      </c>
      <c r="L2859" s="18">
        <v>18297.0</v>
      </c>
      <c r="M2859" s="14">
        <f>STDEV(L2857:L2861)</f>
        <v>40138.36735</v>
      </c>
      <c r="N2859" s="15" t="b">
        <f t="shared" si="1"/>
        <v>0</v>
      </c>
    </row>
    <row r="2860" hidden="1">
      <c r="A2860" s="7" t="s">
        <v>580</v>
      </c>
      <c r="B2860" s="7" t="s">
        <v>519</v>
      </c>
      <c r="C2860" s="7">
        <v>0.25</v>
      </c>
      <c r="D2860" s="7">
        <v>0.25</v>
      </c>
      <c r="E2860" s="7">
        <v>2.0</v>
      </c>
      <c r="F2860" s="7">
        <v>21622.3676824569</v>
      </c>
      <c r="G2860" s="7">
        <v>21799.686961174</v>
      </c>
      <c r="H2860" s="7">
        <v>3.0</v>
      </c>
      <c r="I2860" s="15">
        <v>0.861805648141182</v>
      </c>
      <c r="J2860" s="15">
        <v>0.115860133663722</v>
      </c>
      <c r="K2860" s="12">
        <f>AVERAGE(I2857:I2861)</f>
        <v>0.470743255</v>
      </c>
      <c r="L2860" s="18">
        <v>2882.0</v>
      </c>
      <c r="M2860" s="14">
        <f>STDEV(L2857:L2861)</f>
        <v>40138.36735</v>
      </c>
      <c r="N2860" s="15" t="b">
        <f t="shared" si="1"/>
        <v>0</v>
      </c>
    </row>
    <row r="2861" hidden="1">
      <c r="A2861" s="7" t="s">
        <v>580</v>
      </c>
      <c r="B2861" s="7" t="s">
        <v>519</v>
      </c>
      <c r="C2861" s="7">
        <v>0.25</v>
      </c>
      <c r="D2861" s="7">
        <v>0.25</v>
      </c>
      <c r="E2861" s="7">
        <v>2.0</v>
      </c>
      <c r="F2861" s="7">
        <v>21622.3676824569</v>
      </c>
      <c r="G2861" s="7">
        <v>21799.686961174</v>
      </c>
      <c r="H2861" s="7">
        <v>4.0</v>
      </c>
      <c r="I2861" s="15">
        <v>0.329214430799474</v>
      </c>
      <c r="J2861" s="15">
        <v>0.0927286435829178</v>
      </c>
      <c r="K2861" s="12">
        <f>AVERAGE(I2857:I2861)</f>
        <v>0.470743255</v>
      </c>
      <c r="L2861" s="18">
        <v>4047.0</v>
      </c>
      <c r="M2861" s="14">
        <f>STDEV(L2857:L2861)</f>
        <v>40138.36735</v>
      </c>
      <c r="N2861" s="15" t="b">
        <f t="shared" si="1"/>
        <v>0</v>
      </c>
    </row>
    <row r="2862" hidden="1">
      <c r="A2862" s="7" t="s">
        <v>581</v>
      </c>
      <c r="B2862" s="7" t="s">
        <v>519</v>
      </c>
      <c r="C2862" s="7">
        <v>0.25</v>
      </c>
      <c r="D2862" s="7">
        <v>0.25</v>
      </c>
      <c r="E2862" s="7">
        <v>3.0</v>
      </c>
      <c r="F2862" s="7">
        <v>32608.3961009979</v>
      </c>
      <c r="G2862" s="7">
        <v>32790.5783605575</v>
      </c>
      <c r="H2862" s="7">
        <v>0.0</v>
      </c>
      <c r="I2862" s="15">
        <v>0.560585044132758</v>
      </c>
      <c r="J2862" s="15">
        <v>0.247176493423097</v>
      </c>
      <c r="K2862" s="12">
        <f>AVERAGE(I2862:I2866)</f>
        <v>0.5114443924</v>
      </c>
      <c r="L2862" s="18">
        <v>9299.0</v>
      </c>
      <c r="M2862" s="14">
        <f>STDEV(L2862:L2866)</f>
        <v>33671.67722</v>
      </c>
      <c r="N2862" s="15" t="b">
        <f t="shared" si="1"/>
        <v>0</v>
      </c>
    </row>
    <row r="2863" hidden="1">
      <c r="A2863" s="7" t="s">
        <v>581</v>
      </c>
      <c r="B2863" s="7" t="s">
        <v>519</v>
      </c>
      <c r="C2863" s="7">
        <v>0.25</v>
      </c>
      <c r="D2863" s="7">
        <v>0.25</v>
      </c>
      <c r="E2863" s="7">
        <v>3.0</v>
      </c>
      <c r="F2863" s="7">
        <v>32608.3961009979</v>
      </c>
      <c r="G2863" s="7">
        <v>32790.5783605575</v>
      </c>
      <c r="H2863" s="7">
        <v>1.0</v>
      </c>
      <c r="I2863" s="15">
        <v>0.0207835300075533</v>
      </c>
      <c r="J2863" s="15">
        <v>0.144938263229946</v>
      </c>
      <c r="K2863" s="12">
        <f>AVERAGE(I2862:I2866)</f>
        <v>0.5114443924</v>
      </c>
      <c r="L2863" s="18">
        <v>87864.0</v>
      </c>
      <c r="M2863" s="14">
        <f>STDEV(L2862:L2866)</f>
        <v>33671.67722</v>
      </c>
      <c r="N2863" s="15" t="b">
        <f t="shared" si="1"/>
        <v>0</v>
      </c>
    </row>
    <row r="2864" hidden="1">
      <c r="A2864" s="7" t="s">
        <v>581</v>
      </c>
      <c r="B2864" s="7" t="s">
        <v>519</v>
      </c>
      <c r="C2864" s="7">
        <v>0.25</v>
      </c>
      <c r="D2864" s="7">
        <v>0.25</v>
      </c>
      <c r="E2864" s="7">
        <v>3.0</v>
      </c>
      <c r="F2864" s="7">
        <v>32608.3961009979</v>
      </c>
      <c r="G2864" s="7">
        <v>32790.5783605575</v>
      </c>
      <c r="H2864" s="7">
        <v>2.0</v>
      </c>
      <c r="I2864" s="15">
        <v>0.385841138097249</v>
      </c>
      <c r="J2864" s="15">
        <v>0.149664529147305</v>
      </c>
      <c r="K2864" s="12">
        <f>AVERAGE(I2862:I2866)</f>
        <v>0.5114443924</v>
      </c>
      <c r="L2864" s="18">
        <v>18415.0</v>
      </c>
      <c r="M2864" s="14">
        <f>STDEV(L2862:L2866)</f>
        <v>33671.67722</v>
      </c>
      <c r="N2864" s="15" t="b">
        <f t="shared" si="1"/>
        <v>0</v>
      </c>
    </row>
    <row r="2865" hidden="1">
      <c r="A2865" s="7" t="s">
        <v>581</v>
      </c>
      <c r="B2865" s="7" t="s">
        <v>519</v>
      </c>
      <c r="C2865" s="7">
        <v>0.25</v>
      </c>
      <c r="D2865" s="7">
        <v>0.25</v>
      </c>
      <c r="E2865" s="7">
        <v>3.0</v>
      </c>
      <c r="F2865" s="7">
        <v>32608.3961009979</v>
      </c>
      <c r="G2865" s="7">
        <v>32790.5783605575</v>
      </c>
      <c r="H2865" s="7">
        <v>3.0</v>
      </c>
      <c r="I2865" s="15">
        <v>0.800440390493131</v>
      </c>
      <c r="J2865" s="15">
        <v>0.118871547782722</v>
      </c>
      <c r="K2865" s="12">
        <f>AVERAGE(I2862:I2866)</f>
        <v>0.5114443924</v>
      </c>
      <c r="L2865" s="18">
        <v>7422.0</v>
      </c>
      <c r="M2865" s="14">
        <f>STDEV(L2862:L2866)</f>
        <v>33671.67722</v>
      </c>
      <c r="N2865" s="15" t="b">
        <f t="shared" si="1"/>
        <v>0</v>
      </c>
    </row>
    <row r="2866" hidden="1">
      <c r="A2866" s="7" t="s">
        <v>581</v>
      </c>
      <c r="B2866" s="7" t="s">
        <v>519</v>
      </c>
      <c r="C2866" s="7">
        <v>0.25</v>
      </c>
      <c r="D2866" s="7">
        <v>0.25</v>
      </c>
      <c r="E2866" s="7">
        <v>3.0</v>
      </c>
      <c r="F2866" s="7">
        <v>32608.3961009979</v>
      </c>
      <c r="G2866" s="7">
        <v>32790.5783605575</v>
      </c>
      <c r="H2866" s="7">
        <v>4.0</v>
      </c>
      <c r="I2866" s="15">
        <v>0.789571859068092</v>
      </c>
      <c r="J2866" s="15">
        <v>0.102978000650375</v>
      </c>
      <c r="K2866" s="12">
        <f>AVERAGE(I2862:I2866)</f>
        <v>0.5114443924</v>
      </c>
      <c r="L2866" s="18">
        <v>18676.0</v>
      </c>
      <c r="M2866" s="14">
        <f>STDEV(L2862:L2866)</f>
        <v>33671.67722</v>
      </c>
      <c r="N2866" s="15" t="b">
        <f t="shared" si="1"/>
        <v>0</v>
      </c>
    </row>
    <row r="2867" hidden="1">
      <c r="A2867" s="7" t="s">
        <v>582</v>
      </c>
      <c r="B2867" s="7" t="s">
        <v>519</v>
      </c>
      <c r="C2867" s="7">
        <v>0.25</v>
      </c>
      <c r="D2867" s="7">
        <v>0.25</v>
      </c>
      <c r="E2867" s="7">
        <v>4.0</v>
      </c>
      <c r="F2867" s="7">
        <v>21772.6378688812</v>
      </c>
      <c r="G2867" s="7">
        <v>21945.1609754562</v>
      </c>
      <c r="H2867" s="7">
        <v>0.0</v>
      </c>
      <c r="I2867" s="15">
        <v>0.814020939416116</v>
      </c>
      <c r="J2867" s="15">
        <v>0.113338027166021</v>
      </c>
      <c r="K2867" s="12">
        <f>AVERAGE(I2867:I2871)</f>
        <v>0.5098174434</v>
      </c>
      <c r="L2867" s="18">
        <v>6648.0</v>
      </c>
      <c r="M2867" s="14">
        <f>STDEV(L2867:L2871)</f>
        <v>41074.13961</v>
      </c>
      <c r="N2867" s="15" t="b">
        <f t="shared" si="1"/>
        <v>0</v>
      </c>
    </row>
    <row r="2868" hidden="1">
      <c r="A2868" s="7" t="s">
        <v>582</v>
      </c>
      <c r="B2868" s="7" t="s">
        <v>519</v>
      </c>
      <c r="C2868" s="7">
        <v>0.25</v>
      </c>
      <c r="D2868" s="7">
        <v>0.25</v>
      </c>
      <c r="E2868" s="7">
        <v>4.0</v>
      </c>
      <c r="F2868" s="7">
        <v>21772.6378688812</v>
      </c>
      <c r="G2868" s="7">
        <v>21945.1609754562</v>
      </c>
      <c r="H2868" s="7">
        <v>1.0</v>
      </c>
      <c r="I2868" s="15">
        <v>0.262738944424831</v>
      </c>
      <c r="J2868" s="15">
        <v>0.131570073380548</v>
      </c>
      <c r="K2868" s="12">
        <f>AVERAGE(I2867:I2871)</f>
        <v>0.5098174434</v>
      </c>
      <c r="L2868" s="18">
        <v>8238.0</v>
      </c>
      <c r="M2868" s="14">
        <f>STDEV(L2867:L2871)</f>
        <v>41074.13961</v>
      </c>
      <c r="N2868" s="15" t="b">
        <f t="shared" si="1"/>
        <v>0</v>
      </c>
    </row>
    <row r="2869" hidden="1">
      <c r="A2869" s="7" t="s">
        <v>582</v>
      </c>
      <c r="B2869" s="7" t="s">
        <v>519</v>
      </c>
      <c r="C2869" s="7">
        <v>0.25</v>
      </c>
      <c r="D2869" s="7">
        <v>0.25</v>
      </c>
      <c r="E2869" s="7">
        <v>4.0</v>
      </c>
      <c r="F2869" s="7">
        <v>21772.6378688812</v>
      </c>
      <c r="G2869" s="7">
        <v>21945.1609754562</v>
      </c>
      <c r="H2869" s="7">
        <v>2.0</v>
      </c>
      <c r="I2869" s="15">
        <v>0.590597568262566</v>
      </c>
      <c r="J2869" s="15">
        <v>0.256941144193643</v>
      </c>
      <c r="K2869" s="12">
        <f>AVERAGE(I2867:I2871)</f>
        <v>0.5098174434</v>
      </c>
      <c r="L2869" s="18">
        <v>7141.0</v>
      </c>
      <c r="M2869" s="14">
        <f>STDEV(L2867:L2871)</f>
        <v>41074.13961</v>
      </c>
      <c r="N2869" s="15" t="b">
        <f t="shared" si="1"/>
        <v>0</v>
      </c>
    </row>
    <row r="2870" hidden="1">
      <c r="A2870" s="7" t="s">
        <v>582</v>
      </c>
      <c r="B2870" s="7" t="s">
        <v>519</v>
      </c>
      <c r="C2870" s="7">
        <v>0.25</v>
      </c>
      <c r="D2870" s="7">
        <v>0.25</v>
      </c>
      <c r="E2870" s="7">
        <v>4.0</v>
      </c>
      <c r="F2870" s="7">
        <v>21772.6378688812</v>
      </c>
      <c r="G2870" s="7">
        <v>21945.1609754562</v>
      </c>
      <c r="H2870" s="7">
        <v>3.0</v>
      </c>
      <c r="I2870" s="15">
        <v>0.0698085568388595</v>
      </c>
      <c r="J2870" s="15">
        <v>0.0502004791475385</v>
      </c>
      <c r="K2870" s="12">
        <f>AVERAGE(I2867:I2871)</f>
        <v>0.5098174434</v>
      </c>
      <c r="L2870" s="18">
        <v>101308.0</v>
      </c>
      <c r="M2870" s="14">
        <f>STDEV(L2867:L2871)</f>
        <v>41074.13961</v>
      </c>
      <c r="N2870" s="15" t="b">
        <f t="shared" si="1"/>
        <v>0</v>
      </c>
    </row>
    <row r="2871" hidden="1">
      <c r="A2871" s="7" t="s">
        <v>582</v>
      </c>
      <c r="B2871" s="7" t="s">
        <v>519</v>
      </c>
      <c r="C2871" s="7">
        <v>0.25</v>
      </c>
      <c r="D2871" s="7">
        <v>0.25</v>
      </c>
      <c r="E2871" s="7">
        <v>4.0</v>
      </c>
      <c r="F2871" s="7">
        <v>21772.6378688812</v>
      </c>
      <c r="G2871" s="7">
        <v>21945.1609754562</v>
      </c>
      <c r="H2871" s="7">
        <v>4.0</v>
      </c>
      <c r="I2871" s="15">
        <v>0.811921208076119</v>
      </c>
      <c r="J2871" s="15">
        <v>0.0742680377508936</v>
      </c>
      <c r="K2871" s="12">
        <f>AVERAGE(I2867:I2871)</f>
        <v>0.5098174434</v>
      </c>
      <c r="L2871" s="18">
        <v>18341.0</v>
      </c>
      <c r="M2871" s="14">
        <f>STDEV(L2867:L2871)</f>
        <v>41074.13961</v>
      </c>
      <c r="N2871" s="15" t="b">
        <f t="shared" si="1"/>
        <v>0</v>
      </c>
    </row>
    <row r="2872" hidden="1">
      <c r="A2872" s="7" t="s">
        <v>583</v>
      </c>
      <c r="B2872" s="7" t="s">
        <v>519</v>
      </c>
      <c r="C2872" s="7">
        <v>0.25</v>
      </c>
      <c r="D2872" s="7">
        <v>0.25</v>
      </c>
      <c r="E2872" s="7">
        <v>5.0</v>
      </c>
      <c r="F2872" s="7">
        <v>24671.2768914699</v>
      </c>
      <c r="G2872" s="7">
        <v>24848.7054271698</v>
      </c>
      <c r="H2872" s="7">
        <v>0.0</v>
      </c>
      <c r="I2872" s="15">
        <v>0.811866303799997</v>
      </c>
      <c r="J2872" s="15">
        <v>0.0749424584071382</v>
      </c>
      <c r="K2872" s="12">
        <f>AVERAGE(I2872:I2876)</f>
        <v>0.51039536</v>
      </c>
      <c r="L2872" s="18">
        <v>18337.0</v>
      </c>
      <c r="M2872" s="14">
        <f>STDEV(L2872:L2876)</f>
        <v>41217.03058</v>
      </c>
      <c r="N2872" s="15" t="b">
        <f t="shared" si="1"/>
        <v>0</v>
      </c>
    </row>
    <row r="2873" hidden="1">
      <c r="A2873" s="7" t="s">
        <v>583</v>
      </c>
      <c r="B2873" s="7" t="s">
        <v>519</v>
      </c>
      <c r="C2873" s="7">
        <v>0.25</v>
      </c>
      <c r="D2873" s="7">
        <v>0.25</v>
      </c>
      <c r="E2873" s="7">
        <v>5.0</v>
      </c>
      <c r="F2873" s="7">
        <v>24671.2768914699</v>
      </c>
      <c r="G2873" s="7">
        <v>24848.7054271698</v>
      </c>
      <c r="H2873" s="7">
        <v>1.0</v>
      </c>
      <c r="I2873" s="15">
        <v>0.254446082702203</v>
      </c>
      <c r="J2873" s="15">
        <v>0.1209512612937</v>
      </c>
      <c r="K2873" s="12">
        <f>AVERAGE(I2872:I2876)</f>
        <v>0.51039536</v>
      </c>
      <c r="L2873" s="18">
        <v>5543.0</v>
      </c>
      <c r="M2873" s="14">
        <f>STDEV(L2872:L2876)</f>
        <v>41217.03058</v>
      </c>
      <c r="N2873" s="15" t="b">
        <f t="shared" si="1"/>
        <v>0</v>
      </c>
    </row>
    <row r="2874" hidden="1">
      <c r="A2874" s="7" t="s">
        <v>583</v>
      </c>
      <c r="B2874" s="7" t="s">
        <v>519</v>
      </c>
      <c r="C2874" s="7">
        <v>0.25</v>
      </c>
      <c r="D2874" s="7">
        <v>0.25</v>
      </c>
      <c r="E2874" s="7">
        <v>5.0</v>
      </c>
      <c r="F2874" s="7">
        <v>24671.2768914699</v>
      </c>
      <c r="G2874" s="7">
        <v>24848.7054271698</v>
      </c>
      <c r="H2874" s="7">
        <v>2.0</v>
      </c>
      <c r="I2874" s="15">
        <v>0.0693505177344626</v>
      </c>
      <c r="J2874" s="15">
        <v>0.051642856878785</v>
      </c>
      <c r="K2874" s="12">
        <f>AVERAGE(I2872:I2876)</f>
        <v>0.51039536</v>
      </c>
      <c r="L2874" s="18">
        <v>101536.0</v>
      </c>
      <c r="M2874" s="14">
        <f>STDEV(L2872:L2876)</f>
        <v>41217.03058</v>
      </c>
      <c r="N2874" s="15" t="b">
        <f t="shared" si="1"/>
        <v>0</v>
      </c>
    </row>
    <row r="2875" hidden="1">
      <c r="A2875" s="7" t="s">
        <v>583</v>
      </c>
      <c r="B2875" s="7" t="s">
        <v>519</v>
      </c>
      <c r="C2875" s="7">
        <v>0.25</v>
      </c>
      <c r="D2875" s="7">
        <v>0.25</v>
      </c>
      <c r="E2875" s="7">
        <v>5.0</v>
      </c>
      <c r="F2875" s="7">
        <v>24671.2768914699</v>
      </c>
      <c r="G2875" s="7">
        <v>24848.7054271698</v>
      </c>
      <c r="H2875" s="7">
        <v>3.0</v>
      </c>
      <c r="I2875" s="15">
        <v>0.620167798832867</v>
      </c>
      <c r="J2875" s="15">
        <v>0.256779081748035</v>
      </c>
      <c r="K2875" s="12">
        <f>AVERAGE(I2872:I2876)</f>
        <v>0.51039536</v>
      </c>
      <c r="L2875" s="18">
        <v>8861.0</v>
      </c>
      <c r="M2875" s="14">
        <f>STDEV(L2872:L2876)</f>
        <v>41217.03058</v>
      </c>
      <c r="N2875" s="15" t="b">
        <f t="shared" si="1"/>
        <v>0</v>
      </c>
    </row>
    <row r="2876" hidden="1">
      <c r="A2876" s="7" t="s">
        <v>583</v>
      </c>
      <c r="B2876" s="7" t="s">
        <v>519</v>
      </c>
      <c r="C2876" s="7">
        <v>0.25</v>
      </c>
      <c r="D2876" s="7">
        <v>0.25</v>
      </c>
      <c r="E2876" s="7">
        <v>5.0</v>
      </c>
      <c r="F2876" s="7">
        <v>24671.2768914699</v>
      </c>
      <c r="G2876" s="7">
        <v>24848.7054271698</v>
      </c>
      <c r="H2876" s="7">
        <v>4.0</v>
      </c>
      <c r="I2876" s="15">
        <v>0.796146096694933</v>
      </c>
      <c r="J2876" s="15">
        <v>0.136986402609659</v>
      </c>
      <c r="K2876" s="12">
        <f>AVERAGE(I2872:I2876)</f>
        <v>0.51039536</v>
      </c>
      <c r="L2876" s="18">
        <v>7399.0</v>
      </c>
      <c r="M2876" s="14">
        <f>STDEV(L2872:L2876)</f>
        <v>41217.03058</v>
      </c>
      <c r="N2876" s="15" t="b">
        <f t="shared" si="1"/>
        <v>0</v>
      </c>
    </row>
    <row r="2877" hidden="1">
      <c r="A2877" s="7" t="s">
        <v>584</v>
      </c>
      <c r="B2877" s="7" t="s">
        <v>519</v>
      </c>
      <c r="C2877" s="7">
        <v>0.25</v>
      </c>
      <c r="D2877" s="7">
        <v>0.25</v>
      </c>
      <c r="E2877" s="7">
        <v>6.0</v>
      </c>
      <c r="F2877" s="7">
        <v>15531.7740125656</v>
      </c>
      <c r="G2877" s="7">
        <v>15709.3233330249</v>
      </c>
      <c r="H2877" s="7">
        <v>0.0</v>
      </c>
      <c r="I2877" s="15">
        <v>0.0928105136686582</v>
      </c>
      <c r="J2877" s="15">
        <v>0.0851800528005786</v>
      </c>
      <c r="K2877" s="12">
        <f>AVERAGE(I2877:I2881)</f>
        <v>0.4513800833</v>
      </c>
      <c r="L2877" s="18">
        <v>66192.0</v>
      </c>
      <c r="M2877" s="14">
        <f>STDEV(L2877:L2881)</f>
        <v>32626.95657</v>
      </c>
      <c r="N2877" s="15" t="b">
        <f t="shared" si="1"/>
        <v>0</v>
      </c>
    </row>
    <row r="2878" hidden="1">
      <c r="A2878" s="7" t="s">
        <v>584</v>
      </c>
      <c r="B2878" s="7" t="s">
        <v>519</v>
      </c>
      <c r="C2878" s="7">
        <v>0.25</v>
      </c>
      <c r="D2878" s="7">
        <v>0.25</v>
      </c>
      <c r="E2878" s="7">
        <v>6.0</v>
      </c>
      <c r="F2878" s="7">
        <v>15531.7740125656</v>
      </c>
      <c r="G2878" s="7">
        <v>15709.3233330249</v>
      </c>
      <c r="H2878" s="7">
        <v>1.0</v>
      </c>
      <c r="I2878" s="15">
        <v>0.82790293127783</v>
      </c>
      <c r="J2878" s="15">
        <v>0.0912993937485697</v>
      </c>
      <c r="K2878" s="12">
        <f>AVERAGE(I2877:I2881)</f>
        <v>0.4513800833</v>
      </c>
      <c r="L2878" s="18">
        <v>4603.0</v>
      </c>
      <c r="M2878" s="14">
        <f>STDEV(L2877:L2881)</f>
        <v>32626.95657</v>
      </c>
      <c r="N2878" s="15" t="b">
        <f t="shared" si="1"/>
        <v>0</v>
      </c>
    </row>
    <row r="2879" hidden="1">
      <c r="A2879" s="7" t="s">
        <v>584</v>
      </c>
      <c r="B2879" s="7" t="s">
        <v>519</v>
      </c>
      <c r="C2879" s="7">
        <v>0.25</v>
      </c>
      <c r="D2879" s="7">
        <v>0.25</v>
      </c>
      <c r="E2879" s="7">
        <v>6.0</v>
      </c>
      <c r="F2879" s="7">
        <v>15531.7740125656</v>
      </c>
      <c r="G2879" s="7">
        <v>15709.3233330249</v>
      </c>
      <c r="H2879" s="7">
        <v>2.0</v>
      </c>
      <c r="I2879" s="15">
        <v>0.719938320042836</v>
      </c>
      <c r="J2879" s="15">
        <v>0.168112837089896</v>
      </c>
      <c r="K2879" s="12">
        <f>AVERAGE(I2877:I2881)</f>
        <v>0.4513800833</v>
      </c>
      <c r="L2879" s="18">
        <v>3895.0</v>
      </c>
      <c r="M2879" s="14">
        <f>STDEV(L2877:L2881)</f>
        <v>32626.95657</v>
      </c>
      <c r="N2879" s="15" t="b">
        <f t="shared" si="1"/>
        <v>0</v>
      </c>
    </row>
    <row r="2880" hidden="1">
      <c r="A2880" s="7" t="s">
        <v>584</v>
      </c>
      <c r="B2880" s="7" t="s">
        <v>519</v>
      </c>
      <c r="C2880" s="7">
        <v>0.25</v>
      </c>
      <c r="D2880" s="7">
        <v>0.25</v>
      </c>
      <c r="E2880" s="7">
        <v>6.0</v>
      </c>
      <c r="F2880" s="7">
        <v>15531.7740125656</v>
      </c>
      <c r="G2880" s="7">
        <v>15709.3233330249</v>
      </c>
      <c r="H2880" s="7">
        <v>3.0</v>
      </c>
      <c r="I2880" s="15">
        <v>0.511106818286133</v>
      </c>
      <c r="J2880" s="15">
        <v>0.241690906348078</v>
      </c>
      <c r="K2880" s="12">
        <f>AVERAGE(I2877:I2881)</f>
        <v>0.4513800833</v>
      </c>
      <c r="L2880" s="18">
        <v>5110.0</v>
      </c>
      <c r="M2880" s="14">
        <f>STDEV(L2877:L2881)</f>
        <v>32626.95657</v>
      </c>
      <c r="N2880" s="15" t="b">
        <f t="shared" si="1"/>
        <v>0</v>
      </c>
    </row>
    <row r="2881" hidden="1">
      <c r="A2881" s="7" t="s">
        <v>584</v>
      </c>
      <c r="B2881" s="7" t="s">
        <v>519</v>
      </c>
      <c r="C2881" s="7">
        <v>0.25</v>
      </c>
      <c r="D2881" s="7">
        <v>0.25</v>
      </c>
      <c r="E2881" s="7">
        <v>6.0</v>
      </c>
      <c r="F2881" s="7">
        <v>15531.7740125656</v>
      </c>
      <c r="G2881" s="7">
        <v>15709.3233330249</v>
      </c>
      <c r="H2881" s="7">
        <v>4.0</v>
      </c>
      <c r="I2881" s="15">
        <v>0.105141833442331</v>
      </c>
      <c r="J2881" s="15">
        <v>0.174985232997066</v>
      </c>
      <c r="K2881" s="12">
        <f>AVERAGE(I2877:I2881)</f>
        <v>0.4513800833</v>
      </c>
      <c r="L2881" s="18">
        <v>61876.0</v>
      </c>
      <c r="M2881" s="14">
        <f>STDEV(L2877:L2881)</f>
        <v>32626.95657</v>
      </c>
      <c r="N2881" s="15" t="b">
        <f t="shared" si="1"/>
        <v>0</v>
      </c>
    </row>
    <row r="2882" hidden="1">
      <c r="A2882" s="7" t="s">
        <v>585</v>
      </c>
      <c r="B2882" s="7" t="s">
        <v>519</v>
      </c>
      <c r="C2882" s="7">
        <v>0.25</v>
      </c>
      <c r="D2882" s="7">
        <v>0.25</v>
      </c>
      <c r="E2882" s="7">
        <v>7.0</v>
      </c>
      <c r="F2882" s="7">
        <v>22962.2016561031</v>
      </c>
      <c r="G2882" s="7">
        <v>23148.1269614696</v>
      </c>
      <c r="H2882" s="7">
        <v>0.0</v>
      </c>
      <c r="I2882" s="15">
        <v>0.645079116721222</v>
      </c>
      <c r="J2882" s="15">
        <v>0.240427540665659</v>
      </c>
      <c r="K2882" s="12">
        <f>AVERAGE(I2882:I2886)</f>
        <v>0.5638620812</v>
      </c>
      <c r="L2882" s="18">
        <v>8568.0</v>
      </c>
      <c r="M2882" s="14">
        <f>STDEV(L2882:L2886)</f>
        <v>47104.70539</v>
      </c>
      <c r="N2882" s="15" t="b">
        <f t="shared" si="1"/>
        <v>0</v>
      </c>
    </row>
    <row r="2883" hidden="1">
      <c r="A2883" s="7" t="s">
        <v>585</v>
      </c>
      <c r="B2883" s="7" t="s">
        <v>519</v>
      </c>
      <c r="C2883" s="7">
        <v>0.25</v>
      </c>
      <c r="D2883" s="7">
        <v>0.25</v>
      </c>
      <c r="E2883" s="7">
        <v>7.0</v>
      </c>
      <c r="F2883" s="7">
        <v>22962.2016561031</v>
      </c>
      <c r="G2883" s="7">
        <v>23148.1269614696</v>
      </c>
      <c r="H2883" s="7">
        <v>1.0</v>
      </c>
      <c r="I2883" s="15">
        <v>0.0278719218658522</v>
      </c>
      <c r="J2883" s="15">
        <v>0.198270695471488</v>
      </c>
      <c r="K2883" s="12">
        <f>AVERAGE(I2882:I2886)</f>
        <v>0.5638620812</v>
      </c>
      <c r="L2883" s="18">
        <v>112525.0</v>
      </c>
      <c r="M2883" s="14">
        <f>STDEV(L2882:L2886)</f>
        <v>47104.70539</v>
      </c>
      <c r="N2883" s="15" t="b">
        <f t="shared" si="1"/>
        <v>0</v>
      </c>
    </row>
    <row r="2884" hidden="1">
      <c r="A2884" s="7" t="s">
        <v>585</v>
      </c>
      <c r="B2884" s="7" t="s">
        <v>519</v>
      </c>
      <c r="C2884" s="7">
        <v>0.25</v>
      </c>
      <c r="D2884" s="7">
        <v>0.25</v>
      </c>
      <c r="E2884" s="7">
        <v>7.0</v>
      </c>
      <c r="F2884" s="7">
        <v>22962.2016561031</v>
      </c>
      <c r="G2884" s="7">
        <v>23148.1269614696</v>
      </c>
      <c r="H2884" s="7">
        <v>2.0</v>
      </c>
      <c r="I2884" s="15">
        <v>0.75936672833847</v>
      </c>
      <c r="J2884" s="15">
        <v>0.136087325662166</v>
      </c>
      <c r="K2884" s="12">
        <f>AVERAGE(I2882:I2886)</f>
        <v>0.5638620812</v>
      </c>
      <c r="L2884" s="18">
        <v>3937.0</v>
      </c>
      <c r="M2884" s="14">
        <f>STDEV(L2882:L2886)</f>
        <v>47104.70539</v>
      </c>
      <c r="N2884" s="15" t="b">
        <f t="shared" si="1"/>
        <v>0</v>
      </c>
    </row>
    <row r="2885" hidden="1">
      <c r="A2885" s="7" t="s">
        <v>585</v>
      </c>
      <c r="B2885" s="7" t="s">
        <v>519</v>
      </c>
      <c r="C2885" s="7">
        <v>0.25</v>
      </c>
      <c r="D2885" s="7">
        <v>0.25</v>
      </c>
      <c r="E2885" s="7">
        <v>7.0</v>
      </c>
      <c r="F2885" s="7">
        <v>22962.2016561031</v>
      </c>
      <c r="G2885" s="7">
        <v>23148.1269614696</v>
      </c>
      <c r="H2885" s="7">
        <v>3.0</v>
      </c>
      <c r="I2885" s="15">
        <v>0.622597863952317</v>
      </c>
      <c r="J2885" s="15">
        <v>0.233247918171361</v>
      </c>
      <c r="K2885" s="12">
        <f>AVERAGE(I2882:I2886)</f>
        <v>0.5638620812</v>
      </c>
      <c r="L2885" s="18">
        <v>8823.0</v>
      </c>
      <c r="M2885" s="14">
        <f>STDEV(L2882:L2886)</f>
        <v>47104.70539</v>
      </c>
      <c r="N2885" s="15" t="b">
        <f t="shared" si="1"/>
        <v>0</v>
      </c>
    </row>
    <row r="2886" hidden="1">
      <c r="A2886" s="7" t="s">
        <v>585</v>
      </c>
      <c r="B2886" s="7" t="s">
        <v>519</v>
      </c>
      <c r="C2886" s="7">
        <v>0.25</v>
      </c>
      <c r="D2886" s="7">
        <v>0.25</v>
      </c>
      <c r="E2886" s="7">
        <v>7.0</v>
      </c>
      <c r="F2886" s="7">
        <v>22962.2016561031</v>
      </c>
      <c r="G2886" s="7">
        <v>23148.1269614696</v>
      </c>
      <c r="H2886" s="7">
        <v>4.0</v>
      </c>
      <c r="I2886" s="15">
        <v>0.76439477491024</v>
      </c>
      <c r="J2886" s="15">
        <v>0.138707026338461</v>
      </c>
      <c r="K2886" s="12">
        <f>AVERAGE(I2882:I2886)</f>
        <v>0.5638620812</v>
      </c>
      <c r="L2886" s="18">
        <v>7823.0</v>
      </c>
      <c r="M2886" s="14">
        <f>STDEV(L2882:L2886)</f>
        <v>47104.70539</v>
      </c>
      <c r="N2886" s="15" t="b">
        <f t="shared" si="1"/>
        <v>0</v>
      </c>
    </row>
    <row r="2887" hidden="1">
      <c r="A2887" s="7" t="s">
        <v>586</v>
      </c>
      <c r="B2887" s="7" t="s">
        <v>519</v>
      </c>
      <c r="C2887" s="7">
        <v>0.25</v>
      </c>
      <c r="D2887" s="7">
        <v>0.25</v>
      </c>
      <c r="E2887" s="7">
        <v>8.0</v>
      </c>
      <c r="F2887" s="7">
        <v>54325.1543726921</v>
      </c>
      <c r="G2887" s="7">
        <v>54519.4404041767</v>
      </c>
      <c r="H2887" s="7">
        <v>0.0</v>
      </c>
      <c r="I2887" s="15">
        <v>0.0558926571579503</v>
      </c>
      <c r="J2887" s="15">
        <v>0.0470181065732266</v>
      </c>
      <c r="K2887" s="12">
        <f>AVERAGE(I2887:I2891)</f>
        <v>0.3673561357</v>
      </c>
      <c r="L2887" s="18">
        <v>47021.0</v>
      </c>
      <c r="M2887" s="14">
        <f>STDEV(L2887:L2891)</f>
        <v>26851.56644</v>
      </c>
      <c r="N2887" s="15" t="b">
        <f t="shared" si="1"/>
        <v>0</v>
      </c>
    </row>
    <row r="2888" hidden="1">
      <c r="A2888" s="7" t="s">
        <v>586</v>
      </c>
      <c r="B2888" s="7" t="s">
        <v>519</v>
      </c>
      <c r="C2888" s="7">
        <v>0.25</v>
      </c>
      <c r="D2888" s="7">
        <v>0.25</v>
      </c>
      <c r="E2888" s="7">
        <v>8.0</v>
      </c>
      <c r="F2888" s="7">
        <v>54325.1543726921</v>
      </c>
      <c r="G2888" s="7">
        <v>54519.4404041767</v>
      </c>
      <c r="H2888" s="7">
        <v>1.0</v>
      </c>
      <c r="I2888" s="15">
        <v>0.11209272004045</v>
      </c>
      <c r="J2888" s="15">
        <v>0.098285669215675</v>
      </c>
      <c r="K2888" s="12">
        <f>AVERAGE(I2887:I2891)</f>
        <v>0.3673561357</v>
      </c>
      <c r="L2888" s="18">
        <v>6779.0</v>
      </c>
      <c r="M2888" s="14">
        <f>STDEV(L2887:L2891)</f>
        <v>26851.56644</v>
      </c>
      <c r="N2888" s="15" t="b">
        <f t="shared" si="1"/>
        <v>0</v>
      </c>
    </row>
    <row r="2889" hidden="1">
      <c r="A2889" s="7" t="s">
        <v>586</v>
      </c>
      <c r="B2889" s="7" t="s">
        <v>519</v>
      </c>
      <c r="C2889" s="7">
        <v>0.25</v>
      </c>
      <c r="D2889" s="7">
        <v>0.25</v>
      </c>
      <c r="E2889" s="7">
        <v>8.0</v>
      </c>
      <c r="F2889" s="7">
        <v>54325.1543726921</v>
      </c>
      <c r="G2889" s="7">
        <v>54519.4404041767</v>
      </c>
      <c r="H2889" s="7">
        <v>2.0</v>
      </c>
      <c r="I2889" s="15">
        <v>0.111366452382799</v>
      </c>
      <c r="J2889" s="15">
        <v>0.197693071976924</v>
      </c>
      <c r="K2889" s="12">
        <f>AVERAGE(I2887:I2891)</f>
        <v>0.3673561357</v>
      </c>
      <c r="L2889" s="18">
        <v>65441.0</v>
      </c>
      <c r="M2889" s="14">
        <f>STDEV(L2887:L2891)</f>
        <v>26851.56644</v>
      </c>
      <c r="N2889" s="15" t="b">
        <f t="shared" si="1"/>
        <v>0</v>
      </c>
    </row>
    <row r="2890" hidden="1">
      <c r="A2890" s="7" t="s">
        <v>586</v>
      </c>
      <c r="B2890" s="7" t="s">
        <v>519</v>
      </c>
      <c r="C2890" s="7">
        <v>0.25</v>
      </c>
      <c r="D2890" s="7">
        <v>0.25</v>
      </c>
      <c r="E2890" s="7">
        <v>8.0</v>
      </c>
      <c r="F2890" s="7">
        <v>54325.1543726921</v>
      </c>
      <c r="G2890" s="7">
        <v>54519.4404041767</v>
      </c>
      <c r="H2890" s="7">
        <v>3.0</v>
      </c>
      <c r="I2890" s="15">
        <v>0.762566834891427</v>
      </c>
      <c r="J2890" s="15">
        <v>0.133086523044944</v>
      </c>
      <c r="K2890" s="12">
        <f>AVERAGE(I2887:I2891)</f>
        <v>0.3673561357</v>
      </c>
      <c r="L2890" s="18">
        <v>3892.0</v>
      </c>
      <c r="M2890" s="14">
        <f>STDEV(L2887:L2891)</f>
        <v>26851.56644</v>
      </c>
      <c r="N2890" s="15" t="b">
        <f t="shared" si="1"/>
        <v>0</v>
      </c>
    </row>
    <row r="2891" hidden="1">
      <c r="A2891" s="7" t="s">
        <v>586</v>
      </c>
      <c r="B2891" s="7" t="s">
        <v>519</v>
      </c>
      <c r="C2891" s="7">
        <v>0.25</v>
      </c>
      <c r="D2891" s="7">
        <v>0.25</v>
      </c>
      <c r="E2891" s="7">
        <v>8.0</v>
      </c>
      <c r="F2891" s="7">
        <v>54325.1543726921</v>
      </c>
      <c r="G2891" s="7">
        <v>54519.4404041767</v>
      </c>
      <c r="H2891" s="7">
        <v>4.0</v>
      </c>
      <c r="I2891" s="15">
        <v>0.794862013837175</v>
      </c>
      <c r="J2891" s="15">
        <v>0.0954320519932954</v>
      </c>
      <c r="K2891" s="12">
        <f>AVERAGE(I2887:I2891)</f>
        <v>0.3673561357</v>
      </c>
      <c r="L2891" s="18">
        <v>18543.0</v>
      </c>
      <c r="M2891" s="14">
        <f>STDEV(L2887:L2891)</f>
        <v>26851.56644</v>
      </c>
      <c r="N2891" s="15" t="b">
        <f t="shared" si="1"/>
        <v>0</v>
      </c>
    </row>
    <row r="2892" hidden="1">
      <c r="A2892" s="7" t="s">
        <v>587</v>
      </c>
      <c r="B2892" s="7" t="s">
        <v>519</v>
      </c>
      <c r="C2892" s="7">
        <v>0.25</v>
      </c>
      <c r="D2892" s="7">
        <v>0.25</v>
      </c>
      <c r="E2892" s="7">
        <v>9.0</v>
      </c>
      <c r="F2892" s="7">
        <v>15730.4836826324</v>
      </c>
      <c r="G2892" s="7">
        <v>15892.3761641979</v>
      </c>
      <c r="H2892" s="7">
        <v>0.0</v>
      </c>
      <c r="I2892" s="15">
        <v>0.00107343362076113</v>
      </c>
      <c r="J2892" s="15">
        <v>0.169792764513559</v>
      </c>
      <c r="K2892" s="12">
        <f>AVERAGE(I2892:I2896)</f>
        <v>0.4924901352</v>
      </c>
      <c r="L2892" s="18">
        <v>96226.0</v>
      </c>
      <c r="M2892" s="14">
        <f>STDEV(L2892:L2896)</f>
        <v>38565.94496</v>
      </c>
      <c r="N2892" s="15" t="b">
        <f t="shared" si="1"/>
        <v>0</v>
      </c>
    </row>
    <row r="2893" hidden="1">
      <c r="A2893" s="7" t="s">
        <v>587</v>
      </c>
      <c r="B2893" s="7" t="s">
        <v>519</v>
      </c>
      <c r="C2893" s="7">
        <v>0.25</v>
      </c>
      <c r="D2893" s="7">
        <v>0.25</v>
      </c>
      <c r="E2893" s="7">
        <v>9.0</v>
      </c>
      <c r="F2893" s="7">
        <v>15730.4836826324</v>
      </c>
      <c r="G2893" s="7">
        <v>15892.3761641979</v>
      </c>
      <c r="H2893" s="7">
        <v>1.0</v>
      </c>
      <c r="I2893" s="15">
        <v>0.78987868873162</v>
      </c>
      <c r="J2893" s="15">
        <v>0.102079328625554</v>
      </c>
      <c r="K2893" s="12">
        <f>AVERAGE(I2892:I2896)</f>
        <v>0.4924901352</v>
      </c>
      <c r="L2893" s="18">
        <v>18655.0</v>
      </c>
      <c r="M2893" s="14">
        <f>STDEV(L2892:L2896)</f>
        <v>38565.94496</v>
      </c>
      <c r="N2893" s="15" t="b">
        <f t="shared" si="1"/>
        <v>0</v>
      </c>
    </row>
    <row r="2894" hidden="1">
      <c r="A2894" s="7" t="s">
        <v>587</v>
      </c>
      <c r="B2894" s="7" t="s">
        <v>519</v>
      </c>
      <c r="C2894" s="7">
        <v>0.25</v>
      </c>
      <c r="D2894" s="7">
        <v>0.25</v>
      </c>
      <c r="E2894" s="7">
        <v>9.0</v>
      </c>
      <c r="F2894" s="7">
        <v>15730.4836826324</v>
      </c>
      <c r="G2894" s="7">
        <v>15892.3761641979</v>
      </c>
      <c r="H2894" s="7">
        <v>2.0</v>
      </c>
      <c r="I2894" s="15">
        <v>0.811224108250319</v>
      </c>
      <c r="J2894" s="15">
        <v>0.0765135122005212</v>
      </c>
      <c r="K2894" s="12">
        <f>AVERAGE(I2892:I2896)</f>
        <v>0.4924901352</v>
      </c>
      <c r="L2894" s="18">
        <v>4119.0</v>
      </c>
      <c r="M2894" s="14">
        <f>STDEV(L2892:L2896)</f>
        <v>38565.94496</v>
      </c>
      <c r="N2894" s="15" t="b">
        <f t="shared" si="1"/>
        <v>0</v>
      </c>
    </row>
    <row r="2895" hidden="1">
      <c r="A2895" s="7" t="s">
        <v>587</v>
      </c>
      <c r="B2895" s="7" t="s">
        <v>519</v>
      </c>
      <c r="C2895" s="7">
        <v>0.25</v>
      </c>
      <c r="D2895" s="7">
        <v>0.25</v>
      </c>
      <c r="E2895" s="7">
        <v>9.0</v>
      </c>
      <c r="F2895" s="7">
        <v>15730.4836826324</v>
      </c>
      <c r="G2895" s="7">
        <v>15892.3761641979</v>
      </c>
      <c r="H2895" s="7">
        <v>3.0</v>
      </c>
      <c r="I2895" s="15">
        <v>0.525845129656281</v>
      </c>
      <c r="J2895" s="15">
        <v>0.278638528769775</v>
      </c>
      <c r="K2895" s="12">
        <f>AVERAGE(I2892:I2896)</f>
        <v>0.4924901352</v>
      </c>
      <c r="L2895" s="18">
        <v>4926.0</v>
      </c>
      <c r="M2895" s="14">
        <f>STDEV(L2892:L2896)</f>
        <v>38565.94496</v>
      </c>
      <c r="N2895" s="15" t="b">
        <f t="shared" si="1"/>
        <v>0</v>
      </c>
    </row>
    <row r="2896" hidden="1">
      <c r="A2896" s="7" t="s">
        <v>587</v>
      </c>
      <c r="B2896" s="7" t="s">
        <v>519</v>
      </c>
      <c r="C2896" s="7">
        <v>0.25</v>
      </c>
      <c r="D2896" s="7">
        <v>0.25</v>
      </c>
      <c r="E2896" s="7">
        <v>9.0</v>
      </c>
      <c r="F2896" s="7">
        <v>15730.4836826324</v>
      </c>
      <c r="G2896" s="7">
        <v>15892.3761641979</v>
      </c>
      <c r="H2896" s="7">
        <v>4.0</v>
      </c>
      <c r="I2896" s="15">
        <v>0.334429315594093</v>
      </c>
      <c r="J2896" s="15">
        <v>0.0978250185824808</v>
      </c>
      <c r="K2896" s="12">
        <f>AVERAGE(I2892:I2896)</f>
        <v>0.4924901352</v>
      </c>
      <c r="L2896" s="18">
        <v>17750.0</v>
      </c>
      <c r="M2896" s="14">
        <f>STDEV(L2892:L2896)</f>
        <v>38565.94496</v>
      </c>
      <c r="N2896" s="15" t="b">
        <f t="shared" si="1"/>
        <v>0</v>
      </c>
    </row>
    <row r="2897" hidden="1">
      <c r="A2897" s="7" t="s">
        <v>588</v>
      </c>
      <c r="B2897" s="7" t="s">
        <v>519</v>
      </c>
      <c r="C2897" s="7">
        <v>0.25</v>
      </c>
      <c r="D2897" s="7">
        <v>0.25</v>
      </c>
      <c r="E2897" s="7">
        <v>10.0</v>
      </c>
      <c r="F2897" s="7">
        <v>23373.532747507</v>
      </c>
      <c r="G2897" s="7">
        <v>23540.6883993148</v>
      </c>
      <c r="H2897" s="7">
        <v>0.0</v>
      </c>
      <c r="I2897" s="15">
        <v>0.103884784352285</v>
      </c>
      <c r="J2897" s="15">
        <v>0.0446830510672771</v>
      </c>
      <c r="K2897" s="12">
        <f>AVERAGE(I2897:I2901)</f>
        <v>0.4451743117</v>
      </c>
      <c r="L2897" s="18">
        <v>41759.0</v>
      </c>
      <c r="M2897" s="14">
        <f>STDEV(L2897:L2901)</f>
        <v>37721.34841</v>
      </c>
      <c r="N2897" s="15" t="b">
        <f t="shared" si="1"/>
        <v>0</v>
      </c>
    </row>
    <row r="2898" hidden="1">
      <c r="A2898" s="7" t="s">
        <v>588</v>
      </c>
      <c r="B2898" s="7" t="s">
        <v>519</v>
      </c>
      <c r="C2898" s="7">
        <v>0.25</v>
      </c>
      <c r="D2898" s="7">
        <v>0.25</v>
      </c>
      <c r="E2898" s="7">
        <v>10.0</v>
      </c>
      <c r="F2898" s="7">
        <v>23373.532747507</v>
      </c>
      <c r="G2898" s="7">
        <v>23540.6883993148</v>
      </c>
      <c r="H2898" s="7">
        <v>1.0</v>
      </c>
      <c r="I2898" s="15">
        <v>0.860469712061043</v>
      </c>
      <c r="J2898" s="15">
        <v>0.112046402754368</v>
      </c>
      <c r="K2898" s="12">
        <f>AVERAGE(I2897:I2901)</f>
        <v>0.4451743117</v>
      </c>
      <c r="L2898" s="18">
        <v>2889.0</v>
      </c>
      <c r="M2898" s="14">
        <f>STDEV(L2897:L2901)</f>
        <v>37721.34841</v>
      </c>
      <c r="N2898" s="15" t="b">
        <f t="shared" si="1"/>
        <v>0</v>
      </c>
    </row>
    <row r="2899" hidden="1">
      <c r="A2899" s="7" t="s">
        <v>588</v>
      </c>
      <c r="B2899" s="7" t="s">
        <v>519</v>
      </c>
      <c r="C2899" s="7">
        <v>0.25</v>
      </c>
      <c r="D2899" s="7">
        <v>0.25</v>
      </c>
      <c r="E2899" s="7">
        <v>10.0</v>
      </c>
      <c r="F2899" s="7">
        <v>23373.532747507</v>
      </c>
      <c r="G2899" s="7">
        <v>23540.6883993148</v>
      </c>
      <c r="H2899" s="7">
        <v>2.0</v>
      </c>
      <c r="I2899" s="15">
        <v>0.257078087068116</v>
      </c>
      <c r="J2899" s="15">
        <v>0.0875834544504356</v>
      </c>
      <c r="K2899" s="12">
        <f>AVERAGE(I2897:I2901)</f>
        <v>0.4451743117</v>
      </c>
      <c r="L2899" s="18">
        <v>6006.0</v>
      </c>
      <c r="M2899" s="14">
        <f>STDEV(L2897:L2901)</f>
        <v>37721.34841</v>
      </c>
      <c r="N2899" s="15" t="b">
        <f t="shared" si="1"/>
        <v>0</v>
      </c>
    </row>
    <row r="2900" hidden="1">
      <c r="A2900" s="7" t="s">
        <v>588</v>
      </c>
      <c r="B2900" s="7" t="s">
        <v>519</v>
      </c>
      <c r="C2900" s="7">
        <v>0.25</v>
      </c>
      <c r="D2900" s="7">
        <v>0.25</v>
      </c>
      <c r="E2900" s="7">
        <v>10.0</v>
      </c>
      <c r="F2900" s="7">
        <v>23373.532747507</v>
      </c>
      <c r="G2900" s="7">
        <v>23540.6883993148</v>
      </c>
      <c r="H2900" s="7">
        <v>3.0</v>
      </c>
      <c r="I2900" s="15">
        <v>0.0945147814240996</v>
      </c>
      <c r="J2900" s="15">
        <v>0.154027535277178</v>
      </c>
      <c r="K2900" s="12">
        <f>AVERAGE(I2897:I2901)</f>
        <v>0.4451743117</v>
      </c>
      <c r="L2900" s="18">
        <v>88958.0</v>
      </c>
      <c r="M2900" s="14">
        <f>STDEV(L2897:L2901)</f>
        <v>37721.34841</v>
      </c>
      <c r="N2900" s="15" t="b">
        <f t="shared" si="1"/>
        <v>0</v>
      </c>
    </row>
    <row r="2901" hidden="1">
      <c r="A2901" s="7" t="s">
        <v>588</v>
      </c>
      <c r="B2901" s="7" t="s">
        <v>519</v>
      </c>
      <c r="C2901" s="7">
        <v>0.25</v>
      </c>
      <c r="D2901" s="7">
        <v>0.25</v>
      </c>
      <c r="E2901" s="7">
        <v>10.0</v>
      </c>
      <c r="F2901" s="7">
        <v>23373.532747507</v>
      </c>
      <c r="G2901" s="7">
        <v>23540.6883993148</v>
      </c>
      <c r="H2901" s="7">
        <v>4.0</v>
      </c>
      <c r="I2901" s="15">
        <v>0.909924193692662</v>
      </c>
      <c r="J2901" s="15">
        <v>0.0439804389573294</v>
      </c>
      <c r="K2901" s="12">
        <f>AVERAGE(I2897:I2901)</f>
        <v>0.4451743117</v>
      </c>
      <c r="L2901" s="18">
        <v>2064.0</v>
      </c>
      <c r="M2901" s="14">
        <f>STDEV(L2897:L2901)</f>
        <v>37721.34841</v>
      </c>
      <c r="N2901" s="15" t="b">
        <f t="shared" si="1"/>
        <v>0</v>
      </c>
    </row>
    <row r="2902" hidden="1">
      <c r="A2902" s="7" t="s">
        <v>589</v>
      </c>
      <c r="B2902" s="7" t="s">
        <v>519</v>
      </c>
      <c r="C2902" s="7">
        <v>0.25</v>
      </c>
      <c r="D2902" s="7">
        <v>0.5</v>
      </c>
      <c r="E2902" s="7">
        <v>1.0</v>
      </c>
      <c r="F2902" s="7">
        <v>156783.068784713</v>
      </c>
      <c r="G2902" s="7">
        <v>156960.449646949</v>
      </c>
      <c r="H2902" s="7">
        <v>0.0</v>
      </c>
      <c r="I2902" s="15">
        <v>0.240868612902445</v>
      </c>
      <c r="J2902" s="15">
        <v>0.128033662405343</v>
      </c>
      <c r="K2902" s="12">
        <f>AVERAGE(I2902:I2906)</f>
        <v>0.3903459217</v>
      </c>
      <c r="L2902" s="18">
        <v>41400.0</v>
      </c>
      <c r="M2902" s="14">
        <f>STDEV(L2902:L2906)</f>
        <v>30119.1034</v>
      </c>
      <c r="N2902" s="15" t="b">
        <f t="shared" si="1"/>
        <v>0</v>
      </c>
    </row>
    <row r="2903" hidden="1">
      <c r="A2903" s="7" t="s">
        <v>589</v>
      </c>
      <c r="B2903" s="7" t="s">
        <v>519</v>
      </c>
      <c r="C2903" s="7">
        <v>0.25</v>
      </c>
      <c r="D2903" s="7">
        <v>0.5</v>
      </c>
      <c r="E2903" s="7">
        <v>1.0</v>
      </c>
      <c r="F2903" s="7">
        <v>156783.068784713</v>
      </c>
      <c r="G2903" s="7">
        <v>156960.449646949</v>
      </c>
      <c r="H2903" s="7">
        <v>1.0</v>
      </c>
      <c r="I2903" s="15">
        <v>0.324420919683694</v>
      </c>
      <c r="J2903" s="15">
        <v>0.12197574720308</v>
      </c>
      <c r="K2903" s="12">
        <f>AVERAGE(I2902:I2906)</f>
        <v>0.3903459217</v>
      </c>
      <c r="L2903" s="18">
        <v>12338.0</v>
      </c>
      <c r="M2903" s="14">
        <f>STDEV(L2902:L2906)</f>
        <v>30119.1034</v>
      </c>
      <c r="N2903" s="15" t="b">
        <f t="shared" si="1"/>
        <v>0</v>
      </c>
    </row>
    <row r="2904" hidden="1">
      <c r="A2904" s="7" t="s">
        <v>589</v>
      </c>
      <c r="B2904" s="7" t="s">
        <v>519</v>
      </c>
      <c r="C2904" s="7">
        <v>0.25</v>
      </c>
      <c r="D2904" s="7">
        <v>0.5</v>
      </c>
      <c r="E2904" s="7">
        <v>1.0</v>
      </c>
      <c r="F2904" s="7">
        <v>156783.068784713</v>
      </c>
      <c r="G2904" s="7">
        <v>156960.449646949</v>
      </c>
      <c r="H2904" s="7">
        <v>2.0</v>
      </c>
      <c r="I2904" s="15">
        <v>0.72269627344138</v>
      </c>
      <c r="J2904" s="15">
        <v>0.143812169286748</v>
      </c>
      <c r="K2904" s="12">
        <f>AVERAGE(I2902:I2906)</f>
        <v>0.3903459217</v>
      </c>
      <c r="L2904" s="18">
        <v>6797.0</v>
      </c>
      <c r="M2904" s="14">
        <f>STDEV(L2902:L2906)</f>
        <v>30119.1034</v>
      </c>
      <c r="N2904" s="15" t="b">
        <f t="shared" si="1"/>
        <v>0</v>
      </c>
    </row>
    <row r="2905" hidden="1">
      <c r="A2905" s="7" t="s">
        <v>589</v>
      </c>
      <c r="B2905" s="7" t="s">
        <v>519</v>
      </c>
      <c r="C2905" s="7">
        <v>0.25</v>
      </c>
      <c r="D2905" s="7">
        <v>0.5</v>
      </c>
      <c r="E2905" s="7">
        <v>1.0</v>
      </c>
      <c r="F2905" s="7">
        <v>156783.068784713</v>
      </c>
      <c r="G2905" s="7">
        <v>156960.449646949</v>
      </c>
      <c r="H2905" s="7">
        <v>3.0</v>
      </c>
      <c r="I2905" s="15">
        <v>0.809537945757799</v>
      </c>
      <c r="J2905" s="15">
        <v>0.12222238801374</v>
      </c>
      <c r="K2905" s="12">
        <f>AVERAGE(I2902:I2906)</f>
        <v>0.3903459217</v>
      </c>
      <c r="L2905" s="18">
        <v>5651.0</v>
      </c>
      <c r="M2905" s="14">
        <f>STDEV(L2902:L2906)</f>
        <v>30119.1034</v>
      </c>
      <c r="N2905" s="15" t="b">
        <f t="shared" si="1"/>
        <v>0</v>
      </c>
    </row>
    <row r="2906" hidden="1">
      <c r="A2906" s="7" t="s">
        <v>589</v>
      </c>
      <c r="B2906" s="7" t="s">
        <v>519</v>
      </c>
      <c r="C2906" s="7">
        <v>0.25</v>
      </c>
      <c r="D2906" s="7">
        <v>0.5</v>
      </c>
      <c r="E2906" s="7">
        <v>1.0</v>
      </c>
      <c r="F2906" s="7">
        <v>156783.068784713</v>
      </c>
      <c r="G2906" s="7">
        <v>156960.449646949</v>
      </c>
      <c r="H2906" s="7">
        <v>4.0</v>
      </c>
      <c r="I2906" s="15">
        <v>-0.145794143516563</v>
      </c>
      <c r="J2906" s="15">
        <v>0.272281246498322</v>
      </c>
      <c r="K2906" s="12">
        <f>AVERAGE(I2902:I2906)</f>
        <v>0.3903459217</v>
      </c>
      <c r="L2906" s="18">
        <v>75490.0</v>
      </c>
      <c r="M2906" s="14">
        <f>STDEV(L2902:L2906)</f>
        <v>30119.1034</v>
      </c>
      <c r="N2906" s="15" t="b">
        <f t="shared" si="1"/>
        <v>0</v>
      </c>
    </row>
    <row r="2907" hidden="1">
      <c r="A2907" s="7" t="s">
        <v>590</v>
      </c>
      <c r="B2907" s="7" t="s">
        <v>519</v>
      </c>
      <c r="C2907" s="7">
        <v>0.25</v>
      </c>
      <c r="D2907" s="7">
        <v>0.5</v>
      </c>
      <c r="E2907" s="7">
        <v>2.0</v>
      </c>
      <c r="F2907" s="7">
        <v>43997.0005970001</v>
      </c>
      <c r="G2907" s="7">
        <v>44173.8041970729</v>
      </c>
      <c r="H2907" s="7">
        <v>0.0</v>
      </c>
      <c r="I2907" s="15">
        <v>0.807382034435467</v>
      </c>
      <c r="J2907" s="15">
        <v>0.116888888306211</v>
      </c>
      <c r="K2907" s="12">
        <f>AVERAGE(I2907:I2911)</f>
        <v>0.5031759666</v>
      </c>
      <c r="L2907" s="18">
        <v>5699.0</v>
      </c>
      <c r="M2907" s="14">
        <f>STDEV(L2907:L2911)</f>
        <v>24391.02858</v>
      </c>
      <c r="N2907" s="15" t="b">
        <f t="shared" si="1"/>
        <v>0</v>
      </c>
    </row>
    <row r="2908" hidden="1">
      <c r="A2908" s="7" t="s">
        <v>590</v>
      </c>
      <c r="B2908" s="7" t="s">
        <v>519</v>
      </c>
      <c r="C2908" s="7">
        <v>0.25</v>
      </c>
      <c r="D2908" s="7">
        <v>0.5</v>
      </c>
      <c r="E2908" s="7">
        <v>2.0</v>
      </c>
      <c r="F2908" s="7">
        <v>43997.0005970001</v>
      </c>
      <c r="G2908" s="7">
        <v>44173.8041970729</v>
      </c>
      <c r="H2908" s="7">
        <v>1.0</v>
      </c>
      <c r="I2908" s="15">
        <v>0.82854774807999</v>
      </c>
      <c r="J2908" s="15">
        <v>0.0979501191089112</v>
      </c>
      <c r="K2908" s="12">
        <f>AVERAGE(I2907:I2911)</f>
        <v>0.5031759666</v>
      </c>
      <c r="L2908" s="18">
        <v>7459.0</v>
      </c>
      <c r="M2908" s="14">
        <f>STDEV(L2907:L2911)</f>
        <v>24391.02858</v>
      </c>
      <c r="N2908" s="15" t="b">
        <f t="shared" si="1"/>
        <v>0</v>
      </c>
    </row>
    <row r="2909" hidden="1">
      <c r="A2909" s="7" t="s">
        <v>590</v>
      </c>
      <c r="B2909" s="7" t="s">
        <v>519</v>
      </c>
      <c r="C2909" s="7">
        <v>0.25</v>
      </c>
      <c r="D2909" s="7">
        <v>0.5</v>
      </c>
      <c r="E2909" s="7">
        <v>2.0</v>
      </c>
      <c r="F2909" s="7">
        <v>43997.0005970001</v>
      </c>
      <c r="G2909" s="7">
        <v>44173.8041970729</v>
      </c>
      <c r="H2909" s="7">
        <v>2.0</v>
      </c>
      <c r="I2909" s="15">
        <v>0.709429651128058</v>
      </c>
      <c r="J2909" s="15">
        <v>0.192836910701458</v>
      </c>
      <c r="K2909" s="12">
        <f>AVERAGE(I2907:I2911)</f>
        <v>0.5031759666</v>
      </c>
      <c r="L2909" s="18">
        <v>20090.0</v>
      </c>
      <c r="M2909" s="14">
        <f>STDEV(L2907:L2911)</f>
        <v>24391.02858</v>
      </c>
      <c r="N2909" s="15" t="b">
        <f t="shared" si="1"/>
        <v>0</v>
      </c>
    </row>
    <row r="2910" hidden="1">
      <c r="A2910" s="7" t="s">
        <v>590</v>
      </c>
      <c r="B2910" s="7" t="s">
        <v>519</v>
      </c>
      <c r="C2910" s="7">
        <v>0.25</v>
      </c>
      <c r="D2910" s="7">
        <v>0.5</v>
      </c>
      <c r="E2910" s="7">
        <v>2.0</v>
      </c>
      <c r="F2910" s="7">
        <v>43997.0005970001</v>
      </c>
      <c r="G2910" s="7">
        <v>44173.8041970729</v>
      </c>
      <c r="H2910" s="7">
        <v>3.0</v>
      </c>
      <c r="I2910" s="15">
        <v>0.136333257338468</v>
      </c>
      <c r="J2910" s="15">
        <v>0.113357095085455</v>
      </c>
      <c r="K2910" s="12">
        <f>AVERAGE(I2907:I2911)</f>
        <v>0.5031759666</v>
      </c>
      <c r="L2910" s="18">
        <v>57683.0</v>
      </c>
      <c r="M2910" s="14">
        <f>STDEV(L2907:L2911)</f>
        <v>24391.02858</v>
      </c>
      <c r="N2910" s="15" t="b">
        <f t="shared" si="1"/>
        <v>0</v>
      </c>
    </row>
    <row r="2911" hidden="1">
      <c r="A2911" s="7" t="s">
        <v>590</v>
      </c>
      <c r="B2911" s="7" t="s">
        <v>519</v>
      </c>
      <c r="C2911" s="7">
        <v>0.25</v>
      </c>
      <c r="D2911" s="7">
        <v>0.5</v>
      </c>
      <c r="E2911" s="7">
        <v>2.0</v>
      </c>
      <c r="F2911" s="7">
        <v>43997.0005970001</v>
      </c>
      <c r="G2911" s="7">
        <v>44173.8041970729</v>
      </c>
      <c r="H2911" s="7">
        <v>4.0</v>
      </c>
      <c r="I2911" s="15">
        <v>0.034187142214475</v>
      </c>
      <c r="J2911" s="15">
        <v>0.0556378888198806</v>
      </c>
      <c r="K2911" s="12">
        <f>AVERAGE(I2907:I2911)</f>
        <v>0.5031759666</v>
      </c>
      <c r="L2911" s="18">
        <v>50745.0</v>
      </c>
      <c r="M2911" s="14">
        <f>STDEV(L2907:L2911)</f>
        <v>24391.02858</v>
      </c>
      <c r="N2911" s="15" t="b">
        <f t="shared" si="1"/>
        <v>0</v>
      </c>
    </row>
    <row r="2912" hidden="1">
      <c r="A2912" s="7" t="s">
        <v>591</v>
      </c>
      <c r="B2912" s="7" t="s">
        <v>519</v>
      </c>
      <c r="C2912" s="7">
        <v>0.25</v>
      </c>
      <c r="D2912" s="7">
        <v>0.5</v>
      </c>
      <c r="E2912" s="7">
        <v>3.0</v>
      </c>
      <c r="F2912" s="7">
        <v>257647.027053356</v>
      </c>
      <c r="G2912" s="7">
        <v>257820.588721036</v>
      </c>
      <c r="H2912" s="7">
        <v>0.0</v>
      </c>
      <c r="I2912" s="15">
        <v>0.827657656663588</v>
      </c>
      <c r="J2912" s="15">
        <v>0.0905939534727319</v>
      </c>
      <c r="K2912" s="12">
        <f>AVERAGE(I2912:I2916)</f>
        <v>0.3536034089</v>
      </c>
      <c r="L2912" s="18">
        <v>4600.0</v>
      </c>
      <c r="M2912" s="14">
        <f>STDEV(L2912:L2916)</f>
        <v>22512.31847</v>
      </c>
      <c r="N2912" s="15" t="b">
        <f t="shared" si="1"/>
        <v>0</v>
      </c>
    </row>
    <row r="2913" hidden="1">
      <c r="A2913" s="7" t="s">
        <v>591</v>
      </c>
      <c r="B2913" s="7" t="s">
        <v>519</v>
      </c>
      <c r="C2913" s="7">
        <v>0.25</v>
      </c>
      <c r="D2913" s="7">
        <v>0.5</v>
      </c>
      <c r="E2913" s="7">
        <v>3.0</v>
      </c>
      <c r="F2913" s="7">
        <v>257647.027053356</v>
      </c>
      <c r="G2913" s="7">
        <v>257820.588721036</v>
      </c>
      <c r="H2913" s="7">
        <v>1.0</v>
      </c>
      <c r="I2913" s="15">
        <v>0.0379236909266692</v>
      </c>
      <c r="J2913" s="15">
        <v>0.0565214179118565</v>
      </c>
      <c r="K2913" s="12">
        <f>AVERAGE(I2912:I2916)</f>
        <v>0.3536034089</v>
      </c>
      <c r="L2913" s="18">
        <v>31728.0</v>
      </c>
      <c r="M2913" s="14">
        <f>STDEV(L2912:L2916)</f>
        <v>22512.31847</v>
      </c>
      <c r="N2913" s="15" t="b">
        <f t="shared" si="1"/>
        <v>0</v>
      </c>
    </row>
    <row r="2914" hidden="1">
      <c r="A2914" s="7" t="s">
        <v>591</v>
      </c>
      <c r="B2914" s="7" t="s">
        <v>519</v>
      </c>
      <c r="C2914" s="7">
        <v>0.25</v>
      </c>
      <c r="D2914" s="7">
        <v>0.5</v>
      </c>
      <c r="E2914" s="7">
        <v>3.0</v>
      </c>
      <c r="F2914" s="7">
        <v>257647.027053356</v>
      </c>
      <c r="G2914" s="7">
        <v>257820.588721036</v>
      </c>
      <c r="H2914" s="7">
        <v>2.0</v>
      </c>
      <c r="I2914" s="15">
        <v>-0.0368966385389768</v>
      </c>
      <c r="J2914" s="15">
        <v>0.342027186141802</v>
      </c>
      <c r="K2914" s="12">
        <f>AVERAGE(I2912:I2916)</f>
        <v>0.3536034089</v>
      </c>
      <c r="L2914" s="18">
        <v>57289.0</v>
      </c>
      <c r="M2914" s="14">
        <f>STDEV(L2912:L2916)</f>
        <v>22512.31847</v>
      </c>
      <c r="N2914" s="15" t="b">
        <f t="shared" si="1"/>
        <v>0</v>
      </c>
    </row>
    <row r="2915" hidden="1">
      <c r="A2915" s="7" t="s">
        <v>591</v>
      </c>
      <c r="B2915" s="7" t="s">
        <v>519</v>
      </c>
      <c r="C2915" s="7">
        <v>0.25</v>
      </c>
      <c r="D2915" s="7">
        <v>0.5</v>
      </c>
      <c r="E2915" s="7">
        <v>3.0</v>
      </c>
      <c r="F2915" s="7">
        <v>257647.027053356</v>
      </c>
      <c r="G2915" s="7">
        <v>257820.588721036</v>
      </c>
      <c r="H2915" s="7">
        <v>3.0</v>
      </c>
      <c r="I2915" s="15">
        <v>0.244671648970379</v>
      </c>
      <c r="J2915" s="15">
        <v>0.126495785884664</v>
      </c>
      <c r="K2915" s="12">
        <f>AVERAGE(I2912:I2916)</f>
        <v>0.3536034089</v>
      </c>
      <c r="L2915" s="18">
        <v>41014.0</v>
      </c>
      <c r="M2915" s="14">
        <f>STDEV(L2912:L2916)</f>
        <v>22512.31847</v>
      </c>
      <c r="N2915" s="15" t="b">
        <f t="shared" si="1"/>
        <v>0</v>
      </c>
    </row>
    <row r="2916" hidden="1">
      <c r="A2916" s="7" t="s">
        <v>591</v>
      </c>
      <c r="B2916" s="7" t="s">
        <v>519</v>
      </c>
      <c r="C2916" s="7">
        <v>0.25</v>
      </c>
      <c r="D2916" s="7">
        <v>0.5</v>
      </c>
      <c r="E2916" s="7">
        <v>3.0</v>
      </c>
      <c r="F2916" s="7">
        <v>257647.027053356</v>
      </c>
      <c r="G2916" s="7">
        <v>257820.588721036</v>
      </c>
      <c r="H2916" s="7">
        <v>4.0</v>
      </c>
      <c r="I2916" s="15">
        <v>0.694660686541887</v>
      </c>
      <c r="J2916" s="15">
        <v>0.149711080847592</v>
      </c>
      <c r="K2916" s="12">
        <f>AVERAGE(I2912:I2916)</f>
        <v>0.3536034089</v>
      </c>
      <c r="L2916" s="18">
        <v>7045.0</v>
      </c>
      <c r="M2916" s="14">
        <f>STDEV(L2912:L2916)</f>
        <v>22512.31847</v>
      </c>
      <c r="N2916" s="15" t="b">
        <f t="shared" si="1"/>
        <v>0</v>
      </c>
    </row>
    <row r="2917" hidden="1">
      <c r="A2917" s="7" t="s">
        <v>592</v>
      </c>
      <c r="B2917" s="7" t="s">
        <v>519</v>
      </c>
      <c r="C2917" s="7">
        <v>0.25</v>
      </c>
      <c r="D2917" s="7">
        <v>0.5</v>
      </c>
      <c r="E2917" s="7">
        <v>4.0</v>
      </c>
      <c r="F2917" s="7">
        <v>49949.7394640445</v>
      </c>
      <c r="G2917" s="7">
        <v>50139.8466312885</v>
      </c>
      <c r="H2917" s="7">
        <v>0.0</v>
      </c>
      <c r="I2917" s="15">
        <v>0.306599936115941</v>
      </c>
      <c r="J2917" s="15">
        <v>0.133284239060968</v>
      </c>
      <c r="K2917" s="12">
        <f>AVERAGE(I2917:I2921)</f>
        <v>0.321642412</v>
      </c>
      <c r="L2917" s="18">
        <v>2840.0</v>
      </c>
      <c r="M2917" s="14">
        <f>STDEV(L2917:L2921)</f>
        <v>33364.08484</v>
      </c>
      <c r="N2917" s="15" t="b">
        <f t="shared" si="1"/>
        <v>0</v>
      </c>
    </row>
    <row r="2918" hidden="1">
      <c r="A2918" s="7" t="s">
        <v>592</v>
      </c>
      <c r="B2918" s="7" t="s">
        <v>519</v>
      </c>
      <c r="C2918" s="7">
        <v>0.25</v>
      </c>
      <c r="D2918" s="7">
        <v>0.5</v>
      </c>
      <c r="E2918" s="7">
        <v>4.0</v>
      </c>
      <c r="F2918" s="7">
        <v>49949.7394640445</v>
      </c>
      <c r="G2918" s="7">
        <v>50139.8466312885</v>
      </c>
      <c r="H2918" s="7">
        <v>1.0</v>
      </c>
      <c r="I2918" s="15">
        <v>0.175473635256946</v>
      </c>
      <c r="J2918" s="15">
        <v>0.110429435347739</v>
      </c>
      <c r="K2918" s="12">
        <f>AVERAGE(I2917:I2921)</f>
        <v>0.321642412</v>
      </c>
      <c r="L2918" s="18">
        <v>48950.0</v>
      </c>
      <c r="M2918" s="14">
        <f>STDEV(L2917:L2921)</f>
        <v>33364.08484</v>
      </c>
      <c r="N2918" s="15" t="b">
        <f t="shared" si="1"/>
        <v>0</v>
      </c>
    </row>
    <row r="2919" hidden="1">
      <c r="A2919" s="7" t="s">
        <v>592</v>
      </c>
      <c r="B2919" s="7" t="s">
        <v>519</v>
      </c>
      <c r="C2919" s="7">
        <v>0.25</v>
      </c>
      <c r="D2919" s="7">
        <v>0.5</v>
      </c>
      <c r="E2919" s="7">
        <v>4.0</v>
      </c>
      <c r="F2919" s="7">
        <v>49949.7394640445</v>
      </c>
      <c r="G2919" s="7">
        <v>50139.8466312885</v>
      </c>
      <c r="H2919" s="7">
        <v>2.0</v>
      </c>
      <c r="I2919" s="15">
        <v>0.782077812559273</v>
      </c>
      <c r="J2919" s="15">
        <v>0.129832465667392</v>
      </c>
      <c r="K2919" s="12">
        <f>AVERAGE(I2917:I2921)</f>
        <v>0.321642412</v>
      </c>
      <c r="L2919" s="18">
        <v>7666.0</v>
      </c>
      <c r="M2919" s="14">
        <f>STDEV(L2917:L2921)</f>
        <v>33364.08484</v>
      </c>
      <c r="N2919" s="15" t="b">
        <f t="shared" si="1"/>
        <v>0</v>
      </c>
    </row>
    <row r="2920" hidden="1">
      <c r="A2920" s="7" t="s">
        <v>592</v>
      </c>
      <c r="B2920" s="7" t="s">
        <v>519</v>
      </c>
      <c r="C2920" s="7">
        <v>0.25</v>
      </c>
      <c r="D2920" s="7">
        <v>0.5</v>
      </c>
      <c r="E2920" s="7">
        <v>4.0</v>
      </c>
      <c r="F2920" s="7">
        <v>49949.7394640445</v>
      </c>
      <c r="G2920" s="7">
        <v>50139.8466312885</v>
      </c>
      <c r="H2920" s="7">
        <v>3.0</v>
      </c>
      <c r="I2920" s="15">
        <v>0.24909056525478</v>
      </c>
      <c r="J2920" s="15">
        <v>0.0778052165186154</v>
      </c>
      <c r="K2920" s="12">
        <f>AVERAGE(I2917:I2921)</f>
        <v>0.321642412</v>
      </c>
      <c r="L2920" s="18">
        <v>4888.0</v>
      </c>
      <c r="M2920" s="14">
        <f>STDEV(L2917:L2921)</f>
        <v>33364.08484</v>
      </c>
      <c r="N2920" s="15" t="b">
        <f t="shared" si="1"/>
        <v>0</v>
      </c>
    </row>
    <row r="2921" hidden="1">
      <c r="A2921" s="7" t="s">
        <v>592</v>
      </c>
      <c r="B2921" s="7" t="s">
        <v>519</v>
      </c>
      <c r="C2921" s="7">
        <v>0.25</v>
      </c>
      <c r="D2921" s="7">
        <v>0.5</v>
      </c>
      <c r="E2921" s="7">
        <v>4.0</v>
      </c>
      <c r="F2921" s="7">
        <v>49949.7394640445</v>
      </c>
      <c r="G2921" s="7">
        <v>50139.8466312885</v>
      </c>
      <c r="H2921" s="7">
        <v>4.0</v>
      </c>
      <c r="I2921" s="15">
        <v>0.0949701108521914</v>
      </c>
      <c r="J2921" s="15">
        <v>0.0810475390185397</v>
      </c>
      <c r="K2921" s="12">
        <f>AVERAGE(I2917:I2921)</f>
        <v>0.321642412</v>
      </c>
      <c r="L2921" s="18">
        <v>77332.0</v>
      </c>
      <c r="M2921" s="14">
        <f>STDEV(L2917:L2921)</f>
        <v>33364.08484</v>
      </c>
      <c r="N2921" s="15" t="b">
        <f t="shared" si="1"/>
        <v>0</v>
      </c>
    </row>
    <row r="2922" hidden="1">
      <c r="A2922" s="7" t="s">
        <v>593</v>
      </c>
      <c r="B2922" s="7" t="s">
        <v>519</v>
      </c>
      <c r="C2922" s="7">
        <v>0.25</v>
      </c>
      <c r="D2922" s="7">
        <v>0.5</v>
      </c>
      <c r="E2922" s="7">
        <v>5.0</v>
      </c>
      <c r="F2922" s="7">
        <v>67370.1135115623</v>
      </c>
      <c r="G2922" s="7">
        <v>67533.2203884124</v>
      </c>
      <c r="H2922" s="7">
        <v>0.0</v>
      </c>
      <c r="I2922" s="15">
        <v>0.640207230992177</v>
      </c>
      <c r="J2922" s="15">
        <v>0.134036938908859</v>
      </c>
      <c r="K2922" s="12">
        <f>AVERAGE(I2922:I2926)</f>
        <v>0.4441088416</v>
      </c>
      <c r="L2922" s="18">
        <v>2347.0</v>
      </c>
      <c r="M2922" s="14">
        <f>STDEV(L2922:L2926)</f>
        <v>45329.56003</v>
      </c>
      <c r="N2922" s="15" t="b">
        <f t="shared" si="1"/>
        <v>0</v>
      </c>
    </row>
    <row r="2923" hidden="1">
      <c r="A2923" s="7" t="s">
        <v>593</v>
      </c>
      <c r="B2923" s="7" t="s">
        <v>519</v>
      </c>
      <c r="C2923" s="7">
        <v>0.25</v>
      </c>
      <c r="D2923" s="7">
        <v>0.5</v>
      </c>
      <c r="E2923" s="7">
        <v>5.0</v>
      </c>
      <c r="F2923" s="7">
        <v>67370.1135115623</v>
      </c>
      <c r="G2923" s="7">
        <v>67533.2203884124</v>
      </c>
      <c r="H2923" s="7">
        <v>1.0</v>
      </c>
      <c r="I2923" s="15">
        <v>0.661814908921879</v>
      </c>
      <c r="J2923" s="15">
        <v>0.136194397797146</v>
      </c>
      <c r="K2923" s="12">
        <f>AVERAGE(I2922:I2926)</f>
        <v>0.4441088416</v>
      </c>
      <c r="L2923" s="18">
        <v>1483.0</v>
      </c>
      <c r="M2923" s="14">
        <f>STDEV(L2922:L2926)</f>
        <v>45329.56003</v>
      </c>
      <c r="N2923" s="15" t="b">
        <f t="shared" si="1"/>
        <v>0</v>
      </c>
    </row>
    <row r="2924" hidden="1">
      <c r="A2924" s="7" t="s">
        <v>593</v>
      </c>
      <c r="B2924" s="7" t="s">
        <v>519</v>
      </c>
      <c r="C2924" s="7">
        <v>0.25</v>
      </c>
      <c r="D2924" s="7">
        <v>0.5</v>
      </c>
      <c r="E2924" s="7">
        <v>5.0</v>
      </c>
      <c r="F2924" s="7">
        <v>67370.1135115623</v>
      </c>
      <c r="G2924" s="7">
        <v>67533.2203884124</v>
      </c>
      <c r="H2924" s="7">
        <v>2.0</v>
      </c>
      <c r="I2924" s="15">
        <v>0.42838795325801</v>
      </c>
      <c r="J2924" s="15">
        <v>0.26126506696198</v>
      </c>
      <c r="K2924" s="12">
        <f>AVERAGE(I2922:I2926)</f>
        <v>0.4441088416</v>
      </c>
      <c r="L2924" s="18">
        <v>3960.0</v>
      </c>
      <c r="M2924" s="14">
        <f>STDEV(L2922:L2926)</f>
        <v>45329.56003</v>
      </c>
      <c r="N2924" s="15" t="b">
        <f t="shared" si="1"/>
        <v>0</v>
      </c>
    </row>
    <row r="2925" hidden="1">
      <c r="A2925" s="7" t="s">
        <v>593</v>
      </c>
      <c r="B2925" s="7" t="s">
        <v>519</v>
      </c>
      <c r="C2925" s="7">
        <v>0.25</v>
      </c>
      <c r="D2925" s="7">
        <v>0.5</v>
      </c>
      <c r="E2925" s="7">
        <v>5.0</v>
      </c>
      <c r="F2925" s="7">
        <v>67370.1135115623</v>
      </c>
      <c r="G2925" s="7">
        <v>67533.2203884124</v>
      </c>
      <c r="H2925" s="7">
        <v>3.0</v>
      </c>
      <c r="I2925" s="15">
        <v>0.0314949676219723</v>
      </c>
      <c r="J2925" s="15">
        <v>0.163506748606304</v>
      </c>
      <c r="K2925" s="12">
        <f>AVERAGE(I2922:I2926)</f>
        <v>0.4441088416</v>
      </c>
      <c r="L2925" s="18">
        <v>107238.0</v>
      </c>
      <c r="M2925" s="14">
        <f>STDEV(L2922:L2926)</f>
        <v>45329.56003</v>
      </c>
      <c r="N2925" s="15" t="b">
        <f t="shared" si="1"/>
        <v>0</v>
      </c>
    </row>
    <row r="2926" hidden="1">
      <c r="A2926" s="7" t="s">
        <v>593</v>
      </c>
      <c r="B2926" s="7" t="s">
        <v>519</v>
      </c>
      <c r="C2926" s="7">
        <v>0.25</v>
      </c>
      <c r="D2926" s="7">
        <v>0.5</v>
      </c>
      <c r="E2926" s="7">
        <v>5.0</v>
      </c>
      <c r="F2926" s="7">
        <v>67370.1135115623</v>
      </c>
      <c r="G2926" s="7">
        <v>67533.2203884124</v>
      </c>
      <c r="H2926" s="7">
        <v>4.0</v>
      </c>
      <c r="I2926" s="15">
        <v>0.458639147411972</v>
      </c>
      <c r="J2926" s="15">
        <v>0.19597319588268</v>
      </c>
      <c r="K2926" s="12">
        <f>AVERAGE(I2922:I2926)</f>
        <v>0.4441088416</v>
      </c>
      <c r="L2926" s="18">
        <v>26648.0</v>
      </c>
      <c r="M2926" s="14">
        <f>STDEV(L2922:L2926)</f>
        <v>45329.56003</v>
      </c>
      <c r="N2926" s="15" t="b">
        <f t="shared" si="1"/>
        <v>0</v>
      </c>
    </row>
    <row r="2927" hidden="1">
      <c r="A2927" s="7" t="s">
        <v>594</v>
      </c>
      <c r="B2927" s="7" t="s">
        <v>519</v>
      </c>
      <c r="C2927" s="7">
        <v>0.25</v>
      </c>
      <c r="D2927" s="7">
        <v>0.5</v>
      </c>
      <c r="E2927" s="7">
        <v>6.0</v>
      </c>
      <c r="F2927" s="7">
        <v>101304.771733045</v>
      </c>
      <c r="G2927" s="7">
        <v>101479.593027353</v>
      </c>
      <c r="H2927" s="7">
        <v>0.0</v>
      </c>
      <c r="I2927" s="15">
        <v>0.103026996381606</v>
      </c>
      <c r="J2927" s="15">
        <v>0.0574881961164397</v>
      </c>
      <c r="K2927" s="12">
        <f>AVERAGE(I2927:I2931)</f>
        <v>0.2749583876</v>
      </c>
      <c r="L2927" s="18">
        <v>6776.0</v>
      </c>
      <c r="M2927" s="14">
        <f>STDEV(L2927:L2931)</f>
        <v>27595.22676</v>
      </c>
      <c r="N2927" s="15" t="b">
        <f t="shared" si="1"/>
        <v>0</v>
      </c>
    </row>
    <row r="2928" hidden="1">
      <c r="A2928" s="7" t="s">
        <v>594</v>
      </c>
      <c r="B2928" s="7" t="s">
        <v>519</v>
      </c>
      <c r="C2928" s="7">
        <v>0.25</v>
      </c>
      <c r="D2928" s="7">
        <v>0.5</v>
      </c>
      <c r="E2928" s="7">
        <v>6.0</v>
      </c>
      <c r="F2928" s="7">
        <v>101304.771733045</v>
      </c>
      <c r="G2928" s="7">
        <v>101479.593027353</v>
      </c>
      <c r="H2928" s="7">
        <v>1.0</v>
      </c>
      <c r="I2928" s="15">
        <v>0.154354816880132</v>
      </c>
      <c r="J2928" s="15">
        <v>0.112137757750783</v>
      </c>
      <c r="K2928" s="12">
        <f>AVERAGE(I2927:I2931)</f>
        <v>0.2749583876</v>
      </c>
      <c r="L2928" s="18">
        <v>51551.0</v>
      </c>
      <c r="M2928" s="14">
        <f>STDEV(L2927:L2931)</f>
        <v>27595.22676</v>
      </c>
      <c r="N2928" s="15" t="b">
        <f t="shared" si="1"/>
        <v>0</v>
      </c>
    </row>
    <row r="2929" hidden="1">
      <c r="A2929" s="7" t="s">
        <v>594</v>
      </c>
      <c r="B2929" s="7" t="s">
        <v>519</v>
      </c>
      <c r="C2929" s="7">
        <v>0.25</v>
      </c>
      <c r="D2929" s="7">
        <v>0.5</v>
      </c>
      <c r="E2929" s="7">
        <v>6.0</v>
      </c>
      <c r="F2929" s="7">
        <v>101304.771733045</v>
      </c>
      <c r="G2929" s="7">
        <v>101479.593027353</v>
      </c>
      <c r="H2929" s="7">
        <v>2.0</v>
      </c>
      <c r="I2929" s="15">
        <v>0.348405384522708</v>
      </c>
      <c r="J2929" s="15">
        <v>0.11215889663558</v>
      </c>
      <c r="K2929" s="12">
        <f>AVERAGE(I2927:I2931)</f>
        <v>0.2749583876</v>
      </c>
      <c r="L2929" s="18">
        <v>11339.0</v>
      </c>
      <c r="M2929" s="14">
        <f>STDEV(L2927:L2931)</f>
        <v>27595.22676</v>
      </c>
      <c r="N2929" s="15" t="b">
        <f t="shared" si="1"/>
        <v>0</v>
      </c>
    </row>
    <row r="2930" hidden="1">
      <c r="A2930" s="7" t="s">
        <v>594</v>
      </c>
      <c r="B2930" s="7" t="s">
        <v>519</v>
      </c>
      <c r="C2930" s="7">
        <v>0.25</v>
      </c>
      <c r="D2930" s="7">
        <v>0.5</v>
      </c>
      <c r="E2930" s="7">
        <v>6.0</v>
      </c>
      <c r="F2930" s="7">
        <v>101304.771733045</v>
      </c>
      <c r="G2930" s="7">
        <v>101479.593027353</v>
      </c>
      <c r="H2930" s="7">
        <v>3.0</v>
      </c>
      <c r="I2930" s="15">
        <v>0.803194209404106</v>
      </c>
      <c r="J2930" s="15">
        <v>0.115636115987418</v>
      </c>
      <c r="K2930" s="12">
        <f>AVERAGE(I2927:I2931)</f>
        <v>0.2749583876</v>
      </c>
      <c r="L2930" s="18">
        <v>7407.0</v>
      </c>
      <c r="M2930" s="14">
        <f>STDEV(L2927:L2931)</f>
        <v>27595.22676</v>
      </c>
      <c r="N2930" s="15" t="b">
        <f t="shared" si="1"/>
        <v>0</v>
      </c>
    </row>
    <row r="2931" hidden="1">
      <c r="A2931" s="7" t="s">
        <v>594</v>
      </c>
      <c r="B2931" s="7" t="s">
        <v>519</v>
      </c>
      <c r="C2931" s="7">
        <v>0.25</v>
      </c>
      <c r="D2931" s="7">
        <v>0.5</v>
      </c>
      <c r="E2931" s="7">
        <v>6.0</v>
      </c>
      <c r="F2931" s="7">
        <v>101304.771733045</v>
      </c>
      <c r="G2931" s="7">
        <v>101479.593027353</v>
      </c>
      <c r="H2931" s="7">
        <v>4.0</v>
      </c>
      <c r="I2931" s="15">
        <v>-0.0341894692418213</v>
      </c>
      <c r="J2931" s="15">
        <v>0.212178395506242</v>
      </c>
      <c r="K2931" s="12">
        <f>AVERAGE(I2927:I2931)</f>
        <v>0.2749583876</v>
      </c>
      <c r="L2931" s="18">
        <v>64603.0</v>
      </c>
      <c r="M2931" s="14">
        <f>STDEV(L2927:L2931)</f>
        <v>27595.22676</v>
      </c>
      <c r="N2931" s="15" t="b">
        <f t="shared" si="1"/>
        <v>0</v>
      </c>
    </row>
    <row r="2932" hidden="1">
      <c r="A2932" s="7" t="s">
        <v>595</v>
      </c>
      <c r="B2932" s="7" t="s">
        <v>519</v>
      </c>
      <c r="C2932" s="7">
        <v>0.25</v>
      </c>
      <c r="D2932" s="7">
        <v>0.5</v>
      </c>
      <c r="E2932" s="7">
        <v>7.0</v>
      </c>
      <c r="F2932" s="7">
        <v>158695.282722949</v>
      </c>
      <c r="G2932" s="7">
        <v>158850.301755666</v>
      </c>
      <c r="H2932" s="7">
        <v>0.0</v>
      </c>
      <c r="I2932" s="15">
        <v>0.203333879860132</v>
      </c>
      <c r="J2932" s="15">
        <v>0.0890708270871496</v>
      </c>
      <c r="K2932" s="12">
        <f>AVERAGE(I2932:I2936)</f>
        <v>0.3190994204</v>
      </c>
      <c r="L2932" s="18">
        <v>18098.0</v>
      </c>
      <c r="M2932" s="14">
        <f>STDEV(L2932:L2936)</f>
        <v>27568.95406</v>
      </c>
      <c r="N2932" s="15" t="b">
        <f t="shared" si="1"/>
        <v>0</v>
      </c>
    </row>
    <row r="2933" hidden="1">
      <c r="A2933" s="7" t="s">
        <v>595</v>
      </c>
      <c r="B2933" s="7" t="s">
        <v>519</v>
      </c>
      <c r="C2933" s="7">
        <v>0.25</v>
      </c>
      <c r="D2933" s="7">
        <v>0.5</v>
      </c>
      <c r="E2933" s="7">
        <v>7.0</v>
      </c>
      <c r="F2933" s="7">
        <v>158695.282722949</v>
      </c>
      <c r="G2933" s="7">
        <v>158850.301755666</v>
      </c>
      <c r="H2933" s="7">
        <v>1.0</v>
      </c>
      <c r="I2933" s="15">
        <v>-0.0351030628476157</v>
      </c>
      <c r="J2933" s="15">
        <v>0.21991649261063</v>
      </c>
      <c r="K2933" s="12">
        <f>AVERAGE(I2932:I2936)</f>
        <v>0.3190994204</v>
      </c>
      <c r="L2933" s="18">
        <v>74175.0</v>
      </c>
      <c r="M2933" s="14">
        <f>STDEV(L2932:L2936)</f>
        <v>27568.95406</v>
      </c>
      <c r="N2933" s="15" t="b">
        <f t="shared" si="1"/>
        <v>0</v>
      </c>
    </row>
    <row r="2934" hidden="1">
      <c r="A2934" s="7" t="s">
        <v>595</v>
      </c>
      <c r="B2934" s="7" t="s">
        <v>519</v>
      </c>
      <c r="C2934" s="7">
        <v>0.25</v>
      </c>
      <c r="D2934" s="7">
        <v>0.5</v>
      </c>
      <c r="E2934" s="7">
        <v>7.0</v>
      </c>
      <c r="F2934" s="7">
        <v>158695.282722949</v>
      </c>
      <c r="G2934" s="7">
        <v>158850.301755666</v>
      </c>
      <c r="H2934" s="7">
        <v>2.0</v>
      </c>
      <c r="I2934" s="15">
        <v>0.229943954101416</v>
      </c>
      <c r="J2934" s="15">
        <v>0.150094919928593</v>
      </c>
      <c r="K2934" s="12">
        <f>AVERAGE(I2932:I2936)</f>
        <v>0.3190994204</v>
      </c>
      <c r="L2934" s="18">
        <v>16605.0</v>
      </c>
      <c r="M2934" s="14">
        <f>STDEV(L2932:L2936)</f>
        <v>27568.95406</v>
      </c>
      <c r="N2934" s="15" t="b">
        <f t="shared" si="1"/>
        <v>0</v>
      </c>
    </row>
    <row r="2935" hidden="1">
      <c r="A2935" s="7" t="s">
        <v>595</v>
      </c>
      <c r="B2935" s="7" t="s">
        <v>519</v>
      </c>
      <c r="C2935" s="7">
        <v>0.25</v>
      </c>
      <c r="D2935" s="7">
        <v>0.5</v>
      </c>
      <c r="E2935" s="7">
        <v>7.0</v>
      </c>
      <c r="F2935" s="7">
        <v>158695.282722949</v>
      </c>
      <c r="G2935" s="7">
        <v>158850.301755666</v>
      </c>
      <c r="H2935" s="7">
        <v>3.0</v>
      </c>
      <c r="I2935" s="15">
        <v>0.83488400869764</v>
      </c>
      <c r="J2935" s="15">
        <v>0.129995916639129</v>
      </c>
      <c r="K2935" s="12">
        <f>AVERAGE(I2932:I2936)</f>
        <v>0.3190994204</v>
      </c>
      <c r="L2935" s="18">
        <v>2054.0</v>
      </c>
      <c r="M2935" s="14">
        <f>STDEV(L2932:L2936)</f>
        <v>27568.95406</v>
      </c>
      <c r="N2935" s="15" t="b">
        <f t="shared" si="1"/>
        <v>0</v>
      </c>
    </row>
    <row r="2936" hidden="1">
      <c r="A2936" s="7" t="s">
        <v>595</v>
      </c>
      <c r="B2936" s="7" t="s">
        <v>519</v>
      </c>
      <c r="C2936" s="7">
        <v>0.25</v>
      </c>
      <c r="D2936" s="7">
        <v>0.5</v>
      </c>
      <c r="E2936" s="7">
        <v>7.0</v>
      </c>
      <c r="F2936" s="7">
        <v>158695.282722949</v>
      </c>
      <c r="G2936" s="7">
        <v>158850.301755666</v>
      </c>
      <c r="H2936" s="7">
        <v>4.0</v>
      </c>
      <c r="I2936" s="15">
        <v>0.36243832234932</v>
      </c>
      <c r="J2936" s="15">
        <v>0.16063126200987</v>
      </c>
      <c r="K2936" s="12">
        <f>AVERAGE(I2932:I2936)</f>
        <v>0.3190994204</v>
      </c>
      <c r="L2936" s="18">
        <v>30744.0</v>
      </c>
      <c r="M2936" s="14">
        <f>STDEV(L2932:L2936)</f>
        <v>27568.95406</v>
      </c>
      <c r="N2936" s="15" t="b">
        <f t="shared" si="1"/>
        <v>0</v>
      </c>
    </row>
    <row r="2937" hidden="1">
      <c r="A2937" s="7" t="s">
        <v>596</v>
      </c>
      <c r="B2937" s="7" t="s">
        <v>519</v>
      </c>
      <c r="C2937" s="7">
        <v>0.25</v>
      </c>
      <c r="D2937" s="7">
        <v>0.5</v>
      </c>
      <c r="E2937" s="7">
        <v>8.0</v>
      </c>
      <c r="F2937" s="7">
        <v>69627.4640767574</v>
      </c>
      <c r="G2937" s="7">
        <v>69817.2719049453</v>
      </c>
      <c r="H2937" s="7">
        <v>0.0</v>
      </c>
      <c r="I2937" s="15">
        <v>0.812116094424349</v>
      </c>
      <c r="J2937" s="15">
        <v>0.0748532759495555</v>
      </c>
      <c r="K2937" s="12">
        <f>AVERAGE(I2937:I2941)</f>
        <v>0.4492233394</v>
      </c>
      <c r="L2937" s="18">
        <v>18333.0</v>
      </c>
      <c r="M2937" s="14">
        <f>STDEV(L2937:L2941)</f>
        <v>44700.7695</v>
      </c>
      <c r="N2937" s="15" t="b">
        <f t="shared" si="1"/>
        <v>0</v>
      </c>
    </row>
    <row r="2938" hidden="1">
      <c r="A2938" s="7" t="s">
        <v>596</v>
      </c>
      <c r="B2938" s="7" t="s">
        <v>519</v>
      </c>
      <c r="C2938" s="7">
        <v>0.25</v>
      </c>
      <c r="D2938" s="7">
        <v>0.5</v>
      </c>
      <c r="E2938" s="7">
        <v>8.0</v>
      </c>
      <c r="F2938" s="7">
        <v>69627.4640767574</v>
      </c>
      <c r="G2938" s="7">
        <v>69817.2719049453</v>
      </c>
      <c r="H2938" s="7">
        <v>1.0</v>
      </c>
      <c r="I2938" s="15">
        <v>0.35383457583726</v>
      </c>
      <c r="J2938" s="15">
        <v>0.22123823395204</v>
      </c>
      <c r="K2938" s="12">
        <f>AVERAGE(I2937:I2941)</f>
        <v>0.4492233394</v>
      </c>
      <c r="L2938" s="18">
        <v>3764.0</v>
      </c>
      <c r="M2938" s="14">
        <f>STDEV(L2937:L2941)</f>
        <v>44700.7695</v>
      </c>
      <c r="N2938" s="15" t="b">
        <f t="shared" si="1"/>
        <v>0</v>
      </c>
    </row>
    <row r="2939" hidden="1">
      <c r="A2939" s="7" t="s">
        <v>596</v>
      </c>
      <c r="B2939" s="7" t="s">
        <v>519</v>
      </c>
      <c r="C2939" s="7">
        <v>0.25</v>
      </c>
      <c r="D2939" s="7">
        <v>0.5</v>
      </c>
      <c r="E2939" s="7">
        <v>8.0</v>
      </c>
      <c r="F2939" s="7">
        <v>69627.4640767574</v>
      </c>
      <c r="G2939" s="7">
        <v>69817.2719049453</v>
      </c>
      <c r="H2939" s="7">
        <v>2.0</v>
      </c>
      <c r="I2939" s="15">
        <v>0.0534150457639867</v>
      </c>
      <c r="J2939" s="15">
        <v>0.0808450910671198</v>
      </c>
      <c r="K2939" s="12">
        <f>AVERAGE(I2937:I2941)</f>
        <v>0.4492233394</v>
      </c>
      <c r="L2939" s="18">
        <v>107635.0</v>
      </c>
      <c r="M2939" s="14">
        <f>STDEV(L2937:L2941)</f>
        <v>44700.7695</v>
      </c>
      <c r="N2939" s="15" t="b">
        <f t="shared" si="1"/>
        <v>0</v>
      </c>
    </row>
    <row r="2940" hidden="1">
      <c r="A2940" s="7" t="s">
        <v>596</v>
      </c>
      <c r="B2940" s="7" t="s">
        <v>519</v>
      </c>
      <c r="C2940" s="7">
        <v>0.25</v>
      </c>
      <c r="D2940" s="7">
        <v>0.5</v>
      </c>
      <c r="E2940" s="7">
        <v>8.0</v>
      </c>
      <c r="F2940" s="7">
        <v>69627.4640767574</v>
      </c>
      <c r="G2940" s="7">
        <v>69817.2719049453</v>
      </c>
      <c r="H2940" s="7">
        <v>3.0</v>
      </c>
      <c r="I2940" s="15">
        <v>0.802912169825002</v>
      </c>
      <c r="J2940" s="15">
        <v>0.131674016732985</v>
      </c>
      <c r="K2940" s="12">
        <f>AVERAGE(I2937:I2941)</f>
        <v>0.4492233394</v>
      </c>
      <c r="L2940" s="18">
        <v>5686.0</v>
      </c>
      <c r="M2940" s="14">
        <f>STDEV(L2937:L2941)</f>
        <v>44700.7695</v>
      </c>
      <c r="N2940" s="15" t="b">
        <f t="shared" si="1"/>
        <v>0</v>
      </c>
    </row>
    <row r="2941" hidden="1">
      <c r="A2941" s="7" t="s">
        <v>596</v>
      </c>
      <c r="B2941" s="7" t="s">
        <v>519</v>
      </c>
      <c r="C2941" s="7">
        <v>0.25</v>
      </c>
      <c r="D2941" s="7">
        <v>0.5</v>
      </c>
      <c r="E2941" s="7">
        <v>8.0</v>
      </c>
      <c r="F2941" s="7">
        <v>69627.4640767574</v>
      </c>
      <c r="G2941" s="7">
        <v>69817.2719049453</v>
      </c>
      <c r="H2941" s="7">
        <v>4.0</v>
      </c>
      <c r="I2941" s="15">
        <v>0.223838811074062</v>
      </c>
      <c r="J2941" s="15">
        <v>0.103345586759101</v>
      </c>
      <c r="K2941" s="12">
        <f>AVERAGE(I2937:I2941)</f>
        <v>0.4492233394</v>
      </c>
      <c r="L2941" s="18">
        <v>6258.0</v>
      </c>
      <c r="M2941" s="14">
        <f>STDEV(L2937:L2941)</f>
        <v>44700.7695</v>
      </c>
      <c r="N2941" s="15" t="b">
        <f t="shared" si="1"/>
        <v>0</v>
      </c>
    </row>
    <row r="2942" hidden="1">
      <c r="A2942" s="7" t="s">
        <v>597</v>
      </c>
      <c r="B2942" s="7" t="s">
        <v>519</v>
      </c>
      <c r="C2942" s="7">
        <v>0.25</v>
      </c>
      <c r="D2942" s="7">
        <v>0.5</v>
      </c>
      <c r="E2942" s="7">
        <v>9.0</v>
      </c>
      <c r="F2942" s="7">
        <v>96438.4983899593</v>
      </c>
      <c r="G2942" s="7">
        <v>96621.4541549682</v>
      </c>
      <c r="H2942" s="7">
        <v>0.0</v>
      </c>
      <c r="I2942" s="15">
        <v>0.0553064162582778</v>
      </c>
      <c r="J2942" s="15">
        <v>0.0722103716472628</v>
      </c>
      <c r="K2942" s="12">
        <f>AVERAGE(I2942:I2946)</f>
        <v>0.545418198</v>
      </c>
      <c r="L2942" s="18">
        <v>108997.0</v>
      </c>
      <c r="M2942" s="14">
        <f>STDEV(L2942:L2946)</f>
        <v>45614.84292</v>
      </c>
      <c r="N2942" s="15" t="b">
        <f t="shared" si="1"/>
        <v>0</v>
      </c>
    </row>
    <row r="2943" hidden="1">
      <c r="A2943" s="7" t="s">
        <v>597</v>
      </c>
      <c r="B2943" s="7" t="s">
        <v>519</v>
      </c>
      <c r="C2943" s="7">
        <v>0.25</v>
      </c>
      <c r="D2943" s="7">
        <v>0.5</v>
      </c>
      <c r="E2943" s="7">
        <v>9.0</v>
      </c>
      <c r="F2943" s="7">
        <v>96438.4983899593</v>
      </c>
      <c r="G2943" s="7">
        <v>96621.4541549682</v>
      </c>
      <c r="H2943" s="7">
        <v>1.0</v>
      </c>
      <c r="I2943" s="15">
        <v>0.90973680708922</v>
      </c>
      <c r="J2943" s="15">
        <v>0.0435877505413547</v>
      </c>
      <c r="K2943" s="12">
        <f>AVERAGE(I2942:I2946)</f>
        <v>0.545418198</v>
      </c>
      <c r="L2943" s="18">
        <v>2064.0</v>
      </c>
      <c r="M2943" s="14">
        <f>STDEV(L2942:L2946)</f>
        <v>45614.84292</v>
      </c>
      <c r="N2943" s="15" t="b">
        <f t="shared" si="1"/>
        <v>0</v>
      </c>
    </row>
    <row r="2944" hidden="1">
      <c r="A2944" s="7" t="s">
        <v>597</v>
      </c>
      <c r="B2944" s="7" t="s">
        <v>519</v>
      </c>
      <c r="C2944" s="7">
        <v>0.25</v>
      </c>
      <c r="D2944" s="7">
        <v>0.5</v>
      </c>
      <c r="E2944" s="7">
        <v>9.0</v>
      </c>
      <c r="F2944" s="7">
        <v>96438.4983899593</v>
      </c>
      <c r="G2944" s="7">
        <v>96621.4541549682</v>
      </c>
      <c r="H2944" s="7">
        <v>2.0</v>
      </c>
      <c r="I2944" s="15">
        <v>0.809981511027943</v>
      </c>
      <c r="J2944" s="15">
        <v>0.0840815639052776</v>
      </c>
      <c r="K2944" s="12">
        <f>AVERAGE(I2942:I2946)</f>
        <v>0.545418198</v>
      </c>
      <c r="L2944" s="18">
        <v>4119.0</v>
      </c>
      <c r="M2944" s="14">
        <f>STDEV(L2942:L2946)</f>
        <v>45614.84292</v>
      </c>
      <c r="N2944" s="15" t="b">
        <f t="shared" si="1"/>
        <v>0</v>
      </c>
    </row>
    <row r="2945" hidden="1">
      <c r="A2945" s="7" t="s">
        <v>597</v>
      </c>
      <c r="B2945" s="7" t="s">
        <v>519</v>
      </c>
      <c r="C2945" s="7">
        <v>0.25</v>
      </c>
      <c r="D2945" s="7">
        <v>0.5</v>
      </c>
      <c r="E2945" s="7">
        <v>9.0</v>
      </c>
      <c r="F2945" s="7">
        <v>96438.4983899593</v>
      </c>
      <c r="G2945" s="7">
        <v>96621.4541549682</v>
      </c>
      <c r="H2945" s="7">
        <v>3.0</v>
      </c>
      <c r="I2945" s="15">
        <v>0.727572314439487</v>
      </c>
      <c r="J2945" s="15">
        <v>0.189989452928478</v>
      </c>
      <c r="K2945" s="12">
        <f>AVERAGE(I2942:I2946)</f>
        <v>0.545418198</v>
      </c>
      <c r="L2945" s="18">
        <v>19755.0</v>
      </c>
      <c r="M2945" s="14">
        <f>STDEV(L2942:L2946)</f>
        <v>45614.84292</v>
      </c>
      <c r="N2945" s="15" t="b">
        <f t="shared" si="1"/>
        <v>0</v>
      </c>
    </row>
    <row r="2946" hidden="1">
      <c r="A2946" s="7" t="s">
        <v>597</v>
      </c>
      <c r="B2946" s="7" t="s">
        <v>519</v>
      </c>
      <c r="C2946" s="7">
        <v>0.25</v>
      </c>
      <c r="D2946" s="7">
        <v>0.5</v>
      </c>
      <c r="E2946" s="7">
        <v>9.0</v>
      </c>
      <c r="F2946" s="7">
        <v>96438.4983899593</v>
      </c>
      <c r="G2946" s="7">
        <v>96621.4541549682</v>
      </c>
      <c r="H2946" s="7">
        <v>4.0</v>
      </c>
      <c r="I2946" s="15">
        <v>0.224493941231208</v>
      </c>
      <c r="J2946" s="15">
        <v>0.0757247463850375</v>
      </c>
      <c r="K2946" s="12">
        <f>AVERAGE(I2942:I2946)</f>
        <v>0.545418198</v>
      </c>
      <c r="L2946" s="18">
        <v>6741.0</v>
      </c>
      <c r="M2946" s="14">
        <f>STDEV(L2942:L2946)</f>
        <v>45614.84292</v>
      </c>
      <c r="N2946" s="15" t="b">
        <f t="shared" si="1"/>
        <v>0</v>
      </c>
    </row>
    <row r="2947" hidden="1">
      <c r="A2947" s="7" t="s">
        <v>598</v>
      </c>
      <c r="B2947" s="7" t="s">
        <v>519</v>
      </c>
      <c r="C2947" s="7">
        <v>0.25</v>
      </c>
      <c r="D2947" s="7">
        <v>0.5</v>
      </c>
      <c r="E2947" s="7">
        <v>10.0</v>
      </c>
      <c r="F2947" s="7">
        <v>257014.498792409</v>
      </c>
      <c r="G2947" s="7">
        <v>257217.558383226</v>
      </c>
      <c r="H2947" s="7">
        <v>0.0</v>
      </c>
      <c r="I2947" s="15">
        <v>0.0307265167791189</v>
      </c>
      <c r="J2947" s="15">
        <v>0.3276917345907</v>
      </c>
      <c r="K2947" s="12">
        <f>AVERAGE(I2947:I2951)</f>
        <v>0.4622727157</v>
      </c>
      <c r="L2947" s="18">
        <v>57677.0</v>
      </c>
      <c r="M2947" s="14">
        <f>STDEV(L2947:L2951)</f>
        <v>25412.26757</v>
      </c>
      <c r="N2947" s="15" t="b">
        <f t="shared" si="1"/>
        <v>0</v>
      </c>
    </row>
    <row r="2948" hidden="1">
      <c r="A2948" s="7" t="s">
        <v>598</v>
      </c>
      <c r="B2948" s="7" t="s">
        <v>519</v>
      </c>
      <c r="C2948" s="7">
        <v>0.25</v>
      </c>
      <c r="D2948" s="7">
        <v>0.5</v>
      </c>
      <c r="E2948" s="7">
        <v>10.0</v>
      </c>
      <c r="F2948" s="7">
        <v>257014.498792409</v>
      </c>
      <c r="G2948" s="7">
        <v>257217.558383226</v>
      </c>
      <c r="H2948" s="7">
        <v>1.0</v>
      </c>
      <c r="I2948" s="15">
        <v>0.811584817186864</v>
      </c>
      <c r="J2948" s="15">
        <v>0.0763356609813861</v>
      </c>
      <c r="K2948" s="12">
        <f>AVERAGE(I2947:I2951)</f>
        <v>0.4622727157</v>
      </c>
      <c r="L2948" s="18">
        <v>4119.0</v>
      </c>
      <c r="M2948" s="14">
        <f>STDEV(L2947:L2951)</f>
        <v>25412.26757</v>
      </c>
      <c r="N2948" s="15" t="b">
        <f t="shared" si="1"/>
        <v>0</v>
      </c>
    </row>
    <row r="2949" hidden="1">
      <c r="A2949" s="7" t="s">
        <v>598</v>
      </c>
      <c r="B2949" s="7" t="s">
        <v>519</v>
      </c>
      <c r="C2949" s="7">
        <v>0.25</v>
      </c>
      <c r="D2949" s="7">
        <v>0.5</v>
      </c>
      <c r="E2949" s="7">
        <v>10.0</v>
      </c>
      <c r="F2949" s="7">
        <v>257014.498792409</v>
      </c>
      <c r="G2949" s="7">
        <v>257217.558383226</v>
      </c>
      <c r="H2949" s="7">
        <v>2.0</v>
      </c>
      <c r="I2949" s="15">
        <v>0.0486693907281833</v>
      </c>
      <c r="J2949" s="15">
        <v>0.0525159865849827</v>
      </c>
      <c r="K2949" s="12">
        <f>AVERAGE(I2947:I2951)</f>
        <v>0.4622727157</v>
      </c>
      <c r="L2949" s="18">
        <v>52955.0</v>
      </c>
      <c r="M2949" s="14">
        <f>STDEV(L2947:L2951)</f>
        <v>25412.26757</v>
      </c>
      <c r="N2949" s="15" t="b">
        <f t="shared" si="1"/>
        <v>0</v>
      </c>
    </row>
    <row r="2950" hidden="1">
      <c r="A2950" s="7" t="s">
        <v>598</v>
      </c>
      <c r="B2950" s="7" t="s">
        <v>519</v>
      </c>
      <c r="C2950" s="7">
        <v>0.25</v>
      </c>
      <c r="D2950" s="7">
        <v>0.5</v>
      </c>
      <c r="E2950" s="7">
        <v>10.0</v>
      </c>
      <c r="F2950" s="7">
        <v>257014.498792409</v>
      </c>
      <c r="G2950" s="7">
        <v>257217.558383226</v>
      </c>
      <c r="H2950" s="7">
        <v>3.0</v>
      </c>
      <c r="I2950" s="15">
        <v>0.712652066747639</v>
      </c>
      <c r="J2950" s="15">
        <v>0.139692942672554</v>
      </c>
      <c r="K2950" s="12">
        <f>AVERAGE(I2947:I2951)</f>
        <v>0.4622727157</v>
      </c>
      <c r="L2950" s="18">
        <v>6858.0</v>
      </c>
      <c r="M2950" s="14">
        <f>STDEV(L2947:L2951)</f>
        <v>25412.26757</v>
      </c>
      <c r="N2950" s="15" t="b">
        <f t="shared" si="1"/>
        <v>0</v>
      </c>
    </row>
    <row r="2951" hidden="1">
      <c r="A2951" s="7" t="s">
        <v>598</v>
      </c>
      <c r="B2951" s="7" t="s">
        <v>519</v>
      </c>
      <c r="C2951" s="7">
        <v>0.25</v>
      </c>
      <c r="D2951" s="7">
        <v>0.5</v>
      </c>
      <c r="E2951" s="7">
        <v>10.0</v>
      </c>
      <c r="F2951" s="7">
        <v>257014.498792409</v>
      </c>
      <c r="G2951" s="7">
        <v>257217.558383226</v>
      </c>
      <c r="H2951" s="7">
        <v>4.0</v>
      </c>
      <c r="I2951" s="15">
        <v>0.707730787106141</v>
      </c>
      <c r="J2951" s="15">
        <v>0.199123231592321</v>
      </c>
      <c r="K2951" s="12">
        <f>AVERAGE(I2947:I2951)</f>
        <v>0.4622727157</v>
      </c>
      <c r="L2951" s="18">
        <v>20067.0</v>
      </c>
      <c r="M2951" s="14">
        <f>STDEV(L2947:L2951)</f>
        <v>25412.26757</v>
      </c>
      <c r="N2951" s="15" t="b">
        <f t="shared" si="1"/>
        <v>0</v>
      </c>
    </row>
    <row r="2952" hidden="1">
      <c r="A2952" s="7" t="s">
        <v>599</v>
      </c>
      <c r="B2952" s="7" t="s">
        <v>519</v>
      </c>
      <c r="C2952" s="7">
        <v>0.25</v>
      </c>
      <c r="D2952" s="7">
        <v>0.75</v>
      </c>
      <c r="E2952" s="7">
        <v>1.0</v>
      </c>
      <c r="F2952" s="7">
        <v>312039.953591823</v>
      </c>
      <c r="G2952" s="7">
        <v>312206.677920341</v>
      </c>
      <c r="H2952" s="7">
        <v>0.0</v>
      </c>
      <c r="I2952" s="15">
        <v>0.810986968794356</v>
      </c>
      <c r="J2952" s="15">
        <v>0.0746155727418218</v>
      </c>
      <c r="K2952" s="12">
        <f>AVERAGE(I2952:I2956)</f>
        <v>0.4540120494</v>
      </c>
      <c r="L2952" s="18">
        <v>18346.0</v>
      </c>
      <c r="M2952" s="14">
        <f>STDEV(L2952:L2956)</f>
        <v>30186.70573</v>
      </c>
      <c r="N2952" s="15" t="b">
        <f t="shared" si="1"/>
        <v>0</v>
      </c>
    </row>
    <row r="2953" hidden="1">
      <c r="A2953" s="7" t="s">
        <v>599</v>
      </c>
      <c r="B2953" s="7" t="s">
        <v>519</v>
      </c>
      <c r="C2953" s="7">
        <v>0.25</v>
      </c>
      <c r="D2953" s="7">
        <v>0.75</v>
      </c>
      <c r="E2953" s="7">
        <v>1.0</v>
      </c>
      <c r="F2953" s="7">
        <v>312039.953591823</v>
      </c>
      <c r="G2953" s="7">
        <v>312206.677920341</v>
      </c>
      <c r="H2953" s="7">
        <v>1.0</v>
      </c>
      <c r="I2953" s="15">
        <v>0.335185076052844</v>
      </c>
      <c r="J2953" s="15">
        <v>0.0766990508457439</v>
      </c>
      <c r="K2953" s="12">
        <f>AVERAGE(I2952:I2956)</f>
        <v>0.4540120494</v>
      </c>
      <c r="L2953" s="18">
        <v>4047.0</v>
      </c>
      <c r="M2953" s="14">
        <f>STDEV(L2952:L2956)</f>
        <v>30186.70573</v>
      </c>
      <c r="N2953" s="15" t="b">
        <f t="shared" si="1"/>
        <v>0</v>
      </c>
    </row>
    <row r="2954" hidden="1">
      <c r="A2954" s="7" t="s">
        <v>599</v>
      </c>
      <c r="B2954" s="7" t="s">
        <v>519</v>
      </c>
      <c r="C2954" s="7">
        <v>0.25</v>
      </c>
      <c r="D2954" s="7">
        <v>0.75</v>
      </c>
      <c r="E2954" s="7">
        <v>1.0</v>
      </c>
      <c r="F2954" s="7">
        <v>312039.953591823</v>
      </c>
      <c r="G2954" s="7">
        <v>312206.677920341</v>
      </c>
      <c r="H2954" s="7">
        <v>2.0</v>
      </c>
      <c r="I2954" s="15">
        <v>0.911718322322447</v>
      </c>
      <c r="J2954" s="15">
        <v>0.0355970814203293</v>
      </c>
      <c r="K2954" s="12">
        <f>AVERAGE(I2952:I2956)</f>
        <v>0.4540120494</v>
      </c>
      <c r="L2954" s="18">
        <v>2051.0</v>
      </c>
      <c r="M2954" s="14">
        <f>STDEV(L2952:L2956)</f>
        <v>30186.70573</v>
      </c>
      <c r="N2954" s="15" t="b">
        <f t="shared" si="1"/>
        <v>0</v>
      </c>
    </row>
    <row r="2955" hidden="1">
      <c r="A2955" s="7" t="s">
        <v>599</v>
      </c>
      <c r="B2955" s="7" t="s">
        <v>519</v>
      </c>
      <c r="C2955" s="7">
        <v>0.25</v>
      </c>
      <c r="D2955" s="7">
        <v>0.75</v>
      </c>
      <c r="E2955" s="7">
        <v>1.0</v>
      </c>
      <c r="F2955" s="7">
        <v>312039.953591823</v>
      </c>
      <c r="G2955" s="7">
        <v>312206.677920341</v>
      </c>
      <c r="H2955" s="7">
        <v>3.0</v>
      </c>
      <c r="I2955" s="15">
        <v>0.120150934355054</v>
      </c>
      <c r="J2955" s="15">
        <v>0.0669398763517439</v>
      </c>
      <c r="K2955" s="12">
        <f>AVERAGE(I2952:I2956)</f>
        <v>0.4540120494</v>
      </c>
      <c r="L2955" s="18">
        <v>73288.0</v>
      </c>
      <c r="M2955" s="14">
        <f>STDEV(L2952:L2956)</f>
        <v>30186.70573</v>
      </c>
      <c r="N2955" s="15" t="b">
        <f t="shared" si="1"/>
        <v>0</v>
      </c>
    </row>
    <row r="2956" hidden="1">
      <c r="A2956" s="7" t="s">
        <v>599</v>
      </c>
      <c r="B2956" s="7" t="s">
        <v>519</v>
      </c>
      <c r="C2956" s="7">
        <v>0.25</v>
      </c>
      <c r="D2956" s="7">
        <v>0.75</v>
      </c>
      <c r="E2956" s="7">
        <v>1.0</v>
      </c>
      <c r="F2956" s="7">
        <v>312039.953591823</v>
      </c>
      <c r="G2956" s="7">
        <v>312206.677920341</v>
      </c>
      <c r="H2956" s="7">
        <v>4.0</v>
      </c>
      <c r="I2956" s="15">
        <v>0.0920189456174533</v>
      </c>
      <c r="J2956" s="15">
        <v>0.0560805788229592</v>
      </c>
      <c r="K2956" s="12">
        <f>AVERAGE(I2952:I2956)</f>
        <v>0.4540120494</v>
      </c>
      <c r="L2956" s="18">
        <v>43944.0</v>
      </c>
      <c r="M2956" s="14">
        <f>STDEV(L2952:L2956)</f>
        <v>30186.70573</v>
      </c>
      <c r="N2956" s="15" t="b">
        <f t="shared" si="1"/>
        <v>0</v>
      </c>
    </row>
    <row r="2957" hidden="1">
      <c r="A2957" s="7" t="s">
        <v>600</v>
      </c>
      <c r="B2957" s="7" t="s">
        <v>519</v>
      </c>
      <c r="C2957" s="7">
        <v>0.25</v>
      </c>
      <c r="D2957" s="7">
        <v>0.75</v>
      </c>
      <c r="E2957" s="7">
        <v>2.0</v>
      </c>
      <c r="F2957" s="7">
        <v>199825.002322673</v>
      </c>
      <c r="G2957" s="7">
        <v>199999.729844808</v>
      </c>
      <c r="H2957" s="7">
        <v>0.0</v>
      </c>
      <c r="I2957" s="15">
        <v>0.646317213859078</v>
      </c>
      <c r="J2957" s="15">
        <v>0.127262667001956</v>
      </c>
      <c r="K2957" s="12">
        <f>AVERAGE(I2957:I2961)</f>
        <v>0.3987378788</v>
      </c>
      <c r="L2957" s="18">
        <v>2340.0</v>
      </c>
      <c r="M2957" s="14">
        <f>STDEV(L2957:L2961)</f>
        <v>28148.64872</v>
      </c>
      <c r="N2957" s="15" t="b">
        <f t="shared" si="1"/>
        <v>0</v>
      </c>
    </row>
    <row r="2958" hidden="1">
      <c r="A2958" s="7" t="s">
        <v>600</v>
      </c>
      <c r="B2958" s="7" t="s">
        <v>519</v>
      </c>
      <c r="C2958" s="7">
        <v>0.25</v>
      </c>
      <c r="D2958" s="7">
        <v>0.75</v>
      </c>
      <c r="E2958" s="7">
        <v>2.0</v>
      </c>
      <c r="F2958" s="7">
        <v>199825.002322673</v>
      </c>
      <c r="G2958" s="7">
        <v>199999.729844808</v>
      </c>
      <c r="H2958" s="7">
        <v>1.0</v>
      </c>
      <c r="I2958" s="15">
        <v>0.124850760400227</v>
      </c>
      <c r="J2958" s="15">
        <v>0.0726010356944255</v>
      </c>
      <c r="K2958" s="12">
        <f>AVERAGE(I2957:I2961)</f>
        <v>0.3987378788</v>
      </c>
      <c r="L2958" s="18">
        <v>73173.0</v>
      </c>
      <c r="M2958" s="14">
        <f>STDEV(L2957:L2961)</f>
        <v>28148.64872</v>
      </c>
      <c r="N2958" s="15" t="b">
        <f t="shared" si="1"/>
        <v>0</v>
      </c>
    </row>
    <row r="2959" hidden="1">
      <c r="A2959" s="7" t="s">
        <v>600</v>
      </c>
      <c r="B2959" s="7" t="s">
        <v>519</v>
      </c>
      <c r="C2959" s="7">
        <v>0.25</v>
      </c>
      <c r="D2959" s="7">
        <v>0.75</v>
      </c>
      <c r="E2959" s="7">
        <v>2.0</v>
      </c>
      <c r="F2959" s="7">
        <v>199825.002322673</v>
      </c>
      <c r="G2959" s="7">
        <v>199999.729844808</v>
      </c>
      <c r="H2959" s="7">
        <v>2.0</v>
      </c>
      <c r="I2959" s="15">
        <v>0.0887696198984984</v>
      </c>
      <c r="J2959" s="15">
        <v>0.0856593992899784</v>
      </c>
      <c r="K2959" s="12">
        <f>AVERAGE(I2957:I2961)</f>
        <v>0.3987378788</v>
      </c>
      <c r="L2959" s="18">
        <v>24572.0</v>
      </c>
      <c r="M2959" s="14">
        <f>STDEV(L2957:L2961)</f>
        <v>28148.64872</v>
      </c>
      <c r="N2959" s="15" t="b">
        <f t="shared" si="1"/>
        <v>0</v>
      </c>
    </row>
    <row r="2960" hidden="1">
      <c r="A2960" s="7" t="s">
        <v>600</v>
      </c>
      <c r="B2960" s="7" t="s">
        <v>519</v>
      </c>
      <c r="C2960" s="7">
        <v>0.25</v>
      </c>
      <c r="D2960" s="7">
        <v>0.75</v>
      </c>
      <c r="E2960" s="7">
        <v>2.0</v>
      </c>
      <c r="F2960" s="7">
        <v>199825.002322673</v>
      </c>
      <c r="G2960" s="7">
        <v>199999.729844808</v>
      </c>
      <c r="H2960" s="7">
        <v>3.0</v>
      </c>
      <c r="I2960" s="15">
        <v>0.335763380419064</v>
      </c>
      <c r="J2960" s="15">
        <v>0.169497839696831</v>
      </c>
      <c r="K2960" s="12">
        <f>AVERAGE(I2957:I2961)</f>
        <v>0.3987378788</v>
      </c>
      <c r="L2960" s="18">
        <v>34125.0</v>
      </c>
      <c r="M2960" s="14">
        <f>STDEV(L2957:L2961)</f>
        <v>28148.64872</v>
      </c>
      <c r="N2960" s="15" t="b">
        <f t="shared" si="1"/>
        <v>0</v>
      </c>
    </row>
    <row r="2961" hidden="1">
      <c r="A2961" s="7" t="s">
        <v>600</v>
      </c>
      <c r="B2961" s="7" t="s">
        <v>519</v>
      </c>
      <c r="C2961" s="7">
        <v>0.25</v>
      </c>
      <c r="D2961" s="7">
        <v>0.75</v>
      </c>
      <c r="E2961" s="7">
        <v>2.0</v>
      </c>
      <c r="F2961" s="7">
        <v>199825.002322673</v>
      </c>
      <c r="G2961" s="7">
        <v>199999.729844808</v>
      </c>
      <c r="H2961" s="7">
        <v>4.0</v>
      </c>
      <c r="I2961" s="15">
        <v>0.797988419656671</v>
      </c>
      <c r="J2961" s="15">
        <v>0.124045518604768</v>
      </c>
      <c r="K2961" s="12">
        <f>AVERAGE(I2957:I2961)</f>
        <v>0.3987378788</v>
      </c>
      <c r="L2961" s="18">
        <v>7466.0</v>
      </c>
      <c r="M2961" s="14">
        <f>STDEV(L2957:L2961)</f>
        <v>28148.64872</v>
      </c>
      <c r="N2961" s="15" t="b">
        <f t="shared" si="1"/>
        <v>0</v>
      </c>
    </row>
    <row r="2962" hidden="1">
      <c r="A2962" s="7" t="s">
        <v>601</v>
      </c>
      <c r="B2962" s="7" t="s">
        <v>519</v>
      </c>
      <c r="C2962" s="7">
        <v>0.25</v>
      </c>
      <c r="D2962" s="7">
        <v>0.75</v>
      </c>
      <c r="E2962" s="7">
        <v>3.0</v>
      </c>
      <c r="F2962" s="7">
        <v>102434.863970041</v>
      </c>
      <c r="G2962" s="7">
        <v>102612.869300842</v>
      </c>
      <c r="H2962" s="7">
        <v>0.0</v>
      </c>
      <c r="I2962" s="15">
        <v>0.829321428311099</v>
      </c>
      <c r="J2962" s="15">
        <v>0.0985935597790927</v>
      </c>
      <c r="K2962" s="12">
        <f>AVERAGE(I2962:I2966)</f>
        <v>0.4741337517</v>
      </c>
      <c r="L2962" s="18">
        <v>7454.0</v>
      </c>
      <c r="M2962" s="14">
        <f>STDEV(L2962:L2966)</f>
        <v>34759.68068</v>
      </c>
      <c r="N2962" s="15" t="b">
        <f t="shared" si="1"/>
        <v>0</v>
      </c>
    </row>
    <row r="2963" hidden="1">
      <c r="A2963" s="7" t="s">
        <v>601</v>
      </c>
      <c r="B2963" s="7" t="s">
        <v>519</v>
      </c>
      <c r="C2963" s="7">
        <v>0.25</v>
      </c>
      <c r="D2963" s="7">
        <v>0.75</v>
      </c>
      <c r="E2963" s="7">
        <v>3.0</v>
      </c>
      <c r="F2963" s="7">
        <v>102434.863970041</v>
      </c>
      <c r="G2963" s="7">
        <v>102612.869300842</v>
      </c>
      <c r="H2963" s="7">
        <v>1.0</v>
      </c>
      <c r="I2963" s="15">
        <v>0.816285763395577</v>
      </c>
      <c r="J2963" s="15">
        <v>0.106792295461504</v>
      </c>
      <c r="K2963" s="12">
        <f>AVERAGE(I2962:I2966)</f>
        <v>0.4741337517</v>
      </c>
      <c r="L2963" s="18">
        <v>6648.0</v>
      </c>
      <c r="M2963" s="14">
        <f>STDEV(L2962:L2966)</f>
        <v>34759.68068</v>
      </c>
      <c r="N2963" s="15" t="b">
        <f t="shared" si="1"/>
        <v>0</v>
      </c>
    </row>
    <row r="2964" hidden="1">
      <c r="A2964" s="7" t="s">
        <v>601</v>
      </c>
      <c r="B2964" s="7" t="s">
        <v>519</v>
      </c>
      <c r="C2964" s="7">
        <v>0.25</v>
      </c>
      <c r="D2964" s="7">
        <v>0.75</v>
      </c>
      <c r="E2964" s="7">
        <v>3.0</v>
      </c>
      <c r="F2964" s="7">
        <v>102434.863970041</v>
      </c>
      <c r="G2964" s="7">
        <v>102612.869300842</v>
      </c>
      <c r="H2964" s="7">
        <v>2.0</v>
      </c>
      <c r="I2964" s="15">
        <v>0.492512659011522</v>
      </c>
      <c r="J2964" s="15">
        <v>0.260901969534804</v>
      </c>
      <c r="K2964" s="12">
        <f>AVERAGE(I2962:I2966)</f>
        <v>0.4741337517</v>
      </c>
      <c r="L2964" s="18">
        <v>6107.0</v>
      </c>
      <c r="M2964" s="14">
        <f>STDEV(L2962:L2966)</f>
        <v>34759.68068</v>
      </c>
      <c r="N2964" s="15" t="b">
        <f t="shared" si="1"/>
        <v>0</v>
      </c>
    </row>
    <row r="2965" hidden="1">
      <c r="A2965" s="7" t="s">
        <v>601</v>
      </c>
      <c r="B2965" s="7" t="s">
        <v>519</v>
      </c>
      <c r="C2965" s="7">
        <v>0.25</v>
      </c>
      <c r="D2965" s="7">
        <v>0.75</v>
      </c>
      <c r="E2965" s="7">
        <v>3.0</v>
      </c>
      <c r="F2965" s="7">
        <v>102434.863970041</v>
      </c>
      <c r="G2965" s="7">
        <v>102612.869300842</v>
      </c>
      <c r="H2965" s="7">
        <v>3.0</v>
      </c>
      <c r="I2965" s="15">
        <v>0.12835676956836</v>
      </c>
      <c r="J2965" s="15">
        <v>0.0618749047114166</v>
      </c>
      <c r="K2965" s="12">
        <f>AVERAGE(I2962:I2966)</f>
        <v>0.4741337517</v>
      </c>
      <c r="L2965" s="18">
        <v>86552.0</v>
      </c>
      <c r="M2965" s="14">
        <f>STDEV(L2962:L2966)</f>
        <v>34759.68068</v>
      </c>
      <c r="N2965" s="15" t="b">
        <f t="shared" si="1"/>
        <v>0</v>
      </c>
    </row>
    <row r="2966" hidden="1">
      <c r="A2966" s="7" t="s">
        <v>601</v>
      </c>
      <c r="B2966" s="7" t="s">
        <v>519</v>
      </c>
      <c r="C2966" s="7">
        <v>0.25</v>
      </c>
      <c r="D2966" s="7">
        <v>0.75</v>
      </c>
      <c r="E2966" s="7">
        <v>3.0</v>
      </c>
      <c r="F2966" s="7">
        <v>102434.863970041</v>
      </c>
      <c r="G2966" s="7">
        <v>102612.869300842</v>
      </c>
      <c r="H2966" s="7">
        <v>4.0</v>
      </c>
      <c r="I2966" s="15">
        <v>0.104192138422261</v>
      </c>
      <c r="J2966" s="15">
        <v>0.0699704238161375</v>
      </c>
      <c r="K2966" s="12">
        <f>AVERAGE(I2962:I2966)</f>
        <v>0.4741337517</v>
      </c>
      <c r="L2966" s="18">
        <v>34915.0</v>
      </c>
      <c r="M2966" s="14">
        <f>STDEV(L2962:L2966)</f>
        <v>34759.68068</v>
      </c>
      <c r="N2966" s="15" t="b">
        <f t="shared" si="1"/>
        <v>0</v>
      </c>
    </row>
    <row r="2967" hidden="1">
      <c r="A2967" s="7" t="s">
        <v>602</v>
      </c>
      <c r="B2967" s="7" t="s">
        <v>519</v>
      </c>
      <c r="C2967" s="7">
        <v>0.25</v>
      </c>
      <c r="D2967" s="7">
        <v>0.75</v>
      </c>
      <c r="E2967" s="7">
        <v>4.0</v>
      </c>
      <c r="F2967" s="7">
        <v>258529.152787208</v>
      </c>
      <c r="G2967" s="7">
        <v>258709.566582679</v>
      </c>
      <c r="H2967" s="7">
        <v>0.0</v>
      </c>
      <c r="I2967" s="15">
        <v>0.794876196581564</v>
      </c>
      <c r="J2967" s="15">
        <v>0.0967446287232594</v>
      </c>
      <c r="K2967" s="12">
        <f>AVERAGE(I2967:I2971)</f>
        <v>0.2648457322</v>
      </c>
      <c r="L2967" s="18">
        <v>18552.0</v>
      </c>
      <c r="M2967" s="14">
        <f>STDEV(L2967:L2971)</f>
        <v>27257.75825</v>
      </c>
      <c r="N2967" s="15" t="b">
        <f t="shared" si="1"/>
        <v>0</v>
      </c>
    </row>
    <row r="2968" hidden="1">
      <c r="A2968" s="7" t="s">
        <v>602</v>
      </c>
      <c r="B2968" s="7" t="s">
        <v>519</v>
      </c>
      <c r="C2968" s="7">
        <v>0.25</v>
      </c>
      <c r="D2968" s="7">
        <v>0.75</v>
      </c>
      <c r="E2968" s="7">
        <v>4.0</v>
      </c>
      <c r="F2968" s="7">
        <v>258529.152787208</v>
      </c>
      <c r="G2968" s="7">
        <v>258709.566582679</v>
      </c>
      <c r="H2968" s="7">
        <v>1.0</v>
      </c>
      <c r="I2968" s="15">
        <v>0.111130941380653</v>
      </c>
      <c r="J2968" s="15">
        <v>0.059783699367401</v>
      </c>
      <c r="K2968" s="12">
        <f>AVERAGE(I2967:I2971)</f>
        <v>0.2648457322</v>
      </c>
      <c r="L2968" s="18">
        <v>6593.0</v>
      </c>
      <c r="M2968" s="14">
        <f>STDEV(L2967:L2971)</f>
        <v>27257.75825</v>
      </c>
      <c r="N2968" s="15" t="b">
        <f t="shared" si="1"/>
        <v>0</v>
      </c>
    </row>
    <row r="2969" hidden="1">
      <c r="A2969" s="7" t="s">
        <v>602</v>
      </c>
      <c r="B2969" s="7" t="s">
        <v>519</v>
      </c>
      <c r="C2969" s="7">
        <v>0.25</v>
      </c>
      <c r="D2969" s="7">
        <v>0.75</v>
      </c>
      <c r="E2969" s="7">
        <v>4.0</v>
      </c>
      <c r="F2969" s="7">
        <v>258529.152787208</v>
      </c>
      <c r="G2969" s="7">
        <v>258709.566582679</v>
      </c>
      <c r="H2969" s="7">
        <v>2.0</v>
      </c>
      <c r="I2969" s="15">
        <v>0.34662938634494</v>
      </c>
      <c r="J2969" s="15">
        <v>0.079285694013571</v>
      </c>
      <c r="K2969" s="12">
        <f>AVERAGE(I2967:I2971)</f>
        <v>0.2648457322</v>
      </c>
      <c r="L2969" s="18">
        <v>4713.0</v>
      </c>
      <c r="M2969" s="14">
        <f>STDEV(L2967:L2971)</f>
        <v>27257.75825</v>
      </c>
      <c r="N2969" s="15" t="b">
        <f t="shared" si="1"/>
        <v>0</v>
      </c>
    </row>
    <row r="2970" hidden="1">
      <c r="A2970" s="7" t="s">
        <v>602</v>
      </c>
      <c r="B2970" s="7" t="s">
        <v>519</v>
      </c>
      <c r="C2970" s="7">
        <v>0.25</v>
      </c>
      <c r="D2970" s="7">
        <v>0.75</v>
      </c>
      <c r="E2970" s="7">
        <v>4.0</v>
      </c>
      <c r="F2970" s="7">
        <v>258529.152787208</v>
      </c>
      <c r="G2970" s="7">
        <v>258709.566582679</v>
      </c>
      <c r="H2970" s="7">
        <v>3.0</v>
      </c>
      <c r="I2970" s="15">
        <v>0.0937923740092253</v>
      </c>
      <c r="J2970" s="15">
        <v>0.0531753299125896</v>
      </c>
      <c r="K2970" s="12">
        <f>AVERAGE(I2967:I2971)</f>
        <v>0.2648457322</v>
      </c>
      <c r="L2970" s="18">
        <v>43164.0</v>
      </c>
      <c r="M2970" s="14">
        <f>STDEV(L2967:L2971)</f>
        <v>27257.75825</v>
      </c>
      <c r="N2970" s="15" t="b">
        <f t="shared" si="1"/>
        <v>0</v>
      </c>
    </row>
    <row r="2971" hidden="1">
      <c r="A2971" s="7" t="s">
        <v>602</v>
      </c>
      <c r="B2971" s="7" t="s">
        <v>519</v>
      </c>
      <c r="C2971" s="7">
        <v>0.25</v>
      </c>
      <c r="D2971" s="7">
        <v>0.75</v>
      </c>
      <c r="E2971" s="7">
        <v>4.0</v>
      </c>
      <c r="F2971" s="7">
        <v>258529.152787208</v>
      </c>
      <c r="G2971" s="7">
        <v>258709.566582679</v>
      </c>
      <c r="H2971" s="7">
        <v>4.0</v>
      </c>
      <c r="I2971" s="15">
        <v>-0.0222002375291818</v>
      </c>
      <c r="J2971" s="15">
        <v>0.210181243895316</v>
      </c>
      <c r="K2971" s="12">
        <f>AVERAGE(I2967:I2971)</f>
        <v>0.2648457322</v>
      </c>
      <c r="L2971" s="18">
        <v>68654.0</v>
      </c>
      <c r="M2971" s="14">
        <f>STDEV(L2967:L2971)</f>
        <v>27257.75825</v>
      </c>
      <c r="N2971" s="15" t="b">
        <f t="shared" si="1"/>
        <v>0</v>
      </c>
    </row>
    <row r="2972" hidden="1">
      <c r="A2972" s="7" t="s">
        <v>603</v>
      </c>
      <c r="B2972" s="7" t="s">
        <v>519</v>
      </c>
      <c r="C2972" s="7">
        <v>0.25</v>
      </c>
      <c r="D2972" s="7">
        <v>0.75</v>
      </c>
      <c r="E2972" s="7">
        <v>5.0</v>
      </c>
      <c r="F2972" s="7">
        <v>122941.407927513</v>
      </c>
      <c r="G2972" s="7">
        <v>123126.23060131</v>
      </c>
      <c r="H2972" s="7">
        <v>0.0</v>
      </c>
      <c r="I2972" s="15">
        <v>0.762856793082263</v>
      </c>
      <c r="J2972" s="15">
        <v>0.141482181156202</v>
      </c>
      <c r="K2972" s="12">
        <f>AVERAGE(I2972:I2976)</f>
        <v>0.4559261623</v>
      </c>
      <c r="L2972" s="18">
        <v>7841.0</v>
      </c>
      <c r="M2972" s="14">
        <f>STDEV(L2972:L2976)</f>
        <v>37349.17171</v>
      </c>
      <c r="N2972" s="15" t="b">
        <f t="shared" si="1"/>
        <v>0</v>
      </c>
    </row>
    <row r="2973" hidden="1">
      <c r="A2973" s="7" t="s">
        <v>603</v>
      </c>
      <c r="B2973" s="7" t="s">
        <v>519</v>
      </c>
      <c r="C2973" s="7">
        <v>0.25</v>
      </c>
      <c r="D2973" s="7">
        <v>0.75</v>
      </c>
      <c r="E2973" s="7">
        <v>5.0</v>
      </c>
      <c r="F2973" s="7">
        <v>122941.407927513</v>
      </c>
      <c r="G2973" s="7">
        <v>123126.23060131</v>
      </c>
      <c r="H2973" s="7">
        <v>1.0</v>
      </c>
      <c r="I2973" s="15">
        <v>0.11180069804726</v>
      </c>
      <c r="J2973" s="15">
        <v>0.0770130509371236</v>
      </c>
      <c r="K2973" s="12">
        <f>AVERAGE(I2972:I2976)</f>
        <v>0.4559261623</v>
      </c>
      <c r="L2973" s="18">
        <v>26918.0</v>
      </c>
      <c r="M2973" s="14">
        <f>STDEV(L2972:L2976)</f>
        <v>37349.17171</v>
      </c>
      <c r="N2973" s="15" t="b">
        <f t="shared" si="1"/>
        <v>0</v>
      </c>
    </row>
    <row r="2974" hidden="1">
      <c r="A2974" s="7" t="s">
        <v>603</v>
      </c>
      <c r="B2974" s="7" t="s">
        <v>519</v>
      </c>
      <c r="C2974" s="7">
        <v>0.25</v>
      </c>
      <c r="D2974" s="7">
        <v>0.75</v>
      </c>
      <c r="E2974" s="7">
        <v>5.0</v>
      </c>
      <c r="F2974" s="7">
        <v>122941.407927513</v>
      </c>
      <c r="G2974" s="7">
        <v>123126.23060131</v>
      </c>
      <c r="H2974" s="7">
        <v>2.0</v>
      </c>
      <c r="I2974" s="15">
        <v>0.79891166751263</v>
      </c>
      <c r="J2974" s="15">
        <v>0.12169472798458</v>
      </c>
      <c r="K2974" s="12">
        <f>AVERAGE(I2972:I2976)</f>
        <v>0.4559261623</v>
      </c>
      <c r="L2974" s="18">
        <v>7454.0</v>
      </c>
      <c r="M2974" s="14">
        <f>STDEV(L2972:L2976)</f>
        <v>37349.17171</v>
      </c>
      <c r="N2974" s="15" t="b">
        <f t="shared" si="1"/>
        <v>0</v>
      </c>
    </row>
    <row r="2975" hidden="1">
      <c r="A2975" s="7" t="s">
        <v>603</v>
      </c>
      <c r="B2975" s="7" t="s">
        <v>519</v>
      </c>
      <c r="C2975" s="7">
        <v>0.25</v>
      </c>
      <c r="D2975" s="7">
        <v>0.75</v>
      </c>
      <c r="E2975" s="7">
        <v>5.0</v>
      </c>
      <c r="F2975" s="7">
        <v>122941.407927513</v>
      </c>
      <c r="G2975" s="7">
        <v>123126.23060131</v>
      </c>
      <c r="H2975" s="7">
        <v>3.0</v>
      </c>
      <c r="I2975" s="15">
        <v>0.112769326961703</v>
      </c>
      <c r="J2975" s="15">
        <v>0.0581184544757271</v>
      </c>
      <c r="K2975" s="12">
        <f>AVERAGE(I2972:I2976)</f>
        <v>0.4559261623</v>
      </c>
      <c r="L2975" s="18">
        <v>93356.0</v>
      </c>
      <c r="M2975" s="14">
        <f>STDEV(L2972:L2976)</f>
        <v>37349.17171</v>
      </c>
      <c r="N2975" s="15" t="b">
        <f t="shared" si="1"/>
        <v>0</v>
      </c>
    </row>
    <row r="2976" hidden="1">
      <c r="A2976" s="7" t="s">
        <v>603</v>
      </c>
      <c r="B2976" s="7" t="s">
        <v>519</v>
      </c>
      <c r="C2976" s="7">
        <v>0.25</v>
      </c>
      <c r="D2976" s="7">
        <v>0.75</v>
      </c>
      <c r="E2976" s="7">
        <v>5.0</v>
      </c>
      <c r="F2976" s="7">
        <v>122941.407927513</v>
      </c>
      <c r="G2976" s="7">
        <v>123126.23060131</v>
      </c>
      <c r="H2976" s="7">
        <v>4.0</v>
      </c>
      <c r="I2976" s="15">
        <v>0.493292325976963</v>
      </c>
      <c r="J2976" s="15">
        <v>0.260073644592721</v>
      </c>
      <c r="K2976" s="12">
        <f>AVERAGE(I2972:I2976)</f>
        <v>0.4559261623</v>
      </c>
      <c r="L2976" s="18">
        <v>6107.0</v>
      </c>
      <c r="M2976" s="14">
        <f>STDEV(L2972:L2976)</f>
        <v>37349.17171</v>
      </c>
      <c r="N2976" s="15" t="b">
        <f t="shared" si="1"/>
        <v>0</v>
      </c>
    </row>
    <row r="2977" hidden="1">
      <c r="A2977" s="7" t="s">
        <v>604</v>
      </c>
      <c r="B2977" s="7" t="s">
        <v>519</v>
      </c>
      <c r="C2977" s="7">
        <v>0.25</v>
      </c>
      <c r="D2977" s="7">
        <v>0.75</v>
      </c>
      <c r="E2977" s="7">
        <v>6.0</v>
      </c>
      <c r="F2977" s="7">
        <v>103617.33992362</v>
      </c>
      <c r="G2977" s="7">
        <v>103796.161097526</v>
      </c>
      <c r="H2977" s="7">
        <v>0.0</v>
      </c>
      <c r="I2977" s="15">
        <v>0.161068894184502</v>
      </c>
      <c r="J2977" s="15">
        <v>0.102614980768594</v>
      </c>
      <c r="K2977" s="12">
        <f>AVERAGE(I2977:I2981)</f>
        <v>0.4382708736</v>
      </c>
      <c r="L2977" s="18">
        <v>53076.0</v>
      </c>
      <c r="M2977" s="14">
        <f>STDEV(L2977:L2981)</f>
        <v>35626.44792</v>
      </c>
      <c r="N2977" s="15" t="b">
        <f t="shared" si="1"/>
        <v>0</v>
      </c>
    </row>
    <row r="2978" hidden="1">
      <c r="A2978" s="7" t="s">
        <v>604</v>
      </c>
      <c r="B2978" s="7" t="s">
        <v>519</v>
      </c>
      <c r="C2978" s="7">
        <v>0.25</v>
      </c>
      <c r="D2978" s="7">
        <v>0.75</v>
      </c>
      <c r="E2978" s="7">
        <v>6.0</v>
      </c>
      <c r="F2978" s="7">
        <v>103617.33992362</v>
      </c>
      <c r="G2978" s="7">
        <v>103796.161097526</v>
      </c>
      <c r="H2978" s="7">
        <v>1.0</v>
      </c>
      <c r="I2978" s="15">
        <v>0.773090619603499</v>
      </c>
      <c r="J2978" s="15">
        <v>0.156088029262591</v>
      </c>
      <c r="K2978" s="12">
        <f>AVERAGE(I2977:I2981)</f>
        <v>0.4382708736</v>
      </c>
      <c r="L2978" s="18">
        <v>1042.0</v>
      </c>
      <c r="M2978" s="14">
        <f>STDEV(L2977:L2981)</f>
        <v>35626.44792</v>
      </c>
      <c r="N2978" s="15" t="b">
        <f t="shared" si="1"/>
        <v>0</v>
      </c>
    </row>
    <row r="2979" hidden="1">
      <c r="A2979" s="7" t="s">
        <v>604</v>
      </c>
      <c r="B2979" s="7" t="s">
        <v>519</v>
      </c>
      <c r="C2979" s="7">
        <v>0.25</v>
      </c>
      <c r="D2979" s="7">
        <v>0.75</v>
      </c>
      <c r="E2979" s="7">
        <v>6.0</v>
      </c>
      <c r="F2979" s="7">
        <v>103617.33992362</v>
      </c>
      <c r="G2979" s="7">
        <v>103796.161097526</v>
      </c>
      <c r="H2979" s="7">
        <v>2.0</v>
      </c>
      <c r="I2979" s="15">
        <v>0.0719426417940246</v>
      </c>
      <c r="J2979" s="15">
        <v>0.204886318676107</v>
      </c>
      <c r="K2979" s="12">
        <f>AVERAGE(I2977:I2981)</f>
        <v>0.4382708736</v>
      </c>
      <c r="L2979" s="18">
        <v>78970.0</v>
      </c>
      <c r="M2979" s="14">
        <f>STDEV(L2977:L2981)</f>
        <v>35626.44792</v>
      </c>
      <c r="N2979" s="15" t="b">
        <f t="shared" si="1"/>
        <v>0</v>
      </c>
    </row>
    <row r="2980" hidden="1">
      <c r="A2980" s="7" t="s">
        <v>604</v>
      </c>
      <c r="B2980" s="7" t="s">
        <v>519</v>
      </c>
      <c r="C2980" s="7">
        <v>0.25</v>
      </c>
      <c r="D2980" s="7">
        <v>0.75</v>
      </c>
      <c r="E2980" s="7">
        <v>6.0</v>
      </c>
      <c r="F2980" s="7">
        <v>103617.33992362</v>
      </c>
      <c r="G2980" s="7">
        <v>103796.161097526</v>
      </c>
      <c r="H2980" s="7">
        <v>3.0</v>
      </c>
      <c r="I2980" s="15">
        <v>0.841381198301537</v>
      </c>
      <c r="J2980" s="15">
        <v>0.0792978208350282</v>
      </c>
      <c r="K2980" s="12">
        <f>AVERAGE(I2977:I2981)</f>
        <v>0.4382708736</v>
      </c>
      <c r="L2980" s="18">
        <v>4526.0</v>
      </c>
      <c r="M2980" s="14">
        <f>STDEV(L2977:L2981)</f>
        <v>35626.44792</v>
      </c>
      <c r="N2980" s="15" t="b">
        <f t="shared" si="1"/>
        <v>0</v>
      </c>
    </row>
    <row r="2981" hidden="1">
      <c r="A2981" s="7" t="s">
        <v>604</v>
      </c>
      <c r="B2981" s="7" t="s">
        <v>519</v>
      </c>
      <c r="C2981" s="7">
        <v>0.25</v>
      </c>
      <c r="D2981" s="7">
        <v>0.75</v>
      </c>
      <c r="E2981" s="7">
        <v>6.0</v>
      </c>
      <c r="F2981" s="7">
        <v>103617.33992362</v>
      </c>
      <c r="G2981" s="7">
        <v>103796.161097526</v>
      </c>
      <c r="H2981" s="7">
        <v>4.0</v>
      </c>
      <c r="I2981" s="15">
        <v>0.343871014275077</v>
      </c>
      <c r="J2981" s="15">
        <v>0.0977165562034025</v>
      </c>
      <c r="K2981" s="12">
        <f>AVERAGE(I2977:I2981)</f>
        <v>0.4382708736</v>
      </c>
      <c r="L2981" s="18">
        <v>4062.0</v>
      </c>
      <c r="M2981" s="14">
        <f>STDEV(L2977:L2981)</f>
        <v>35626.44792</v>
      </c>
      <c r="N2981" s="15" t="b">
        <f t="shared" si="1"/>
        <v>0</v>
      </c>
    </row>
    <row r="2982" hidden="1">
      <c r="A2982" s="7" t="s">
        <v>605</v>
      </c>
      <c r="B2982" s="7" t="s">
        <v>519</v>
      </c>
      <c r="C2982" s="7">
        <v>0.25</v>
      </c>
      <c r="D2982" s="7">
        <v>0.75</v>
      </c>
      <c r="E2982" s="7">
        <v>7.0</v>
      </c>
      <c r="F2982" s="7">
        <v>298421.087965488</v>
      </c>
      <c r="G2982" s="7">
        <v>298597.907844543</v>
      </c>
      <c r="H2982" s="7">
        <v>0.0</v>
      </c>
      <c r="I2982" s="15">
        <v>0.0878553655502096</v>
      </c>
      <c r="J2982" s="15">
        <v>0.177566352820486</v>
      </c>
      <c r="K2982" s="12">
        <f>AVERAGE(I2982:I2986)</f>
        <v>0.4943565946</v>
      </c>
      <c r="L2982" s="18">
        <v>78611.0</v>
      </c>
      <c r="M2982" s="14">
        <f>STDEV(L2982:L2986)</f>
        <v>33791.71436</v>
      </c>
      <c r="N2982" s="15" t="b">
        <f t="shared" si="1"/>
        <v>0</v>
      </c>
    </row>
    <row r="2983" hidden="1">
      <c r="A2983" s="7" t="s">
        <v>605</v>
      </c>
      <c r="B2983" s="7" t="s">
        <v>519</v>
      </c>
      <c r="C2983" s="7">
        <v>0.25</v>
      </c>
      <c r="D2983" s="7">
        <v>0.75</v>
      </c>
      <c r="E2983" s="7">
        <v>7.0</v>
      </c>
      <c r="F2983" s="7">
        <v>298421.087965488</v>
      </c>
      <c r="G2983" s="7">
        <v>298597.907844543</v>
      </c>
      <c r="H2983" s="7">
        <v>1.0</v>
      </c>
      <c r="I2983" s="15">
        <v>0.615227690021673</v>
      </c>
      <c r="J2983" s="15">
        <v>0.257363714001602</v>
      </c>
      <c r="K2983" s="12">
        <f>AVERAGE(I2982:I2986)</f>
        <v>0.4943565946</v>
      </c>
      <c r="L2983" s="18">
        <v>8899.0</v>
      </c>
      <c r="M2983" s="14">
        <f>STDEV(L2982:L2986)</f>
        <v>33791.71436</v>
      </c>
      <c r="N2983" s="15" t="b">
        <f t="shared" si="1"/>
        <v>0</v>
      </c>
    </row>
    <row r="2984" hidden="1">
      <c r="A2984" s="7" t="s">
        <v>605</v>
      </c>
      <c r="B2984" s="7" t="s">
        <v>519</v>
      </c>
      <c r="C2984" s="7">
        <v>0.25</v>
      </c>
      <c r="D2984" s="7">
        <v>0.75</v>
      </c>
      <c r="E2984" s="7">
        <v>7.0</v>
      </c>
      <c r="F2984" s="7">
        <v>298421.087965488</v>
      </c>
      <c r="G2984" s="7">
        <v>298597.907844543</v>
      </c>
      <c r="H2984" s="7">
        <v>2.0</v>
      </c>
      <c r="I2984" s="15">
        <v>0.806870783652399</v>
      </c>
      <c r="J2984" s="15">
        <v>0.118845014463653</v>
      </c>
      <c r="K2984" s="12">
        <f>AVERAGE(I2982:I2986)</f>
        <v>0.4943565946</v>
      </c>
      <c r="L2984" s="18">
        <v>5709.0</v>
      </c>
      <c r="M2984" s="14">
        <f>STDEV(L2982:L2986)</f>
        <v>33791.71436</v>
      </c>
      <c r="N2984" s="15" t="b">
        <f t="shared" si="1"/>
        <v>0</v>
      </c>
    </row>
    <row r="2985" hidden="1">
      <c r="A2985" s="7" t="s">
        <v>605</v>
      </c>
      <c r="B2985" s="7" t="s">
        <v>519</v>
      </c>
      <c r="C2985" s="7">
        <v>0.25</v>
      </c>
      <c r="D2985" s="7">
        <v>0.75</v>
      </c>
      <c r="E2985" s="7">
        <v>7.0</v>
      </c>
      <c r="F2985" s="7">
        <v>298421.087965488</v>
      </c>
      <c r="G2985" s="7">
        <v>298597.907844543</v>
      </c>
      <c r="H2985" s="7">
        <v>3.0</v>
      </c>
      <c r="I2985" s="15">
        <v>0.789285242764009</v>
      </c>
      <c r="J2985" s="15">
        <v>0.168760713717415</v>
      </c>
      <c r="K2985" s="12">
        <f>AVERAGE(I2982:I2986)</f>
        <v>0.4943565946</v>
      </c>
      <c r="L2985" s="18">
        <v>602.0</v>
      </c>
      <c r="M2985" s="14">
        <f>STDEV(L2982:L2986)</f>
        <v>33791.71436</v>
      </c>
      <c r="N2985" s="15" t="b">
        <f t="shared" si="1"/>
        <v>0</v>
      </c>
    </row>
    <row r="2986" hidden="1">
      <c r="A2986" s="7" t="s">
        <v>605</v>
      </c>
      <c r="B2986" s="7" t="s">
        <v>519</v>
      </c>
      <c r="C2986" s="7">
        <v>0.25</v>
      </c>
      <c r="D2986" s="7">
        <v>0.75</v>
      </c>
      <c r="E2986" s="7">
        <v>7.0</v>
      </c>
      <c r="F2986" s="7">
        <v>298421.087965488</v>
      </c>
      <c r="G2986" s="7">
        <v>298597.907844543</v>
      </c>
      <c r="H2986" s="7">
        <v>4.0</v>
      </c>
      <c r="I2986" s="15">
        <v>0.172543890863307</v>
      </c>
      <c r="J2986" s="15">
        <v>0.121593927475966</v>
      </c>
      <c r="K2986" s="12">
        <f>AVERAGE(I2982:I2986)</f>
        <v>0.4943565946</v>
      </c>
      <c r="L2986" s="18">
        <v>47855.0</v>
      </c>
      <c r="M2986" s="14">
        <f>STDEV(L2982:L2986)</f>
        <v>33791.71436</v>
      </c>
      <c r="N2986" s="15" t="b">
        <f t="shared" si="1"/>
        <v>0</v>
      </c>
    </row>
    <row r="2987" hidden="1">
      <c r="A2987" s="7" t="s">
        <v>606</v>
      </c>
      <c r="B2987" s="7" t="s">
        <v>519</v>
      </c>
      <c r="C2987" s="7">
        <v>0.25</v>
      </c>
      <c r="D2987" s="7">
        <v>0.75</v>
      </c>
      <c r="E2987" s="7">
        <v>8.0</v>
      </c>
      <c r="F2987" s="7">
        <v>102959.924780368</v>
      </c>
      <c r="G2987" s="7">
        <v>103140.819344759</v>
      </c>
      <c r="H2987" s="7">
        <v>0.0</v>
      </c>
      <c r="I2987" s="15">
        <v>0.437860562335166</v>
      </c>
      <c r="J2987" s="15">
        <v>0.26921006654727</v>
      </c>
      <c r="K2987" s="12">
        <f>AVERAGE(I2987:I2991)</f>
        <v>0.4179188198</v>
      </c>
      <c r="L2987" s="18">
        <v>2772.0</v>
      </c>
      <c r="M2987" s="14">
        <f>STDEV(L2987:L2991)</f>
        <v>37330.21254</v>
      </c>
      <c r="N2987" s="15" t="b">
        <f t="shared" si="1"/>
        <v>0</v>
      </c>
    </row>
    <row r="2988" hidden="1">
      <c r="A2988" s="7" t="s">
        <v>606</v>
      </c>
      <c r="B2988" s="7" t="s">
        <v>519</v>
      </c>
      <c r="C2988" s="7">
        <v>0.25</v>
      </c>
      <c r="D2988" s="7">
        <v>0.75</v>
      </c>
      <c r="E2988" s="7">
        <v>8.0</v>
      </c>
      <c r="F2988" s="7">
        <v>102959.924780368</v>
      </c>
      <c r="G2988" s="7">
        <v>103140.819344759</v>
      </c>
      <c r="H2988" s="7">
        <v>1.0</v>
      </c>
      <c r="I2988" s="15">
        <v>0.0847780689064</v>
      </c>
      <c r="J2988" s="15">
        <v>0.0827990609698595</v>
      </c>
      <c r="K2988" s="12">
        <f>AVERAGE(I2987:I2991)</f>
        <v>0.4179188198</v>
      </c>
      <c r="L2988" s="18">
        <v>91509.0</v>
      </c>
      <c r="M2988" s="14">
        <f>STDEV(L2987:L2991)</f>
        <v>37330.21254</v>
      </c>
      <c r="N2988" s="15" t="b">
        <f t="shared" si="1"/>
        <v>0</v>
      </c>
    </row>
    <row r="2989" hidden="1">
      <c r="A2989" s="7" t="s">
        <v>606</v>
      </c>
      <c r="B2989" s="7" t="s">
        <v>519</v>
      </c>
      <c r="C2989" s="7">
        <v>0.25</v>
      </c>
      <c r="D2989" s="7">
        <v>0.75</v>
      </c>
      <c r="E2989" s="7">
        <v>8.0</v>
      </c>
      <c r="F2989" s="7">
        <v>102959.924780368</v>
      </c>
      <c r="G2989" s="7">
        <v>103140.819344759</v>
      </c>
      <c r="H2989" s="7">
        <v>2.0</v>
      </c>
      <c r="I2989" s="15">
        <v>0.825911664421401</v>
      </c>
      <c r="J2989" s="15">
        <v>0.0956468274953488</v>
      </c>
      <c r="K2989" s="12">
        <f>AVERAGE(I2987:I2991)</f>
        <v>0.4179188198</v>
      </c>
      <c r="L2989" s="18">
        <v>4615.0</v>
      </c>
      <c r="M2989" s="14">
        <f>STDEV(L2987:L2991)</f>
        <v>37330.21254</v>
      </c>
      <c r="N2989" s="15" t="b">
        <f t="shared" si="1"/>
        <v>0</v>
      </c>
    </row>
    <row r="2990" hidden="1">
      <c r="A2990" s="7" t="s">
        <v>606</v>
      </c>
      <c r="B2990" s="7" t="s">
        <v>519</v>
      </c>
      <c r="C2990" s="7">
        <v>0.25</v>
      </c>
      <c r="D2990" s="7">
        <v>0.75</v>
      </c>
      <c r="E2990" s="7">
        <v>8.0</v>
      </c>
      <c r="F2990" s="7">
        <v>102959.924780368</v>
      </c>
      <c r="G2990" s="7">
        <v>103140.819344759</v>
      </c>
      <c r="H2990" s="7">
        <v>3.0</v>
      </c>
      <c r="I2990" s="15">
        <v>0.29902160640221</v>
      </c>
      <c r="J2990" s="15">
        <v>0.146116457755068</v>
      </c>
      <c r="K2990" s="12">
        <f>AVERAGE(I2987:I2991)</f>
        <v>0.4179188198</v>
      </c>
      <c r="L2990" s="18">
        <v>33023.0</v>
      </c>
      <c r="M2990" s="14">
        <f>STDEV(L2987:L2991)</f>
        <v>37330.21254</v>
      </c>
      <c r="N2990" s="15" t="b">
        <f t="shared" si="1"/>
        <v>0</v>
      </c>
    </row>
    <row r="2991" hidden="1">
      <c r="A2991" s="7" t="s">
        <v>606</v>
      </c>
      <c r="B2991" s="7" t="s">
        <v>519</v>
      </c>
      <c r="C2991" s="7">
        <v>0.25</v>
      </c>
      <c r="D2991" s="7">
        <v>0.75</v>
      </c>
      <c r="E2991" s="7">
        <v>8.0</v>
      </c>
      <c r="F2991" s="7">
        <v>102959.924780368</v>
      </c>
      <c r="G2991" s="7">
        <v>103140.819344759</v>
      </c>
      <c r="H2991" s="7">
        <v>4.0</v>
      </c>
      <c r="I2991" s="15">
        <v>0.442022196740953</v>
      </c>
      <c r="J2991" s="15">
        <v>0.176754520788991</v>
      </c>
      <c r="K2991" s="12">
        <f>AVERAGE(I2987:I2991)</f>
        <v>0.4179188198</v>
      </c>
      <c r="L2991" s="18">
        <v>9757.0</v>
      </c>
      <c r="M2991" s="14">
        <f>STDEV(L2987:L2991)</f>
        <v>37330.21254</v>
      </c>
      <c r="N2991" s="15" t="b">
        <f t="shared" si="1"/>
        <v>0</v>
      </c>
    </row>
    <row r="2992" hidden="1">
      <c r="A2992" s="7" t="s">
        <v>607</v>
      </c>
      <c r="B2992" s="7" t="s">
        <v>519</v>
      </c>
      <c r="C2992" s="7">
        <v>0.25</v>
      </c>
      <c r="D2992" s="7">
        <v>0.75</v>
      </c>
      <c r="E2992" s="7">
        <v>9.0</v>
      </c>
      <c r="F2992" s="7">
        <v>105286.54927659</v>
      </c>
      <c r="G2992" s="7">
        <v>105480.404407501</v>
      </c>
      <c r="H2992" s="7">
        <v>0.0</v>
      </c>
      <c r="I2992" s="15">
        <v>0.625531916185795</v>
      </c>
      <c r="J2992" s="15">
        <v>0.246459076399874</v>
      </c>
      <c r="K2992" s="12">
        <f>AVERAGE(I2992:I2996)</f>
        <v>0.5072089429</v>
      </c>
      <c r="L2992" s="18">
        <v>8980.0</v>
      </c>
      <c r="M2992" s="14">
        <f>STDEV(L2992:L2996)</f>
        <v>28730.93389</v>
      </c>
      <c r="N2992" s="15" t="b">
        <f t="shared" si="1"/>
        <v>0</v>
      </c>
    </row>
    <row r="2993" hidden="1">
      <c r="A2993" s="7" t="s">
        <v>607</v>
      </c>
      <c r="B2993" s="7" t="s">
        <v>519</v>
      </c>
      <c r="C2993" s="7">
        <v>0.25</v>
      </c>
      <c r="D2993" s="7">
        <v>0.75</v>
      </c>
      <c r="E2993" s="7">
        <v>9.0</v>
      </c>
      <c r="F2993" s="7">
        <v>105286.54927659</v>
      </c>
      <c r="G2993" s="7">
        <v>105480.404407501</v>
      </c>
      <c r="H2993" s="7">
        <v>1.0</v>
      </c>
      <c r="I2993" s="15">
        <v>0.119917325400207</v>
      </c>
      <c r="J2993" s="15">
        <v>0.0676642495953795</v>
      </c>
      <c r="K2993" s="12">
        <f>AVERAGE(I2992:I2996)</f>
        <v>0.5072089429</v>
      </c>
      <c r="L2993" s="18">
        <v>73507.0</v>
      </c>
      <c r="M2993" s="14">
        <f>STDEV(L2992:L2996)</f>
        <v>28730.93389</v>
      </c>
      <c r="N2993" s="15" t="b">
        <f t="shared" si="1"/>
        <v>0</v>
      </c>
    </row>
    <row r="2994" hidden="1">
      <c r="A2994" s="7" t="s">
        <v>607</v>
      </c>
      <c r="B2994" s="7" t="s">
        <v>519</v>
      </c>
      <c r="C2994" s="7">
        <v>0.25</v>
      </c>
      <c r="D2994" s="7">
        <v>0.75</v>
      </c>
      <c r="E2994" s="7">
        <v>9.0</v>
      </c>
      <c r="F2994" s="7">
        <v>105286.54927659</v>
      </c>
      <c r="G2994" s="7">
        <v>105480.404407501</v>
      </c>
      <c r="H2994" s="7">
        <v>2.0</v>
      </c>
      <c r="I2994" s="15">
        <v>0.789504559518869</v>
      </c>
      <c r="J2994" s="15">
        <v>0.102672885921162</v>
      </c>
      <c r="K2994" s="12">
        <f>AVERAGE(I2992:I2996)</f>
        <v>0.5072089429</v>
      </c>
      <c r="L2994" s="18">
        <v>18675.0</v>
      </c>
      <c r="M2994" s="14">
        <f>STDEV(L2992:L2996)</f>
        <v>28730.93389</v>
      </c>
      <c r="N2994" s="15" t="b">
        <f t="shared" si="1"/>
        <v>0</v>
      </c>
    </row>
    <row r="2995" hidden="1">
      <c r="A2995" s="7" t="s">
        <v>607</v>
      </c>
      <c r="B2995" s="7" t="s">
        <v>519</v>
      </c>
      <c r="C2995" s="7">
        <v>0.25</v>
      </c>
      <c r="D2995" s="7">
        <v>0.75</v>
      </c>
      <c r="E2995" s="7">
        <v>9.0</v>
      </c>
      <c r="F2995" s="7">
        <v>105286.54927659</v>
      </c>
      <c r="G2995" s="7">
        <v>105480.404407501</v>
      </c>
      <c r="H2995" s="7">
        <v>3.0</v>
      </c>
      <c r="I2995" s="15">
        <v>0.089304153989254</v>
      </c>
      <c r="J2995" s="15">
        <v>0.0546549859992012</v>
      </c>
      <c r="K2995" s="12">
        <f>AVERAGE(I2992:I2996)</f>
        <v>0.5072089429</v>
      </c>
      <c r="L2995" s="18">
        <v>38463.0</v>
      </c>
      <c r="M2995" s="14">
        <f>STDEV(L2992:L2996)</f>
        <v>28730.93389</v>
      </c>
      <c r="N2995" s="15" t="b">
        <f t="shared" si="1"/>
        <v>0</v>
      </c>
    </row>
    <row r="2996" hidden="1">
      <c r="A2996" s="7" t="s">
        <v>607</v>
      </c>
      <c r="B2996" s="7" t="s">
        <v>519</v>
      </c>
      <c r="C2996" s="7">
        <v>0.25</v>
      </c>
      <c r="D2996" s="7">
        <v>0.75</v>
      </c>
      <c r="E2996" s="7">
        <v>9.0</v>
      </c>
      <c r="F2996" s="7">
        <v>105286.54927659</v>
      </c>
      <c r="G2996" s="7">
        <v>105480.404407501</v>
      </c>
      <c r="H2996" s="7">
        <v>4.0</v>
      </c>
      <c r="I2996" s="15">
        <v>0.911786759373643</v>
      </c>
      <c r="J2996" s="15">
        <v>0.0355898501751864</v>
      </c>
      <c r="K2996" s="12">
        <f>AVERAGE(I2992:I2996)</f>
        <v>0.5072089429</v>
      </c>
      <c r="L2996" s="18">
        <v>2051.0</v>
      </c>
      <c r="M2996" s="14">
        <f>STDEV(L2992:L2996)</f>
        <v>28730.93389</v>
      </c>
      <c r="N2996" s="15" t="b">
        <f t="shared" si="1"/>
        <v>0</v>
      </c>
    </row>
    <row r="2997" hidden="1">
      <c r="A2997" s="7" t="s">
        <v>608</v>
      </c>
      <c r="B2997" s="7" t="s">
        <v>519</v>
      </c>
      <c r="C2997" s="7">
        <v>0.25</v>
      </c>
      <c r="D2997" s="7">
        <v>0.75</v>
      </c>
      <c r="E2997" s="7">
        <v>10.0</v>
      </c>
      <c r="F2997" s="7">
        <v>179592.126233339</v>
      </c>
      <c r="G2997" s="7">
        <v>179775.950005531</v>
      </c>
      <c r="H2997" s="7">
        <v>0.0</v>
      </c>
      <c r="I2997" s="15">
        <v>0.0784693454554984</v>
      </c>
      <c r="J2997" s="15">
        <v>0.0689920044108024</v>
      </c>
      <c r="K2997" s="12">
        <f>AVERAGE(I2997:I3001)</f>
        <v>0.4479100842</v>
      </c>
      <c r="L2997" s="18">
        <v>112398.0</v>
      </c>
      <c r="M2997" s="14">
        <f>STDEV(L2997:L3001)</f>
        <v>47152.7558</v>
      </c>
      <c r="N2997" s="15" t="b">
        <f t="shared" si="1"/>
        <v>0</v>
      </c>
    </row>
    <row r="2998" hidden="1">
      <c r="A2998" s="7" t="s">
        <v>608</v>
      </c>
      <c r="B2998" s="7" t="s">
        <v>519</v>
      </c>
      <c r="C2998" s="7">
        <v>0.25</v>
      </c>
      <c r="D2998" s="7">
        <v>0.75</v>
      </c>
      <c r="E2998" s="7">
        <v>10.0</v>
      </c>
      <c r="F2998" s="7">
        <v>179592.126233339</v>
      </c>
      <c r="G2998" s="7">
        <v>179775.950005531</v>
      </c>
      <c r="H2998" s="7">
        <v>1.0</v>
      </c>
      <c r="I2998" s="15">
        <v>0.83136185130124</v>
      </c>
      <c r="J2998" s="15">
        <v>0.0988101054767839</v>
      </c>
      <c r="K2998" s="12">
        <f>AVERAGE(I2997:I3001)</f>
        <v>0.4479100842</v>
      </c>
      <c r="L2998" s="18">
        <v>5529.0</v>
      </c>
      <c r="M2998" s="14">
        <f>STDEV(L2997:L3001)</f>
        <v>47152.7558</v>
      </c>
      <c r="N2998" s="15" t="b">
        <f t="shared" si="1"/>
        <v>0</v>
      </c>
    </row>
    <row r="2999" hidden="1">
      <c r="A2999" s="7" t="s">
        <v>608</v>
      </c>
      <c r="B2999" s="7" t="s">
        <v>519</v>
      </c>
      <c r="C2999" s="7">
        <v>0.25</v>
      </c>
      <c r="D2999" s="7">
        <v>0.75</v>
      </c>
      <c r="E2999" s="7">
        <v>10.0</v>
      </c>
      <c r="F2999" s="7">
        <v>179592.126233339</v>
      </c>
      <c r="G2999" s="7">
        <v>179775.950005531</v>
      </c>
      <c r="H2999" s="7">
        <v>2.0</v>
      </c>
      <c r="I2999" s="15">
        <v>0.82301194289732</v>
      </c>
      <c r="J2999" s="15">
        <v>0.108483183329968</v>
      </c>
      <c r="K2999" s="12">
        <f>AVERAGE(I2997:I3001)</f>
        <v>0.4479100842</v>
      </c>
      <c r="L2999" s="18">
        <v>4613.0</v>
      </c>
      <c r="M2999" s="14">
        <f>STDEV(L2997:L3001)</f>
        <v>47152.7558</v>
      </c>
      <c r="N2999" s="15" t="b">
        <f t="shared" si="1"/>
        <v>0</v>
      </c>
    </row>
    <row r="3000" hidden="1">
      <c r="A3000" s="7" t="s">
        <v>608</v>
      </c>
      <c r="B3000" s="7" t="s">
        <v>519</v>
      </c>
      <c r="C3000" s="7">
        <v>0.25</v>
      </c>
      <c r="D3000" s="7">
        <v>0.75</v>
      </c>
      <c r="E3000" s="7">
        <v>10.0</v>
      </c>
      <c r="F3000" s="7">
        <v>179592.126233339</v>
      </c>
      <c r="G3000" s="7">
        <v>179775.950005531</v>
      </c>
      <c r="H3000" s="7">
        <v>3.0</v>
      </c>
      <c r="I3000" s="15">
        <v>0.223740197569941</v>
      </c>
      <c r="J3000" s="15">
        <v>0.105761018893007</v>
      </c>
      <c r="K3000" s="12">
        <f>AVERAGE(I2997:I3001)</f>
        <v>0.4479100842</v>
      </c>
      <c r="L3000" s="18">
        <v>5113.0</v>
      </c>
      <c r="M3000" s="14">
        <f>STDEV(L2997:L3001)</f>
        <v>47152.7558</v>
      </c>
      <c r="N3000" s="15" t="b">
        <f t="shared" si="1"/>
        <v>0</v>
      </c>
    </row>
    <row r="3001" hidden="1">
      <c r="A3001" s="7" t="s">
        <v>608</v>
      </c>
      <c r="B3001" s="7" t="s">
        <v>519</v>
      </c>
      <c r="C3001" s="7">
        <v>0.25</v>
      </c>
      <c r="D3001" s="7">
        <v>0.75</v>
      </c>
      <c r="E3001" s="7">
        <v>10.0</v>
      </c>
      <c r="F3001" s="7">
        <v>179592.126233339</v>
      </c>
      <c r="G3001" s="7">
        <v>179775.950005531</v>
      </c>
      <c r="H3001" s="7">
        <v>4.0</v>
      </c>
      <c r="I3001" s="15">
        <v>0.282967083662157</v>
      </c>
      <c r="J3001" s="15">
        <v>0.152411838579838</v>
      </c>
      <c r="K3001" s="12">
        <f>AVERAGE(I2997:I3001)</f>
        <v>0.4479100842</v>
      </c>
      <c r="L3001" s="18">
        <v>14023.0</v>
      </c>
      <c r="M3001" s="14">
        <f>STDEV(L2997:L3001)</f>
        <v>47152.7558</v>
      </c>
      <c r="N3001" s="15" t="b">
        <f t="shared" si="1"/>
        <v>0</v>
      </c>
    </row>
    <row r="3002" hidden="1">
      <c r="A3002" s="7" t="s">
        <v>609</v>
      </c>
      <c r="B3002" s="7" t="s">
        <v>519</v>
      </c>
      <c r="C3002" s="7">
        <v>0.25</v>
      </c>
      <c r="D3002" s="7">
        <v>1.0</v>
      </c>
      <c r="E3002" s="7">
        <v>1.0</v>
      </c>
      <c r="F3002" s="7">
        <v>446522.512668132</v>
      </c>
      <c r="G3002" s="7">
        <v>446696.025070428</v>
      </c>
      <c r="H3002" s="7">
        <v>0.0</v>
      </c>
      <c r="I3002" s="15">
        <v>0.829939391496972</v>
      </c>
      <c r="J3002" s="15">
        <v>0.100410104405917</v>
      </c>
      <c r="K3002" s="12">
        <f>AVERAGE(I3002:I3006)</f>
        <v>0.5327937687</v>
      </c>
      <c r="L3002" s="18">
        <v>5529.0</v>
      </c>
      <c r="M3002" s="14">
        <f>STDEV(L3002:L3006)</f>
        <v>43225.5302</v>
      </c>
      <c r="N3002" s="15" t="b">
        <f t="shared" si="1"/>
        <v>0</v>
      </c>
    </row>
    <row r="3003" hidden="1">
      <c r="A3003" s="7" t="s">
        <v>609</v>
      </c>
      <c r="B3003" s="7" t="s">
        <v>519</v>
      </c>
      <c r="C3003" s="7">
        <v>0.25</v>
      </c>
      <c r="D3003" s="7">
        <v>1.0</v>
      </c>
      <c r="E3003" s="7">
        <v>1.0</v>
      </c>
      <c r="F3003" s="7">
        <v>446522.512668132</v>
      </c>
      <c r="G3003" s="7">
        <v>446696.025070428</v>
      </c>
      <c r="H3003" s="7">
        <v>1.0</v>
      </c>
      <c r="I3003" s="15">
        <v>0.0649709443597586</v>
      </c>
      <c r="J3003" s="15">
        <v>0.0510589099077925</v>
      </c>
      <c r="K3003" s="12">
        <f>AVERAGE(I3002:I3006)</f>
        <v>0.5327937687</v>
      </c>
      <c r="L3003" s="18">
        <v>105018.0</v>
      </c>
      <c r="M3003" s="14">
        <f>STDEV(L3002:L3006)</f>
        <v>43225.5302</v>
      </c>
      <c r="N3003" s="15" t="b">
        <f t="shared" si="1"/>
        <v>0</v>
      </c>
    </row>
    <row r="3004" hidden="1">
      <c r="A3004" s="7" t="s">
        <v>609</v>
      </c>
      <c r="B3004" s="7" t="s">
        <v>519</v>
      </c>
      <c r="C3004" s="7">
        <v>0.25</v>
      </c>
      <c r="D3004" s="7">
        <v>1.0</v>
      </c>
      <c r="E3004" s="7">
        <v>1.0</v>
      </c>
      <c r="F3004" s="7">
        <v>446522.512668132</v>
      </c>
      <c r="G3004" s="7">
        <v>446696.025070428</v>
      </c>
      <c r="H3004" s="7">
        <v>2.0</v>
      </c>
      <c r="I3004" s="15">
        <v>0.648054236639093</v>
      </c>
      <c r="J3004" s="15">
        <v>0.245039928358489</v>
      </c>
      <c r="K3004" s="12">
        <f>AVERAGE(I3002:I3006)</f>
        <v>0.5327937687</v>
      </c>
      <c r="L3004" s="18">
        <v>8731.0</v>
      </c>
      <c r="M3004" s="14">
        <f>STDEV(L3002:L3006)</f>
        <v>43225.5302</v>
      </c>
      <c r="N3004" s="15" t="b">
        <f t="shared" si="1"/>
        <v>0</v>
      </c>
    </row>
    <row r="3005" hidden="1">
      <c r="A3005" s="7" t="s">
        <v>609</v>
      </c>
      <c r="B3005" s="7" t="s">
        <v>519</v>
      </c>
      <c r="C3005" s="7">
        <v>0.25</v>
      </c>
      <c r="D3005" s="7">
        <v>1.0</v>
      </c>
      <c r="E3005" s="7">
        <v>1.0</v>
      </c>
      <c r="F3005" s="7">
        <v>446522.512668132</v>
      </c>
      <c r="G3005" s="7">
        <v>446696.025070428</v>
      </c>
      <c r="H3005" s="7">
        <v>3.0</v>
      </c>
      <c r="I3005" s="15">
        <v>0.308767842853863</v>
      </c>
      <c r="J3005" s="15">
        <v>0.130512915436355</v>
      </c>
      <c r="K3005" s="12">
        <f>AVERAGE(I3002:I3006)</f>
        <v>0.5327937687</v>
      </c>
      <c r="L3005" s="18">
        <v>4065.0</v>
      </c>
      <c r="M3005" s="14">
        <f>STDEV(L3002:L3006)</f>
        <v>43225.5302</v>
      </c>
      <c r="N3005" s="15" t="b">
        <f t="shared" si="1"/>
        <v>0</v>
      </c>
    </row>
    <row r="3006" hidden="1">
      <c r="A3006" s="7" t="s">
        <v>609</v>
      </c>
      <c r="B3006" s="7" t="s">
        <v>519</v>
      </c>
      <c r="C3006" s="7">
        <v>0.25</v>
      </c>
      <c r="D3006" s="7">
        <v>1.0</v>
      </c>
      <c r="E3006" s="7">
        <v>1.0</v>
      </c>
      <c r="F3006" s="7">
        <v>446522.512668132</v>
      </c>
      <c r="G3006" s="7">
        <v>446696.025070428</v>
      </c>
      <c r="H3006" s="7">
        <v>4.0</v>
      </c>
      <c r="I3006" s="15">
        <v>0.812236427935214</v>
      </c>
      <c r="J3006" s="15">
        <v>0.0742794406505843</v>
      </c>
      <c r="K3006" s="12">
        <f>AVERAGE(I3002:I3006)</f>
        <v>0.5327937687</v>
      </c>
      <c r="L3006" s="18">
        <v>18333.0</v>
      </c>
      <c r="M3006" s="14">
        <f>STDEV(L3002:L3006)</f>
        <v>43225.5302</v>
      </c>
      <c r="N3006" s="15" t="b">
        <f t="shared" si="1"/>
        <v>0</v>
      </c>
    </row>
    <row r="3007" hidden="1">
      <c r="A3007" s="7" t="s">
        <v>610</v>
      </c>
      <c r="B3007" s="7" t="s">
        <v>519</v>
      </c>
      <c r="C3007" s="7">
        <v>0.25</v>
      </c>
      <c r="D3007" s="7">
        <v>1.0</v>
      </c>
      <c r="E3007" s="7">
        <v>2.0</v>
      </c>
      <c r="F3007" s="7">
        <v>163385.049338102</v>
      </c>
      <c r="G3007" s="7">
        <v>163571.506623506</v>
      </c>
      <c r="H3007" s="7">
        <v>0.0</v>
      </c>
      <c r="I3007" s="15">
        <v>0.157775387669339</v>
      </c>
      <c r="J3007" s="15">
        <v>0.0726159300677861</v>
      </c>
      <c r="K3007" s="12">
        <f>AVERAGE(I3007:I3011)</f>
        <v>0.3956155339</v>
      </c>
      <c r="L3007" s="18">
        <v>5705.0</v>
      </c>
      <c r="M3007" s="14">
        <f>STDEV(L3007:L3011)</f>
        <v>28531.0813</v>
      </c>
      <c r="N3007" s="15" t="b">
        <f t="shared" si="1"/>
        <v>0</v>
      </c>
    </row>
    <row r="3008" hidden="1">
      <c r="A3008" s="7" t="s">
        <v>610</v>
      </c>
      <c r="B3008" s="7" t="s">
        <v>519</v>
      </c>
      <c r="C3008" s="7">
        <v>0.25</v>
      </c>
      <c r="D3008" s="7">
        <v>1.0</v>
      </c>
      <c r="E3008" s="7">
        <v>2.0</v>
      </c>
      <c r="F3008" s="7">
        <v>163385.049338102</v>
      </c>
      <c r="G3008" s="7">
        <v>163571.506623506</v>
      </c>
      <c r="H3008" s="7">
        <v>1.0</v>
      </c>
      <c r="I3008" s="15">
        <v>0.10478644680904</v>
      </c>
      <c r="J3008" s="15">
        <v>0.0651998219813367</v>
      </c>
      <c r="K3008" s="12">
        <f>AVERAGE(I3007:I3011)</f>
        <v>0.3956155339</v>
      </c>
      <c r="L3008" s="18">
        <v>38373.0</v>
      </c>
      <c r="M3008" s="14">
        <f>STDEV(L3007:L3011)</f>
        <v>28531.0813</v>
      </c>
      <c r="N3008" s="15" t="b">
        <f t="shared" si="1"/>
        <v>0</v>
      </c>
    </row>
    <row r="3009" hidden="1">
      <c r="A3009" s="7" t="s">
        <v>610</v>
      </c>
      <c r="B3009" s="7" t="s">
        <v>519</v>
      </c>
      <c r="C3009" s="7">
        <v>0.25</v>
      </c>
      <c r="D3009" s="7">
        <v>1.0</v>
      </c>
      <c r="E3009" s="7">
        <v>2.0</v>
      </c>
      <c r="F3009" s="7">
        <v>163385.049338102</v>
      </c>
      <c r="G3009" s="7">
        <v>163571.506623506</v>
      </c>
      <c r="H3009" s="7">
        <v>2.0</v>
      </c>
      <c r="I3009" s="15">
        <v>0.109404300137735</v>
      </c>
      <c r="J3009" s="15">
        <v>0.0667568325820879</v>
      </c>
      <c r="K3009" s="12">
        <f>AVERAGE(I3007:I3011)</f>
        <v>0.3956155339</v>
      </c>
      <c r="L3009" s="18">
        <v>73420.0</v>
      </c>
      <c r="M3009" s="14">
        <f>STDEV(L3007:L3011)</f>
        <v>28531.0813</v>
      </c>
      <c r="N3009" s="15" t="b">
        <f t="shared" si="1"/>
        <v>0</v>
      </c>
    </row>
    <row r="3010" hidden="1">
      <c r="A3010" s="7" t="s">
        <v>610</v>
      </c>
      <c r="B3010" s="7" t="s">
        <v>519</v>
      </c>
      <c r="C3010" s="7">
        <v>0.25</v>
      </c>
      <c r="D3010" s="7">
        <v>1.0</v>
      </c>
      <c r="E3010" s="7">
        <v>2.0</v>
      </c>
      <c r="F3010" s="7">
        <v>163385.049338102</v>
      </c>
      <c r="G3010" s="7">
        <v>163571.506623506</v>
      </c>
      <c r="H3010" s="7">
        <v>3.0</v>
      </c>
      <c r="I3010" s="15">
        <v>0.809916050500722</v>
      </c>
      <c r="J3010" s="15">
        <v>0.118695683343458</v>
      </c>
      <c r="K3010" s="12">
        <f>AVERAGE(I3007:I3011)</f>
        <v>0.3956155339</v>
      </c>
      <c r="L3010" s="18">
        <v>5659.0</v>
      </c>
      <c r="M3010" s="14">
        <f>STDEV(L3007:L3011)</f>
        <v>28531.0813</v>
      </c>
      <c r="N3010" s="15" t="b">
        <f t="shared" si="1"/>
        <v>0</v>
      </c>
    </row>
    <row r="3011" hidden="1">
      <c r="A3011" s="7" t="s">
        <v>610</v>
      </c>
      <c r="B3011" s="7" t="s">
        <v>519</v>
      </c>
      <c r="C3011" s="7">
        <v>0.25</v>
      </c>
      <c r="D3011" s="7">
        <v>1.0</v>
      </c>
      <c r="E3011" s="7">
        <v>2.0</v>
      </c>
      <c r="F3011" s="7">
        <v>163385.049338102</v>
      </c>
      <c r="G3011" s="7">
        <v>163571.506623506</v>
      </c>
      <c r="H3011" s="7">
        <v>4.0</v>
      </c>
      <c r="I3011" s="15">
        <v>0.796195484208229</v>
      </c>
      <c r="J3011" s="15">
        <v>0.094633240327576</v>
      </c>
      <c r="K3011" s="12">
        <f>AVERAGE(I3007:I3011)</f>
        <v>0.3956155339</v>
      </c>
      <c r="L3011" s="18">
        <v>18519.0</v>
      </c>
      <c r="M3011" s="14">
        <f>STDEV(L3007:L3011)</f>
        <v>28531.0813</v>
      </c>
      <c r="N3011" s="15" t="b">
        <f t="shared" si="1"/>
        <v>0</v>
      </c>
    </row>
    <row r="3012" hidden="1">
      <c r="A3012" s="7" t="s">
        <v>611</v>
      </c>
      <c r="B3012" s="7" t="s">
        <v>519</v>
      </c>
      <c r="C3012" s="7">
        <v>0.25</v>
      </c>
      <c r="D3012" s="7">
        <v>1.0</v>
      </c>
      <c r="E3012" s="7">
        <v>3.0</v>
      </c>
      <c r="F3012" s="7">
        <v>164582.383958339</v>
      </c>
      <c r="G3012" s="7">
        <v>164760.09065175</v>
      </c>
      <c r="H3012" s="7">
        <v>0.0</v>
      </c>
      <c r="I3012" s="15">
        <v>0.104045645987997</v>
      </c>
      <c r="J3012" s="15">
        <v>0.0773426664824959</v>
      </c>
      <c r="K3012" s="12">
        <f>AVERAGE(I3012:I3016)</f>
        <v>0.5030137306</v>
      </c>
      <c r="L3012" s="18">
        <v>31538.0</v>
      </c>
      <c r="M3012" s="14">
        <f>STDEV(L3012:L3016)</f>
        <v>27734.21399</v>
      </c>
      <c r="N3012" s="15" t="b">
        <f t="shared" si="1"/>
        <v>0</v>
      </c>
    </row>
    <row r="3013" hidden="1">
      <c r="A3013" s="7" t="s">
        <v>611</v>
      </c>
      <c r="B3013" s="7" t="s">
        <v>519</v>
      </c>
      <c r="C3013" s="7">
        <v>0.25</v>
      </c>
      <c r="D3013" s="7">
        <v>1.0</v>
      </c>
      <c r="E3013" s="7">
        <v>3.0</v>
      </c>
      <c r="F3013" s="7">
        <v>164582.383958339</v>
      </c>
      <c r="G3013" s="7">
        <v>164760.09065175</v>
      </c>
      <c r="H3013" s="7">
        <v>1.0</v>
      </c>
      <c r="I3013" s="15">
        <v>0.701844468362619</v>
      </c>
      <c r="J3013" s="15">
        <v>0.198288909518665</v>
      </c>
      <c r="K3013" s="12">
        <f>AVERAGE(I3012:I3016)</f>
        <v>0.5030137306</v>
      </c>
      <c r="L3013" s="18">
        <v>20189.0</v>
      </c>
      <c r="M3013" s="14">
        <f>STDEV(L3012:L3016)</f>
        <v>27734.21399</v>
      </c>
      <c r="N3013" s="15" t="b">
        <f t="shared" si="1"/>
        <v>0</v>
      </c>
    </row>
    <row r="3014" hidden="1">
      <c r="A3014" s="7" t="s">
        <v>611</v>
      </c>
      <c r="B3014" s="7" t="s">
        <v>519</v>
      </c>
      <c r="C3014" s="7">
        <v>0.25</v>
      </c>
      <c r="D3014" s="7">
        <v>1.0</v>
      </c>
      <c r="E3014" s="7">
        <v>3.0</v>
      </c>
      <c r="F3014" s="7">
        <v>164582.383958339</v>
      </c>
      <c r="G3014" s="7">
        <v>164760.09065175</v>
      </c>
      <c r="H3014" s="7">
        <v>2.0</v>
      </c>
      <c r="I3014" s="15">
        <v>0.117432044087998</v>
      </c>
      <c r="J3014" s="15">
        <v>0.0683188303913675</v>
      </c>
      <c r="K3014" s="12">
        <f>AVERAGE(I3012:I3016)</f>
        <v>0.5030137306</v>
      </c>
      <c r="L3014" s="18">
        <v>74644.0</v>
      </c>
      <c r="M3014" s="14">
        <f>STDEV(L3012:L3016)</f>
        <v>27734.21399</v>
      </c>
      <c r="N3014" s="15" t="b">
        <f t="shared" si="1"/>
        <v>0</v>
      </c>
    </row>
    <row r="3015" hidden="1">
      <c r="A3015" s="7" t="s">
        <v>611</v>
      </c>
      <c r="B3015" s="7" t="s">
        <v>519</v>
      </c>
      <c r="C3015" s="7">
        <v>0.25</v>
      </c>
      <c r="D3015" s="7">
        <v>1.0</v>
      </c>
      <c r="E3015" s="7">
        <v>3.0</v>
      </c>
      <c r="F3015" s="7">
        <v>164582.383958339</v>
      </c>
      <c r="G3015" s="7">
        <v>164760.09065175</v>
      </c>
      <c r="H3015" s="7">
        <v>3.0</v>
      </c>
      <c r="I3015" s="15">
        <v>0.828098220307143</v>
      </c>
      <c r="J3015" s="15">
        <v>0.0997256540847026</v>
      </c>
      <c r="K3015" s="12">
        <f>AVERAGE(I3012:I3016)</f>
        <v>0.5030137306</v>
      </c>
      <c r="L3015" s="18">
        <v>7459.0</v>
      </c>
      <c r="M3015" s="14">
        <f>STDEV(L3012:L3016)</f>
        <v>27734.21399</v>
      </c>
      <c r="N3015" s="15" t="b">
        <f t="shared" si="1"/>
        <v>0</v>
      </c>
    </row>
    <row r="3016" hidden="1">
      <c r="A3016" s="7" t="s">
        <v>611</v>
      </c>
      <c r="B3016" s="7" t="s">
        <v>519</v>
      </c>
      <c r="C3016" s="7">
        <v>0.25</v>
      </c>
      <c r="D3016" s="7">
        <v>1.0</v>
      </c>
      <c r="E3016" s="7">
        <v>3.0</v>
      </c>
      <c r="F3016" s="7">
        <v>164582.383958339</v>
      </c>
      <c r="G3016" s="7">
        <v>164760.09065175</v>
      </c>
      <c r="H3016" s="7">
        <v>4.0</v>
      </c>
      <c r="I3016" s="15">
        <v>0.763648274055496</v>
      </c>
      <c r="J3016" s="15">
        <v>0.135564972101476</v>
      </c>
      <c r="K3016" s="12">
        <f>AVERAGE(I3012:I3016)</f>
        <v>0.5030137306</v>
      </c>
      <c r="L3016" s="18">
        <v>7846.0</v>
      </c>
      <c r="M3016" s="14">
        <f>STDEV(L3012:L3016)</f>
        <v>27734.21399</v>
      </c>
      <c r="N3016" s="15" t="b">
        <f t="shared" si="1"/>
        <v>0</v>
      </c>
    </row>
    <row r="3017" hidden="1">
      <c r="A3017" s="7" t="s">
        <v>612</v>
      </c>
      <c r="B3017" s="7" t="s">
        <v>519</v>
      </c>
      <c r="C3017" s="7">
        <v>0.25</v>
      </c>
      <c r="D3017" s="7">
        <v>1.0</v>
      </c>
      <c r="E3017" s="7">
        <v>4.0</v>
      </c>
      <c r="F3017" s="7">
        <v>260374.075270652</v>
      </c>
      <c r="G3017" s="7">
        <v>260565.885775089</v>
      </c>
      <c r="H3017" s="7">
        <v>0.0</v>
      </c>
      <c r="I3017" s="15">
        <v>0.0756321353294197</v>
      </c>
      <c r="J3017" s="15">
        <v>0.0570265849815855</v>
      </c>
      <c r="K3017" s="12">
        <f>AVERAGE(I3017:I3021)</f>
        <v>0.4740527751</v>
      </c>
      <c r="L3017" s="18">
        <v>96776.0</v>
      </c>
      <c r="M3017" s="14">
        <f>STDEV(L3017:L3021)</f>
        <v>38705.91755</v>
      </c>
      <c r="N3017" s="15" t="b">
        <f t="shared" si="1"/>
        <v>0</v>
      </c>
    </row>
    <row r="3018" hidden="1">
      <c r="A3018" s="7" t="s">
        <v>612</v>
      </c>
      <c r="B3018" s="7" t="s">
        <v>519</v>
      </c>
      <c r="C3018" s="7">
        <v>0.25</v>
      </c>
      <c r="D3018" s="7">
        <v>1.0</v>
      </c>
      <c r="E3018" s="7">
        <v>4.0</v>
      </c>
      <c r="F3018" s="7">
        <v>260374.075270652</v>
      </c>
      <c r="G3018" s="7">
        <v>260565.885775089</v>
      </c>
      <c r="H3018" s="7">
        <v>1.0</v>
      </c>
      <c r="I3018" s="15">
        <v>0.318499540535853</v>
      </c>
      <c r="J3018" s="15">
        <v>0.134329257509451</v>
      </c>
      <c r="K3018" s="12">
        <f>AVERAGE(I3017:I3021)</f>
        <v>0.4740527751</v>
      </c>
      <c r="L3018" s="18">
        <v>14888.0</v>
      </c>
      <c r="M3018" s="14">
        <f>STDEV(L3017:L3021)</f>
        <v>38705.91755</v>
      </c>
      <c r="N3018" s="15" t="b">
        <f t="shared" si="1"/>
        <v>0</v>
      </c>
    </row>
    <row r="3019" hidden="1">
      <c r="A3019" s="7" t="s">
        <v>612</v>
      </c>
      <c r="B3019" s="7" t="s">
        <v>519</v>
      </c>
      <c r="C3019" s="7">
        <v>0.25</v>
      </c>
      <c r="D3019" s="7">
        <v>1.0</v>
      </c>
      <c r="E3019" s="7">
        <v>4.0</v>
      </c>
      <c r="F3019" s="7">
        <v>260374.075270652</v>
      </c>
      <c r="G3019" s="7">
        <v>260565.885775089</v>
      </c>
      <c r="H3019" s="7">
        <v>2.0</v>
      </c>
      <c r="I3019" s="15">
        <v>0.82645796021176</v>
      </c>
      <c r="J3019" s="15">
        <v>0.102658633880862</v>
      </c>
      <c r="K3019" s="12">
        <f>AVERAGE(I3017:I3021)</f>
        <v>0.4740527751</v>
      </c>
      <c r="L3019" s="18">
        <v>7464.0</v>
      </c>
      <c r="M3019" s="14">
        <f>STDEV(L3017:L3021)</f>
        <v>38705.91755</v>
      </c>
      <c r="N3019" s="15" t="b">
        <f t="shared" si="1"/>
        <v>0</v>
      </c>
    </row>
    <row r="3020" hidden="1">
      <c r="A3020" s="7" t="s">
        <v>612</v>
      </c>
      <c r="B3020" s="7" t="s">
        <v>519</v>
      </c>
      <c r="C3020" s="7">
        <v>0.25</v>
      </c>
      <c r="D3020" s="7">
        <v>1.0</v>
      </c>
      <c r="E3020" s="7">
        <v>4.0</v>
      </c>
      <c r="F3020" s="7">
        <v>260374.075270652</v>
      </c>
      <c r="G3020" s="7">
        <v>260565.885775089</v>
      </c>
      <c r="H3020" s="7">
        <v>3.0</v>
      </c>
      <c r="I3020" s="15">
        <v>0.789369652294883</v>
      </c>
      <c r="J3020" s="15">
        <v>0.105561892153745</v>
      </c>
      <c r="K3020" s="12">
        <f>AVERAGE(I3017:I3021)</f>
        <v>0.4740527751</v>
      </c>
      <c r="L3020" s="18">
        <v>18685.0</v>
      </c>
      <c r="M3020" s="14">
        <f>STDEV(L3017:L3021)</f>
        <v>38705.91755</v>
      </c>
      <c r="N3020" s="15" t="b">
        <f t="shared" si="1"/>
        <v>0</v>
      </c>
    </row>
    <row r="3021" hidden="1">
      <c r="A3021" s="7" t="s">
        <v>612</v>
      </c>
      <c r="B3021" s="7" t="s">
        <v>519</v>
      </c>
      <c r="C3021" s="7">
        <v>0.25</v>
      </c>
      <c r="D3021" s="7">
        <v>1.0</v>
      </c>
      <c r="E3021" s="7">
        <v>4.0</v>
      </c>
      <c r="F3021" s="7">
        <v>260374.075270652</v>
      </c>
      <c r="G3021" s="7">
        <v>260565.885775089</v>
      </c>
      <c r="H3021" s="7">
        <v>4.0</v>
      </c>
      <c r="I3021" s="15">
        <v>0.360304587339386</v>
      </c>
      <c r="J3021" s="15">
        <v>0.202788726415184</v>
      </c>
      <c r="K3021" s="12">
        <f>AVERAGE(I3017:I3021)</f>
        <v>0.4740527751</v>
      </c>
      <c r="L3021" s="18">
        <v>3863.0</v>
      </c>
      <c r="M3021" s="14">
        <f>STDEV(L3017:L3021)</f>
        <v>38705.91755</v>
      </c>
      <c r="N3021" s="15" t="b">
        <f t="shared" si="1"/>
        <v>0</v>
      </c>
    </row>
    <row r="3022" hidden="1">
      <c r="A3022" s="7" t="s">
        <v>613</v>
      </c>
      <c r="B3022" s="7" t="s">
        <v>519</v>
      </c>
      <c r="C3022" s="7">
        <v>0.25</v>
      </c>
      <c r="D3022" s="7">
        <v>1.0</v>
      </c>
      <c r="E3022" s="7">
        <v>5.0</v>
      </c>
      <c r="F3022" s="7">
        <v>228918.089368581</v>
      </c>
      <c r="G3022" s="7">
        <v>229106.770157337</v>
      </c>
      <c r="H3022" s="7">
        <v>0.0</v>
      </c>
      <c r="I3022" s="15">
        <v>0.853025133292676</v>
      </c>
      <c r="J3022" s="15">
        <v>0.0729253824884012</v>
      </c>
      <c r="K3022" s="12">
        <f>AVERAGE(I3022:I3026)</f>
        <v>0.3726882687</v>
      </c>
      <c r="L3022" s="18">
        <v>7216.0</v>
      </c>
      <c r="M3022" s="14">
        <f>STDEV(L3022:L3026)</f>
        <v>38465.35166</v>
      </c>
      <c r="N3022" s="15" t="b">
        <f t="shared" si="1"/>
        <v>0</v>
      </c>
    </row>
    <row r="3023" hidden="1">
      <c r="A3023" s="7" t="s">
        <v>613</v>
      </c>
      <c r="B3023" s="7" t="s">
        <v>519</v>
      </c>
      <c r="C3023" s="7">
        <v>0.25</v>
      </c>
      <c r="D3023" s="7">
        <v>1.0</v>
      </c>
      <c r="E3023" s="7">
        <v>5.0</v>
      </c>
      <c r="F3023" s="7">
        <v>228918.089368581</v>
      </c>
      <c r="G3023" s="7">
        <v>229106.770157337</v>
      </c>
      <c r="H3023" s="7">
        <v>1.0</v>
      </c>
      <c r="I3023" s="15">
        <v>0.158889704706846</v>
      </c>
      <c r="J3023" s="15">
        <v>0.0969755716710256</v>
      </c>
      <c r="K3023" s="12">
        <f>AVERAGE(I3022:I3026)</f>
        <v>0.3726882687</v>
      </c>
      <c r="L3023" s="18">
        <v>19282.0</v>
      </c>
      <c r="M3023" s="14">
        <f>STDEV(L3022:L3026)</f>
        <v>38465.35166</v>
      </c>
      <c r="N3023" s="15" t="b">
        <f t="shared" si="1"/>
        <v>0</v>
      </c>
    </row>
    <row r="3024" hidden="1">
      <c r="A3024" s="7" t="s">
        <v>613</v>
      </c>
      <c r="B3024" s="7" t="s">
        <v>519</v>
      </c>
      <c r="C3024" s="7">
        <v>0.25</v>
      </c>
      <c r="D3024" s="7">
        <v>1.0</v>
      </c>
      <c r="E3024" s="7">
        <v>5.0</v>
      </c>
      <c r="F3024" s="7">
        <v>228918.089368581</v>
      </c>
      <c r="G3024" s="7">
        <v>229106.770157337</v>
      </c>
      <c r="H3024" s="7">
        <v>2.0</v>
      </c>
      <c r="I3024" s="15">
        <v>0.107348194246906</v>
      </c>
      <c r="J3024" s="15">
        <v>0.0550123311392349</v>
      </c>
      <c r="K3024" s="12">
        <f>AVERAGE(I3022:I3026)</f>
        <v>0.3726882687</v>
      </c>
      <c r="L3024" s="18">
        <v>96291.0</v>
      </c>
      <c r="M3024" s="14">
        <f>STDEV(L3022:L3026)</f>
        <v>38465.35166</v>
      </c>
      <c r="N3024" s="15" t="b">
        <f t="shared" si="1"/>
        <v>0</v>
      </c>
    </row>
    <row r="3025" hidden="1">
      <c r="A3025" s="7" t="s">
        <v>613</v>
      </c>
      <c r="B3025" s="7" t="s">
        <v>519</v>
      </c>
      <c r="C3025" s="7">
        <v>0.25</v>
      </c>
      <c r="D3025" s="7">
        <v>1.0</v>
      </c>
      <c r="E3025" s="7">
        <v>5.0</v>
      </c>
      <c r="F3025" s="7">
        <v>228918.089368581</v>
      </c>
      <c r="G3025" s="7">
        <v>229106.770157337</v>
      </c>
      <c r="H3025" s="7">
        <v>3.0</v>
      </c>
      <c r="I3025" s="15">
        <v>0.326386022199179</v>
      </c>
      <c r="J3025" s="15">
        <v>0.110158001646722</v>
      </c>
      <c r="K3025" s="12">
        <f>AVERAGE(I3022:I3026)</f>
        <v>0.3726882687</v>
      </c>
      <c r="L3025" s="18">
        <v>4032.0</v>
      </c>
      <c r="M3025" s="14">
        <f>STDEV(L3022:L3026)</f>
        <v>38465.35166</v>
      </c>
      <c r="N3025" s="15" t="b">
        <f t="shared" si="1"/>
        <v>0</v>
      </c>
    </row>
    <row r="3026" hidden="1">
      <c r="A3026" s="7" t="s">
        <v>613</v>
      </c>
      <c r="B3026" s="7" t="s">
        <v>519</v>
      </c>
      <c r="C3026" s="7">
        <v>0.25</v>
      </c>
      <c r="D3026" s="7">
        <v>1.0</v>
      </c>
      <c r="E3026" s="7">
        <v>5.0</v>
      </c>
      <c r="F3026" s="7">
        <v>228918.089368581</v>
      </c>
      <c r="G3026" s="7">
        <v>229106.770157337</v>
      </c>
      <c r="H3026" s="7">
        <v>4.0</v>
      </c>
      <c r="I3026" s="15">
        <v>0.417792289032508</v>
      </c>
      <c r="J3026" s="15">
        <v>0.0963279711199949</v>
      </c>
      <c r="K3026" s="12">
        <f>AVERAGE(I3022:I3026)</f>
        <v>0.3726882687</v>
      </c>
      <c r="L3026" s="18">
        <v>14855.0</v>
      </c>
      <c r="M3026" s="14">
        <f>STDEV(L3022:L3026)</f>
        <v>38465.35166</v>
      </c>
      <c r="N3026" s="15" t="b">
        <f t="shared" si="1"/>
        <v>0</v>
      </c>
    </row>
    <row r="3027" hidden="1">
      <c r="A3027" s="7" t="s">
        <v>614</v>
      </c>
      <c r="B3027" s="7" t="s">
        <v>519</v>
      </c>
      <c r="C3027" s="7">
        <v>0.25</v>
      </c>
      <c r="D3027" s="7">
        <v>1.0</v>
      </c>
      <c r="E3027" s="7">
        <v>6.0</v>
      </c>
      <c r="F3027" s="7">
        <v>165103.679033279</v>
      </c>
      <c r="G3027" s="7">
        <v>165292.925558567</v>
      </c>
      <c r="H3027" s="7">
        <v>0.0</v>
      </c>
      <c r="I3027" s="15">
        <v>0.102700514022445</v>
      </c>
      <c r="J3027" s="15">
        <v>0.0744519236480485</v>
      </c>
      <c r="K3027" s="12">
        <f>AVERAGE(I3027:I3031)</f>
        <v>0.4510025049</v>
      </c>
      <c r="L3027" s="18">
        <v>26166.0</v>
      </c>
      <c r="M3027" s="14">
        <f>STDEV(L3027:L3031)</f>
        <v>28643.04011</v>
      </c>
      <c r="N3027" s="15" t="b">
        <f t="shared" si="1"/>
        <v>0</v>
      </c>
    </row>
    <row r="3028" hidden="1">
      <c r="A3028" s="7" t="s">
        <v>614</v>
      </c>
      <c r="B3028" s="7" t="s">
        <v>519</v>
      </c>
      <c r="C3028" s="7">
        <v>0.25</v>
      </c>
      <c r="D3028" s="7">
        <v>1.0</v>
      </c>
      <c r="E3028" s="7">
        <v>6.0</v>
      </c>
      <c r="F3028" s="7">
        <v>165103.679033279</v>
      </c>
      <c r="G3028" s="7">
        <v>165292.925558567</v>
      </c>
      <c r="H3028" s="7">
        <v>1.0</v>
      </c>
      <c r="I3028" s="15">
        <v>0.124975938262332</v>
      </c>
      <c r="J3028" s="15">
        <v>0.0676128018406709</v>
      </c>
      <c r="K3028" s="12">
        <f>AVERAGE(I3027:I3031)</f>
        <v>0.4510025049</v>
      </c>
      <c r="L3028" s="18">
        <v>73495.0</v>
      </c>
      <c r="M3028" s="14">
        <f>STDEV(L3027:L3031)</f>
        <v>28643.04011</v>
      </c>
      <c r="N3028" s="15" t="b">
        <f t="shared" si="1"/>
        <v>0</v>
      </c>
    </row>
    <row r="3029" hidden="1">
      <c r="A3029" s="7" t="s">
        <v>614</v>
      </c>
      <c r="B3029" s="7" t="s">
        <v>519</v>
      </c>
      <c r="C3029" s="7">
        <v>0.25</v>
      </c>
      <c r="D3029" s="7">
        <v>1.0</v>
      </c>
      <c r="E3029" s="7">
        <v>6.0</v>
      </c>
      <c r="F3029" s="7">
        <v>165103.679033279</v>
      </c>
      <c r="G3029" s="7">
        <v>165292.925558567</v>
      </c>
      <c r="H3029" s="7">
        <v>2.0</v>
      </c>
      <c r="I3029" s="15">
        <v>0.909857127317799</v>
      </c>
      <c r="J3029" s="15">
        <v>0.04551468826801</v>
      </c>
      <c r="K3029" s="12">
        <f>AVERAGE(I3027:I3031)</f>
        <v>0.4510025049</v>
      </c>
      <c r="L3029" s="18">
        <v>2064.0</v>
      </c>
      <c r="M3029" s="14">
        <f>STDEV(L3027:L3031)</f>
        <v>28643.04011</v>
      </c>
      <c r="N3029" s="15" t="b">
        <f t="shared" si="1"/>
        <v>0</v>
      </c>
    </row>
    <row r="3030" hidden="1">
      <c r="A3030" s="7" t="s">
        <v>614</v>
      </c>
      <c r="B3030" s="7" t="s">
        <v>519</v>
      </c>
      <c r="C3030" s="7">
        <v>0.25</v>
      </c>
      <c r="D3030" s="7">
        <v>1.0</v>
      </c>
      <c r="E3030" s="7">
        <v>6.0</v>
      </c>
      <c r="F3030" s="7">
        <v>165103.679033279</v>
      </c>
      <c r="G3030" s="7">
        <v>165292.925558567</v>
      </c>
      <c r="H3030" s="7">
        <v>3.0</v>
      </c>
      <c r="I3030" s="15">
        <v>0.310506233765121</v>
      </c>
      <c r="J3030" s="15">
        <v>0.142313105134626</v>
      </c>
      <c r="K3030" s="12">
        <f>AVERAGE(I3027:I3031)</f>
        <v>0.4510025049</v>
      </c>
      <c r="L3030" s="18">
        <v>34252.0</v>
      </c>
      <c r="M3030" s="14">
        <f>STDEV(L3027:L3031)</f>
        <v>28643.04011</v>
      </c>
      <c r="N3030" s="15" t="b">
        <f t="shared" si="1"/>
        <v>0</v>
      </c>
    </row>
    <row r="3031" hidden="1">
      <c r="A3031" s="7" t="s">
        <v>614</v>
      </c>
      <c r="B3031" s="7" t="s">
        <v>519</v>
      </c>
      <c r="C3031" s="7">
        <v>0.25</v>
      </c>
      <c r="D3031" s="7">
        <v>1.0</v>
      </c>
      <c r="E3031" s="7">
        <v>6.0</v>
      </c>
      <c r="F3031" s="7">
        <v>165103.679033279</v>
      </c>
      <c r="G3031" s="7">
        <v>165292.925558567</v>
      </c>
      <c r="H3031" s="7">
        <v>4.0</v>
      </c>
      <c r="I3031" s="15">
        <v>0.806972711224315</v>
      </c>
      <c r="J3031" s="15">
        <v>0.119837400145835</v>
      </c>
      <c r="K3031" s="12">
        <f>AVERAGE(I3027:I3031)</f>
        <v>0.4510025049</v>
      </c>
      <c r="L3031" s="18">
        <v>5699.0</v>
      </c>
      <c r="M3031" s="14">
        <f>STDEV(L3027:L3031)</f>
        <v>28643.04011</v>
      </c>
      <c r="N3031" s="15" t="b">
        <f t="shared" si="1"/>
        <v>0</v>
      </c>
    </row>
    <row r="3032" hidden="1">
      <c r="A3032" s="7" t="s">
        <v>615</v>
      </c>
      <c r="B3032" s="7" t="s">
        <v>519</v>
      </c>
      <c r="C3032" s="7">
        <v>0.25</v>
      </c>
      <c r="D3032" s="7">
        <v>1.0</v>
      </c>
      <c r="E3032" s="7">
        <v>7.0</v>
      </c>
      <c r="F3032" s="7">
        <v>226275.690117359</v>
      </c>
      <c r="G3032" s="7">
        <v>226378.941763162</v>
      </c>
      <c r="H3032" s="7">
        <v>0.0</v>
      </c>
      <c r="I3032" s="15">
        <v>0.77429478306835</v>
      </c>
      <c r="J3032" s="15">
        <v>0.129309641807394</v>
      </c>
      <c r="K3032" s="12">
        <f>AVERAGE(I3032:I3036)</f>
        <v>0.4929841739</v>
      </c>
      <c r="L3032" s="18">
        <v>7745.0</v>
      </c>
      <c r="M3032" s="14">
        <f>STDEV(L3032:L3036)</f>
        <v>40601.40523</v>
      </c>
      <c r="N3032" s="15" t="b">
        <f t="shared" si="1"/>
        <v>0</v>
      </c>
    </row>
    <row r="3033" hidden="1">
      <c r="A3033" s="7" t="s">
        <v>615</v>
      </c>
      <c r="B3033" s="7" t="s">
        <v>519</v>
      </c>
      <c r="C3033" s="7">
        <v>0.25</v>
      </c>
      <c r="D3033" s="7">
        <v>1.0</v>
      </c>
      <c r="E3033" s="7">
        <v>7.0</v>
      </c>
      <c r="F3033" s="7">
        <v>226275.690117359</v>
      </c>
      <c r="G3033" s="7">
        <v>226378.941763162</v>
      </c>
      <c r="H3033" s="7">
        <v>1.0</v>
      </c>
      <c r="I3033" s="15">
        <v>0.0726296201813369</v>
      </c>
      <c r="J3033" s="15">
        <v>0.0517968380397172</v>
      </c>
      <c r="K3033" s="12">
        <f>AVERAGE(I3032:I3036)</f>
        <v>0.4929841739</v>
      </c>
      <c r="L3033" s="18">
        <v>98968.0</v>
      </c>
      <c r="M3033" s="14">
        <f>STDEV(L3032:L3036)</f>
        <v>40601.40523</v>
      </c>
      <c r="N3033" s="15" t="b">
        <f t="shared" si="1"/>
        <v>0</v>
      </c>
    </row>
    <row r="3034" hidden="1">
      <c r="A3034" s="7" t="s">
        <v>615</v>
      </c>
      <c r="B3034" s="7" t="s">
        <v>519</v>
      </c>
      <c r="C3034" s="7">
        <v>0.25</v>
      </c>
      <c r="D3034" s="7">
        <v>1.0</v>
      </c>
      <c r="E3034" s="7">
        <v>7.0</v>
      </c>
      <c r="F3034" s="7">
        <v>226275.690117359</v>
      </c>
      <c r="G3034" s="7">
        <v>226378.941763162</v>
      </c>
      <c r="H3034" s="7">
        <v>2.0</v>
      </c>
      <c r="I3034" s="15">
        <v>0.348377751042758</v>
      </c>
      <c r="J3034" s="15">
        <v>0.0835510993554845</v>
      </c>
      <c r="K3034" s="12">
        <f>AVERAGE(I3032:I3036)</f>
        <v>0.4929841739</v>
      </c>
      <c r="L3034" s="18">
        <v>3976.0</v>
      </c>
      <c r="M3034" s="14">
        <f>STDEV(L3032:L3036)</f>
        <v>40601.40523</v>
      </c>
      <c r="N3034" s="15" t="b">
        <f t="shared" si="1"/>
        <v>0</v>
      </c>
    </row>
    <row r="3035" hidden="1">
      <c r="A3035" s="7" t="s">
        <v>615</v>
      </c>
      <c r="B3035" s="7" t="s">
        <v>519</v>
      </c>
      <c r="C3035" s="7">
        <v>0.25</v>
      </c>
      <c r="D3035" s="7">
        <v>1.0</v>
      </c>
      <c r="E3035" s="7">
        <v>7.0</v>
      </c>
      <c r="F3035" s="7">
        <v>226275.690117359</v>
      </c>
      <c r="G3035" s="7">
        <v>226378.941763162</v>
      </c>
      <c r="H3035" s="7">
        <v>3.0</v>
      </c>
      <c r="I3035" s="15">
        <v>0.803898864015224</v>
      </c>
      <c r="J3035" s="15">
        <v>0.102044006167105</v>
      </c>
      <c r="K3035" s="12">
        <f>AVERAGE(I3032:I3036)</f>
        <v>0.4929841739</v>
      </c>
      <c r="L3035" s="18">
        <v>4141.0</v>
      </c>
      <c r="M3035" s="14">
        <f>STDEV(L3032:L3036)</f>
        <v>40601.40523</v>
      </c>
      <c r="N3035" s="15" t="b">
        <f t="shared" si="1"/>
        <v>0</v>
      </c>
    </row>
    <row r="3036" hidden="1">
      <c r="A3036" s="7" t="s">
        <v>615</v>
      </c>
      <c r="B3036" s="7" t="s">
        <v>519</v>
      </c>
      <c r="C3036" s="7">
        <v>0.25</v>
      </c>
      <c r="D3036" s="7">
        <v>1.0</v>
      </c>
      <c r="E3036" s="7">
        <v>7.0</v>
      </c>
      <c r="F3036" s="7">
        <v>226275.690117359</v>
      </c>
      <c r="G3036" s="7">
        <v>226378.941763162</v>
      </c>
      <c r="H3036" s="7">
        <v>4.0</v>
      </c>
      <c r="I3036" s="15">
        <v>0.465719851360301</v>
      </c>
      <c r="J3036" s="15">
        <v>0.190950207120221</v>
      </c>
      <c r="K3036" s="12">
        <f>AVERAGE(I3032:I3036)</f>
        <v>0.4929841739</v>
      </c>
      <c r="L3036" s="18">
        <v>26846.0</v>
      </c>
      <c r="M3036" s="14">
        <f>STDEV(L3032:L3036)</f>
        <v>40601.40523</v>
      </c>
      <c r="N3036" s="15" t="b">
        <f t="shared" si="1"/>
        <v>0</v>
      </c>
    </row>
    <row r="3037" hidden="1">
      <c r="A3037" s="7" t="s">
        <v>616</v>
      </c>
      <c r="B3037" s="7" t="s">
        <v>519</v>
      </c>
      <c r="C3037" s="7">
        <v>0.25</v>
      </c>
      <c r="D3037" s="7">
        <v>1.0</v>
      </c>
      <c r="E3037" s="7">
        <v>8.0</v>
      </c>
      <c r="F3037" s="7">
        <v>144845.669525861</v>
      </c>
      <c r="G3037" s="7">
        <v>145020.185190439</v>
      </c>
      <c r="H3037" s="7">
        <v>0.0</v>
      </c>
      <c r="I3037" s="15">
        <v>0.255979338699309</v>
      </c>
      <c r="J3037" s="15">
        <v>0.110413791510626</v>
      </c>
      <c r="K3037" s="12">
        <f>AVERAGE(I3037:I3041)</f>
        <v>0.2441843197</v>
      </c>
      <c r="L3037" s="18">
        <v>16221.0</v>
      </c>
      <c r="M3037" s="14">
        <f>STDEV(L3037:L3041)</f>
        <v>32827.13725</v>
      </c>
      <c r="N3037" s="15" t="b">
        <f t="shared" si="1"/>
        <v>0</v>
      </c>
    </row>
    <row r="3038" hidden="1">
      <c r="A3038" s="7" t="s">
        <v>616</v>
      </c>
      <c r="B3038" s="7" t="s">
        <v>519</v>
      </c>
      <c r="C3038" s="7">
        <v>0.25</v>
      </c>
      <c r="D3038" s="7">
        <v>1.0</v>
      </c>
      <c r="E3038" s="7">
        <v>8.0</v>
      </c>
      <c r="F3038" s="7">
        <v>144845.669525861</v>
      </c>
      <c r="G3038" s="7">
        <v>145020.185190439</v>
      </c>
      <c r="H3038" s="7">
        <v>1.0</v>
      </c>
      <c r="I3038" s="15">
        <v>0.369897848207706</v>
      </c>
      <c r="J3038" s="15">
        <v>0.164182775540652</v>
      </c>
      <c r="K3038" s="12">
        <f>AVERAGE(I3037:I3041)</f>
        <v>0.2441843197</v>
      </c>
      <c r="L3038" s="18">
        <v>32084.0</v>
      </c>
      <c r="M3038" s="14">
        <f>STDEV(L3037:L3041)</f>
        <v>32827.13725</v>
      </c>
      <c r="N3038" s="15" t="b">
        <f t="shared" si="1"/>
        <v>0</v>
      </c>
    </row>
    <row r="3039" hidden="1">
      <c r="A3039" s="7" t="s">
        <v>616</v>
      </c>
      <c r="B3039" s="7" t="s">
        <v>519</v>
      </c>
      <c r="C3039" s="7">
        <v>0.25</v>
      </c>
      <c r="D3039" s="7">
        <v>1.0</v>
      </c>
      <c r="E3039" s="7">
        <v>8.0</v>
      </c>
      <c r="F3039" s="7">
        <v>144845.669525861</v>
      </c>
      <c r="G3039" s="7">
        <v>145020.185190439</v>
      </c>
      <c r="H3039" s="7">
        <v>2.0</v>
      </c>
      <c r="I3039" s="15">
        <v>0.161333864433327</v>
      </c>
      <c r="J3039" s="15">
        <v>0.0590635506671687</v>
      </c>
      <c r="K3039" s="12">
        <f>AVERAGE(I3037:I3041)</f>
        <v>0.2441843197</v>
      </c>
      <c r="L3039" s="18">
        <v>5777.0</v>
      </c>
      <c r="M3039" s="14">
        <f>STDEV(L3037:L3041)</f>
        <v>32827.13725</v>
      </c>
      <c r="N3039" s="15" t="b">
        <f t="shared" si="1"/>
        <v>0</v>
      </c>
    </row>
    <row r="3040" hidden="1">
      <c r="A3040" s="7" t="s">
        <v>616</v>
      </c>
      <c r="B3040" s="7" t="s">
        <v>519</v>
      </c>
      <c r="C3040" s="7">
        <v>0.25</v>
      </c>
      <c r="D3040" s="7">
        <v>1.0</v>
      </c>
      <c r="E3040" s="7">
        <v>8.0</v>
      </c>
      <c r="F3040" s="7">
        <v>144845.669525861</v>
      </c>
      <c r="G3040" s="7">
        <v>145020.185190439</v>
      </c>
      <c r="H3040" s="7">
        <v>3.0</v>
      </c>
      <c r="I3040" s="15">
        <v>0.0953370959854448</v>
      </c>
      <c r="J3040" s="15">
        <v>0.0638968254546506</v>
      </c>
      <c r="K3040" s="12">
        <f>AVERAGE(I3037:I3041)</f>
        <v>0.2441843197</v>
      </c>
      <c r="L3040" s="18">
        <v>83563.0</v>
      </c>
      <c r="M3040" s="14">
        <f>STDEV(L3037:L3041)</f>
        <v>32827.13725</v>
      </c>
      <c r="N3040" s="15" t="b">
        <f t="shared" si="1"/>
        <v>0</v>
      </c>
    </row>
    <row r="3041" hidden="1">
      <c r="A3041" s="7" t="s">
        <v>616</v>
      </c>
      <c r="B3041" s="7" t="s">
        <v>519</v>
      </c>
      <c r="C3041" s="7">
        <v>0.25</v>
      </c>
      <c r="D3041" s="7">
        <v>1.0</v>
      </c>
      <c r="E3041" s="7">
        <v>8.0</v>
      </c>
      <c r="F3041" s="7">
        <v>144845.669525861</v>
      </c>
      <c r="G3041" s="7">
        <v>145020.185190439</v>
      </c>
      <c r="H3041" s="7">
        <v>4.0</v>
      </c>
      <c r="I3041" s="15">
        <v>0.338373451286516</v>
      </c>
      <c r="J3041" s="15">
        <v>0.0642378891107413</v>
      </c>
      <c r="K3041" s="12">
        <f>AVERAGE(I3037:I3041)</f>
        <v>0.2441843197</v>
      </c>
      <c r="L3041" s="18">
        <v>4031.0</v>
      </c>
      <c r="M3041" s="14">
        <f>STDEV(L3037:L3041)</f>
        <v>32827.13725</v>
      </c>
      <c r="N3041" s="15" t="b">
        <f t="shared" si="1"/>
        <v>0</v>
      </c>
    </row>
    <row r="3042" hidden="1">
      <c r="A3042" s="7" t="s">
        <v>617</v>
      </c>
      <c r="B3042" s="7" t="s">
        <v>519</v>
      </c>
      <c r="C3042" s="7">
        <v>0.25</v>
      </c>
      <c r="D3042" s="7">
        <v>1.0</v>
      </c>
      <c r="E3042" s="7">
        <v>9.0</v>
      </c>
      <c r="F3042" s="7">
        <v>196672.237146854</v>
      </c>
      <c r="G3042" s="7">
        <v>196843.994508981</v>
      </c>
      <c r="H3042" s="7">
        <v>0.0</v>
      </c>
      <c r="I3042" s="15">
        <v>0.28953660805445</v>
      </c>
      <c r="J3042" s="15">
        <v>0.0669716240396122</v>
      </c>
      <c r="K3042" s="12">
        <f>AVERAGE(I3042:I3046)</f>
        <v>0.2096666001</v>
      </c>
      <c r="L3042" s="18">
        <v>18633.0</v>
      </c>
      <c r="M3042" s="14">
        <f>STDEV(L3042:L3046)</f>
        <v>31745.9108</v>
      </c>
      <c r="N3042" s="15" t="b">
        <f t="shared" si="1"/>
        <v>0</v>
      </c>
    </row>
    <row r="3043" hidden="1">
      <c r="A3043" s="7" t="s">
        <v>617</v>
      </c>
      <c r="B3043" s="7" t="s">
        <v>519</v>
      </c>
      <c r="C3043" s="7">
        <v>0.25</v>
      </c>
      <c r="D3043" s="7">
        <v>1.0</v>
      </c>
      <c r="E3043" s="7">
        <v>9.0</v>
      </c>
      <c r="F3043" s="7">
        <v>196672.237146854</v>
      </c>
      <c r="G3043" s="7">
        <v>196843.994508981</v>
      </c>
      <c r="H3043" s="7">
        <v>1.0</v>
      </c>
      <c r="I3043" s="15">
        <v>0.132780664585343</v>
      </c>
      <c r="J3043" s="15">
        <v>0.0604390425560582</v>
      </c>
      <c r="K3043" s="12">
        <f>AVERAGE(I3042:I3046)</f>
        <v>0.2096666001</v>
      </c>
      <c r="L3043" s="18">
        <v>81446.0</v>
      </c>
      <c r="M3043" s="14">
        <f>STDEV(L3042:L3046)</f>
        <v>31745.9108</v>
      </c>
      <c r="N3043" s="15" t="b">
        <f t="shared" si="1"/>
        <v>0</v>
      </c>
    </row>
    <row r="3044" hidden="1">
      <c r="A3044" s="7" t="s">
        <v>617</v>
      </c>
      <c r="B3044" s="7" t="s">
        <v>519</v>
      </c>
      <c r="C3044" s="7">
        <v>0.25</v>
      </c>
      <c r="D3044" s="7">
        <v>1.0</v>
      </c>
      <c r="E3044" s="7">
        <v>9.0</v>
      </c>
      <c r="F3044" s="7">
        <v>196672.237146854</v>
      </c>
      <c r="G3044" s="7">
        <v>196843.994508981</v>
      </c>
      <c r="H3044" s="7">
        <v>2.0</v>
      </c>
      <c r="I3044" s="15">
        <v>0.158268064005193</v>
      </c>
      <c r="J3044" s="15">
        <v>0.0633605921673297</v>
      </c>
      <c r="K3044" s="12">
        <f>AVERAGE(I3042:I3046)</f>
        <v>0.2096666001</v>
      </c>
      <c r="L3044" s="18">
        <v>5692.0</v>
      </c>
      <c r="M3044" s="14">
        <f>STDEV(L3042:L3046)</f>
        <v>31745.9108</v>
      </c>
      <c r="N3044" s="15" t="b">
        <f t="shared" si="1"/>
        <v>0</v>
      </c>
    </row>
    <row r="3045" hidden="1">
      <c r="A3045" s="7" t="s">
        <v>617</v>
      </c>
      <c r="B3045" s="7" t="s">
        <v>519</v>
      </c>
      <c r="C3045" s="7">
        <v>0.25</v>
      </c>
      <c r="D3045" s="7">
        <v>1.0</v>
      </c>
      <c r="E3045" s="7">
        <v>9.0</v>
      </c>
      <c r="F3045" s="7">
        <v>196672.237146854</v>
      </c>
      <c r="G3045" s="7">
        <v>196843.994508981</v>
      </c>
      <c r="H3045" s="7">
        <v>3.0</v>
      </c>
      <c r="I3045" s="15">
        <v>0.120828560594535</v>
      </c>
      <c r="J3045" s="15">
        <v>0.0725825664079374</v>
      </c>
      <c r="K3045" s="12">
        <f>AVERAGE(I3042:I3046)</f>
        <v>0.2096666001</v>
      </c>
      <c r="L3045" s="18">
        <v>31881.0</v>
      </c>
      <c r="M3045" s="14">
        <f>STDEV(L3042:L3046)</f>
        <v>31745.9108</v>
      </c>
      <c r="N3045" s="15" t="b">
        <f t="shared" si="1"/>
        <v>0</v>
      </c>
    </row>
    <row r="3046" hidden="1">
      <c r="A3046" s="7" t="s">
        <v>617</v>
      </c>
      <c r="B3046" s="7" t="s">
        <v>519</v>
      </c>
      <c r="C3046" s="7">
        <v>0.25</v>
      </c>
      <c r="D3046" s="7">
        <v>1.0</v>
      </c>
      <c r="E3046" s="7">
        <v>9.0</v>
      </c>
      <c r="F3046" s="7">
        <v>196672.237146854</v>
      </c>
      <c r="G3046" s="7">
        <v>196843.994508981</v>
      </c>
      <c r="H3046" s="7">
        <v>4.0</v>
      </c>
      <c r="I3046" s="15">
        <v>0.346919103433762</v>
      </c>
      <c r="J3046" s="15">
        <v>0.0688481271409225</v>
      </c>
      <c r="K3046" s="12">
        <f>AVERAGE(I3042:I3046)</f>
        <v>0.2096666001</v>
      </c>
      <c r="L3046" s="18">
        <v>4024.0</v>
      </c>
      <c r="M3046" s="14">
        <f>STDEV(L3042:L3046)</f>
        <v>31745.9108</v>
      </c>
      <c r="N3046" s="15" t="b">
        <f t="shared" si="1"/>
        <v>0</v>
      </c>
    </row>
    <row r="3047" hidden="1">
      <c r="A3047" s="7" t="s">
        <v>618</v>
      </c>
      <c r="B3047" s="7" t="s">
        <v>519</v>
      </c>
      <c r="C3047" s="7">
        <v>0.25</v>
      </c>
      <c r="D3047" s="7">
        <v>1.0</v>
      </c>
      <c r="E3047" s="7">
        <v>10.0</v>
      </c>
      <c r="F3047" s="7">
        <v>259100.207547664</v>
      </c>
      <c r="G3047" s="7">
        <v>259280.093940019</v>
      </c>
      <c r="H3047" s="7">
        <v>0.0</v>
      </c>
      <c r="I3047" s="15">
        <v>0.797730282088833</v>
      </c>
      <c r="J3047" s="15">
        <v>0.135679414026874</v>
      </c>
      <c r="K3047" s="12">
        <f>AVERAGE(I3047:I3051)</f>
        <v>0.5180646823</v>
      </c>
      <c r="L3047" s="18">
        <v>7385.0</v>
      </c>
      <c r="M3047" s="14">
        <f>STDEV(L3047:L3051)</f>
        <v>39743.19231</v>
      </c>
      <c r="N3047" s="15" t="b">
        <f t="shared" si="1"/>
        <v>0</v>
      </c>
    </row>
    <row r="3048" hidden="1">
      <c r="A3048" s="7" t="s">
        <v>618</v>
      </c>
      <c r="B3048" s="7" t="s">
        <v>519</v>
      </c>
      <c r="C3048" s="7">
        <v>0.25</v>
      </c>
      <c r="D3048" s="7">
        <v>1.0</v>
      </c>
      <c r="E3048" s="7">
        <v>10.0</v>
      </c>
      <c r="F3048" s="7">
        <v>259100.207547664</v>
      </c>
      <c r="G3048" s="7">
        <v>259280.093940019</v>
      </c>
      <c r="H3048" s="7">
        <v>1.0</v>
      </c>
      <c r="I3048" s="15">
        <v>0.762632266943083</v>
      </c>
      <c r="J3048" s="15">
        <v>0.141389454520881</v>
      </c>
      <c r="K3048" s="12">
        <f>AVERAGE(I3047:I3051)</f>
        <v>0.5180646823</v>
      </c>
      <c r="L3048" s="18">
        <v>7822.0</v>
      </c>
      <c r="M3048" s="14">
        <f>STDEV(L3047:L3051)</f>
        <v>39743.19231</v>
      </c>
      <c r="N3048" s="15" t="b">
        <f t="shared" si="1"/>
        <v>0</v>
      </c>
    </row>
    <row r="3049" hidden="1">
      <c r="A3049" s="7" t="s">
        <v>618</v>
      </c>
      <c r="B3049" s="7" t="s">
        <v>519</v>
      </c>
      <c r="C3049" s="7">
        <v>0.25</v>
      </c>
      <c r="D3049" s="7">
        <v>1.0</v>
      </c>
      <c r="E3049" s="7">
        <v>10.0</v>
      </c>
      <c r="F3049" s="7">
        <v>259100.207547664</v>
      </c>
      <c r="G3049" s="7">
        <v>259280.093940019</v>
      </c>
      <c r="H3049" s="7">
        <v>2.0</v>
      </c>
      <c r="I3049" s="15">
        <v>0.0709244731326501</v>
      </c>
      <c r="J3049" s="15">
        <v>0.0522205828097935</v>
      </c>
      <c r="K3049" s="12">
        <f>AVERAGE(I3047:I3051)</f>
        <v>0.5180646823</v>
      </c>
      <c r="L3049" s="18">
        <v>98801.0</v>
      </c>
      <c r="M3049" s="14">
        <f>STDEV(L3047:L3051)</f>
        <v>39743.19231</v>
      </c>
      <c r="N3049" s="15" t="b">
        <f t="shared" si="1"/>
        <v>0</v>
      </c>
    </row>
    <row r="3050" hidden="1">
      <c r="A3050" s="7" t="s">
        <v>618</v>
      </c>
      <c r="B3050" s="7" t="s">
        <v>519</v>
      </c>
      <c r="C3050" s="7">
        <v>0.25</v>
      </c>
      <c r="D3050" s="7">
        <v>1.0</v>
      </c>
      <c r="E3050" s="7">
        <v>10.0</v>
      </c>
      <c r="F3050" s="7">
        <v>259100.207547664</v>
      </c>
      <c r="G3050" s="7">
        <v>259280.093940019</v>
      </c>
      <c r="H3050" s="7">
        <v>3.0</v>
      </c>
      <c r="I3050" s="15">
        <v>0.720754816967126</v>
      </c>
      <c r="J3050" s="15">
        <v>0.191205955807343</v>
      </c>
      <c r="K3050" s="12">
        <f>AVERAGE(I3047:I3051)</f>
        <v>0.5180646823</v>
      </c>
      <c r="L3050" s="18">
        <v>19850.0</v>
      </c>
      <c r="M3050" s="14">
        <f>STDEV(L3047:L3051)</f>
        <v>39743.19231</v>
      </c>
      <c r="N3050" s="15" t="b">
        <f t="shared" si="1"/>
        <v>0</v>
      </c>
    </row>
    <row r="3051" hidden="1">
      <c r="A3051" s="7" t="s">
        <v>618</v>
      </c>
      <c r="B3051" s="7" t="s">
        <v>519</v>
      </c>
      <c r="C3051" s="7">
        <v>0.25</v>
      </c>
      <c r="D3051" s="7">
        <v>1.0</v>
      </c>
      <c r="E3051" s="7">
        <v>10.0</v>
      </c>
      <c r="F3051" s="7">
        <v>259100.207547664</v>
      </c>
      <c r="G3051" s="7">
        <v>259280.093940019</v>
      </c>
      <c r="H3051" s="7">
        <v>4.0</v>
      </c>
      <c r="I3051" s="15">
        <v>0.238281572307425</v>
      </c>
      <c r="J3051" s="15">
        <v>0.104673713862352</v>
      </c>
      <c r="K3051" s="12">
        <f>AVERAGE(I3047:I3051)</f>
        <v>0.5180646823</v>
      </c>
      <c r="L3051" s="18">
        <v>7818.0</v>
      </c>
      <c r="M3051" s="14">
        <f>STDEV(L3047:L3051)</f>
        <v>39743.19231</v>
      </c>
      <c r="N3051" s="15" t="b">
        <f t="shared" si="1"/>
        <v>0</v>
      </c>
    </row>
    <row r="3052" hidden="1">
      <c r="A3052" s="7" t="s">
        <v>619</v>
      </c>
      <c r="B3052" s="7" t="s">
        <v>519</v>
      </c>
      <c r="C3052" s="7">
        <v>0.5</v>
      </c>
      <c r="D3052" s="7">
        <v>0.1</v>
      </c>
      <c r="E3052" s="7">
        <v>1.0</v>
      </c>
      <c r="F3052" s="7">
        <v>32788.2530510425</v>
      </c>
      <c r="G3052" s="7">
        <v>32943.9148154258</v>
      </c>
      <c r="H3052" s="7">
        <v>0.0</v>
      </c>
      <c r="I3052" s="15">
        <v>0.191690047141184</v>
      </c>
      <c r="J3052" s="15">
        <v>0.128289776259361</v>
      </c>
      <c r="K3052" s="12">
        <f>AVERAGE(I3052:I3056)</f>
        <v>0.4324892413</v>
      </c>
      <c r="L3052" s="18">
        <v>6471.0</v>
      </c>
      <c r="M3052" s="14">
        <f>STDEV(L3052:L3056)</f>
        <v>36610.06474</v>
      </c>
      <c r="N3052" s="15" t="b">
        <f t="shared" si="1"/>
        <v>0</v>
      </c>
    </row>
    <row r="3053" hidden="1">
      <c r="A3053" s="7" t="s">
        <v>619</v>
      </c>
      <c r="B3053" s="7" t="s">
        <v>519</v>
      </c>
      <c r="C3053" s="7">
        <v>0.5</v>
      </c>
      <c r="D3053" s="7">
        <v>0.1</v>
      </c>
      <c r="E3053" s="7">
        <v>1.0</v>
      </c>
      <c r="F3053" s="7">
        <v>32788.2530510425</v>
      </c>
      <c r="G3053" s="7">
        <v>32943.9148154258</v>
      </c>
      <c r="H3053" s="7">
        <v>1.0</v>
      </c>
      <c r="I3053" s="15">
        <v>0.086894569356673</v>
      </c>
      <c r="J3053" s="15">
        <v>0.0951903963997764</v>
      </c>
      <c r="K3053" s="12">
        <f>AVERAGE(I3052:I3056)</f>
        <v>0.4324892413</v>
      </c>
      <c r="L3053" s="18">
        <v>89267.0</v>
      </c>
      <c r="M3053" s="14">
        <f>STDEV(L3052:L3056)</f>
        <v>36610.06474</v>
      </c>
      <c r="N3053" s="15" t="b">
        <f t="shared" si="1"/>
        <v>0</v>
      </c>
    </row>
    <row r="3054" hidden="1">
      <c r="A3054" s="7" t="s">
        <v>619</v>
      </c>
      <c r="B3054" s="7" t="s">
        <v>519</v>
      </c>
      <c r="C3054" s="7">
        <v>0.5</v>
      </c>
      <c r="D3054" s="7">
        <v>0.1</v>
      </c>
      <c r="E3054" s="7">
        <v>1.0</v>
      </c>
      <c r="F3054" s="7">
        <v>32788.2530510425</v>
      </c>
      <c r="G3054" s="7">
        <v>32943.9148154258</v>
      </c>
      <c r="H3054" s="7">
        <v>2.0</v>
      </c>
      <c r="I3054" s="15">
        <v>0.910106722251517</v>
      </c>
      <c r="J3054" s="15">
        <v>0.0439661580270338</v>
      </c>
      <c r="K3054" s="12">
        <f>AVERAGE(I3052:I3056)</f>
        <v>0.4324892413</v>
      </c>
      <c r="L3054" s="18">
        <v>2064.0</v>
      </c>
      <c r="M3054" s="14">
        <f>STDEV(L3052:L3056)</f>
        <v>36610.06474</v>
      </c>
      <c r="N3054" s="15" t="b">
        <f t="shared" si="1"/>
        <v>0</v>
      </c>
    </row>
    <row r="3055" hidden="1">
      <c r="A3055" s="7" t="s">
        <v>619</v>
      </c>
      <c r="B3055" s="7" t="s">
        <v>519</v>
      </c>
      <c r="C3055" s="7">
        <v>0.5</v>
      </c>
      <c r="D3055" s="7">
        <v>0.1</v>
      </c>
      <c r="E3055" s="7">
        <v>1.0</v>
      </c>
      <c r="F3055" s="7">
        <v>32788.2530510425</v>
      </c>
      <c r="G3055" s="7">
        <v>32943.9148154258</v>
      </c>
      <c r="H3055" s="7">
        <v>3.0</v>
      </c>
      <c r="I3055" s="15">
        <v>0.211675944098252</v>
      </c>
      <c r="J3055" s="15">
        <v>0.126969770236128</v>
      </c>
      <c r="K3055" s="12">
        <f>AVERAGE(I3052:I3056)</f>
        <v>0.4324892413</v>
      </c>
      <c r="L3055" s="18">
        <v>36051.0</v>
      </c>
      <c r="M3055" s="14">
        <f>STDEV(L3052:L3056)</f>
        <v>36610.06474</v>
      </c>
      <c r="N3055" s="15" t="b">
        <f t="shared" si="1"/>
        <v>0</v>
      </c>
    </row>
    <row r="3056" hidden="1">
      <c r="A3056" s="7" t="s">
        <v>619</v>
      </c>
      <c r="B3056" s="7" t="s">
        <v>519</v>
      </c>
      <c r="C3056" s="7">
        <v>0.5</v>
      </c>
      <c r="D3056" s="7">
        <v>0.1</v>
      </c>
      <c r="E3056" s="7">
        <v>1.0</v>
      </c>
      <c r="F3056" s="7">
        <v>32788.2530510425</v>
      </c>
      <c r="G3056" s="7">
        <v>32943.9148154258</v>
      </c>
      <c r="H3056" s="7">
        <v>4.0</v>
      </c>
      <c r="I3056" s="15">
        <v>0.762078923420676</v>
      </c>
      <c r="J3056" s="15">
        <v>0.145221663232396</v>
      </c>
      <c r="K3056" s="12">
        <f>AVERAGE(I3052:I3056)</f>
        <v>0.4324892413</v>
      </c>
      <c r="L3056" s="18">
        <v>7823.0</v>
      </c>
      <c r="M3056" s="14">
        <f>STDEV(L3052:L3056)</f>
        <v>36610.06474</v>
      </c>
      <c r="N3056" s="15" t="b">
        <f t="shared" si="1"/>
        <v>0</v>
      </c>
    </row>
    <row r="3057" hidden="1">
      <c r="A3057" s="7" t="s">
        <v>620</v>
      </c>
      <c r="B3057" s="7" t="s">
        <v>519</v>
      </c>
      <c r="C3057" s="7">
        <v>0.5</v>
      </c>
      <c r="D3057" s="7">
        <v>0.1</v>
      </c>
      <c r="E3057" s="7">
        <v>2.0</v>
      </c>
      <c r="F3057" s="7">
        <v>60702.843761444</v>
      </c>
      <c r="G3057" s="7">
        <v>60891.7297706604</v>
      </c>
      <c r="H3057" s="7">
        <v>0.0</v>
      </c>
      <c r="I3057" s="15">
        <v>0.0501971171648643</v>
      </c>
      <c r="J3057" s="15">
        <v>0.0573009814674547</v>
      </c>
      <c r="K3057" s="12">
        <f>AVERAGE(I3057:I3061)</f>
        <v>0.3529759404</v>
      </c>
      <c r="L3057" s="18">
        <v>25926.0</v>
      </c>
      <c r="M3057" s="14">
        <f>STDEV(L3057:L3061)</f>
        <v>27014.17918</v>
      </c>
      <c r="N3057" s="15" t="b">
        <f t="shared" si="1"/>
        <v>0</v>
      </c>
    </row>
    <row r="3058" hidden="1">
      <c r="A3058" s="7" t="s">
        <v>620</v>
      </c>
      <c r="B3058" s="7" t="s">
        <v>519</v>
      </c>
      <c r="C3058" s="7">
        <v>0.5</v>
      </c>
      <c r="D3058" s="7">
        <v>0.1</v>
      </c>
      <c r="E3058" s="7">
        <v>2.0</v>
      </c>
      <c r="F3058" s="7">
        <v>60702.843761444</v>
      </c>
      <c r="G3058" s="7">
        <v>60891.7297706604</v>
      </c>
      <c r="H3058" s="7">
        <v>1.0</v>
      </c>
      <c r="I3058" s="15">
        <v>0.803286519845768</v>
      </c>
      <c r="J3058" s="15">
        <v>0.104375974126495</v>
      </c>
      <c r="K3058" s="12">
        <f>AVERAGE(I3057:I3061)</f>
        <v>0.3529759404</v>
      </c>
      <c r="L3058" s="18">
        <v>13987.0</v>
      </c>
      <c r="M3058" s="14">
        <f>STDEV(L3057:L3061)</f>
        <v>27014.17918</v>
      </c>
      <c r="N3058" s="15" t="b">
        <f t="shared" si="1"/>
        <v>0</v>
      </c>
    </row>
    <row r="3059" hidden="1">
      <c r="A3059" s="7" t="s">
        <v>620</v>
      </c>
      <c r="B3059" s="7" t="s">
        <v>519</v>
      </c>
      <c r="C3059" s="7">
        <v>0.5</v>
      </c>
      <c r="D3059" s="7">
        <v>0.1</v>
      </c>
      <c r="E3059" s="7">
        <v>2.0</v>
      </c>
      <c r="F3059" s="7">
        <v>60702.843761444</v>
      </c>
      <c r="G3059" s="7">
        <v>60891.7297706604</v>
      </c>
      <c r="H3059" s="7">
        <v>2.0</v>
      </c>
      <c r="I3059" s="15">
        <v>0.639588901174144</v>
      </c>
      <c r="J3059" s="15">
        <v>0.122731411825438</v>
      </c>
      <c r="K3059" s="12">
        <f>AVERAGE(I3057:I3061)</f>
        <v>0.3529759404</v>
      </c>
      <c r="L3059" s="18">
        <v>1519.0</v>
      </c>
      <c r="M3059" s="14">
        <f>STDEV(L3057:L3061)</f>
        <v>27014.17918</v>
      </c>
      <c r="N3059" s="15" t="b">
        <f t="shared" si="1"/>
        <v>0</v>
      </c>
    </row>
    <row r="3060" hidden="1">
      <c r="A3060" s="7" t="s">
        <v>620</v>
      </c>
      <c r="B3060" s="7" t="s">
        <v>519</v>
      </c>
      <c r="C3060" s="7">
        <v>0.5</v>
      </c>
      <c r="D3060" s="7">
        <v>0.1</v>
      </c>
      <c r="E3060" s="7">
        <v>2.0</v>
      </c>
      <c r="F3060" s="7">
        <v>60702.843761444</v>
      </c>
      <c r="G3060" s="7">
        <v>60891.7297706604</v>
      </c>
      <c r="H3060" s="7">
        <v>3.0</v>
      </c>
      <c r="I3060" s="15">
        <v>0.173182968987738</v>
      </c>
      <c r="J3060" s="15">
        <v>0.0680674214847472</v>
      </c>
      <c r="K3060" s="12">
        <f>AVERAGE(I3057:I3061)</f>
        <v>0.3529759404</v>
      </c>
      <c r="L3060" s="18">
        <v>27330.0</v>
      </c>
      <c r="M3060" s="14">
        <f>STDEV(L3057:L3061)</f>
        <v>27014.17918</v>
      </c>
      <c r="N3060" s="15" t="b">
        <f t="shared" si="1"/>
        <v>0</v>
      </c>
    </row>
    <row r="3061" hidden="1">
      <c r="A3061" s="7" t="s">
        <v>620</v>
      </c>
      <c r="B3061" s="7" t="s">
        <v>519</v>
      </c>
      <c r="C3061" s="7">
        <v>0.5</v>
      </c>
      <c r="D3061" s="7">
        <v>0.1</v>
      </c>
      <c r="E3061" s="7">
        <v>2.0</v>
      </c>
      <c r="F3061" s="7">
        <v>60702.843761444</v>
      </c>
      <c r="G3061" s="7">
        <v>60891.7297706604</v>
      </c>
      <c r="H3061" s="7">
        <v>4.0</v>
      </c>
      <c r="I3061" s="15">
        <v>0.0986241947904016</v>
      </c>
      <c r="J3061" s="15">
        <v>0.191712418269792</v>
      </c>
      <c r="K3061" s="12">
        <f>AVERAGE(I3057:I3061)</f>
        <v>0.3529759404</v>
      </c>
      <c r="L3061" s="18">
        <v>72914.0</v>
      </c>
      <c r="M3061" s="14">
        <f>STDEV(L3057:L3061)</f>
        <v>27014.17918</v>
      </c>
      <c r="N3061" s="15" t="b">
        <f t="shared" si="1"/>
        <v>0</v>
      </c>
    </row>
    <row r="3062" hidden="1">
      <c r="A3062" s="7" t="s">
        <v>621</v>
      </c>
      <c r="B3062" s="7" t="s">
        <v>519</v>
      </c>
      <c r="C3062" s="7">
        <v>0.5</v>
      </c>
      <c r="D3062" s="7">
        <v>0.1</v>
      </c>
      <c r="E3062" s="7">
        <v>3.0</v>
      </c>
      <c r="F3062" s="7">
        <v>42795.4774377346</v>
      </c>
      <c r="G3062" s="7">
        <v>42977.3566825389</v>
      </c>
      <c r="H3062" s="7">
        <v>0.0</v>
      </c>
      <c r="I3062" s="15">
        <v>-0.0484903087195133</v>
      </c>
      <c r="J3062" s="15">
        <v>0.160409756338321</v>
      </c>
      <c r="K3062" s="12">
        <f>AVERAGE(I3062:I3066)</f>
        <v>0.3350679281</v>
      </c>
      <c r="L3062" s="18">
        <v>68291.0</v>
      </c>
      <c r="M3062" s="14">
        <f>STDEV(L3062:L3066)</f>
        <v>25122.58455</v>
      </c>
      <c r="N3062" s="15" t="b">
        <f t="shared" si="1"/>
        <v>0</v>
      </c>
    </row>
    <row r="3063" hidden="1">
      <c r="A3063" s="7" t="s">
        <v>621</v>
      </c>
      <c r="B3063" s="7" t="s">
        <v>519</v>
      </c>
      <c r="C3063" s="7">
        <v>0.5</v>
      </c>
      <c r="D3063" s="7">
        <v>0.1</v>
      </c>
      <c r="E3063" s="7">
        <v>3.0</v>
      </c>
      <c r="F3063" s="7">
        <v>42795.4774377346</v>
      </c>
      <c r="G3063" s="7">
        <v>42977.3566825389</v>
      </c>
      <c r="H3063" s="7">
        <v>1.0</v>
      </c>
      <c r="I3063" s="15">
        <v>0.388019035168436</v>
      </c>
      <c r="J3063" s="15">
        <v>0.0553140398394219</v>
      </c>
      <c r="K3063" s="12">
        <f>AVERAGE(I3062:I3066)</f>
        <v>0.3350679281</v>
      </c>
      <c r="L3063" s="18">
        <v>25023.0</v>
      </c>
      <c r="M3063" s="14">
        <f>STDEV(L3062:L3066)</f>
        <v>25122.58455</v>
      </c>
      <c r="N3063" s="15" t="b">
        <f t="shared" si="1"/>
        <v>0</v>
      </c>
    </row>
    <row r="3064" hidden="1">
      <c r="A3064" s="7" t="s">
        <v>621</v>
      </c>
      <c r="B3064" s="7" t="s">
        <v>519</v>
      </c>
      <c r="C3064" s="7">
        <v>0.5</v>
      </c>
      <c r="D3064" s="7">
        <v>0.1</v>
      </c>
      <c r="E3064" s="7">
        <v>3.0</v>
      </c>
      <c r="F3064" s="7">
        <v>42795.4774377346</v>
      </c>
      <c r="G3064" s="7">
        <v>42977.3566825389</v>
      </c>
      <c r="H3064" s="7">
        <v>2.0</v>
      </c>
      <c r="I3064" s="15">
        <v>0.827416236506366</v>
      </c>
      <c r="J3064" s="15">
        <v>0.0904366618412029</v>
      </c>
      <c r="K3064" s="12">
        <f>AVERAGE(I3062:I3066)</f>
        <v>0.3350679281</v>
      </c>
      <c r="L3064" s="18">
        <v>4600.0</v>
      </c>
      <c r="M3064" s="14">
        <f>STDEV(L3062:L3066)</f>
        <v>25122.58455</v>
      </c>
      <c r="N3064" s="15" t="b">
        <f t="shared" si="1"/>
        <v>0</v>
      </c>
    </row>
    <row r="3065" hidden="1">
      <c r="A3065" s="7" t="s">
        <v>621</v>
      </c>
      <c r="B3065" s="7" t="s">
        <v>519</v>
      </c>
      <c r="C3065" s="7">
        <v>0.5</v>
      </c>
      <c r="D3065" s="7">
        <v>0.1</v>
      </c>
      <c r="E3065" s="7">
        <v>3.0</v>
      </c>
      <c r="F3065" s="7">
        <v>42795.4774377346</v>
      </c>
      <c r="G3065" s="7">
        <v>42977.3566825389</v>
      </c>
      <c r="H3065" s="7">
        <v>3.0</v>
      </c>
      <c r="I3065" s="15">
        <v>0.180119294055241</v>
      </c>
      <c r="J3065" s="15">
        <v>0.0671724594690711</v>
      </c>
      <c r="K3065" s="12">
        <f>AVERAGE(I3062:I3066)</f>
        <v>0.3350679281</v>
      </c>
      <c r="L3065" s="18">
        <v>33510.0</v>
      </c>
      <c r="M3065" s="14">
        <f>STDEV(L3062:L3066)</f>
        <v>25122.58455</v>
      </c>
      <c r="N3065" s="15" t="b">
        <f t="shared" si="1"/>
        <v>0</v>
      </c>
    </row>
    <row r="3066" hidden="1">
      <c r="A3066" s="7" t="s">
        <v>621</v>
      </c>
      <c r="B3066" s="7" t="s">
        <v>519</v>
      </c>
      <c r="C3066" s="7">
        <v>0.5</v>
      </c>
      <c r="D3066" s="7">
        <v>0.1</v>
      </c>
      <c r="E3066" s="7">
        <v>3.0</v>
      </c>
      <c r="F3066" s="7">
        <v>42795.4774377346</v>
      </c>
      <c r="G3066" s="7">
        <v>42977.3566825389</v>
      </c>
      <c r="H3066" s="7">
        <v>4.0</v>
      </c>
      <c r="I3066" s="15">
        <v>0.328275383307146</v>
      </c>
      <c r="J3066" s="15">
        <v>0.157847587330571</v>
      </c>
      <c r="K3066" s="12">
        <f>AVERAGE(I3062:I3066)</f>
        <v>0.3350679281</v>
      </c>
      <c r="L3066" s="18">
        <v>10252.0</v>
      </c>
      <c r="M3066" s="14">
        <f>STDEV(L3062:L3066)</f>
        <v>25122.58455</v>
      </c>
      <c r="N3066" s="15" t="b">
        <f t="shared" si="1"/>
        <v>0</v>
      </c>
    </row>
    <row r="3067" hidden="1">
      <c r="A3067" s="7" t="s">
        <v>622</v>
      </c>
      <c r="B3067" s="7" t="s">
        <v>519</v>
      </c>
      <c r="C3067" s="7">
        <v>0.5</v>
      </c>
      <c r="D3067" s="7">
        <v>0.1</v>
      </c>
      <c r="E3067" s="7">
        <v>4.0</v>
      </c>
      <c r="F3067" s="7">
        <v>145188.580923795</v>
      </c>
      <c r="G3067" s="7">
        <v>145339.781603813</v>
      </c>
      <c r="H3067" s="7">
        <v>0.0</v>
      </c>
      <c r="I3067" s="15">
        <v>-0.0333526314061741</v>
      </c>
      <c r="J3067" s="15">
        <v>0.15219057447675</v>
      </c>
      <c r="K3067" s="12">
        <f>AVERAGE(I3067:I3071)</f>
        <v>0.3473853864</v>
      </c>
      <c r="L3067" s="18">
        <v>80905.0</v>
      </c>
      <c r="M3067" s="14">
        <f>STDEV(L3067:L3071)</f>
        <v>31041.01431</v>
      </c>
      <c r="N3067" s="15" t="b">
        <f t="shared" si="1"/>
        <v>0</v>
      </c>
    </row>
    <row r="3068" hidden="1">
      <c r="A3068" s="7" t="s">
        <v>622</v>
      </c>
      <c r="B3068" s="7" t="s">
        <v>519</v>
      </c>
      <c r="C3068" s="7">
        <v>0.5</v>
      </c>
      <c r="D3068" s="7">
        <v>0.1</v>
      </c>
      <c r="E3068" s="7">
        <v>4.0</v>
      </c>
      <c r="F3068" s="7">
        <v>145188.580923795</v>
      </c>
      <c r="G3068" s="7">
        <v>145339.781603813</v>
      </c>
      <c r="H3068" s="7">
        <v>1.0</v>
      </c>
      <c r="I3068" s="15">
        <v>0.236990655075103</v>
      </c>
      <c r="J3068" s="15">
        <v>0.0927698068311567</v>
      </c>
      <c r="K3068" s="12">
        <f>AVERAGE(I3067:I3071)</f>
        <v>0.3473853864</v>
      </c>
      <c r="L3068" s="18">
        <v>24488.0</v>
      </c>
      <c r="M3068" s="14">
        <f>STDEV(L3067:L3071)</f>
        <v>31041.01431</v>
      </c>
      <c r="N3068" s="15" t="b">
        <f t="shared" si="1"/>
        <v>0</v>
      </c>
    </row>
    <row r="3069" hidden="1">
      <c r="A3069" s="7" t="s">
        <v>622</v>
      </c>
      <c r="B3069" s="7" t="s">
        <v>519</v>
      </c>
      <c r="C3069" s="7">
        <v>0.5</v>
      </c>
      <c r="D3069" s="7">
        <v>0.1</v>
      </c>
      <c r="E3069" s="7">
        <v>4.0</v>
      </c>
      <c r="F3069" s="7">
        <v>145188.580923795</v>
      </c>
      <c r="G3069" s="7">
        <v>145339.781603813</v>
      </c>
      <c r="H3069" s="7">
        <v>2.0</v>
      </c>
      <c r="I3069" s="15">
        <v>0.390034904243655</v>
      </c>
      <c r="J3069" s="15">
        <v>0.0637097144127475</v>
      </c>
      <c r="K3069" s="12">
        <f>AVERAGE(I3067:I3071)</f>
        <v>0.3473853864</v>
      </c>
      <c r="L3069" s="18">
        <v>25015.0</v>
      </c>
      <c r="M3069" s="14">
        <f>STDEV(L3067:L3071)</f>
        <v>31041.01431</v>
      </c>
      <c r="N3069" s="15" t="b">
        <f t="shared" si="1"/>
        <v>0</v>
      </c>
    </row>
    <row r="3070" hidden="1">
      <c r="A3070" s="7" t="s">
        <v>622</v>
      </c>
      <c r="B3070" s="7" t="s">
        <v>519</v>
      </c>
      <c r="C3070" s="7">
        <v>0.5</v>
      </c>
      <c r="D3070" s="7">
        <v>0.1</v>
      </c>
      <c r="E3070" s="7">
        <v>4.0</v>
      </c>
      <c r="F3070" s="7">
        <v>145188.580923795</v>
      </c>
      <c r="G3070" s="7">
        <v>145339.781603813</v>
      </c>
      <c r="H3070" s="7">
        <v>3.0</v>
      </c>
      <c r="I3070" s="15">
        <v>0.503189804058826</v>
      </c>
      <c r="J3070" s="15">
        <v>0.263406952141051</v>
      </c>
      <c r="K3070" s="12">
        <f>AVERAGE(I3067:I3071)</f>
        <v>0.3473853864</v>
      </c>
      <c r="L3070" s="18">
        <v>9762.0</v>
      </c>
      <c r="M3070" s="14">
        <f>STDEV(L3067:L3071)</f>
        <v>31041.01431</v>
      </c>
      <c r="N3070" s="15" t="b">
        <f t="shared" si="1"/>
        <v>0</v>
      </c>
    </row>
    <row r="3071" hidden="1">
      <c r="A3071" s="7" t="s">
        <v>622</v>
      </c>
      <c r="B3071" s="7" t="s">
        <v>519</v>
      </c>
      <c r="C3071" s="7">
        <v>0.5</v>
      </c>
      <c r="D3071" s="7">
        <v>0.1</v>
      </c>
      <c r="E3071" s="7">
        <v>4.0</v>
      </c>
      <c r="F3071" s="7">
        <v>145188.580923795</v>
      </c>
      <c r="G3071" s="7">
        <v>145339.781603813</v>
      </c>
      <c r="H3071" s="7">
        <v>4.0</v>
      </c>
      <c r="I3071" s="15">
        <v>0.640064199861125</v>
      </c>
      <c r="J3071" s="15">
        <v>0.125421941169565</v>
      </c>
      <c r="K3071" s="12">
        <f>AVERAGE(I3067:I3071)</f>
        <v>0.3473853864</v>
      </c>
      <c r="L3071" s="18">
        <v>1506.0</v>
      </c>
      <c r="M3071" s="14">
        <f>STDEV(L3067:L3071)</f>
        <v>31041.01431</v>
      </c>
      <c r="N3071" s="15" t="b">
        <f t="shared" si="1"/>
        <v>0</v>
      </c>
    </row>
    <row r="3072" hidden="1">
      <c r="A3072" s="7" t="s">
        <v>623</v>
      </c>
      <c r="B3072" s="7" t="s">
        <v>519</v>
      </c>
      <c r="C3072" s="7">
        <v>0.5</v>
      </c>
      <c r="D3072" s="7">
        <v>0.1</v>
      </c>
      <c r="E3072" s="7">
        <v>5.0</v>
      </c>
      <c r="F3072" s="7">
        <v>36867.6569149494</v>
      </c>
      <c r="G3072" s="7">
        <v>37052.2495622634</v>
      </c>
      <c r="H3072" s="7">
        <v>0.0</v>
      </c>
      <c r="I3072" s="15">
        <v>0.781056802056461</v>
      </c>
      <c r="J3072" s="15">
        <v>0.123315487629726</v>
      </c>
      <c r="K3072" s="12">
        <f>AVERAGE(I3072:I3076)</f>
        <v>0.563466109</v>
      </c>
      <c r="L3072" s="18">
        <v>10638.0</v>
      </c>
      <c r="M3072" s="14">
        <f>STDEV(L3072:L3076)</f>
        <v>36939.90587</v>
      </c>
      <c r="N3072" s="15" t="b">
        <f t="shared" si="1"/>
        <v>0</v>
      </c>
    </row>
    <row r="3073" hidden="1">
      <c r="A3073" s="7" t="s">
        <v>623</v>
      </c>
      <c r="B3073" s="7" t="s">
        <v>519</v>
      </c>
      <c r="C3073" s="7">
        <v>0.5</v>
      </c>
      <c r="D3073" s="7">
        <v>0.1</v>
      </c>
      <c r="E3073" s="7">
        <v>5.0</v>
      </c>
      <c r="F3073" s="7">
        <v>36867.6569149494</v>
      </c>
      <c r="G3073" s="7">
        <v>37052.2495622634</v>
      </c>
      <c r="H3073" s="7">
        <v>1.0</v>
      </c>
      <c r="I3073" s="15">
        <v>-0.0735309764609152</v>
      </c>
      <c r="J3073" s="15">
        <v>0.265761570032751</v>
      </c>
      <c r="K3073" s="12">
        <f>AVERAGE(I3072:I3076)</f>
        <v>0.563466109</v>
      </c>
      <c r="L3073" s="18">
        <v>94364.0</v>
      </c>
      <c r="M3073" s="14">
        <f>STDEV(L3072:L3076)</f>
        <v>36939.90587</v>
      </c>
      <c r="N3073" s="15" t="b">
        <f t="shared" si="1"/>
        <v>0</v>
      </c>
    </row>
    <row r="3074" hidden="1">
      <c r="A3074" s="7" t="s">
        <v>623</v>
      </c>
      <c r="B3074" s="7" t="s">
        <v>519</v>
      </c>
      <c r="C3074" s="7">
        <v>0.5</v>
      </c>
      <c r="D3074" s="7">
        <v>0.1</v>
      </c>
      <c r="E3074" s="7">
        <v>5.0</v>
      </c>
      <c r="F3074" s="7">
        <v>36867.6569149494</v>
      </c>
      <c r="G3074" s="7">
        <v>37052.2495622634</v>
      </c>
      <c r="H3074" s="7">
        <v>2.0</v>
      </c>
      <c r="I3074" s="15">
        <v>0.696060512486138</v>
      </c>
      <c r="J3074" s="15">
        <v>0.208184632978014</v>
      </c>
      <c r="K3074" s="12">
        <f>AVERAGE(I3072:I3076)</f>
        <v>0.563466109</v>
      </c>
      <c r="L3074" s="18">
        <v>12325.0</v>
      </c>
      <c r="M3074" s="14">
        <f>STDEV(L3072:L3076)</f>
        <v>36939.90587</v>
      </c>
      <c r="N3074" s="15" t="b">
        <f t="shared" si="1"/>
        <v>0</v>
      </c>
    </row>
    <row r="3075" hidden="1">
      <c r="A3075" s="7" t="s">
        <v>623</v>
      </c>
      <c r="B3075" s="7" t="s">
        <v>519</v>
      </c>
      <c r="C3075" s="7">
        <v>0.5</v>
      </c>
      <c r="D3075" s="7">
        <v>0.1</v>
      </c>
      <c r="E3075" s="7">
        <v>5.0</v>
      </c>
      <c r="F3075" s="7">
        <v>36867.6569149494</v>
      </c>
      <c r="G3075" s="7">
        <v>37052.2495622634</v>
      </c>
      <c r="H3075" s="7">
        <v>3.0</v>
      </c>
      <c r="I3075" s="15">
        <v>0.607136260251738</v>
      </c>
      <c r="J3075" s="15">
        <v>0.242502259538516</v>
      </c>
      <c r="K3075" s="12">
        <f>AVERAGE(I3072:I3076)</f>
        <v>0.563466109</v>
      </c>
      <c r="L3075" s="18">
        <v>10362.0</v>
      </c>
      <c r="M3075" s="14">
        <f>STDEV(L3072:L3076)</f>
        <v>36939.90587</v>
      </c>
      <c r="N3075" s="15" t="b">
        <f t="shared" si="1"/>
        <v>0</v>
      </c>
    </row>
    <row r="3076" hidden="1">
      <c r="A3076" s="7" t="s">
        <v>623</v>
      </c>
      <c r="B3076" s="7" t="s">
        <v>519</v>
      </c>
      <c r="C3076" s="7">
        <v>0.5</v>
      </c>
      <c r="D3076" s="7">
        <v>0.1</v>
      </c>
      <c r="E3076" s="7">
        <v>5.0</v>
      </c>
      <c r="F3076" s="7">
        <v>36867.6569149494</v>
      </c>
      <c r="G3076" s="7">
        <v>37052.2495622634</v>
      </c>
      <c r="H3076" s="7">
        <v>4.0</v>
      </c>
      <c r="I3076" s="15">
        <v>0.806607946656765</v>
      </c>
      <c r="J3076" s="15">
        <v>0.101757757998512</v>
      </c>
      <c r="K3076" s="12">
        <f>AVERAGE(I3072:I3076)</f>
        <v>0.563466109</v>
      </c>
      <c r="L3076" s="18">
        <v>13987.0</v>
      </c>
      <c r="M3076" s="14">
        <f>STDEV(L3072:L3076)</f>
        <v>36939.90587</v>
      </c>
      <c r="N3076" s="15" t="b">
        <f t="shared" si="1"/>
        <v>0</v>
      </c>
    </row>
    <row r="3077" hidden="1">
      <c r="A3077" s="7" t="s">
        <v>624</v>
      </c>
      <c r="B3077" s="7" t="s">
        <v>519</v>
      </c>
      <c r="C3077" s="7">
        <v>0.5</v>
      </c>
      <c r="D3077" s="7">
        <v>0.1</v>
      </c>
      <c r="E3077" s="7">
        <v>6.0</v>
      </c>
      <c r="F3077" s="7">
        <v>13536.7308094501</v>
      </c>
      <c r="G3077" s="7">
        <v>13607.1731805801</v>
      </c>
      <c r="H3077" s="7">
        <v>0.0</v>
      </c>
      <c r="I3077" s="15">
        <v>-0.0263036019736817</v>
      </c>
      <c r="J3077" s="15">
        <v>0.202427412028824</v>
      </c>
      <c r="K3077" s="12">
        <f>AVERAGE(I3077:I3081)</f>
        <v>0.4282071777</v>
      </c>
      <c r="L3077" s="18">
        <v>93607.0</v>
      </c>
      <c r="M3077" s="14">
        <f>STDEV(L3077:L3081)</f>
        <v>37444.26162</v>
      </c>
      <c r="N3077" s="15" t="b">
        <f t="shared" si="1"/>
        <v>0</v>
      </c>
    </row>
    <row r="3078" hidden="1">
      <c r="A3078" s="7" t="s">
        <v>624</v>
      </c>
      <c r="B3078" s="7" t="s">
        <v>519</v>
      </c>
      <c r="C3078" s="7">
        <v>0.5</v>
      </c>
      <c r="D3078" s="7">
        <v>0.1</v>
      </c>
      <c r="E3078" s="7">
        <v>6.0</v>
      </c>
      <c r="F3078" s="7">
        <v>13536.7308094501</v>
      </c>
      <c r="G3078" s="7">
        <v>13607.1731805801</v>
      </c>
      <c r="H3078" s="7">
        <v>1.0</v>
      </c>
      <c r="I3078" s="15">
        <v>0.391970681151531</v>
      </c>
      <c r="J3078" s="15">
        <v>0.0591083590706139</v>
      </c>
      <c r="K3078" s="12">
        <f>AVERAGE(I3077:I3081)</f>
        <v>0.4282071777</v>
      </c>
      <c r="L3078" s="18">
        <v>25059.0</v>
      </c>
      <c r="M3078" s="14">
        <f>STDEV(L3077:L3081)</f>
        <v>37444.26162</v>
      </c>
      <c r="N3078" s="15" t="b">
        <f t="shared" si="1"/>
        <v>0</v>
      </c>
    </row>
    <row r="3079" hidden="1">
      <c r="A3079" s="7" t="s">
        <v>624</v>
      </c>
      <c r="B3079" s="7" t="s">
        <v>519</v>
      </c>
      <c r="C3079" s="7">
        <v>0.5</v>
      </c>
      <c r="D3079" s="7">
        <v>0.1</v>
      </c>
      <c r="E3079" s="7">
        <v>6.0</v>
      </c>
      <c r="F3079" s="7">
        <v>13536.7308094501</v>
      </c>
      <c r="G3079" s="7">
        <v>13607.1731805801</v>
      </c>
      <c r="H3079" s="7">
        <v>2.0</v>
      </c>
      <c r="I3079" s="15">
        <v>0.260086061013543</v>
      </c>
      <c r="J3079" s="15">
        <v>0.122017468516706</v>
      </c>
      <c r="K3079" s="12">
        <f>AVERAGE(I3077:I3081)</f>
        <v>0.4282071777</v>
      </c>
      <c r="L3079" s="18">
        <v>11088.0</v>
      </c>
      <c r="M3079" s="14">
        <f>STDEV(L3077:L3081)</f>
        <v>37444.26162</v>
      </c>
      <c r="N3079" s="15" t="b">
        <f t="shared" si="1"/>
        <v>0</v>
      </c>
    </row>
    <row r="3080" hidden="1">
      <c r="A3080" s="7" t="s">
        <v>624</v>
      </c>
      <c r="B3080" s="7" t="s">
        <v>519</v>
      </c>
      <c r="C3080" s="7">
        <v>0.5</v>
      </c>
      <c r="D3080" s="7">
        <v>0.1</v>
      </c>
      <c r="E3080" s="7">
        <v>6.0</v>
      </c>
      <c r="F3080" s="7">
        <v>13536.7308094501</v>
      </c>
      <c r="G3080" s="7">
        <v>13607.1731805801</v>
      </c>
      <c r="H3080" s="7">
        <v>3.0</v>
      </c>
      <c r="I3080" s="15">
        <v>0.61340992087331</v>
      </c>
      <c r="J3080" s="15">
        <v>0.228430124523507</v>
      </c>
      <c r="K3080" s="12">
        <f>AVERAGE(I3077:I3081)</f>
        <v>0.4282071777</v>
      </c>
      <c r="L3080" s="18">
        <v>10347.0</v>
      </c>
      <c r="M3080" s="14">
        <f>STDEV(L3077:L3081)</f>
        <v>37444.26162</v>
      </c>
      <c r="N3080" s="15" t="b">
        <f t="shared" si="1"/>
        <v>0</v>
      </c>
    </row>
    <row r="3081" hidden="1">
      <c r="A3081" s="7" t="s">
        <v>624</v>
      </c>
      <c r="B3081" s="7" t="s">
        <v>519</v>
      </c>
      <c r="C3081" s="7">
        <v>0.5</v>
      </c>
      <c r="D3081" s="7">
        <v>0.1</v>
      </c>
      <c r="E3081" s="7">
        <v>6.0</v>
      </c>
      <c r="F3081" s="7">
        <v>13536.7308094501</v>
      </c>
      <c r="G3081" s="7">
        <v>13607.1731805801</v>
      </c>
      <c r="H3081" s="7">
        <v>4.0</v>
      </c>
      <c r="I3081" s="15">
        <v>0.901872827271121</v>
      </c>
      <c r="J3081" s="15">
        <v>0.124124418625182</v>
      </c>
      <c r="K3081" s="12">
        <f>AVERAGE(I3077:I3081)</f>
        <v>0.4282071777</v>
      </c>
      <c r="L3081" s="18">
        <v>1575.0</v>
      </c>
      <c r="M3081" s="14">
        <f>STDEV(L3077:L3081)</f>
        <v>37444.26162</v>
      </c>
      <c r="N3081" s="15" t="b">
        <f t="shared" si="1"/>
        <v>0</v>
      </c>
    </row>
    <row r="3082" hidden="1">
      <c r="A3082" s="7" t="s">
        <v>625</v>
      </c>
      <c r="B3082" s="7" t="s">
        <v>519</v>
      </c>
      <c r="C3082" s="7">
        <v>0.5</v>
      </c>
      <c r="D3082" s="7">
        <v>0.1</v>
      </c>
      <c r="E3082" s="7">
        <v>7.0</v>
      </c>
      <c r="F3082" s="7">
        <v>261438.45792675</v>
      </c>
      <c r="G3082" s="7">
        <v>261614.451542615</v>
      </c>
      <c r="H3082" s="7">
        <v>0.0</v>
      </c>
      <c r="I3082" s="15">
        <v>0.560116133908044</v>
      </c>
      <c r="J3082" s="15">
        <v>0.273408940944188</v>
      </c>
      <c r="K3082" s="12">
        <f>AVERAGE(I3082:I3086)</f>
        <v>0.3154265012</v>
      </c>
      <c r="L3082" s="18">
        <v>6153.0</v>
      </c>
      <c r="M3082" s="14">
        <f>STDEV(L3082:L3086)</f>
        <v>19977.05654</v>
      </c>
      <c r="N3082" s="15" t="b">
        <f t="shared" si="1"/>
        <v>0</v>
      </c>
    </row>
    <row r="3083" hidden="1">
      <c r="A3083" s="7" t="s">
        <v>625</v>
      </c>
      <c r="B3083" s="7" t="s">
        <v>519</v>
      </c>
      <c r="C3083" s="7">
        <v>0.5</v>
      </c>
      <c r="D3083" s="7">
        <v>0.1</v>
      </c>
      <c r="E3083" s="7">
        <v>7.0</v>
      </c>
      <c r="F3083" s="7">
        <v>261438.45792675</v>
      </c>
      <c r="G3083" s="7">
        <v>261614.451542615</v>
      </c>
      <c r="H3083" s="7">
        <v>1.0</v>
      </c>
      <c r="I3083" s="15">
        <v>0.0413763075844084</v>
      </c>
      <c r="J3083" s="15">
        <v>0.0421206573282494</v>
      </c>
      <c r="K3083" s="12">
        <f>AVERAGE(I3082:I3086)</f>
        <v>0.3154265012</v>
      </c>
      <c r="L3083" s="18">
        <v>23167.0</v>
      </c>
      <c r="M3083" s="14">
        <f>STDEV(L3082:L3086)</f>
        <v>19977.05654</v>
      </c>
      <c r="N3083" s="15" t="b">
        <f t="shared" si="1"/>
        <v>0</v>
      </c>
    </row>
    <row r="3084" hidden="1">
      <c r="A3084" s="7" t="s">
        <v>625</v>
      </c>
      <c r="B3084" s="7" t="s">
        <v>519</v>
      </c>
      <c r="C3084" s="7">
        <v>0.5</v>
      </c>
      <c r="D3084" s="7">
        <v>0.1</v>
      </c>
      <c r="E3084" s="7">
        <v>7.0</v>
      </c>
      <c r="F3084" s="7">
        <v>261438.45792675</v>
      </c>
      <c r="G3084" s="7">
        <v>261614.451542615</v>
      </c>
      <c r="H3084" s="7">
        <v>2.0</v>
      </c>
      <c r="I3084" s="15">
        <v>0.0774274825167191</v>
      </c>
      <c r="J3084" s="15">
        <v>0.329153048614428</v>
      </c>
      <c r="K3084" s="12">
        <f>AVERAGE(I3082:I3086)</f>
        <v>0.3154265012</v>
      </c>
      <c r="L3084" s="18">
        <v>50260.0</v>
      </c>
      <c r="M3084" s="14">
        <f>STDEV(L3082:L3086)</f>
        <v>19977.05654</v>
      </c>
      <c r="N3084" s="15" t="b">
        <f t="shared" si="1"/>
        <v>0</v>
      </c>
    </row>
    <row r="3085" hidden="1">
      <c r="A3085" s="7" t="s">
        <v>625</v>
      </c>
      <c r="B3085" s="7" t="s">
        <v>519</v>
      </c>
      <c r="C3085" s="7">
        <v>0.5</v>
      </c>
      <c r="D3085" s="7">
        <v>0.1</v>
      </c>
      <c r="E3085" s="7">
        <v>7.0</v>
      </c>
      <c r="F3085" s="7">
        <v>261438.45792675</v>
      </c>
      <c r="G3085" s="7">
        <v>261614.451542615</v>
      </c>
      <c r="H3085" s="7">
        <v>3.0</v>
      </c>
      <c r="I3085" s="15">
        <v>0.801045514124504</v>
      </c>
      <c r="J3085" s="15">
        <v>0.100616370185521</v>
      </c>
      <c r="K3085" s="12">
        <f>AVERAGE(I3082:I3086)</f>
        <v>0.3154265012</v>
      </c>
      <c r="L3085" s="18">
        <v>13987.0</v>
      </c>
      <c r="M3085" s="14">
        <f>STDEV(L3082:L3086)</f>
        <v>19977.05654</v>
      </c>
      <c r="N3085" s="15" t="b">
        <f t="shared" si="1"/>
        <v>0</v>
      </c>
    </row>
    <row r="3086" hidden="1">
      <c r="A3086" s="7" t="s">
        <v>625</v>
      </c>
      <c r="B3086" s="7" t="s">
        <v>519</v>
      </c>
      <c r="C3086" s="7">
        <v>0.5</v>
      </c>
      <c r="D3086" s="7">
        <v>0.1</v>
      </c>
      <c r="E3086" s="7">
        <v>7.0</v>
      </c>
      <c r="F3086" s="7">
        <v>261438.45792675</v>
      </c>
      <c r="G3086" s="7">
        <v>261614.451542615</v>
      </c>
      <c r="H3086" s="7">
        <v>4.0</v>
      </c>
      <c r="I3086" s="15">
        <v>0.0971670677935035</v>
      </c>
      <c r="J3086" s="15">
        <v>0.0316403479336801</v>
      </c>
      <c r="K3086" s="12">
        <f>AVERAGE(I3082:I3086)</f>
        <v>0.3154265012</v>
      </c>
      <c r="L3086" s="18">
        <v>48109.0</v>
      </c>
      <c r="M3086" s="14">
        <f>STDEV(L3082:L3086)</f>
        <v>19977.05654</v>
      </c>
      <c r="N3086" s="15" t="b">
        <f t="shared" si="1"/>
        <v>0</v>
      </c>
    </row>
    <row r="3087" hidden="1">
      <c r="A3087" s="7" t="s">
        <v>626</v>
      </c>
      <c r="B3087" s="7" t="s">
        <v>519</v>
      </c>
      <c r="C3087" s="7">
        <v>0.5</v>
      </c>
      <c r="D3087" s="7">
        <v>0.1</v>
      </c>
      <c r="E3087" s="7">
        <v>8.0</v>
      </c>
      <c r="F3087" s="7">
        <v>337126.117484569</v>
      </c>
      <c r="G3087" s="7">
        <v>337286.652956724</v>
      </c>
      <c r="H3087" s="7">
        <v>0.0</v>
      </c>
      <c r="I3087" s="15">
        <v>0.103923451930093</v>
      </c>
      <c r="J3087" s="15">
        <v>0.0467330801050965</v>
      </c>
      <c r="K3087" s="12">
        <f>AVERAGE(I3087:I3091)</f>
        <v>0.2557111502</v>
      </c>
      <c r="L3087" s="18">
        <v>39728.0</v>
      </c>
      <c r="M3087" s="14">
        <f>STDEV(L3087:L3091)</f>
        <v>15209.9637</v>
      </c>
      <c r="N3087" s="15" t="b">
        <f t="shared" si="1"/>
        <v>0</v>
      </c>
    </row>
    <row r="3088" hidden="1">
      <c r="A3088" s="7" t="s">
        <v>626</v>
      </c>
      <c r="B3088" s="7" t="s">
        <v>519</v>
      </c>
      <c r="C3088" s="7">
        <v>0.5</v>
      </c>
      <c r="D3088" s="7">
        <v>0.1</v>
      </c>
      <c r="E3088" s="7">
        <v>8.0</v>
      </c>
      <c r="F3088" s="7">
        <v>337126.117484569</v>
      </c>
      <c r="G3088" s="7">
        <v>337286.652956724</v>
      </c>
      <c r="H3088" s="7">
        <v>1.0</v>
      </c>
      <c r="I3088" s="15">
        <v>-0.0651889749640701</v>
      </c>
      <c r="J3088" s="15">
        <v>0.244392734830585</v>
      </c>
      <c r="K3088" s="12">
        <f>AVERAGE(I3087:I3091)</f>
        <v>0.2557111502</v>
      </c>
      <c r="L3088" s="18">
        <v>48952.0</v>
      </c>
      <c r="M3088" s="14">
        <f>STDEV(L3087:L3091)</f>
        <v>15209.9637</v>
      </c>
      <c r="N3088" s="15" t="b">
        <f t="shared" si="1"/>
        <v>0</v>
      </c>
    </row>
    <row r="3089" hidden="1">
      <c r="A3089" s="7" t="s">
        <v>626</v>
      </c>
      <c r="B3089" s="7" t="s">
        <v>519</v>
      </c>
      <c r="C3089" s="7">
        <v>0.5</v>
      </c>
      <c r="D3089" s="7">
        <v>0.1</v>
      </c>
      <c r="E3089" s="7">
        <v>8.0</v>
      </c>
      <c r="F3089" s="7">
        <v>337126.117484569</v>
      </c>
      <c r="G3089" s="7">
        <v>337286.652956724</v>
      </c>
      <c r="H3089" s="7">
        <v>2.0</v>
      </c>
      <c r="I3089" s="15">
        <v>0.801831361820789</v>
      </c>
      <c r="J3089" s="15">
        <v>0.0996315005855416</v>
      </c>
      <c r="K3089" s="12">
        <f>AVERAGE(I3087:I3091)</f>
        <v>0.2557111502</v>
      </c>
      <c r="L3089" s="18">
        <v>13987.0</v>
      </c>
      <c r="M3089" s="14">
        <f>STDEV(L3087:L3091)</f>
        <v>15209.9637</v>
      </c>
      <c r="N3089" s="15" t="b">
        <f t="shared" si="1"/>
        <v>0</v>
      </c>
    </row>
    <row r="3090" hidden="1">
      <c r="A3090" s="7" t="s">
        <v>626</v>
      </c>
      <c r="B3090" s="7" t="s">
        <v>519</v>
      </c>
      <c r="C3090" s="7">
        <v>0.5</v>
      </c>
      <c r="D3090" s="7">
        <v>0.1</v>
      </c>
      <c r="E3090" s="7">
        <v>8.0</v>
      </c>
      <c r="F3090" s="7">
        <v>337126.117484569</v>
      </c>
      <c r="G3090" s="7">
        <v>337286.652956724</v>
      </c>
      <c r="H3090" s="7">
        <v>3.0</v>
      </c>
      <c r="I3090" s="15">
        <v>0.0688498877501263</v>
      </c>
      <c r="J3090" s="15">
        <v>0.0722829538818565</v>
      </c>
      <c r="K3090" s="12">
        <f>AVERAGE(I3087:I3091)</f>
        <v>0.2557111502</v>
      </c>
      <c r="L3090" s="18">
        <v>17420.0</v>
      </c>
      <c r="M3090" s="14">
        <f>STDEV(L3087:L3091)</f>
        <v>15209.9637</v>
      </c>
      <c r="N3090" s="15" t="b">
        <f t="shared" si="1"/>
        <v>0</v>
      </c>
    </row>
    <row r="3091" hidden="1">
      <c r="A3091" s="7" t="s">
        <v>626</v>
      </c>
      <c r="B3091" s="7" t="s">
        <v>519</v>
      </c>
      <c r="C3091" s="7">
        <v>0.5</v>
      </c>
      <c r="D3091" s="7">
        <v>0.1</v>
      </c>
      <c r="E3091" s="7">
        <v>8.0</v>
      </c>
      <c r="F3091" s="7">
        <v>337126.117484569</v>
      </c>
      <c r="G3091" s="7">
        <v>337286.652956724</v>
      </c>
      <c r="H3091" s="7">
        <v>4.0</v>
      </c>
      <c r="I3091" s="15">
        <v>0.369140024657574</v>
      </c>
      <c r="J3091" s="15">
        <v>0.0878924183469898</v>
      </c>
      <c r="K3091" s="12">
        <f>AVERAGE(I3087:I3091)</f>
        <v>0.2557111502</v>
      </c>
      <c r="L3091" s="18">
        <v>21589.0</v>
      </c>
      <c r="M3091" s="14">
        <f>STDEV(L3087:L3091)</f>
        <v>15209.9637</v>
      </c>
      <c r="N3091" s="15" t="b">
        <f t="shared" si="1"/>
        <v>0</v>
      </c>
    </row>
    <row r="3092" hidden="1">
      <c r="A3092" s="7" t="s">
        <v>627</v>
      </c>
      <c r="B3092" s="7" t="s">
        <v>519</v>
      </c>
      <c r="C3092" s="7">
        <v>0.5</v>
      </c>
      <c r="D3092" s="7">
        <v>0.1</v>
      </c>
      <c r="E3092" s="7">
        <v>9.0</v>
      </c>
      <c r="F3092" s="7">
        <v>74002.139065504</v>
      </c>
      <c r="G3092" s="7">
        <v>74152.869538784</v>
      </c>
      <c r="H3092" s="7">
        <v>0.0</v>
      </c>
      <c r="I3092" s="15">
        <v>-0.0258178744977326</v>
      </c>
      <c r="J3092" s="15">
        <v>0.211978168144632</v>
      </c>
      <c r="K3092" s="12">
        <f>AVERAGE(I3092:I3096)</f>
        <v>0.4293433309</v>
      </c>
      <c r="L3092" s="18">
        <v>78533.0</v>
      </c>
      <c r="M3092" s="14">
        <f>STDEV(L3092:L3096)</f>
        <v>31071.46005</v>
      </c>
      <c r="N3092" s="15" t="b">
        <f t="shared" si="1"/>
        <v>0</v>
      </c>
    </row>
    <row r="3093" hidden="1">
      <c r="A3093" s="7" t="s">
        <v>627</v>
      </c>
      <c r="B3093" s="7" t="s">
        <v>519</v>
      </c>
      <c r="C3093" s="7">
        <v>0.5</v>
      </c>
      <c r="D3093" s="7">
        <v>0.1</v>
      </c>
      <c r="E3093" s="7">
        <v>9.0</v>
      </c>
      <c r="F3093" s="7">
        <v>74002.139065504</v>
      </c>
      <c r="G3093" s="7">
        <v>74152.869538784</v>
      </c>
      <c r="H3093" s="7">
        <v>1.0</v>
      </c>
      <c r="I3093" s="15">
        <v>0.824093839624416</v>
      </c>
      <c r="J3093" s="15">
        <v>0.0962285499642719</v>
      </c>
      <c r="K3093" s="12">
        <f>AVERAGE(I3092:I3096)</f>
        <v>0.4293433309</v>
      </c>
      <c r="L3093" s="18">
        <v>4628.0</v>
      </c>
      <c r="M3093" s="14">
        <f>STDEV(L3092:L3096)</f>
        <v>31071.46005</v>
      </c>
      <c r="N3093" s="15" t="b">
        <f t="shared" si="1"/>
        <v>0</v>
      </c>
    </row>
    <row r="3094" hidden="1">
      <c r="A3094" s="7" t="s">
        <v>627</v>
      </c>
      <c r="B3094" s="7" t="s">
        <v>519</v>
      </c>
      <c r="C3094" s="7">
        <v>0.5</v>
      </c>
      <c r="D3094" s="7">
        <v>0.1</v>
      </c>
      <c r="E3094" s="7">
        <v>9.0</v>
      </c>
      <c r="F3094" s="7">
        <v>74002.139065504</v>
      </c>
      <c r="G3094" s="7">
        <v>74152.869538784</v>
      </c>
      <c r="H3094" s="7">
        <v>2.0</v>
      </c>
      <c r="I3094" s="15">
        <v>0.347400643372546</v>
      </c>
      <c r="J3094" s="15">
        <v>0.181500099277004</v>
      </c>
      <c r="K3094" s="12">
        <f>AVERAGE(I3092:I3096)</f>
        <v>0.4293433309</v>
      </c>
      <c r="L3094" s="18">
        <v>9311.0</v>
      </c>
      <c r="M3094" s="14">
        <f>STDEV(L3092:L3096)</f>
        <v>31071.46005</v>
      </c>
      <c r="N3094" s="15" t="b">
        <f t="shared" si="1"/>
        <v>0</v>
      </c>
    </row>
    <row r="3095" hidden="1">
      <c r="A3095" s="7" t="s">
        <v>627</v>
      </c>
      <c r="B3095" s="7" t="s">
        <v>519</v>
      </c>
      <c r="C3095" s="7">
        <v>0.5</v>
      </c>
      <c r="D3095" s="7">
        <v>0.1</v>
      </c>
      <c r="E3095" s="7">
        <v>9.0</v>
      </c>
      <c r="F3095" s="7">
        <v>74002.139065504</v>
      </c>
      <c r="G3095" s="7">
        <v>74152.869538784</v>
      </c>
      <c r="H3095" s="7">
        <v>3.0</v>
      </c>
      <c r="I3095" s="15">
        <v>0.220717033476181</v>
      </c>
      <c r="J3095" s="15">
        <v>0.087035473399575</v>
      </c>
      <c r="K3095" s="12">
        <f>AVERAGE(I3092:I3096)</f>
        <v>0.4293433309</v>
      </c>
      <c r="L3095" s="18">
        <v>38568.0</v>
      </c>
      <c r="M3095" s="14">
        <f>STDEV(L3092:L3096)</f>
        <v>31071.46005</v>
      </c>
      <c r="N3095" s="15" t="b">
        <f t="shared" si="1"/>
        <v>0</v>
      </c>
    </row>
    <row r="3096" hidden="1">
      <c r="A3096" s="7" t="s">
        <v>627</v>
      </c>
      <c r="B3096" s="7" t="s">
        <v>519</v>
      </c>
      <c r="C3096" s="7">
        <v>0.5</v>
      </c>
      <c r="D3096" s="7">
        <v>0.1</v>
      </c>
      <c r="E3096" s="7">
        <v>9.0</v>
      </c>
      <c r="F3096" s="7">
        <v>74002.139065504</v>
      </c>
      <c r="G3096" s="7">
        <v>74152.869538784</v>
      </c>
      <c r="H3096" s="7">
        <v>4.0</v>
      </c>
      <c r="I3096" s="15">
        <v>0.780323012696543</v>
      </c>
      <c r="J3096" s="15">
        <v>0.119926227557695</v>
      </c>
      <c r="K3096" s="12">
        <f>AVERAGE(I3092:I3096)</f>
        <v>0.4293433309</v>
      </c>
      <c r="L3096" s="18">
        <v>10636.0</v>
      </c>
      <c r="M3096" s="14">
        <f>STDEV(L3092:L3096)</f>
        <v>31071.46005</v>
      </c>
      <c r="N3096" s="15" t="b">
        <f t="shared" si="1"/>
        <v>0</v>
      </c>
    </row>
    <row r="3097" hidden="1">
      <c r="A3097" s="7" t="s">
        <v>628</v>
      </c>
      <c r="B3097" s="7" t="s">
        <v>519</v>
      </c>
      <c r="C3097" s="7">
        <v>0.5</v>
      </c>
      <c r="D3097" s="7">
        <v>0.1</v>
      </c>
      <c r="E3097" s="7">
        <v>10.0</v>
      </c>
      <c r="F3097" s="7">
        <v>36860.7056384086</v>
      </c>
      <c r="G3097" s="7">
        <v>37046.4657876491</v>
      </c>
      <c r="H3097" s="7">
        <v>0.0</v>
      </c>
      <c r="I3097" s="15">
        <v>0.421035262040969</v>
      </c>
      <c r="J3097" s="15">
        <v>0.290391563666644</v>
      </c>
      <c r="K3097" s="12">
        <f>AVERAGE(I3097:I3101)</f>
        <v>0.4894165507</v>
      </c>
      <c r="L3097" s="18">
        <v>6520.0</v>
      </c>
      <c r="M3097" s="14">
        <f>STDEV(L3097:L3101)</f>
        <v>45324.26693</v>
      </c>
      <c r="N3097" s="15" t="b">
        <f t="shared" si="1"/>
        <v>0</v>
      </c>
    </row>
    <row r="3098" hidden="1">
      <c r="A3098" s="7" t="s">
        <v>628</v>
      </c>
      <c r="B3098" s="7" t="s">
        <v>519</v>
      </c>
      <c r="C3098" s="7">
        <v>0.5</v>
      </c>
      <c r="D3098" s="7">
        <v>0.1</v>
      </c>
      <c r="E3098" s="7">
        <v>10.0</v>
      </c>
      <c r="F3098" s="7">
        <v>36860.7056384086</v>
      </c>
      <c r="G3098" s="7">
        <v>37046.4657876491</v>
      </c>
      <c r="H3098" s="7">
        <v>1.0</v>
      </c>
      <c r="I3098" s="15">
        <v>0.763061977888923</v>
      </c>
      <c r="J3098" s="15">
        <v>0.140412973167417</v>
      </c>
      <c r="K3098" s="12">
        <f>AVERAGE(I3097:I3101)</f>
        <v>0.4894165507</v>
      </c>
      <c r="L3098" s="18">
        <v>7830.0</v>
      </c>
      <c r="M3098" s="14">
        <f>STDEV(L3097:L3101)</f>
        <v>45324.26693</v>
      </c>
      <c r="N3098" s="15" t="b">
        <f t="shared" si="1"/>
        <v>0</v>
      </c>
    </row>
    <row r="3099" hidden="1">
      <c r="A3099" s="7" t="s">
        <v>628</v>
      </c>
      <c r="B3099" s="7" t="s">
        <v>519</v>
      </c>
      <c r="C3099" s="7">
        <v>0.5</v>
      </c>
      <c r="D3099" s="7">
        <v>0.1</v>
      </c>
      <c r="E3099" s="7">
        <v>10.0</v>
      </c>
      <c r="F3099" s="7">
        <v>36860.7056384086</v>
      </c>
      <c r="G3099" s="7">
        <v>37046.4657876491</v>
      </c>
      <c r="H3099" s="7">
        <v>2.0</v>
      </c>
      <c r="I3099" s="15">
        <v>0.04930267313253</v>
      </c>
      <c r="J3099" s="15">
        <v>0.154318015525928</v>
      </c>
      <c r="K3099" s="12">
        <f>AVERAGE(I3097:I3101)</f>
        <v>0.4894165507</v>
      </c>
      <c r="L3099" s="18">
        <v>109128.0</v>
      </c>
      <c r="M3099" s="14">
        <f>STDEV(L3097:L3101)</f>
        <v>45324.26693</v>
      </c>
      <c r="N3099" s="15" t="b">
        <f t="shared" si="1"/>
        <v>0</v>
      </c>
    </row>
    <row r="3100" hidden="1">
      <c r="A3100" s="7" t="s">
        <v>628</v>
      </c>
      <c r="B3100" s="7" t="s">
        <v>519</v>
      </c>
      <c r="C3100" s="7">
        <v>0.5</v>
      </c>
      <c r="D3100" s="7">
        <v>0.1</v>
      </c>
      <c r="E3100" s="7">
        <v>10.0</v>
      </c>
      <c r="F3100" s="7">
        <v>36860.7056384086</v>
      </c>
      <c r="G3100" s="7">
        <v>37046.4657876491</v>
      </c>
      <c r="H3100" s="7">
        <v>3.0</v>
      </c>
      <c r="I3100" s="15">
        <v>0.372983583227398</v>
      </c>
      <c r="J3100" s="15">
        <v>0.178946263624129</v>
      </c>
      <c r="K3100" s="12">
        <f>AVERAGE(I3097:I3101)</f>
        <v>0.4894165507</v>
      </c>
      <c r="L3100" s="18">
        <v>14259.0</v>
      </c>
      <c r="M3100" s="14">
        <f>STDEV(L3097:L3101)</f>
        <v>45324.26693</v>
      </c>
      <c r="N3100" s="15" t="b">
        <f t="shared" si="1"/>
        <v>0</v>
      </c>
    </row>
    <row r="3101" hidden="1">
      <c r="A3101" s="7" t="s">
        <v>628</v>
      </c>
      <c r="B3101" s="7" t="s">
        <v>519</v>
      </c>
      <c r="C3101" s="7">
        <v>0.5</v>
      </c>
      <c r="D3101" s="7">
        <v>0.1</v>
      </c>
      <c r="E3101" s="7">
        <v>10.0</v>
      </c>
      <c r="F3101" s="7">
        <v>36860.7056384086</v>
      </c>
      <c r="G3101" s="7">
        <v>37046.4657876491</v>
      </c>
      <c r="H3101" s="7">
        <v>4.0</v>
      </c>
      <c r="I3101" s="15">
        <v>0.840699257091051</v>
      </c>
      <c r="J3101" s="15">
        <v>0.0996598665665088</v>
      </c>
      <c r="K3101" s="12">
        <f>AVERAGE(I3097:I3101)</f>
        <v>0.4894165507</v>
      </c>
      <c r="L3101" s="18">
        <v>3939.0</v>
      </c>
      <c r="M3101" s="14">
        <f>STDEV(L3097:L3101)</f>
        <v>45324.26693</v>
      </c>
      <c r="N3101" s="15" t="b">
        <f t="shared" si="1"/>
        <v>0</v>
      </c>
    </row>
    <row r="3102" hidden="1">
      <c r="A3102" s="7" t="s">
        <v>629</v>
      </c>
      <c r="B3102" s="7" t="s">
        <v>519</v>
      </c>
      <c r="C3102" s="7">
        <v>0.5</v>
      </c>
      <c r="D3102" s="7">
        <v>0.25</v>
      </c>
      <c r="E3102" s="7">
        <v>1.0</v>
      </c>
      <c r="F3102" s="7">
        <v>181579.707087278</v>
      </c>
      <c r="G3102" s="7">
        <v>181752.080298185</v>
      </c>
      <c r="H3102" s="7">
        <v>0.0</v>
      </c>
      <c r="I3102" s="15">
        <v>-0.0529808895679276</v>
      </c>
      <c r="J3102" s="15">
        <v>0.259906442562293</v>
      </c>
      <c r="K3102" s="12">
        <f>AVERAGE(I3102:I3106)</f>
        <v>0.3642254947</v>
      </c>
      <c r="L3102" s="18">
        <v>77441.0</v>
      </c>
      <c r="M3102" s="14">
        <f>STDEV(L3102:L3106)</f>
        <v>29621.82499</v>
      </c>
      <c r="N3102" s="15" t="b">
        <f t="shared" si="1"/>
        <v>0</v>
      </c>
    </row>
    <row r="3103" hidden="1">
      <c r="A3103" s="7" t="s">
        <v>629</v>
      </c>
      <c r="B3103" s="7" t="s">
        <v>519</v>
      </c>
      <c r="C3103" s="7">
        <v>0.5</v>
      </c>
      <c r="D3103" s="7">
        <v>0.25</v>
      </c>
      <c r="E3103" s="7">
        <v>1.0</v>
      </c>
      <c r="F3103" s="7">
        <v>181579.707087278</v>
      </c>
      <c r="G3103" s="7">
        <v>181752.080298185</v>
      </c>
      <c r="H3103" s="7">
        <v>1.0</v>
      </c>
      <c r="I3103" s="15">
        <v>0.772670084729417</v>
      </c>
      <c r="J3103" s="15">
        <v>0.120445185710669</v>
      </c>
      <c r="K3103" s="12">
        <f>AVERAGE(I3102:I3106)</f>
        <v>0.3642254947</v>
      </c>
      <c r="L3103" s="18">
        <v>9104.0</v>
      </c>
      <c r="M3103" s="14">
        <f>STDEV(L3102:L3106)</f>
        <v>29621.82499</v>
      </c>
      <c r="N3103" s="15" t="b">
        <f t="shared" si="1"/>
        <v>0</v>
      </c>
    </row>
    <row r="3104" hidden="1">
      <c r="A3104" s="7" t="s">
        <v>629</v>
      </c>
      <c r="B3104" s="7" t="s">
        <v>519</v>
      </c>
      <c r="C3104" s="7">
        <v>0.5</v>
      </c>
      <c r="D3104" s="7">
        <v>0.25</v>
      </c>
      <c r="E3104" s="7">
        <v>1.0</v>
      </c>
      <c r="F3104" s="7">
        <v>181579.707087278</v>
      </c>
      <c r="G3104" s="7">
        <v>181752.080298185</v>
      </c>
      <c r="H3104" s="7">
        <v>2.0</v>
      </c>
      <c r="I3104" s="15">
        <v>0.124411033820789</v>
      </c>
      <c r="J3104" s="15">
        <v>0.0853157497820727</v>
      </c>
      <c r="K3104" s="12">
        <f>AVERAGE(I3102:I3106)</f>
        <v>0.3642254947</v>
      </c>
      <c r="L3104" s="18">
        <v>6931.0</v>
      </c>
      <c r="M3104" s="14">
        <f>STDEV(L3102:L3106)</f>
        <v>29621.82499</v>
      </c>
      <c r="N3104" s="15" t="b">
        <f t="shared" si="1"/>
        <v>0</v>
      </c>
    </row>
    <row r="3105" hidden="1">
      <c r="A3105" s="7" t="s">
        <v>629</v>
      </c>
      <c r="B3105" s="7" t="s">
        <v>519</v>
      </c>
      <c r="C3105" s="7">
        <v>0.5</v>
      </c>
      <c r="D3105" s="7">
        <v>0.25</v>
      </c>
      <c r="E3105" s="7">
        <v>1.0</v>
      </c>
      <c r="F3105" s="7">
        <v>181579.707087278</v>
      </c>
      <c r="G3105" s="7">
        <v>181752.080298185</v>
      </c>
      <c r="H3105" s="7">
        <v>3.0</v>
      </c>
      <c r="I3105" s="15">
        <v>0.164235550758156</v>
      </c>
      <c r="J3105" s="15">
        <v>0.0748936656342423</v>
      </c>
      <c r="K3105" s="12">
        <f>AVERAGE(I3102:I3106)</f>
        <v>0.3642254947</v>
      </c>
      <c r="L3105" s="18">
        <v>34930.0</v>
      </c>
      <c r="M3105" s="14">
        <f>STDEV(L3102:L3106)</f>
        <v>29621.82499</v>
      </c>
      <c r="N3105" s="15" t="b">
        <f t="shared" si="1"/>
        <v>0</v>
      </c>
    </row>
    <row r="3106" hidden="1">
      <c r="A3106" s="7" t="s">
        <v>629</v>
      </c>
      <c r="B3106" s="7" t="s">
        <v>519</v>
      </c>
      <c r="C3106" s="7">
        <v>0.5</v>
      </c>
      <c r="D3106" s="7">
        <v>0.25</v>
      </c>
      <c r="E3106" s="7">
        <v>1.0</v>
      </c>
      <c r="F3106" s="7">
        <v>181579.707087278</v>
      </c>
      <c r="G3106" s="7">
        <v>181752.080298185</v>
      </c>
      <c r="H3106" s="7">
        <v>4.0</v>
      </c>
      <c r="I3106" s="15">
        <v>0.812791693666547</v>
      </c>
      <c r="J3106" s="15">
        <v>0.094664406966558</v>
      </c>
      <c r="K3106" s="12">
        <f>AVERAGE(I3102:I3106)</f>
        <v>0.3642254947</v>
      </c>
      <c r="L3106" s="18">
        <v>13270.0</v>
      </c>
      <c r="M3106" s="14">
        <f>STDEV(L3102:L3106)</f>
        <v>29621.82499</v>
      </c>
      <c r="N3106" s="15" t="b">
        <f t="shared" si="1"/>
        <v>0</v>
      </c>
    </row>
    <row r="3107" hidden="1">
      <c r="A3107" s="7" t="s">
        <v>630</v>
      </c>
      <c r="B3107" s="7" t="s">
        <v>519</v>
      </c>
      <c r="C3107" s="7">
        <v>0.5</v>
      </c>
      <c r="D3107" s="7">
        <v>0.25</v>
      </c>
      <c r="E3107" s="7">
        <v>2.0</v>
      </c>
      <c r="F3107" s="7">
        <v>62602.8082847595</v>
      </c>
      <c r="G3107" s="7">
        <v>62744.1316764354</v>
      </c>
      <c r="H3107" s="7">
        <v>0.0</v>
      </c>
      <c r="I3107" s="15">
        <v>0.627325284390028</v>
      </c>
      <c r="J3107" s="15">
        <v>0.225048421360503</v>
      </c>
      <c r="K3107" s="12">
        <f>AVERAGE(I3107:I3111)</f>
        <v>0.5674874695</v>
      </c>
      <c r="L3107" s="18">
        <v>11291.0</v>
      </c>
      <c r="M3107" s="14">
        <f>STDEV(L3107:L3111)</f>
        <v>43045.76449</v>
      </c>
      <c r="N3107" s="15" t="b">
        <f t="shared" si="1"/>
        <v>0</v>
      </c>
    </row>
    <row r="3108" hidden="1">
      <c r="A3108" s="7" t="s">
        <v>630</v>
      </c>
      <c r="B3108" s="7" t="s">
        <v>519</v>
      </c>
      <c r="C3108" s="7">
        <v>0.5</v>
      </c>
      <c r="D3108" s="7">
        <v>0.25</v>
      </c>
      <c r="E3108" s="7">
        <v>2.0</v>
      </c>
      <c r="F3108" s="7">
        <v>62602.8082847595</v>
      </c>
      <c r="G3108" s="7">
        <v>62744.1316764354</v>
      </c>
      <c r="H3108" s="7">
        <v>1.0</v>
      </c>
      <c r="I3108" s="15">
        <v>0.567071408958496</v>
      </c>
      <c r="J3108" s="15">
        <v>0.273605397131311</v>
      </c>
      <c r="K3108" s="12">
        <f>AVERAGE(I3107:I3111)</f>
        <v>0.5674874695</v>
      </c>
      <c r="L3108" s="18">
        <v>9252.0</v>
      </c>
      <c r="M3108" s="14">
        <f>STDEV(L3107:L3111)</f>
        <v>43045.76449</v>
      </c>
      <c r="N3108" s="15" t="b">
        <f t="shared" si="1"/>
        <v>0</v>
      </c>
    </row>
    <row r="3109" hidden="1">
      <c r="A3109" s="7" t="s">
        <v>630</v>
      </c>
      <c r="B3109" s="7" t="s">
        <v>519</v>
      </c>
      <c r="C3109" s="7">
        <v>0.5</v>
      </c>
      <c r="D3109" s="7">
        <v>0.25</v>
      </c>
      <c r="E3109" s="7">
        <v>2.0</v>
      </c>
      <c r="F3109" s="7">
        <v>62602.8082847595</v>
      </c>
      <c r="G3109" s="7">
        <v>62744.1316764354</v>
      </c>
      <c r="H3109" s="7">
        <v>2.0</v>
      </c>
      <c r="I3109" s="15">
        <v>-0.0326335974928944</v>
      </c>
      <c r="J3109" s="15">
        <v>0.245022582065097</v>
      </c>
      <c r="K3109" s="12">
        <f>AVERAGE(I3107:I3111)</f>
        <v>0.5674874695</v>
      </c>
      <c r="L3109" s="18">
        <v>105009.0</v>
      </c>
      <c r="M3109" s="14">
        <f>STDEV(L3107:L3111)</f>
        <v>43045.76449</v>
      </c>
      <c r="N3109" s="15" t="b">
        <f t="shared" si="1"/>
        <v>0</v>
      </c>
    </row>
    <row r="3110" hidden="1">
      <c r="A3110" s="7" t="s">
        <v>630</v>
      </c>
      <c r="B3110" s="7" t="s">
        <v>519</v>
      </c>
      <c r="C3110" s="7">
        <v>0.5</v>
      </c>
      <c r="D3110" s="7">
        <v>0.25</v>
      </c>
      <c r="E3110" s="7">
        <v>2.0</v>
      </c>
      <c r="F3110" s="7">
        <v>62602.8082847595</v>
      </c>
      <c r="G3110" s="7">
        <v>62744.1316764354</v>
      </c>
      <c r="H3110" s="7">
        <v>3.0</v>
      </c>
      <c r="I3110" s="15">
        <v>0.867605906185746</v>
      </c>
      <c r="J3110" s="15">
        <v>0.110599749768837</v>
      </c>
      <c r="K3110" s="12">
        <f>AVERAGE(I3107:I3111)</f>
        <v>0.5674874695</v>
      </c>
      <c r="L3110" s="18">
        <v>2761.0</v>
      </c>
      <c r="M3110" s="14">
        <f>STDEV(L3107:L3111)</f>
        <v>43045.76449</v>
      </c>
      <c r="N3110" s="15" t="b">
        <f t="shared" si="1"/>
        <v>0</v>
      </c>
    </row>
    <row r="3111" hidden="1">
      <c r="A3111" s="7" t="s">
        <v>630</v>
      </c>
      <c r="B3111" s="7" t="s">
        <v>519</v>
      </c>
      <c r="C3111" s="7">
        <v>0.5</v>
      </c>
      <c r="D3111" s="7">
        <v>0.25</v>
      </c>
      <c r="E3111" s="7">
        <v>2.0</v>
      </c>
      <c r="F3111" s="7">
        <v>62602.8082847595</v>
      </c>
      <c r="G3111" s="7">
        <v>62744.1316764354</v>
      </c>
      <c r="H3111" s="7">
        <v>4.0</v>
      </c>
      <c r="I3111" s="15">
        <v>0.808068345548969</v>
      </c>
      <c r="J3111" s="15">
        <v>0.104321303754069</v>
      </c>
      <c r="K3111" s="12">
        <f>AVERAGE(I3107:I3111)</f>
        <v>0.5674874695</v>
      </c>
      <c r="L3111" s="18">
        <v>13363.0</v>
      </c>
      <c r="M3111" s="14">
        <f>STDEV(L3107:L3111)</f>
        <v>43045.76449</v>
      </c>
      <c r="N3111" s="15" t="b">
        <f t="shared" si="1"/>
        <v>0</v>
      </c>
    </row>
    <row r="3112" hidden="1">
      <c r="A3112" s="7" t="s">
        <v>631</v>
      </c>
      <c r="B3112" s="7" t="s">
        <v>519</v>
      </c>
      <c r="C3112" s="7">
        <v>0.5</v>
      </c>
      <c r="D3112" s="7">
        <v>0.25</v>
      </c>
      <c r="E3112" s="7">
        <v>3.0</v>
      </c>
      <c r="F3112" s="7">
        <v>122435.831159114</v>
      </c>
      <c r="G3112" s="7">
        <v>122610.307131528</v>
      </c>
      <c r="H3112" s="7">
        <v>0.0</v>
      </c>
      <c r="I3112" s="15">
        <v>0.201653982975927</v>
      </c>
      <c r="J3112" s="15">
        <v>0.0953449893073635</v>
      </c>
      <c r="K3112" s="12">
        <f>AVERAGE(I3112:I3116)</f>
        <v>0.295273972</v>
      </c>
      <c r="L3112" s="18">
        <v>4372.0</v>
      </c>
      <c r="M3112" s="14">
        <f>STDEV(L3112:L3116)</f>
        <v>41948.41751</v>
      </c>
      <c r="N3112" s="15" t="b">
        <f t="shared" si="1"/>
        <v>0</v>
      </c>
    </row>
    <row r="3113" hidden="1">
      <c r="A3113" s="7" t="s">
        <v>631</v>
      </c>
      <c r="B3113" s="7" t="s">
        <v>519</v>
      </c>
      <c r="C3113" s="7">
        <v>0.5</v>
      </c>
      <c r="D3113" s="7">
        <v>0.25</v>
      </c>
      <c r="E3113" s="7">
        <v>3.0</v>
      </c>
      <c r="F3113" s="7">
        <v>122435.831159114</v>
      </c>
      <c r="G3113" s="7">
        <v>122610.307131528</v>
      </c>
      <c r="H3113" s="7">
        <v>1.0</v>
      </c>
      <c r="I3113" s="15">
        <v>0.755013266241873</v>
      </c>
      <c r="J3113" s="15">
        <v>0.151982250152547</v>
      </c>
      <c r="K3113" s="12">
        <f>AVERAGE(I3112:I3116)</f>
        <v>0.295273972</v>
      </c>
      <c r="L3113" s="18">
        <v>3810.0</v>
      </c>
      <c r="M3113" s="14">
        <f>STDEV(L3112:L3116)</f>
        <v>41948.41751</v>
      </c>
      <c r="N3113" s="15" t="b">
        <f t="shared" si="1"/>
        <v>0</v>
      </c>
    </row>
    <row r="3114" hidden="1">
      <c r="A3114" s="7" t="s">
        <v>631</v>
      </c>
      <c r="B3114" s="7" t="s">
        <v>519</v>
      </c>
      <c r="C3114" s="7">
        <v>0.5</v>
      </c>
      <c r="D3114" s="7">
        <v>0.25</v>
      </c>
      <c r="E3114" s="7">
        <v>3.0</v>
      </c>
      <c r="F3114" s="7">
        <v>122435.831159114</v>
      </c>
      <c r="G3114" s="7">
        <v>122610.307131528</v>
      </c>
      <c r="H3114" s="7">
        <v>2.0</v>
      </c>
      <c r="I3114" s="15">
        <v>0.212607651601499</v>
      </c>
      <c r="J3114" s="15">
        <v>0.087785388391306</v>
      </c>
      <c r="K3114" s="12">
        <f>AVERAGE(I3112:I3116)</f>
        <v>0.295273972</v>
      </c>
      <c r="L3114" s="18">
        <v>5307.0</v>
      </c>
      <c r="M3114" s="14">
        <f>STDEV(L3112:L3116)</f>
        <v>41948.41751</v>
      </c>
      <c r="N3114" s="15" t="b">
        <f t="shared" si="1"/>
        <v>0</v>
      </c>
    </row>
    <row r="3115" hidden="1">
      <c r="A3115" s="7" t="s">
        <v>631</v>
      </c>
      <c r="B3115" s="7" t="s">
        <v>519</v>
      </c>
      <c r="C3115" s="7">
        <v>0.5</v>
      </c>
      <c r="D3115" s="7">
        <v>0.25</v>
      </c>
      <c r="E3115" s="7">
        <v>3.0</v>
      </c>
      <c r="F3115" s="7">
        <v>122435.831159114</v>
      </c>
      <c r="G3115" s="7">
        <v>122610.307131528</v>
      </c>
      <c r="H3115" s="7">
        <v>3.0</v>
      </c>
      <c r="I3115" s="15">
        <v>0.306316215295664</v>
      </c>
      <c r="J3115" s="15">
        <v>0.0835627921618716</v>
      </c>
      <c r="K3115" s="12">
        <f>AVERAGE(I3112:I3116)</f>
        <v>0.295273972</v>
      </c>
      <c r="L3115" s="18">
        <v>26842.0</v>
      </c>
      <c r="M3115" s="14">
        <f>STDEV(L3112:L3116)</f>
        <v>41948.41751</v>
      </c>
      <c r="N3115" s="15" t="b">
        <f t="shared" si="1"/>
        <v>0</v>
      </c>
    </row>
    <row r="3116" hidden="1">
      <c r="A3116" s="7" t="s">
        <v>631</v>
      </c>
      <c r="B3116" s="7" t="s">
        <v>519</v>
      </c>
      <c r="C3116" s="7">
        <v>0.5</v>
      </c>
      <c r="D3116" s="7">
        <v>0.25</v>
      </c>
      <c r="E3116" s="7">
        <v>3.0</v>
      </c>
      <c r="F3116" s="7">
        <v>122435.831159114</v>
      </c>
      <c r="G3116" s="7">
        <v>122610.307131528</v>
      </c>
      <c r="H3116" s="7">
        <v>4.0</v>
      </c>
      <c r="I3116" s="15">
        <v>7.78743865980246E-4</v>
      </c>
      <c r="J3116" s="15">
        <v>0.170988837600053</v>
      </c>
      <c r="K3116" s="12">
        <f>AVERAGE(I3112:I3116)</f>
        <v>0.295273972</v>
      </c>
      <c r="L3116" s="18">
        <v>101345.0</v>
      </c>
      <c r="M3116" s="14">
        <f>STDEV(L3112:L3116)</f>
        <v>41948.41751</v>
      </c>
      <c r="N3116" s="15" t="b">
        <f t="shared" si="1"/>
        <v>0</v>
      </c>
    </row>
    <row r="3117" hidden="1">
      <c r="A3117" s="7" t="s">
        <v>632</v>
      </c>
      <c r="B3117" s="7" t="s">
        <v>519</v>
      </c>
      <c r="C3117" s="7">
        <v>0.5</v>
      </c>
      <c r="D3117" s="7">
        <v>0.25</v>
      </c>
      <c r="E3117" s="7">
        <v>4.0</v>
      </c>
      <c r="F3117" s="7">
        <v>174060.708773136</v>
      </c>
      <c r="G3117" s="7">
        <v>174192.792241096</v>
      </c>
      <c r="H3117" s="7">
        <v>0.0</v>
      </c>
      <c r="I3117" s="15">
        <v>0.150119601698908</v>
      </c>
      <c r="J3117" s="15">
        <v>0.0925997795236149</v>
      </c>
      <c r="K3117" s="12">
        <f>AVERAGE(I3117:I3121)</f>
        <v>0.3885444883</v>
      </c>
      <c r="L3117" s="18">
        <v>5688.0</v>
      </c>
      <c r="M3117" s="14">
        <f>STDEV(L3117:L3121)</f>
        <v>35258.60039</v>
      </c>
      <c r="N3117" s="15" t="b">
        <f t="shared" si="1"/>
        <v>0</v>
      </c>
    </row>
    <row r="3118" hidden="1">
      <c r="A3118" s="7" t="s">
        <v>632</v>
      </c>
      <c r="B3118" s="7" t="s">
        <v>519</v>
      </c>
      <c r="C3118" s="7">
        <v>0.5</v>
      </c>
      <c r="D3118" s="7">
        <v>0.25</v>
      </c>
      <c r="E3118" s="7">
        <v>4.0</v>
      </c>
      <c r="F3118" s="7">
        <v>174060.708773136</v>
      </c>
      <c r="G3118" s="7">
        <v>174192.792241096</v>
      </c>
      <c r="H3118" s="7">
        <v>1.0</v>
      </c>
      <c r="I3118" s="15">
        <v>0.813641073604949</v>
      </c>
      <c r="J3118" s="15">
        <v>0.0951592956297708</v>
      </c>
      <c r="K3118" s="12">
        <f>AVERAGE(I3117:I3121)</f>
        <v>0.3885444883</v>
      </c>
      <c r="L3118" s="18">
        <v>13264.0</v>
      </c>
      <c r="M3118" s="14">
        <f>STDEV(L3117:L3121)</f>
        <v>35258.60039</v>
      </c>
      <c r="N3118" s="15" t="b">
        <f t="shared" si="1"/>
        <v>0</v>
      </c>
    </row>
    <row r="3119" hidden="1">
      <c r="A3119" s="7" t="s">
        <v>632</v>
      </c>
      <c r="B3119" s="7" t="s">
        <v>519</v>
      </c>
      <c r="C3119" s="7">
        <v>0.5</v>
      </c>
      <c r="D3119" s="7">
        <v>0.25</v>
      </c>
      <c r="E3119" s="7">
        <v>4.0</v>
      </c>
      <c r="F3119" s="7">
        <v>174060.708773136</v>
      </c>
      <c r="G3119" s="7">
        <v>174192.792241096</v>
      </c>
      <c r="H3119" s="7">
        <v>2.0</v>
      </c>
      <c r="I3119" s="15">
        <v>0.266043453710282</v>
      </c>
      <c r="J3119" s="15">
        <v>0.110499907610148</v>
      </c>
      <c r="K3119" s="12">
        <f>AVERAGE(I3117:I3121)</f>
        <v>0.3885444883</v>
      </c>
      <c r="L3119" s="18">
        <v>23330.0</v>
      </c>
      <c r="M3119" s="14">
        <f>STDEV(L3117:L3121)</f>
        <v>35258.60039</v>
      </c>
      <c r="N3119" s="15" t="b">
        <f t="shared" si="1"/>
        <v>0</v>
      </c>
    </row>
    <row r="3120" hidden="1">
      <c r="A3120" s="7" t="s">
        <v>632</v>
      </c>
      <c r="B3120" s="7" t="s">
        <v>519</v>
      </c>
      <c r="C3120" s="7">
        <v>0.5</v>
      </c>
      <c r="D3120" s="7">
        <v>0.25</v>
      </c>
      <c r="E3120" s="7">
        <v>4.0</v>
      </c>
      <c r="F3120" s="7">
        <v>174060.708773136</v>
      </c>
      <c r="G3120" s="7">
        <v>174192.792241096</v>
      </c>
      <c r="H3120" s="7">
        <v>3.0</v>
      </c>
      <c r="I3120" s="15">
        <v>0.773553052237723</v>
      </c>
      <c r="J3120" s="15">
        <v>0.122613096535886</v>
      </c>
      <c r="K3120" s="12">
        <f>AVERAGE(I3117:I3121)</f>
        <v>0.3885444883</v>
      </c>
      <c r="L3120" s="18">
        <v>9108.0</v>
      </c>
      <c r="M3120" s="14">
        <f>STDEV(L3117:L3121)</f>
        <v>35258.60039</v>
      </c>
      <c r="N3120" s="15" t="b">
        <f t="shared" si="1"/>
        <v>0</v>
      </c>
    </row>
    <row r="3121" hidden="1">
      <c r="A3121" s="7" t="s">
        <v>632</v>
      </c>
      <c r="B3121" s="7" t="s">
        <v>519</v>
      </c>
      <c r="C3121" s="7">
        <v>0.5</v>
      </c>
      <c r="D3121" s="7">
        <v>0.25</v>
      </c>
      <c r="E3121" s="7">
        <v>4.0</v>
      </c>
      <c r="F3121" s="7">
        <v>174060.708773136</v>
      </c>
      <c r="G3121" s="7">
        <v>174192.792241096</v>
      </c>
      <c r="H3121" s="7">
        <v>4.0</v>
      </c>
      <c r="I3121" s="15">
        <v>-0.0606347400002622</v>
      </c>
      <c r="J3121" s="15">
        <v>0.248633141987006</v>
      </c>
      <c r="K3121" s="12">
        <f>AVERAGE(I3117:I3121)</f>
        <v>0.3885444883</v>
      </c>
      <c r="L3121" s="18">
        <v>90286.0</v>
      </c>
      <c r="M3121" s="14">
        <f>STDEV(L3117:L3121)</f>
        <v>35258.60039</v>
      </c>
      <c r="N3121" s="15" t="b">
        <f t="shared" si="1"/>
        <v>0</v>
      </c>
    </row>
    <row r="3122" hidden="1">
      <c r="A3122" s="7" t="s">
        <v>633</v>
      </c>
      <c r="B3122" s="7" t="s">
        <v>519</v>
      </c>
      <c r="C3122" s="7">
        <v>0.5</v>
      </c>
      <c r="D3122" s="7">
        <v>0.25</v>
      </c>
      <c r="E3122" s="7">
        <v>5.0</v>
      </c>
      <c r="F3122" s="7">
        <v>33562.244805336</v>
      </c>
      <c r="G3122" s="7">
        <v>33630.4868707656</v>
      </c>
      <c r="H3122" s="7">
        <v>0.0</v>
      </c>
      <c r="I3122" s="15">
        <v>0.205040578088305</v>
      </c>
      <c r="J3122" s="15">
        <v>0.145334626889811</v>
      </c>
      <c r="K3122" s="12">
        <f>AVERAGE(I3122:I3126)</f>
        <v>0.3708391523</v>
      </c>
      <c r="L3122" s="18">
        <v>5268.0</v>
      </c>
      <c r="M3122" s="14">
        <f>STDEV(L3122:L3126)</f>
        <v>31982.83581</v>
      </c>
      <c r="N3122" s="15" t="b">
        <f t="shared" si="1"/>
        <v>0</v>
      </c>
    </row>
    <row r="3123" hidden="1">
      <c r="A3123" s="7" t="s">
        <v>633</v>
      </c>
      <c r="B3123" s="7" t="s">
        <v>519</v>
      </c>
      <c r="C3123" s="7">
        <v>0.5</v>
      </c>
      <c r="D3123" s="7">
        <v>0.25</v>
      </c>
      <c r="E3123" s="7">
        <v>5.0</v>
      </c>
      <c r="F3123" s="7">
        <v>33562.244805336</v>
      </c>
      <c r="G3123" s="7">
        <v>33630.4868707656</v>
      </c>
      <c r="H3123" s="7">
        <v>1.0</v>
      </c>
      <c r="I3123" s="15">
        <v>0.144525392231939</v>
      </c>
      <c r="J3123" s="15">
        <v>0.0691170697993202</v>
      </c>
      <c r="K3123" s="12">
        <f>AVERAGE(I3122:I3126)</f>
        <v>0.3708391523</v>
      </c>
      <c r="L3123" s="18">
        <v>48128.0</v>
      </c>
      <c r="M3123" s="14">
        <f>STDEV(L3122:L3126)</f>
        <v>31982.83581</v>
      </c>
      <c r="N3123" s="15" t="b">
        <f t="shared" si="1"/>
        <v>0</v>
      </c>
    </row>
    <row r="3124" hidden="1">
      <c r="A3124" s="7" t="s">
        <v>633</v>
      </c>
      <c r="B3124" s="7" t="s">
        <v>519</v>
      </c>
      <c r="C3124" s="7">
        <v>0.5</v>
      </c>
      <c r="D3124" s="7">
        <v>0.25</v>
      </c>
      <c r="E3124" s="7">
        <v>5.0</v>
      </c>
      <c r="F3124" s="7">
        <v>33562.244805336</v>
      </c>
      <c r="G3124" s="7">
        <v>33630.4868707656</v>
      </c>
      <c r="H3124" s="7">
        <v>2.0</v>
      </c>
      <c r="I3124" s="15">
        <v>0.769171099859285</v>
      </c>
      <c r="J3124" s="15">
        <v>0.122120900613167</v>
      </c>
      <c r="K3124" s="12">
        <f>AVERAGE(I3122:I3126)</f>
        <v>0.3708391523</v>
      </c>
      <c r="L3124" s="18">
        <v>9169.0</v>
      </c>
      <c r="M3124" s="14">
        <f>STDEV(L3122:L3126)</f>
        <v>31982.83581</v>
      </c>
      <c r="N3124" s="15" t="b">
        <f t="shared" si="1"/>
        <v>0</v>
      </c>
    </row>
    <row r="3125" hidden="1">
      <c r="A3125" s="7" t="s">
        <v>633</v>
      </c>
      <c r="B3125" s="7" t="s">
        <v>519</v>
      </c>
      <c r="C3125" s="7">
        <v>0.5</v>
      </c>
      <c r="D3125" s="7">
        <v>0.25</v>
      </c>
      <c r="E3125" s="7">
        <v>5.0</v>
      </c>
      <c r="F3125" s="7">
        <v>33562.244805336</v>
      </c>
      <c r="G3125" s="7">
        <v>33630.4868707656</v>
      </c>
      <c r="H3125" s="7">
        <v>3.0</v>
      </c>
      <c r="I3125" s="15">
        <v>-0.0713111922443913</v>
      </c>
      <c r="J3125" s="15">
        <v>0.279925251414981</v>
      </c>
      <c r="K3125" s="12">
        <f>AVERAGE(I3122:I3126)</f>
        <v>0.3708391523</v>
      </c>
      <c r="L3125" s="18">
        <v>75253.0</v>
      </c>
      <c r="M3125" s="14">
        <f>STDEV(L3122:L3126)</f>
        <v>31982.83581</v>
      </c>
      <c r="N3125" s="15" t="b">
        <f t="shared" si="1"/>
        <v>0</v>
      </c>
    </row>
    <row r="3126" hidden="1">
      <c r="A3126" s="7" t="s">
        <v>633</v>
      </c>
      <c r="B3126" s="7" t="s">
        <v>519</v>
      </c>
      <c r="C3126" s="7">
        <v>0.5</v>
      </c>
      <c r="D3126" s="7">
        <v>0.25</v>
      </c>
      <c r="E3126" s="7">
        <v>5.0</v>
      </c>
      <c r="F3126" s="7">
        <v>33562.244805336</v>
      </c>
      <c r="G3126" s="7">
        <v>33630.4868707656</v>
      </c>
      <c r="H3126" s="7">
        <v>4.0</v>
      </c>
      <c r="I3126" s="15">
        <v>0.806769883805869</v>
      </c>
      <c r="J3126" s="15">
        <v>0.121285548821994</v>
      </c>
      <c r="K3126" s="12">
        <f>AVERAGE(I3122:I3126)</f>
        <v>0.3708391523</v>
      </c>
      <c r="L3126" s="18">
        <v>3858.0</v>
      </c>
      <c r="M3126" s="14">
        <f>STDEV(L3122:L3126)</f>
        <v>31982.83581</v>
      </c>
      <c r="N3126" s="15" t="b">
        <f t="shared" si="1"/>
        <v>0</v>
      </c>
    </row>
    <row r="3127" hidden="1">
      <c r="A3127" s="7" t="s">
        <v>634</v>
      </c>
      <c r="B3127" s="7" t="s">
        <v>519</v>
      </c>
      <c r="C3127" s="7">
        <v>0.5</v>
      </c>
      <c r="D3127" s="7">
        <v>0.25</v>
      </c>
      <c r="E3127" s="7">
        <v>6.0</v>
      </c>
      <c r="F3127" s="7">
        <v>213758.892533302</v>
      </c>
      <c r="G3127" s="7">
        <v>213938.164087533</v>
      </c>
      <c r="H3127" s="7">
        <v>0.0</v>
      </c>
      <c r="I3127" s="15">
        <v>0.827871999935424</v>
      </c>
      <c r="J3127" s="15">
        <v>0.0905399472089054</v>
      </c>
      <c r="K3127" s="12">
        <f>AVERAGE(I3127:I3131)</f>
        <v>0.5302791212</v>
      </c>
      <c r="L3127" s="18">
        <v>4600.0</v>
      </c>
      <c r="M3127" s="14">
        <f>STDEV(L3127:L3131)</f>
        <v>37640.99596</v>
      </c>
      <c r="N3127" s="15" t="b">
        <f t="shared" si="1"/>
        <v>0</v>
      </c>
    </row>
    <row r="3128" hidden="1">
      <c r="A3128" s="7" t="s">
        <v>634</v>
      </c>
      <c r="B3128" s="7" t="s">
        <v>519</v>
      </c>
      <c r="C3128" s="7">
        <v>0.5</v>
      </c>
      <c r="D3128" s="7">
        <v>0.25</v>
      </c>
      <c r="E3128" s="7">
        <v>6.0</v>
      </c>
      <c r="F3128" s="7">
        <v>213758.892533302</v>
      </c>
      <c r="G3128" s="7">
        <v>213938.164087533</v>
      </c>
      <c r="H3128" s="7">
        <v>1.0</v>
      </c>
      <c r="I3128" s="15">
        <v>0.90957887435467</v>
      </c>
      <c r="J3128" s="15">
        <v>0.0465088244669422</v>
      </c>
      <c r="K3128" s="12">
        <f>AVERAGE(I3127:I3131)</f>
        <v>0.5302791212</v>
      </c>
      <c r="L3128" s="18">
        <v>2064.0</v>
      </c>
      <c r="M3128" s="14">
        <f>STDEV(L3127:L3131)</f>
        <v>37640.99596</v>
      </c>
      <c r="N3128" s="15" t="b">
        <f t="shared" si="1"/>
        <v>0</v>
      </c>
    </row>
    <row r="3129" hidden="1">
      <c r="A3129" s="7" t="s">
        <v>634</v>
      </c>
      <c r="B3129" s="7" t="s">
        <v>519</v>
      </c>
      <c r="C3129" s="7">
        <v>0.5</v>
      </c>
      <c r="D3129" s="7">
        <v>0.25</v>
      </c>
      <c r="E3129" s="7">
        <v>6.0</v>
      </c>
      <c r="F3129" s="7">
        <v>213758.892533302</v>
      </c>
      <c r="G3129" s="7">
        <v>213938.164087533</v>
      </c>
      <c r="H3129" s="7">
        <v>2.0</v>
      </c>
      <c r="I3129" s="15">
        <v>0.678891456044792</v>
      </c>
      <c r="J3129" s="15">
        <v>0.226692272295671</v>
      </c>
      <c r="K3129" s="12">
        <f>AVERAGE(I3127:I3131)</f>
        <v>0.5302791212</v>
      </c>
      <c r="L3129" s="18">
        <v>15247.0</v>
      </c>
      <c r="M3129" s="14">
        <f>STDEV(L3127:L3131)</f>
        <v>37640.99596</v>
      </c>
      <c r="N3129" s="15" t="b">
        <f t="shared" si="1"/>
        <v>0</v>
      </c>
    </row>
    <row r="3130" hidden="1">
      <c r="A3130" s="7" t="s">
        <v>634</v>
      </c>
      <c r="B3130" s="7" t="s">
        <v>519</v>
      </c>
      <c r="C3130" s="7">
        <v>0.5</v>
      </c>
      <c r="D3130" s="7">
        <v>0.25</v>
      </c>
      <c r="E3130" s="7">
        <v>6.0</v>
      </c>
      <c r="F3130" s="7">
        <v>213758.892533302</v>
      </c>
      <c r="G3130" s="7">
        <v>213938.164087533</v>
      </c>
      <c r="H3130" s="7">
        <v>3.0</v>
      </c>
      <c r="I3130" s="15">
        <v>0.23982405363823</v>
      </c>
      <c r="J3130" s="15">
        <v>0.101866153668012</v>
      </c>
      <c r="K3130" s="12">
        <f>AVERAGE(I3127:I3131)</f>
        <v>0.5302791212</v>
      </c>
      <c r="L3130" s="18">
        <v>26326.0</v>
      </c>
      <c r="M3130" s="14">
        <f>STDEV(L3127:L3131)</f>
        <v>37640.99596</v>
      </c>
      <c r="N3130" s="15" t="b">
        <f t="shared" si="1"/>
        <v>0</v>
      </c>
    </row>
    <row r="3131" hidden="1">
      <c r="A3131" s="7" t="s">
        <v>634</v>
      </c>
      <c r="B3131" s="7" t="s">
        <v>519</v>
      </c>
      <c r="C3131" s="7">
        <v>0.5</v>
      </c>
      <c r="D3131" s="7">
        <v>0.25</v>
      </c>
      <c r="E3131" s="7">
        <v>6.0</v>
      </c>
      <c r="F3131" s="7">
        <v>213758.892533302</v>
      </c>
      <c r="G3131" s="7">
        <v>213938.164087533</v>
      </c>
      <c r="H3131" s="7">
        <v>4.0</v>
      </c>
      <c r="I3131" s="15">
        <v>-0.0047707778829959</v>
      </c>
      <c r="J3131" s="15">
        <v>0.167322002883635</v>
      </c>
      <c r="K3131" s="12">
        <f>AVERAGE(I3127:I3131)</f>
        <v>0.5302791212</v>
      </c>
      <c r="L3131" s="18">
        <v>93439.0</v>
      </c>
      <c r="M3131" s="14">
        <f>STDEV(L3127:L3131)</f>
        <v>37640.99596</v>
      </c>
      <c r="N3131" s="15" t="b">
        <f t="shared" si="1"/>
        <v>0</v>
      </c>
    </row>
    <row r="3132" hidden="1">
      <c r="A3132" s="7" t="s">
        <v>635</v>
      </c>
      <c r="B3132" s="7" t="s">
        <v>519</v>
      </c>
      <c r="C3132" s="7">
        <v>0.5</v>
      </c>
      <c r="D3132" s="7">
        <v>0.25</v>
      </c>
      <c r="E3132" s="7">
        <v>7.0</v>
      </c>
      <c r="F3132" s="7">
        <v>51614.6343886852</v>
      </c>
      <c r="G3132" s="7">
        <v>51798.3795599937</v>
      </c>
      <c r="H3132" s="7">
        <v>0.0</v>
      </c>
      <c r="I3132" s="15">
        <v>0.910159661911074</v>
      </c>
      <c r="J3132" s="15">
        <v>0.0438708454240817</v>
      </c>
      <c r="K3132" s="12">
        <f>AVERAGE(I3132:I3136)</f>
        <v>0.4976168024</v>
      </c>
      <c r="L3132" s="18">
        <v>2064.0</v>
      </c>
      <c r="M3132" s="14">
        <f>STDEV(L3132:L3136)</f>
        <v>40135.18496</v>
      </c>
      <c r="N3132" s="15" t="b">
        <f t="shared" si="1"/>
        <v>0</v>
      </c>
    </row>
    <row r="3133" hidden="1">
      <c r="A3133" s="7" t="s">
        <v>635</v>
      </c>
      <c r="B3133" s="7" t="s">
        <v>519</v>
      </c>
      <c r="C3133" s="7">
        <v>0.5</v>
      </c>
      <c r="D3133" s="7">
        <v>0.25</v>
      </c>
      <c r="E3133" s="7">
        <v>7.0</v>
      </c>
      <c r="F3133" s="7">
        <v>51614.6343886852</v>
      </c>
      <c r="G3133" s="7">
        <v>51798.3795599937</v>
      </c>
      <c r="H3133" s="7">
        <v>1.0</v>
      </c>
      <c r="I3133" s="15">
        <v>0.21087694583653</v>
      </c>
      <c r="J3133" s="15">
        <v>0.0986646612725942</v>
      </c>
      <c r="K3133" s="12">
        <f>AVERAGE(I3132:I3136)</f>
        <v>0.4976168024</v>
      </c>
      <c r="L3133" s="18">
        <v>28726.0</v>
      </c>
      <c r="M3133" s="14">
        <f>STDEV(L3132:L3136)</f>
        <v>40135.18496</v>
      </c>
      <c r="N3133" s="15" t="b">
        <f t="shared" si="1"/>
        <v>0</v>
      </c>
    </row>
    <row r="3134" hidden="1">
      <c r="A3134" s="7" t="s">
        <v>635</v>
      </c>
      <c r="B3134" s="7" t="s">
        <v>519</v>
      </c>
      <c r="C3134" s="7">
        <v>0.5</v>
      </c>
      <c r="D3134" s="7">
        <v>0.25</v>
      </c>
      <c r="E3134" s="7">
        <v>7.0</v>
      </c>
      <c r="F3134" s="7">
        <v>51614.6343886852</v>
      </c>
      <c r="G3134" s="7">
        <v>51798.3795599937</v>
      </c>
      <c r="H3134" s="7">
        <v>2.0</v>
      </c>
      <c r="I3134" s="15">
        <v>0.831323763244018</v>
      </c>
      <c r="J3134" s="15">
        <v>0.104238866704913</v>
      </c>
      <c r="K3134" s="12">
        <f>AVERAGE(I3132:I3136)</f>
        <v>0.4976168024</v>
      </c>
      <c r="L3134" s="18">
        <v>3447.0</v>
      </c>
      <c r="M3134" s="14">
        <f>STDEV(L3132:L3136)</f>
        <v>40135.18496</v>
      </c>
      <c r="N3134" s="15" t="b">
        <f t="shared" si="1"/>
        <v>0</v>
      </c>
    </row>
    <row r="3135" hidden="1">
      <c r="A3135" s="7" t="s">
        <v>635</v>
      </c>
      <c r="B3135" s="7" t="s">
        <v>519</v>
      </c>
      <c r="C3135" s="7">
        <v>0.5</v>
      </c>
      <c r="D3135" s="7">
        <v>0.25</v>
      </c>
      <c r="E3135" s="7">
        <v>7.0</v>
      </c>
      <c r="F3135" s="7">
        <v>51614.6343886852</v>
      </c>
      <c r="G3135" s="7">
        <v>51798.3795599937</v>
      </c>
      <c r="H3135" s="7">
        <v>3.0</v>
      </c>
      <c r="I3135" s="15">
        <v>0.0408347753854427</v>
      </c>
      <c r="J3135" s="15">
        <v>0.175636382987722</v>
      </c>
      <c r="K3135" s="12">
        <f>AVERAGE(I3132:I3136)</f>
        <v>0.4976168024</v>
      </c>
      <c r="L3135" s="18">
        <v>97565.0</v>
      </c>
      <c r="M3135" s="14">
        <f>STDEV(L3132:L3136)</f>
        <v>40135.18496</v>
      </c>
      <c r="N3135" s="15" t="b">
        <f t="shared" si="1"/>
        <v>0</v>
      </c>
    </row>
    <row r="3136" hidden="1">
      <c r="A3136" s="7" t="s">
        <v>635</v>
      </c>
      <c r="B3136" s="7" t="s">
        <v>519</v>
      </c>
      <c r="C3136" s="7">
        <v>0.5</v>
      </c>
      <c r="D3136" s="7">
        <v>0.25</v>
      </c>
      <c r="E3136" s="7">
        <v>7.0</v>
      </c>
      <c r="F3136" s="7">
        <v>51614.6343886852</v>
      </c>
      <c r="G3136" s="7">
        <v>51798.3795599937</v>
      </c>
      <c r="H3136" s="7">
        <v>4.0</v>
      </c>
      <c r="I3136" s="15">
        <v>0.494888865564499</v>
      </c>
      <c r="J3136" s="15">
        <v>0.259498160380193</v>
      </c>
      <c r="K3136" s="12">
        <f>AVERAGE(I3132:I3136)</f>
        <v>0.4976168024</v>
      </c>
      <c r="L3136" s="18">
        <v>9874.0</v>
      </c>
      <c r="M3136" s="14">
        <f>STDEV(L3132:L3136)</f>
        <v>40135.18496</v>
      </c>
      <c r="N3136" s="15" t="b">
        <f t="shared" si="1"/>
        <v>0</v>
      </c>
    </row>
    <row r="3137" hidden="1">
      <c r="A3137" s="7" t="s">
        <v>636</v>
      </c>
      <c r="B3137" s="7" t="s">
        <v>519</v>
      </c>
      <c r="C3137" s="7">
        <v>0.5</v>
      </c>
      <c r="D3137" s="7">
        <v>0.25</v>
      </c>
      <c r="E3137" s="7">
        <v>8.0</v>
      </c>
      <c r="F3137" s="7">
        <v>173475.483191728</v>
      </c>
      <c r="G3137" s="7">
        <v>173609.512429475</v>
      </c>
      <c r="H3137" s="7">
        <v>0.0</v>
      </c>
      <c r="I3137" s="15">
        <v>0.226943576141138</v>
      </c>
      <c r="J3137" s="15">
        <v>0.0754194152857639</v>
      </c>
      <c r="K3137" s="12">
        <f>AVERAGE(I3137:I3141)</f>
        <v>0.2051212441</v>
      </c>
      <c r="L3137" s="18">
        <v>34503.0</v>
      </c>
      <c r="M3137" s="14">
        <f>STDEV(L3137:L3141)</f>
        <v>32516.8421</v>
      </c>
      <c r="N3137" s="15" t="b">
        <f t="shared" si="1"/>
        <v>0</v>
      </c>
    </row>
    <row r="3138" hidden="1">
      <c r="A3138" s="7" t="s">
        <v>636</v>
      </c>
      <c r="B3138" s="7" t="s">
        <v>519</v>
      </c>
      <c r="C3138" s="7">
        <v>0.5</v>
      </c>
      <c r="D3138" s="7">
        <v>0.25</v>
      </c>
      <c r="E3138" s="7">
        <v>8.0</v>
      </c>
      <c r="F3138" s="7">
        <v>173475.483191728</v>
      </c>
      <c r="G3138" s="7">
        <v>173609.512429475</v>
      </c>
      <c r="H3138" s="7">
        <v>1.0</v>
      </c>
      <c r="I3138" s="15">
        <v>0.210708381612232</v>
      </c>
      <c r="J3138" s="15">
        <v>0.134183976584938</v>
      </c>
      <c r="K3138" s="12">
        <f>AVERAGE(I3137:I3141)</f>
        <v>0.2051212441</v>
      </c>
      <c r="L3138" s="18">
        <v>8025.0</v>
      </c>
      <c r="M3138" s="14">
        <f>STDEV(L3137:L3141)</f>
        <v>32516.8421</v>
      </c>
      <c r="N3138" s="15" t="b">
        <f t="shared" si="1"/>
        <v>0</v>
      </c>
    </row>
    <row r="3139" hidden="1">
      <c r="A3139" s="7" t="s">
        <v>636</v>
      </c>
      <c r="B3139" s="7" t="s">
        <v>519</v>
      </c>
      <c r="C3139" s="7">
        <v>0.5</v>
      </c>
      <c r="D3139" s="7">
        <v>0.25</v>
      </c>
      <c r="E3139" s="7">
        <v>8.0</v>
      </c>
      <c r="F3139" s="7">
        <v>173475.483191728</v>
      </c>
      <c r="G3139" s="7">
        <v>173609.512429475</v>
      </c>
      <c r="H3139" s="7">
        <v>2.0</v>
      </c>
      <c r="I3139" s="15">
        <v>0.384543931572957</v>
      </c>
      <c r="J3139" s="15">
        <v>0.0924618372858812</v>
      </c>
      <c r="K3139" s="12">
        <f>AVERAGE(I3137:I3141)</f>
        <v>0.2051212441</v>
      </c>
      <c r="L3139" s="18">
        <v>11445.0</v>
      </c>
      <c r="M3139" s="14">
        <f>STDEV(L3137:L3141)</f>
        <v>32516.8421</v>
      </c>
      <c r="N3139" s="15" t="b">
        <f t="shared" si="1"/>
        <v>0</v>
      </c>
    </row>
    <row r="3140" hidden="1">
      <c r="A3140" s="7" t="s">
        <v>636</v>
      </c>
      <c r="B3140" s="7" t="s">
        <v>519</v>
      </c>
      <c r="C3140" s="7">
        <v>0.5</v>
      </c>
      <c r="D3140" s="7">
        <v>0.25</v>
      </c>
      <c r="E3140" s="7">
        <v>8.0</v>
      </c>
      <c r="F3140" s="7">
        <v>173475.483191728</v>
      </c>
      <c r="G3140" s="7">
        <v>173609.512429475</v>
      </c>
      <c r="H3140" s="7">
        <v>3.0</v>
      </c>
      <c r="I3140" s="15">
        <v>0.239544069100307</v>
      </c>
      <c r="J3140" s="15">
        <v>0.0782115603578911</v>
      </c>
      <c r="K3140" s="12">
        <f>AVERAGE(I3137:I3141)</f>
        <v>0.2051212441</v>
      </c>
      <c r="L3140" s="18">
        <v>5044.0</v>
      </c>
      <c r="M3140" s="14">
        <f>STDEV(L3137:L3141)</f>
        <v>32516.8421</v>
      </c>
      <c r="N3140" s="15" t="b">
        <f t="shared" si="1"/>
        <v>0</v>
      </c>
    </row>
    <row r="3141" hidden="1">
      <c r="A3141" s="7" t="s">
        <v>636</v>
      </c>
      <c r="B3141" s="7" t="s">
        <v>519</v>
      </c>
      <c r="C3141" s="7">
        <v>0.5</v>
      </c>
      <c r="D3141" s="7">
        <v>0.25</v>
      </c>
      <c r="E3141" s="7">
        <v>8.0</v>
      </c>
      <c r="F3141" s="7">
        <v>173475.483191728</v>
      </c>
      <c r="G3141" s="7">
        <v>173609.512429475</v>
      </c>
      <c r="H3141" s="7">
        <v>4.0</v>
      </c>
      <c r="I3141" s="15">
        <v>-0.0361337377096166</v>
      </c>
      <c r="J3141" s="15">
        <v>0.179371524859027</v>
      </c>
      <c r="K3141" s="12">
        <f>AVERAGE(I3137:I3141)</f>
        <v>0.2051212441</v>
      </c>
      <c r="L3141" s="18">
        <v>82659.0</v>
      </c>
      <c r="M3141" s="14">
        <f>STDEV(L3137:L3141)</f>
        <v>32516.8421</v>
      </c>
      <c r="N3141" s="15" t="b">
        <f t="shared" si="1"/>
        <v>0</v>
      </c>
    </row>
    <row r="3142" hidden="1">
      <c r="A3142" s="7" t="s">
        <v>637</v>
      </c>
      <c r="B3142" s="24" t="s">
        <v>519</v>
      </c>
      <c r="C3142" s="24">
        <v>0.5</v>
      </c>
      <c r="D3142" s="24">
        <v>0.25</v>
      </c>
      <c r="E3142" s="24">
        <v>9.0</v>
      </c>
      <c r="F3142" s="7">
        <v>109294.552824497</v>
      </c>
      <c r="G3142" s="7">
        <v>109471.409349679</v>
      </c>
      <c r="H3142" s="7">
        <v>0.0</v>
      </c>
      <c r="I3142" s="15">
        <v>0.356597737637634</v>
      </c>
      <c r="J3142" s="15">
        <v>0.0978014908068381</v>
      </c>
      <c r="K3142" s="12">
        <f>AVERAGE(I3142:I3146)</f>
        <v>0.4973244267</v>
      </c>
      <c r="L3142" s="18">
        <v>24249.0</v>
      </c>
      <c r="M3142" s="14">
        <f>STDEV(L3142:L3146)</f>
        <v>42304.36419</v>
      </c>
      <c r="N3142" s="15" t="b">
        <f t="shared" si="1"/>
        <v>0</v>
      </c>
    </row>
    <row r="3143" hidden="1">
      <c r="A3143" s="7" t="s">
        <v>637</v>
      </c>
      <c r="B3143" s="24" t="s">
        <v>519</v>
      </c>
      <c r="C3143" s="24">
        <v>0.5</v>
      </c>
      <c r="D3143" s="24">
        <v>0.25</v>
      </c>
      <c r="E3143" s="24">
        <v>9.0</v>
      </c>
      <c r="F3143" s="7">
        <v>109294.552824497</v>
      </c>
      <c r="G3143" s="7">
        <v>109471.409349679</v>
      </c>
      <c r="H3143" s="7">
        <v>1.0</v>
      </c>
      <c r="I3143" s="15">
        <v>-0.0321315164396668</v>
      </c>
      <c r="J3143" s="15">
        <v>0.228264653474258</v>
      </c>
      <c r="K3143" s="12">
        <f>AVERAGE(I3142:I3146)</f>
        <v>0.4973244267</v>
      </c>
      <c r="L3143" s="18">
        <v>102468.0</v>
      </c>
      <c r="M3143" s="14">
        <f>STDEV(L3142:L3146)</f>
        <v>42304.36419</v>
      </c>
      <c r="N3143" s="15" t="b">
        <f t="shared" si="1"/>
        <v>0</v>
      </c>
    </row>
    <row r="3144" hidden="1">
      <c r="A3144" s="7" t="s">
        <v>637</v>
      </c>
      <c r="B3144" s="24" t="s">
        <v>519</v>
      </c>
      <c r="C3144" s="24">
        <v>0.5</v>
      </c>
      <c r="D3144" s="24">
        <v>0.25</v>
      </c>
      <c r="E3144" s="24">
        <v>9.0</v>
      </c>
      <c r="F3144" s="7">
        <v>109294.552824497</v>
      </c>
      <c r="G3144" s="7">
        <v>109471.409349679</v>
      </c>
      <c r="H3144" s="7">
        <v>2.0</v>
      </c>
      <c r="I3144" s="15">
        <v>0.831911015718917</v>
      </c>
      <c r="J3144" s="15">
        <v>0.103267816307243</v>
      </c>
      <c r="K3144" s="12">
        <f>AVERAGE(I3142:I3146)</f>
        <v>0.4973244267</v>
      </c>
      <c r="L3144" s="18">
        <v>3447.0</v>
      </c>
      <c r="M3144" s="14">
        <f>STDEV(L3142:L3146)</f>
        <v>42304.36419</v>
      </c>
      <c r="N3144" s="15" t="b">
        <f t="shared" si="1"/>
        <v>0</v>
      </c>
    </row>
    <row r="3145" hidden="1">
      <c r="A3145" s="7" t="s">
        <v>637</v>
      </c>
      <c r="B3145" s="24" t="s">
        <v>519</v>
      </c>
      <c r="C3145" s="24">
        <v>0.5</v>
      </c>
      <c r="D3145" s="24">
        <v>0.25</v>
      </c>
      <c r="E3145" s="24">
        <v>9.0</v>
      </c>
      <c r="F3145" s="7">
        <v>109294.552824497</v>
      </c>
      <c r="G3145" s="7">
        <v>109471.409349679</v>
      </c>
      <c r="H3145" s="7">
        <v>3.0</v>
      </c>
      <c r="I3145" s="15">
        <v>0.808418324512137</v>
      </c>
      <c r="J3145" s="15">
        <v>0.121292319025063</v>
      </c>
      <c r="K3145" s="12">
        <f>AVERAGE(I3142:I3146)</f>
        <v>0.4973244267</v>
      </c>
      <c r="L3145" s="18">
        <v>3858.0</v>
      </c>
      <c r="M3145" s="14">
        <f>STDEV(L3142:L3146)</f>
        <v>42304.36419</v>
      </c>
      <c r="N3145" s="15" t="b">
        <f t="shared" si="1"/>
        <v>0</v>
      </c>
    </row>
    <row r="3146" hidden="1">
      <c r="A3146" s="7" t="s">
        <v>637</v>
      </c>
      <c r="B3146" s="24" t="s">
        <v>519</v>
      </c>
      <c r="C3146" s="24">
        <v>0.5</v>
      </c>
      <c r="D3146" s="24">
        <v>0.25</v>
      </c>
      <c r="E3146" s="24">
        <v>9.0</v>
      </c>
      <c r="F3146" s="7">
        <v>109294.552824497</v>
      </c>
      <c r="G3146" s="7">
        <v>109471.409349679</v>
      </c>
      <c r="H3146" s="7">
        <v>4.0</v>
      </c>
      <c r="I3146" s="15">
        <v>0.521826572112502</v>
      </c>
      <c r="J3146" s="15">
        <v>0.276460752399522</v>
      </c>
      <c r="K3146" s="12">
        <f>AVERAGE(I3142:I3146)</f>
        <v>0.4973244267</v>
      </c>
      <c r="L3146" s="18">
        <v>7654.0</v>
      </c>
      <c r="M3146" s="14">
        <f>STDEV(L3142:L3146)</f>
        <v>42304.36419</v>
      </c>
      <c r="N3146" s="15" t="b">
        <f t="shared" si="1"/>
        <v>0</v>
      </c>
    </row>
    <row r="3147" hidden="1">
      <c r="A3147" s="7" t="s">
        <v>638</v>
      </c>
      <c r="B3147" s="7" t="s">
        <v>519</v>
      </c>
      <c r="C3147" s="7">
        <v>0.5</v>
      </c>
      <c r="D3147" s="7">
        <v>0.25</v>
      </c>
      <c r="E3147" s="7">
        <v>10.0</v>
      </c>
      <c r="F3147" s="7">
        <v>209877.702392339</v>
      </c>
      <c r="G3147" s="7">
        <v>209979.810292959</v>
      </c>
      <c r="H3147" s="7">
        <v>0.0</v>
      </c>
      <c r="I3147" s="15">
        <v>0.341776979606851</v>
      </c>
      <c r="J3147" s="15">
        <v>0.137992845335336</v>
      </c>
      <c r="K3147" s="12">
        <f>AVERAGE(I3147:I3151)</f>
        <v>0.3236899317</v>
      </c>
      <c r="L3147" s="18">
        <v>26937.0</v>
      </c>
      <c r="M3147" s="14">
        <f>STDEV(L3147:L3151)</f>
        <v>25844.8839</v>
      </c>
      <c r="N3147" s="15" t="b">
        <f t="shared" si="1"/>
        <v>0</v>
      </c>
    </row>
    <row r="3148" hidden="1">
      <c r="A3148" s="7" t="s">
        <v>638</v>
      </c>
      <c r="B3148" s="7" t="s">
        <v>519</v>
      </c>
      <c r="C3148" s="7">
        <v>0.5</v>
      </c>
      <c r="D3148" s="7">
        <v>0.25</v>
      </c>
      <c r="E3148" s="7">
        <v>10.0</v>
      </c>
      <c r="F3148" s="7">
        <v>209877.702392339</v>
      </c>
      <c r="G3148" s="7">
        <v>209979.810292959</v>
      </c>
      <c r="H3148" s="7">
        <v>1.0</v>
      </c>
      <c r="I3148" s="15">
        <v>0.858377104750399</v>
      </c>
      <c r="J3148" s="15">
        <v>0.0746862882364417</v>
      </c>
      <c r="K3148" s="12">
        <f>AVERAGE(I3147:I3151)</f>
        <v>0.3236899317</v>
      </c>
      <c r="L3148" s="18">
        <v>3616.0</v>
      </c>
      <c r="M3148" s="14">
        <f>STDEV(L3147:L3151)</f>
        <v>25844.8839</v>
      </c>
      <c r="N3148" s="15" t="b">
        <f t="shared" si="1"/>
        <v>0</v>
      </c>
    </row>
    <row r="3149" hidden="1">
      <c r="A3149" s="7" t="s">
        <v>638</v>
      </c>
      <c r="B3149" s="7" t="s">
        <v>519</v>
      </c>
      <c r="C3149" s="7">
        <v>0.5</v>
      </c>
      <c r="D3149" s="7">
        <v>0.25</v>
      </c>
      <c r="E3149" s="7">
        <v>10.0</v>
      </c>
      <c r="F3149" s="7">
        <v>209877.702392339</v>
      </c>
      <c r="G3149" s="7">
        <v>209979.810292959</v>
      </c>
      <c r="H3149" s="7">
        <v>2.0</v>
      </c>
      <c r="I3149" s="15">
        <v>0.0430130910132141</v>
      </c>
      <c r="J3149" s="15">
        <v>0.0458408256720066</v>
      </c>
      <c r="K3149" s="12">
        <f>AVERAGE(I3147:I3151)</f>
        <v>0.3236899317</v>
      </c>
      <c r="L3149" s="18">
        <v>43476.0</v>
      </c>
      <c r="M3149" s="14">
        <f>STDEV(L3147:L3151)</f>
        <v>25844.8839</v>
      </c>
      <c r="N3149" s="15" t="b">
        <f t="shared" si="1"/>
        <v>0</v>
      </c>
    </row>
    <row r="3150" hidden="1">
      <c r="A3150" s="7" t="s">
        <v>638</v>
      </c>
      <c r="B3150" s="7" t="s">
        <v>519</v>
      </c>
      <c r="C3150" s="7">
        <v>0.5</v>
      </c>
      <c r="D3150" s="7">
        <v>0.25</v>
      </c>
      <c r="E3150" s="7">
        <v>10.0</v>
      </c>
      <c r="F3150" s="7">
        <v>209877.702392339</v>
      </c>
      <c r="G3150" s="7">
        <v>209979.810292959</v>
      </c>
      <c r="H3150" s="7">
        <v>3.0</v>
      </c>
      <c r="I3150" s="15">
        <v>0.056274462903279</v>
      </c>
      <c r="J3150" s="15">
        <v>0.269207352691161</v>
      </c>
      <c r="K3150" s="12">
        <f>AVERAGE(I3147:I3151)</f>
        <v>0.3236899317</v>
      </c>
      <c r="L3150" s="18">
        <v>63567.0</v>
      </c>
      <c r="M3150" s="14">
        <f>STDEV(L3147:L3151)</f>
        <v>25844.8839</v>
      </c>
      <c r="N3150" s="15" t="b">
        <f t="shared" si="1"/>
        <v>0</v>
      </c>
    </row>
    <row r="3151" hidden="1">
      <c r="A3151" s="7" t="s">
        <v>638</v>
      </c>
      <c r="B3151" s="7" t="s">
        <v>519</v>
      </c>
      <c r="C3151" s="7">
        <v>0.5</v>
      </c>
      <c r="D3151" s="7">
        <v>0.25</v>
      </c>
      <c r="E3151" s="7">
        <v>10.0</v>
      </c>
      <c r="F3151" s="7">
        <v>209877.702392339</v>
      </c>
      <c r="G3151" s="7">
        <v>209979.810292959</v>
      </c>
      <c r="H3151" s="7">
        <v>4.0</v>
      </c>
      <c r="I3151" s="15">
        <v>0.319008020297433</v>
      </c>
      <c r="J3151" s="15">
        <v>0.103455560941374</v>
      </c>
      <c r="K3151" s="12">
        <f>AVERAGE(I3147:I3151)</f>
        <v>0.3236899317</v>
      </c>
      <c r="L3151" s="18">
        <v>4080.0</v>
      </c>
      <c r="M3151" s="14">
        <f>STDEV(L3147:L3151)</f>
        <v>25844.8839</v>
      </c>
      <c r="N3151" s="15" t="b">
        <f t="shared" si="1"/>
        <v>0</v>
      </c>
    </row>
    <row r="3152" hidden="1">
      <c r="A3152" s="7" t="s">
        <v>639</v>
      </c>
      <c r="B3152" s="7" t="s">
        <v>519</v>
      </c>
      <c r="C3152" s="7">
        <v>0.5</v>
      </c>
      <c r="D3152" s="7">
        <v>0.5</v>
      </c>
      <c r="E3152" s="7">
        <v>1.0</v>
      </c>
      <c r="F3152" s="7">
        <v>289116.437865734</v>
      </c>
      <c r="G3152" s="7">
        <v>289283.926101446</v>
      </c>
      <c r="H3152" s="7">
        <v>0.0</v>
      </c>
      <c r="I3152" s="15">
        <v>0.0259127740698455</v>
      </c>
      <c r="J3152" s="15">
        <v>0.189649858847708</v>
      </c>
      <c r="K3152" s="12">
        <f>AVERAGE(I3152:I3156)</f>
        <v>0.4962327235</v>
      </c>
      <c r="L3152" s="18">
        <v>102065.0</v>
      </c>
      <c r="M3152" s="14">
        <f>STDEV(L3152:L3156)</f>
        <v>41653.65687</v>
      </c>
      <c r="N3152" s="15" t="b">
        <f t="shared" si="1"/>
        <v>0</v>
      </c>
    </row>
    <row r="3153" hidden="1">
      <c r="A3153" s="7" t="s">
        <v>639</v>
      </c>
      <c r="B3153" s="7" t="s">
        <v>519</v>
      </c>
      <c r="C3153" s="7">
        <v>0.5</v>
      </c>
      <c r="D3153" s="7">
        <v>0.5</v>
      </c>
      <c r="E3153" s="7">
        <v>1.0</v>
      </c>
      <c r="F3153" s="7">
        <v>289116.437865734</v>
      </c>
      <c r="G3153" s="7">
        <v>289283.926101446</v>
      </c>
      <c r="H3153" s="7">
        <v>1.0</v>
      </c>
      <c r="I3153" s="15">
        <v>0.224203264804523</v>
      </c>
      <c r="J3153" s="15">
        <v>0.124352887621743</v>
      </c>
      <c r="K3153" s="12">
        <f>AVERAGE(I3152:I3156)</f>
        <v>0.4962327235</v>
      </c>
      <c r="L3153" s="18">
        <v>16568.0</v>
      </c>
      <c r="M3153" s="14">
        <f>STDEV(L3152:L3156)</f>
        <v>41653.65687</v>
      </c>
      <c r="N3153" s="15" t="b">
        <f t="shared" si="1"/>
        <v>0</v>
      </c>
    </row>
    <row r="3154" hidden="1">
      <c r="A3154" s="7" t="s">
        <v>639</v>
      </c>
      <c r="B3154" s="7" t="s">
        <v>519</v>
      </c>
      <c r="C3154" s="7">
        <v>0.5</v>
      </c>
      <c r="D3154" s="7">
        <v>0.5</v>
      </c>
      <c r="E3154" s="7">
        <v>1.0</v>
      </c>
      <c r="F3154" s="7">
        <v>289116.437865734</v>
      </c>
      <c r="G3154" s="7">
        <v>289283.926101446</v>
      </c>
      <c r="H3154" s="7">
        <v>2.0</v>
      </c>
      <c r="I3154" s="15">
        <v>0.670327500652966</v>
      </c>
      <c r="J3154" s="15">
        <v>0.228741709023397</v>
      </c>
      <c r="K3154" s="12">
        <f>AVERAGE(I3152:I3156)</f>
        <v>0.4962327235</v>
      </c>
      <c r="L3154" s="18">
        <v>14157.0</v>
      </c>
      <c r="M3154" s="14">
        <f>STDEV(L3152:L3156)</f>
        <v>41653.65687</v>
      </c>
      <c r="N3154" s="15" t="b">
        <f t="shared" si="1"/>
        <v>0</v>
      </c>
    </row>
    <row r="3155" hidden="1">
      <c r="A3155" s="7" t="s">
        <v>639</v>
      </c>
      <c r="B3155" s="7" t="s">
        <v>519</v>
      </c>
      <c r="C3155" s="7">
        <v>0.5</v>
      </c>
      <c r="D3155" s="7">
        <v>0.5</v>
      </c>
      <c r="E3155" s="7">
        <v>1.0</v>
      </c>
      <c r="F3155" s="7">
        <v>289116.437865734</v>
      </c>
      <c r="G3155" s="7">
        <v>289283.926101446</v>
      </c>
      <c r="H3155" s="7">
        <v>3.0</v>
      </c>
      <c r="I3155" s="15">
        <v>0.795759243187648</v>
      </c>
      <c r="J3155" s="15">
        <v>0.118247189066406</v>
      </c>
      <c r="K3155" s="12">
        <f>AVERAGE(I3152:I3156)</f>
        <v>0.4962327235</v>
      </c>
      <c r="L3155" s="18">
        <v>1062.0</v>
      </c>
      <c r="M3155" s="14">
        <f>STDEV(L3152:L3156)</f>
        <v>41653.65687</v>
      </c>
      <c r="N3155" s="15" t="b">
        <f t="shared" si="1"/>
        <v>0</v>
      </c>
    </row>
    <row r="3156" hidden="1">
      <c r="A3156" s="7" t="s">
        <v>639</v>
      </c>
      <c r="B3156" s="7" t="s">
        <v>519</v>
      </c>
      <c r="C3156" s="7">
        <v>0.5</v>
      </c>
      <c r="D3156" s="7">
        <v>0.5</v>
      </c>
      <c r="E3156" s="7">
        <v>1.0</v>
      </c>
      <c r="F3156" s="7">
        <v>289116.437865734</v>
      </c>
      <c r="G3156" s="7">
        <v>289283.926101446</v>
      </c>
      <c r="H3156" s="7">
        <v>4.0</v>
      </c>
      <c r="I3156" s="15">
        <v>0.764960834798177</v>
      </c>
      <c r="J3156" s="15">
        <v>0.135342337368544</v>
      </c>
      <c r="K3156" s="12">
        <f>AVERAGE(I3152:I3156)</f>
        <v>0.4962327235</v>
      </c>
      <c r="L3156" s="18">
        <v>7824.0</v>
      </c>
      <c r="M3156" s="14">
        <f>STDEV(L3152:L3156)</f>
        <v>41653.65687</v>
      </c>
      <c r="N3156" s="15" t="b">
        <f t="shared" si="1"/>
        <v>0</v>
      </c>
    </row>
    <row r="3157" hidden="1">
      <c r="A3157" s="7" t="s">
        <v>640</v>
      </c>
      <c r="B3157" s="7" t="s">
        <v>519</v>
      </c>
      <c r="C3157" s="7">
        <v>0.5</v>
      </c>
      <c r="D3157" s="7">
        <v>0.5</v>
      </c>
      <c r="E3157" s="7">
        <v>2.0</v>
      </c>
      <c r="F3157" s="7">
        <v>189448.007345199</v>
      </c>
      <c r="G3157" s="7">
        <v>189630.324727535</v>
      </c>
      <c r="H3157" s="7">
        <v>0.0</v>
      </c>
      <c r="I3157" s="15">
        <v>0.852308316517778</v>
      </c>
      <c r="J3157" s="15">
        <v>0.0743333332667339</v>
      </c>
      <c r="K3157" s="12">
        <f>AVERAGE(I3157:I3161)</f>
        <v>0.4652569053</v>
      </c>
      <c r="L3157" s="18">
        <v>7221.0</v>
      </c>
      <c r="M3157" s="14">
        <f>STDEV(L3157:L3161)</f>
        <v>42746.01367</v>
      </c>
      <c r="N3157" s="15" t="b">
        <f t="shared" si="1"/>
        <v>0</v>
      </c>
    </row>
    <row r="3158" hidden="1">
      <c r="A3158" s="7" t="s">
        <v>640</v>
      </c>
      <c r="B3158" s="7" t="s">
        <v>519</v>
      </c>
      <c r="C3158" s="7">
        <v>0.5</v>
      </c>
      <c r="D3158" s="7">
        <v>0.5</v>
      </c>
      <c r="E3158" s="7">
        <v>2.0</v>
      </c>
      <c r="F3158" s="7">
        <v>189448.007345199</v>
      </c>
      <c r="G3158" s="7">
        <v>189630.324727535</v>
      </c>
      <c r="H3158" s="7">
        <v>1.0</v>
      </c>
      <c r="I3158" s="15">
        <v>0.298357555819103</v>
      </c>
      <c r="J3158" s="15">
        <v>0.146689135732005</v>
      </c>
      <c r="K3158" s="12">
        <f>AVERAGE(I3157:I3161)</f>
        <v>0.4652569053</v>
      </c>
      <c r="L3158" s="18">
        <v>26718.0</v>
      </c>
      <c r="M3158" s="14">
        <f>STDEV(L3157:L3161)</f>
        <v>42746.01367</v>
      </c>
      <c r="N3158" s="15" t="b">
        <f t="shared" si="1"/>
        <v>0</v>
      </c>
    </row>
    <row r="3159" hidden="1">
      <c r="A3159" s="7" t="s">
        <v>640</v>
      </c>
      <c r="B3159" s="7" t="s">
        <v>519</v>
      </c>
      <c r="C3159" s="7">
        <v>0.5</v>
      </c>
      <c r="D3159" s="7">
        <v>0.5</v>
      </c>
      <c r="E3159" s="7">
        <v>2.0</v>
      </c>
      <c r="F3159" s="7">
        <v>189448.007345199</v>
      </c>
      <c r="G3159" s="7">
        <v>189630.324727535</v>
      </c>
      <c r="H3159" s="7">
        <v>2.0</v>
      </c>
      <c r="I3159" s="15">
        <v>0.340779620718969</v>
      </c>
      <c r="J3159" s="15">
        <v>0.105761911090724</v>
      </c>
      <c r="K3159" s="12">
        <f>AVERAGE(I3157:I3161)</f>
        <v>0.4652569053</v>
      </c>
      <c r="L3159" s="18">
        <v>4010.0</v>
      </c>
      <c r="M3159" s="14">
        <f>STDEV(L3157:L3161)</f>
        <v>42746.01367</v>
      </c>
      <c r="N3159" s="15" t="b">
        <f t="shared" si="1"/>
        <v>0</v>
      </c>
    </row>
    <row r="3160" hidden="1">
      <c r="A3160" s="7" t="s">
        <v>640</v>
      </c>
      <c r="B3160" s="7" t="s">
        <v>519</v>
      </c>
      <c r="C3160" s="7">
        <v>0.5</v>
      </c>
      <c r="D3160" s="7">
        <v>0.5</v>
      </c>
      <c r="E3160" s="7">
        <v>2.0</v>
      </c>
      <c r="F3160" s="7">
        <v>189448.007345199</v>
      </c>
      <c r="G3160" s="7">
        <v>189630.324727535</v>
      </c>
      <c r="H3160" s="7">
        <v>3.0</v>
      </c>
      <c r="I3160" s="15">
        <v>0.0458933224297114</v>
      </c>
      <c r="J3160" s="15">
        <v>0.155903564776102</v>
      </c>
      <c r="K3160" s="12">
        <f>AVERAGE(I3157:I3161)</f>
        <v>0.4652569053</v>
      </c>
      <c r="L3160" s="18">
        <v>102665.0</v>
      </c>
      <c r="M3160" s="14">
        <f>STDEV(L3157:L3161)</f>
        <v>42746.01367</v>
      </c>
      <c r="N3160" s="15" t="b">
        <f t="shared" si="1"/>
        <v>0</v>
      </c>
    </row>
    <row r="3161" hidden="1">
      <c r="A3161" s="7" t="s">
        <v>640</v>
      </c>
      <c r="B3161" s="7" t="s">
        <v>519</v>
      </c>
      <c r="C3161" s="7">
        <v>0.5</v>
      </c>
      <c r="D3161" s="7">
        <v>0.5</v>
      </c>
      <c r="E3161" s="7">
        <v>2.0</v>
      </c>
      <c r="F3161" s="7">
        <v>189448.007345199</v>
      </c>
      <c r="G3161" s="7">
        <v>189630.324727535</v>
      </c>
      <c r="H3161" s="7">
        <v>4.0</v>
      </c>
      <c r="I3161" s="15">
        <v>0.788945711019146</v>
      </c>
      <c r="J3161" s="15">
        <v>0.140223850326519</v>
      </c>
      <c r="K3161" s="12">
        <f>AVERAGE(I3157:I3161)</f>
        <v>0.4652569053</v>
      </c>
      <c r="L3161" s="18">
        <v>1062.0</v>
      </c>
      <c r="M3161" s="14">
        <f>STDEV(L3157:L3161)</f>
        <v>42746.01367</v>
      </c>
      <c r="N3161" s="15" t="b">
        <f t="shared" si="1"/>
        <v>0</v>
      </c>
    </row>
    <row r="3162" hidden="1">
      <c r="A3162" s="7" t="s">
        <v>641</v>
      </c>
      <c r="B3162" s="7" t="s">
        <v>519</v>
      </c>
      <c r="C3162" s="7">
        <v>0.5</v>
      </c>
      <c r="D3162" s="7">
        <v>0.5</v>
      </c>
      <c r="E3162" s="7">
        <v>3.0</v>
      </c>
      <c r="F3162" s="7">
        <v>81939.1812386512</v>
      </c>
      <c r="G3162" s="7">
        <v>82089.0116140842</v>
      </c>
      <c r="H3162" s="7">
        <v>0.0</v>
      </c>
      <c r="I3162" s="15">
        <v>0.0394232019026675</v>
      </c>
      <c r="J3162" s="15">
        <v>0.154925709869642</v>
      </c>
      <c r="K3162" s="12">
        <f>AVERAGE(I3162:I3166)</f>
        <v>0.5351391916</v>
      </c>
      <c r="L3162" s="18">
        <v>107517.0</v>
      </c>
      <c r="M3162" s="14">
        <f>STDEV(L3162:L3166)</f>
        <v>44348.55429</v>
      </c>
      <c r="N3162" s="15" t="b">
        <f t="shared" si="1"/>
        <v>0</v>
      </c>
    </row>
    <row r="3163" hidden="1">
      <c r="A3163" s="7" t="s">
        <v>641</v>
      </c>
      <c r="B3163" s="7" t="s">
        <v>519</v>
      </c>
      <c r="C3163" s="7">
        <v>0.5</v>
      </c>
      <c r="D3163" s="7">
        <v>0.5</v>
      </c>
      <c r="E3163" s="7">
        <v>3.0</v>
      </c>
      <c r="F3163" s="7">
        <v>81939.1812386512</v>
      </c>
      <c r="G3163" s="7">
        <v>82089.0116140842</v>
      </c>
      <c r="H3163" s="7">
        <v>1.0</v>
      </c>
      <c r="I3163" s="15">
        <v>0.44966715430129</v>
      </c>
      <c r="J3163" s="15">
        <v>0.232817211512727</v>
      </c>
      <c r="K3163" s="12">
        <f>AVERAGE(I3162:I3166)</f>
        <v>0.5351391916</v>
      </c>
      <c r="L3163" s="18">
        <v>7939.0</v>
      </c>
      <c r="M3163" s="14">
        <f>STDEV(L3162:L3166)</f>
        <v>44348.55429</v>
      </c>
      <c r="N3163" s="15" t="b">
        <f t="shared" si="1"/>
        <v>0</v>
      </c>
    </row>
    <row r="3164" hidden="1">
      <c r="A3164" s="7" t="s">
        <v>641</v>
      </c>
      <c r="B3164" s="7" t="s">
        <v>519</v>
      </c>
      <c r="C3164" s="7">
        <v>0.5</v>
      </c>
      <c r="D3164" s="7">
        <v>0.5</v>
      </c>
      <c r="E3164" s="7">
        <v>3.0</v>
      </c>
      <c r="F3164" s="7">
        <v>81939.1812386512</v>
      </c>
      <c r="G3164" s="7">
        <v>82089.0116140842</v>
      </c>
      <c r="H3164" s="7">
        <v>2.0</v>
      </c>
      <c r="I3164" s="15">
        <v>0.824558888320836</v>
      </c>
      <c r="J3164" s="15">
        <v>0.097670280527443</v>
      </c>
      <c r="K3164" s="12">
        <f>AVERAGE(I3162:I3166)</f>
        <v>0.5351391916</v>
      </c>
      <c r="L3164" s="18">
        <v>4613.0</v>
      </c>
      <c r="M3164" s="14">
        <f>STDEV(L3162:L3166)</f>
        <v>44348.55429</v>
      </c>
      <c r="N3164" s="15" t="b">
        <f t="shared" si="1"/>
        <v>0</v>
      </c>
    </row>
    <row r="3165" hidden="1">
      <c r="A3165" s="7" t="s">
        <v>641</v>
      </c>
      <c r="B3165" s="7" t="s">
        <v>519</v>
      </c>
      <c r="C3165" s="7">
        <v>0.5</v>
      </c>
      <c r="D3165" s="7">
        <v>0.5</v>
      </c>
      <c r="E3165" s="7">
        <v>3.0</v>
      </c>
      <c r="F3165" s="7">
        <v>81939.1812386512</v>
      </c>
      <c r="G3165" s="7">
        <v>82089.0116140842</v>
      </c>
      <c r="H3165" s="7">
        <v>3.0</v>
      </c>
      <c r="I3165" s="15">
        <v>0.811379824469717</v>
      </c>
      <c r="J3165" s="15">
        <v>0.111354444351284</v>
      </c>
      <c r="K3165" s="12">
        <f>AVERAGE(I3162:I3166)</f>
        <v>0.5351391916</v>
      </c>
      <c r="L3165" s="18">
        <v>12209.0</v>
      </c>
      <c r="M3165" s="14">
        <f>STDEV(L3162:L3166)</f>
        <v>44348.55429</v>
      </c>
      <c r="N3165" s="15" t="b">
        <f t="shared" si="1"/>
        <v>0</v>
      </c>
    </row>
    <row r="3166" hidden="1">
      <c r="A3166" s="7" t="s">
        <v>641</v>
      </c>
      <c r="B3166" s="7" t="s">
        <v>519</v>
      </c>
      <c r="C3166" s="7">
        <v>0.5</v>
      </c>
      <c r="D3166" s="7">
        <v>0.5</v>
      </c>
      <c r="E3166" s="7">
        <v>3.0</v>
      </c>
      <c r="F3166" s="7">
        <v>81939.1812386512</v>
      </c>
      <c r="G3166" s="7">
        <v>82089.0116140842</v>
      </c>
      <c r="H3166" s="7">
        <v>4.0</v>
      </c>
      <c r="I3166" s="15">
        <v>0.550666888906932</v>
      </c>
      <c r="J3166" s="15">
        <v>0.263212641788882</v>
      </c>
      <c r="K3166" s="12">
        <f>AVERAGE(I3162:I3166)</f>
        <v>0.5351391916</v>
      </c>
      <c r="L3166" s="18">
        <v>9398.0</v>
      </c>
      <c r="M3166" s="14">
        <f>STDEV(L3162:L3166)</f>
        <v>44348.55429</v>
      </c>
      <c r="N3166" s="15" t="b">
        <f t="shared" si="1"/>
        <v>0</v>
      </c>
    </row>
    <row r="3167" hidden="1">
      <c r="A3167" s="7" t="s">
        <v>642</v>
      </c>
      <c r="B3167" s="7" t="s">
        <v>519</v>
      </c>
      <c r="C3167" s="7">
        <v>0.5</v>
      </c>
      <c r="D3167" s="7">
        <v>0.5</v>
      </c>
      <c r="E3167" s="7">
        <v>4.0</v>
      </c>
      <c r="F3167" s="7">
        <v>394324.816608905</v>
      </c>
      <c r="G3167" s="7">
        <v>394493.469885349</v>
      </c>
      <c r="H3167" s="7">
        <v>0.0</v>
      </c>
      <c r="I3167" s="15">
        <v>0.570956228086087</v>
      </c>
      <c r="J3167" s="15">
        <v>0.265359190554433</v>
      </c>
      <c r="K3167" s="12">
        <f>AVERAGE(I3167:I3171)</f>
        <v>0.5123965479</v>
      </c>
      <c r="L3167" s="18">
        <v>9107.0</v>
      </c>
      <c r="M3167" s="14">
        <f>STDEV(L3167:L3171)</f>
        <v>48163.59926</v>
      </c>
      <c r="N3167" s="15" t="b">
        <f t="shared" si="1"/>
        <v>0</v>
      </c>
    </row>
    <row r="3168" hidden="1">
      <c r="A3168" s="7" t="s">
        <v>642</v>
      </c>
      <c r="B3168" s="7" t="s">
        <v>519</v>
      </c>
      <c r="C3168" s="7">
        <v>0.5</v>
      </c>
      <c r="D3168" s="7">
        <v>0.5</v>
      </c>
      <c r="E3168" s="7">
        <v>4.0</v>
      </c>
      <c r="F3168" s="7">
        <v>394324.816608905</v>
      </c>
      <c r="G3168" s="7">
        <v>394493.469885349</v>
      </c>
      <c r="H3168" s="7">
        <v>1.0</v>
      </c>
      <c r="I3168" s="15">
        <v>0.00612462775878514</v>
      </c>
      <c r="J3168" s="15">
        <v>0.215188898631589</v>
      </c>
      <c r="K3168" s="12">
        <f>AVERAGE(I3167:I3171)</f>
        <v>0.5123965479</v>
      </c>
      <c r="L3168" s="18">
        <v>114222.0</v>
      </c>
      <c r="M3168" s="14">
        <f>STDEV(L3167:L3171)</f>
        <v>48163.59926</v>
      </c>
      <c r="N3168" s="15" t="b">
        <f t="shared" si="1"/>
        <v>0</v>
      </c>
    </row>
    <row r="3169" hidden="1">
      <c r="A3169" s="7" t="s">
        <v>642</v>
      </c>
      <c r="B3169" s="7" t="s">
        <v>519</v>
      </c>
      <c r="C3169" s="7">
        <v>0.5</v>
      </c>
      <c r="D3169" s="7">
        <v>0.5</v>
      </c>
      <c r="E3169" s="7">
        <v>4.0</v>
      </c>
      <c r="F3169" s="7">
        <v>394324.816608905</v>
      </c>
      <c r="G3169" s="7">
        <v>394493.469885349</v>
      </c>
      <c r="H3169" s="7">
        <v>2.0</v>
      </c>
      <c r="I3169" s="15">
        <v>0.820495157334561</v>
      </c>
      <c r="J3169" s="15">
        <v>0.111755003269546</v>
      </c>
      <c r="K3169" s="12">
        <f>AVERAGE(I3167:I3171)</f>
        <v>0.5123965479</v>
      </c>
      <c r="L3169" s="18">
        <v>2406.0</v>
      </c>
      <c r="M3169" s="14">
        <f>STDEV(L3167:L3171)</f>
        <v>48163.59926</v>
      </c>
      <c r="N3169" s="15" t="b">
        <f t="shared" si="1"/>
        <v>0</v>
      </c>
    </row>
    <row r="3170" hidden="1">
      <c r="A3170" s="7" t="s">
        <v>642</v>
      </c>
      <c r="B3170" s="7" t="s">
        <v>519</v>
      </c>
      <c r="C3170" s="7">
        <v>0.5</v>
      </c>
      <c r="D3170" s="7">
        <v>0.5</v>
      </c>
      <c r="E3170" s="7">
        <v>4.0</v>
      </c>
      <c r="F3170" s="7">
        <v>394324.816608905</v>
      </c>
      <c r="G3170" s="7">
        <v>394493.469885349</v>
      </c>
      <c r="H3170" s="7">
        <v>3.0</v>
      </c>
      <c r="I3170" s="15">
        <v>0.839768851897402</v>
      </c>
      <c r="J3170" s="15">
        <v>0.0680180544559599</v>
      </c>
      <c r="K3170" s="12">
        <f>AVERAGE(I3167:I3171)</f>
        <v>0.5123965479</v>
      </c>
      <c r="L3170" s="18">
        <v>11901.0</v>
      </c>
      <c r="M3170" s="14">
        <f>STDEV(L3167:L3171)</f>
        <v>48163.59926</v>
      </c>
      <c r="N3170" s="15" t="b">
        <f t="shared" si="1"/>
        <v>0</v>
      </c>
    </row>
    <row r="3171" hidden="1">
      <c r="A3171" s="7" t="s">
        <v>642</v>
      </c>
      <c r="B3171" s="7" t="s">
        <v>519</v>
      </c>
      <c r="C3171" s="7">
        <v>0.5</v>
      </c>
      <c r="D3171" s="7">
        <v>0.5</v>
      </c>
      <c r="E3171" s="7">
        <v>4.0</v>
      </c>
      <c r="F3171" s="7">
        <v>394324.816608905</v>
      </c>
      <c r="G3171" s="7">
        <v>394493.469885349</v>
      </c>
      <c r="H3171" s="7">
        <v>4.0</v>
      </c>
      <c r="I3171" s="15">
        <v>0.324637874447061</v>
      </c>
      <c r="J3171" s="15">
        <v>0.122830236330044</v>
      </c>
      <c r="K3171" s="12">
        <f>AVERAGE(I3167:I3171)</f>
        <v>0.5123965479</v>
      </c>
      <c r="L3171" s="18">
        <v>4040.0</v>
      </c>
      <c r="M3171" s="14">
        <f>STDEV(L3167:L3171)</f>
        <v>48163.59926</v>
      </c>
      <c r="N3171" s="15" t="b">
        <f t="shared" si="1"/>
        <v>0</v>
      </c>
    </row>
    <row r="3172" hidden="1">
      <c r="A3172" s="7" t="s">
        <v>643</v>
      </c>
      <c r="B3172" s="7" t="s">
        <v>519</v>
      </c>
      <c r="C3172" s="7">
        <v>0.5</v>
      </c>
      <c r="D3172" s="7">
        <v>0.5</v>
      </c>
      <c r="E3172" s="7">
        <v>5.0</v>
      </c>
      <c r="F3172" s="7">
        <v>189832.016570091</v>
      </c>
      <c r="G3172" s="7">
        <v>190013.073707818</v>
      </c>
      <c r="H3172" s="7">
        <v>0.0</v>
      </c>
      <c r="I3172" s="15">
        <v>0.022412236820327</v>
      </c>
      <c r="J3172" s="15">
        <v>0.0298354523669698</v>
      </c>
      <c r="K3172" s="12">
        <f>AVERAGE(I3172:I3176)</f>
        <v>0.4104717574</v>
      </c>
      <c r="L3172" s="18">
        <v>23742.0</v>
      </c>
      <c r="M3172" s="14">
        <f>STDEV(L3172:L3176)</f>
        <v>30266.84677</v>
      </c>
      <c r="N3172" s="15" t="b">
        <f t="shared" si="1"/>
        <v>0</v>
      </c>
    </row>
    <row r="3173" hidden="1">
      <c r="A3173" s="7" t="s">
        <v>643</v>
      </c>
      <c r="B3173" s="7" t="s">
        <v>519</v>
      </c>
      <c r="C3173" s="7">
        <v>0.5</v>
      </c>
      <c r="D3173" s="7">
        <v>0.5</v>
      </c>
      <c r="E3173" s="7">
        <v>5.0</v>
      </c>
      <c r="F3173" s="7">
        <v>189832.016570091</v>
      </c>
      <c r="G3173" s="7">
        <v>190013.073707818</v>
      </c>
      <c r="H3173" s="7">
        <v>1.0</v>
      </c>
      <c r="I3173" s="15">
        <v>0.297641286409727</v>
      </c>
      <c r="J3173" s="15">
        <v>0.149430598788601</v>
      </c>
      <c r="K3173" s="12">
        <f>AVERAGE(I3172:I3176)</f>
        <v>0.4104717574</v>
      </c>
      <c r="L3173" s="18">
        <v>26147.0</v>
      </c>
      <c r="M3173" s="14">
        <f>STDEV(L3172:L3176)</f>
        <v>30266.84677</v>
      </c>
      <c r="N3173" s="15" t="b">
        <f t="shared" si="1"/>
        <v>0</v>
      </c>
    </row>
    <row r="3174" hidden="1">
      <c r="A3174" s="7" t="s">
        <v>643</v>
      </c>
      <c r="B3174" s="7" t="s">
        <v>519</v>
      </c>
      <c r="C3174" s="7">
        <v>0.5</v>
      </c>
      <c r="D3174" s="7">
        <v>0.5</v>
      </c>
      <c r="E3174" s="7">
        <v>5.0</v>
      </c>
      <c r="F3174" s="7">
        <v>189832.016570091</v>
      </c>
      <c r="G3174" s="7">
        <v>190013.073707818</v>
      </c>
      <c r="H3174" s="7">
        <v>2.0</v>
      </c>
      <c r="I3174" s="15">
        <v>0.825712365721271</v>
      </c>
      <c r="J3174" s="15">
        <v>0.094783784468407</v>
      </c>
      <c r="K3174" s="12">
        <f>AVERAGE(I3172:I3176)</f>
        <v>0.4104717574</v>
      </c>
      <c r="L3174" s="18">
        <v>4613.0</v>
      </c>
      <c r="M3174" s="14">
        <f>STDEV(L3172:L3176)</f>
        <v>30266.84677</v>
      </c>
      <c r="N3174" s="15" t="b">
        <f t="shared" si="1"/>
        <v>0</v>
      </c>
    </row>
    <row r="3175" hidden="1">
      <c r="A3175" s="7" t="s">
        <v>643</v>
      </c>
      <c r="B3175" s="7" t="s">
        <v>519</v>
      </c>
      <c r="C3175" s="7">
        <v>0.5</v>
      </c>
      <c r="D3175" s="7">
        <v>0.5</v>
      </c>
      <c r="E3175" s="7">
        <v>5.0</v>
      </c>
      <c r="F3175" s="7">
        <v>189832.016570091</v>
      </c>
      <c r="G3175" s="7">
        <v>190013.073707818</v>
      </c>
      <c r="H3175" s="7">
        <v>3.0</v>
      </c>
      <c r="I3175" s="15">
        <v>0.0781726417888996</v>
      </c>
      <c r="J3175" s="15">
        <v>0.139225521889892</v>
      </c>
      <c r="K3175" s="12">
        <f>AVERAGE(I3172:I3176)</f>
        <v>0.4104717574</v>
      </c>
      <c r="L3175" s="18">
        <v>79715.0</v>
      </c>
      <c r="M3175" s="14">
        <f>STDEV(L3172:L3176)</f>
        <v>30266.84677</v>
      </c>
      <c r="N3175" s="15" t="b">
        <f t="shared" si="1"/>
        <v>0</v>
      </c>
    </row>
    <row r="3176" hidden="1">
      <c r="A3176" s="7" t="s">
        <v>643</v>
      </c>
      <c r="B3176" s="7" t="s">
        <v>519</v>
      </c>
      <c r="C3176" s="7">
        <v>0.5</v>
      </c>
      <c r="D3176" s="7">
        <v>0.5</v>
      </c>
      <c r="E3176" s="7">
        <v>5.0</v>
      </c>
      <c r="F3176" s="7">
        <v>189832.016570091</v>
      </c>
      <c r="G3176" s="7">
        <v>190013.073707818</v>
      </c>
      <c r="H3176" s="7">
        <v>4.0</v>
      </c>
      <c r="I3176" s="15">
        <v>0.828420256439036</v>
      </c>
      <c r="J3176" s="15">
        <v>0.100165585476251</v>
      </c>
      <c r="K3176" s="12">
        <f>AVERAGE(I3172:I3176)</f>
        <v>0.4104717574</v>
      </c>
      <c r="L3176" s="18">
        <v>7459.0</v>
      </c>
      <c r="M3176" s="14">
        <f>STDEV(L3172:L3176)</f>
        <v>30266.84677</v>
      </c>
      <c r="N3176" s="15" t="b">
        <f t="shared" si="1"/>
        <v>0</v>
      </c>
    </row>
    <row r="3177" hidden="1">
      <c r="A3177" s="7" t="s">
        <v>644</v>
      </c>
      <c r="B3177" s="7" t="s">
        <v>519</v>
      </c>
      <c r="C3177" s="7">
        <v>0.5</v>
      </c>
      <c r="D3177" s="7">
        <v>0.5</v>
      </c>
      <c r="E3177" s="7">
        <v>6.0</v>
      </c>
      <c r="F3177" s="7">
        <v>348142.225641488</v>
      </c>
      <c r="G3177" s="7">
        <v>348320.575233221</v>
      </c>
      <c r="H3177" s="7">
        <v>0.0</v>
      </c>
      <c r="I3177" s="15">
        <v>0.829828471425869</v>
      </c>
      <c r="J3177" s="15">
        <v>0.097974008112221</v>
      </c>
      <c r="K3177" s="12">
        <f>AVERAGE(I3177:I3181)</f>
        <v>0.4606553963</v>
      </c>
      <c r="L3177" s="18">
        <v>7429.0</v>
      </c>
      <c r="M3177" s="14">
        <f>STDEV(L3177:L3181)</f>
        <v>30755.87369</v>
      </c>
      <c r="N3177" s="15" t="b">
        <f t="shared" si="1"/>
        <v>0</v>
      </c>
    </row>
    <row r="3178" hidden="1">
      <c r="A3178" s="7" t="s">
        <v>644</v>
      </c>
      <c r="B3178" s="7" t="s">
        <v>519</v>
      </c>
      <c r="C3178" s="7">
        <v>0.5</v>
      </c>
      <c r="D3178" s="7">
        <v>0.5</v>
      </c>
      <c r="E3178" s="7">
        <v>6.0</v>
      </c>
      <c r="F3178" s="7">
        <v>348142.225641488</v>
      </c>
      <c r="G3178" s="7">
        <v>348320.575233221</v>
      </c>
      <c r="H3178" s="7">
        <v>1.0</v>
      </c>
      <c r="I3178" s="15">
        <v>0.670145244012799</v>
      </c>
      <c r="J3178" s="15">
        <v>0.228251139279317</v>
      </c>
      <c r="K3178" s="12">
        <f>AVERAGE(I3177:I3181)</f>
        <v>0.4606553963</v>
      </c>
      <c r="L3178" s="18">
        <v>14087.0</v>
      </c>
      <c r="M3178" s="14">
        <f>STDEV(L3177:L3181)</f>
        <v>30755.87369</v>
      </c>
      <c r="N3178" s="15" t="b">
        <f t="shared" si="1"/>
        <v>0</v>
      </c>
    </row>
    <row r="3179" hidden="1">
      <c r="A3179" s="7" t="s">
        <v>644</v>
      </c>
      <c r="B3179" s="7" t="s">
        <v>519</v>
      </c>
      <c r="C3179" s="7">
        <v>0.5</v>
      </c>
      <c r="D3179" s="7">
        <v>0.5</v>
      </c>
      <c r="E3179" s="7">
        <v>6.0</v>
      </c>
      <c r="F3179" s="7">
        <v>348142.225641488</v>
      </c>
      <c r="G3179" s="7">
        <v>348320.575233221</v>
      </c>
      <c r="H3179" s="7">
        <v>2.0</v>
      </c>
      <c r="I3179" s="15">
        <v>0.0324009632013214</v>
      </c>
      <c r="J3179" s="15">
        <v>0.0420805816895555</v>
      </c>
      <c r="K3179" s="12">
        <f>AVERAGE(I3177:I3181)</f>
        <v>0.4606553963</v>
      </c>
      <c r="L3179" s="18">
        <v>44400.0</v>
      </c>
      <c r="M3179" s="14">
        <f>STDEV(L3177:L3181)</f>
        <v>30755.87369</v>
      </c>
      <c r="N3179" s="15" t="b">
        <f t="shared" si="1"/>
        <v>0</v>
      </c>
    </row>
    <row r="3180" hidden="1">
      <c r="A3180" s="7" t="s">
        <v>644</v>
      </c>
      <c r="B3180" s="7" t="s">
        <v>519</v>
      </c>
      <c r="C3180" s="7">
        <v>0.5</v>
      </c>
      <c r="D3180" s="7">
        <v>0.5</v>
      </c>
      <c r="E3180" s="7">
        <v>6.0</v>
      </c>
      <c r="F3180" s="7">
        <v>348142.225641488</v>
      </c>
      <c r="G3180" s="7">
        <v>348320.575233221</v>
      </c>
      <c r="H3180" s="7">
        <v>3.0</v>
      </c>
      <c r="I3180" s="15">
        <v>0.763787132129428</v>
      </c>
      <c r="J3180" s="15">
        <v>0.14626725866755</v>
      </c>
      <c r="K3180" s="12">
        <f>AVERAGE(I3177:I3181)</f>
        <v>0.4606553963</v>
      </c>
      <c r="L3180" s="18">
        <v>1115.0</v>
      </c>
      <c r="M3180" s="14">
        <f>STDEV(L3177:L3181)</f>
        <v>30755.87369</v>
      </c>
      <c r="N3180" s="15" t="b">
        <f t="shared" si="1"/>
        <v>0</v>
      </c>
    </row>
    <row r="3181" hidden="1">
      <c r="A3181" s="7" t="s">
        <v>644</v>
      </c>
      <c r="B3181" s="7" t="s">
        <v>519</v>
      </c>
      <c r="C3181" s="7">
        <v>0.5</v>
      </c>
      <c r="D3181" s="7">
        <v>0.5</v>
      </c>
      <c r="E3181" s="7">
        <v>6.0</v>
      </c>
      <c r="F3181" s="7">
        <v>348142.225641488</v>
      </c>
      <c r="G3181" s="7">
        <v>348320.575233221</v>
      </c>
      <c r="H3181" s="7">
        <v>4.0</v>
      </c>
      <c r="I3181" s="15">
        <v>0.00711517056698216</v>
      </c>
      <c r="J3181" s="15">
        <v>0.218637729111929</v>
      </c>
      <c r="K3181" s="12">
        <f>AVERAGE(I3177:I3181)</f>
        <v>0.4606553963</v>
      </c>
      <c r="L3181" s="18">
        <v>74645.0</v>
      </c>
      <c r="M3181" s="14">
        <f>STDEV(L3177:L3181)</f>
        <v>30755.87369</v>
      </c>
      <c r="N3181" s="15" t="b">
        <f t="shared" si="1"/>
        <v>0</v>
      </c>
    </row>
    <row r="3182" hidden="1">
      <c r="A3182" s="7" t="s">
        <v>645</v>
      </c>
      <c r="B3182" s="7" t="s">
        <v>519</v>
      </c>
      <c r="C3182" s="7">
        <v>0.5</v>
      </c>
      <c r="D3182" s="7">
        <v>0.5</v>
      </c>
      <c r="E3182" s="7">
        <v>7.0</v>
      </c>
      <c r="F3182" s="7">
        <v>189235.815340757</v>
      </c>
      <c r="G3182" s="7">
        <v>189408.880739688</v>
      </c>
      <c r="H3182" s="7">
        <v>0.0</v>
      </c>
      <c r="I3182" s="15">
        <v>0.832258825466695</v>
      </c>
      <c r="J3182" s="15">
        <v>0.0977800372875977</v>
      </c>
      <c r="K3182" s="12">
        <f>AVERAGE(I3182:I3186)</f>
        <v>0.4266489626</v>
      </c>
      <c r="L3182" s="18">
        <v>5519.0</v>
      </c>
      <c r="M3182" s="14">
        <f>STDEV(L3182:L3186)</f>
        <v>43502.25635</v>
      </c>
      <c r="N3182" s="15" t="b">
        <f t="shared" si="1"/>
        <v>0</v>
      </c>
    </row>
    <row r="3183" hidden="1">
      <c r="A3183" s="7" t="s">
        <v>645</v>
      </c>
      <c r="B3183" s="7" t="s">
        <v>519</v>
      </c>
      <c r="C3183" s="7">
        <v>0.5</v>
      </c>
      <c r="D3183" s="7">
        <v>0.5</v>
      </c>
      <c r="E3183" s="7">
        <v>7.0</v>
      </c>
      <c r="F3183" s="7">
        <v>189235.815340757</v>
      </c>
      <c r="G3183" s="7">
        <v>189408.880739688</v>
      </c>
      <c r="H3183" s="7">
        <v>1.0</v>
      </c>
      <c r="I3183" s="15">
        <v>0.81873496774796</v>
      </c>
      <c r="J3183" s="15">
        <v>0.11150484294623</v>
      </c>
      <c r="K3183" s="12">
        <f>AVERAGE(I3182:I3186)</f>
        <v>0.4266489626</v>
      </c>
      <c r="L3183" s="18">
        <v>2413.0</v>
      </c>
      <c r="M3183" s="14">
        <f>STDEV(L3182:L3186)</f>
        <v>43502.25635</v>
      </c>
      <c r="N3183" s="15" t="b">
        <f t="shared" si="1"/>
        <v>0</v>
      </c>
    </row>
    <row r="3184" hidden="1">
      <c r="A3184" s="7" t="s">
        <v>645</v>
      </c>
      <c r="B3184" s="7" t="s">
        <v>519</v>
      </c>
      <c r="C3184" s="7">
        <v>0.5</v>
      </c>
      <c r="D3184" s="7">
        <v>0.5</v>
      </c>
      <c r="E3184" s="7">
        <v>7.0</v>
      </c>
      <c r="F3184" s="7">
        <v>189235.815340757</v>
      </c>
      <c r="G3184" s="7">
        <v>189408.880739688</v>
      </c>
      <c r="H3184" s="7">
        <v>2.0</v>
      </c>
      <c r="I3184" s="15">
        <v>0.235495362312576</v>
      </c>
      <c r="J3184" s="15">
        <v>0.117033769535609</v>
      </c>
      <c r="K3184" s="12">
        <f>AVERAGE(I3182:I3186)</f>
        <v>0.4266489626</v>
      </c>
      <c r="L3184" s="18">
        <v>5056.0</v>
      </c>
      <c r="M3184" s="14">
        <f>STDEV(L3182:L3186)</f>
        <v>43502.25635</v>
      </c>
      <c r="N3184" s="15" t="b">
        <f t="shared" si="1"/>
        <v>0</v>
      </c>
    </row>
    <row r="3185" hidden="1">
      <c r="A3185" s="7" t="s">
        <v>645</v>
      </c>
      <c r="B3185" s="7" t="s">
        <v>519</v>
      </c>
      <c r="C3185" s="7">
        <v>0.5</v>
      </c>
      <c r="D3185" s="7">
        <v>0.5</v>
      </c>
      <c r="E3185" s="7">
        <v>7.0</v>
      </c>
      <c r="F3185" s="7">
        <v>189235.815340757</v>
      </c>
      <c r="G3185" s="7">
        <v>189408.880739688</v>
      </c>
      <c r="H3185" s="7">
        <v>3.0</v>
      </c>
      <c r="I3185" s="15">
        <v>0.188264879419696</v>
      </c>
      <c r="J3185" s="15">
        <v>0.0902812886111326</v>
      </c>
      <c r="K3185" s="12">
        <f>AVERAGE(I3182:I3186)</f>
        <v>0.4266489626</v>
      </c>
      <c r="L3185" s="18">
        <v>24082.0</v>
      </c>
      <c r="M3185" s="14">
        <f>STDEV(L3182:L3186)</f>
        <v>43502.25635</v>
      </c>
      <c r="N3185" s="15" t="b">
        <f t="shared" si="1"/>
        <v>0</v>
      </c>
    </row>
    <row r="3186" hidden="1">
      <c r="A3186" s="7" t="s">
        <v>645</v>
      </c>
      <c r="B3186" s="7" t="s">
        <v>519</v>
      </c>
      <c r="C3186" s="7">
        <v>0.5</v>
      </c>
      <c r="D3186" s="7">
        <v>0.5</v>
      </c>
      <c r="E3186" s="7">
        <v>7.0</v>
      </c>
      <c r="F3186" s="7">
        <v>189235.815340757</v>
      </c>
      <c r="G3186" s="7">
        <v>189408.880739688</v>
      </c>
      <c r="H3186" s="7">
        <v>4.0</v>
      </c>
      <c r="I3186" s="15">
        <v>0.0584907780086956</v>
      </c>
      <c r="J3186" s="15">
        <v>0.178936058664428</v>
      </c>
      <c r="K3186" s="12">
        <f>AVERAGE(I3182:I3186)</f>
        <v>0.4266489626</v>
      </c>
      <c r="L3186" s="18">
        <v>104606.0</v>
      </c>
      <c r="M3186" s="14">
        <f>STDEV(L3182:L3186)</f>
        <v>43502.25635</v>
      </c>
      <c r="N3186" s="15" t="b">
        <f t="shared" si="1"/>
        <v>0</v>
      </c>
    </row>
    <row r="3187" hidden="1">
      <c r="A3187" s="7" t="s">
        <v>646</v>
      </c>
      <c r="B3187" s="7" t="s">
        <v>519</v>
      </c>
      <c r="C3187" s="7">
        <v>0.5</v>
      </c>
      <c r="D3187" s="7">
        <v>0.5</v>
      </c>
      <c r="E3187" s="7">
        <v>8.0</v>
      </c>
      <c r="F3187" s="7">
        <v>142577.737179279</v>
      </c>
      <c r="G3187" s="7">
        <v>142761.65709114</v>
      </c>
      <c r="H3187" s="7">
        <v>0.0</v>
      </c>
      <c r="I3187" s="15">
        <v>0.619202818516948</v>
      </c>
      <c r="J3187" s="15">
        <v>0.241016388325243</v>
      </c>
      <c r="K3187" s="12">
        <f>AVERAGE(I3187:I3191)</f>
        <v>0.5465928607</v>
      </c>
      <c r="L3187" s="18">
        <v>14363.0</v>
      </c>
      <c r="M3187" s="14">
        <f>STDEV(L3187:L3191)</f>
        <v>44020.57531</v>
      </c>
      <c r="N3187" s="15" t="b">
        <f t="shared" si="1"/>
        <v>0</v>
      </c>
    </row>
    <row r="3188" hidden="1">
      <c r="A3188" s="7" t="s">
        <v>646</v>
      </c>
      <c r="B3188" s="7" t="s">
        <v>519</v>
      </c>
      <c r="C3188" s="7">
        <v>0.5</v>
      </c>
      <c r="D3188" s="7">
        <v>0.5</v>
      </c>
      <c r="E3188" s="7">
        <v>8.0</v>
      </c>
      <c r="F3188" s="7">
        <v>142577.737179279</v>
      </c>
      <c r="G3188" s="7">
        <v>142761.65709114</v>
      </c>
      <c r="H3188" s="7">
        <v>1.0</v>
      </c>
      <c r="I3188" s="15">
        <v>0.484756199410684</v>
      </c>
      <c r="J3188" s="15">
        <v>0.220142406480032</v>
      </c>
      <c r="K3188" s="12">
        <f>AVERAGE(I3187:I3191)</f>
        <v>0.5465928607</v>
      </c>
      <c r="L3188" s="18">
        <v>7285.0</v>
      </c>
      <c r="M3188" s="14">
        <f>STDEV(L3187:L3191)</f>
        <v>44020.57531</v>
      </c>
      <c r="N3188" s="15" t="b">
        <f t="shared" si="1"/>
        <v>0</v>
      </c>
    </row>
    <row r="3189" hidden="1">
      <c r="A3189" s="7" t="s">
        <v>646</v>
      </c>
      <c r="B3189" s="7" t="s">
        <v>519</v>
      </c>
      <c r="C3189" s="7">
        <v>0.5</v>
      </c>
      <c r="D3189" s="7">
        <v>0.5</v>
      </c>
      <c r="E3189" s="7">
        <v>8.0</v>
      </c>
      <c r="F3189" s="7">
        <v>142577.737179279</v>
      </c>
      <c r="G3189" s="7">
        <v>142761.65709114</v>
      </c>
      <c r="H3189" s="7">
        <v>2.0</v>
      </c>
      <c r="I3189" s="15">
        <v>0.80626110399411</v>
      </c>
      <c r="J3189" s="15">
        <v>0.120689855238346</v>
      </c>
      <c r="K3189" s="12">
        <f>AVERAGE(I3187:I3191)</f>
        <v>0.5465928607</v>
      </c>
      <c r="L3189" s="18">
        <v>5709.0</v>
      </c>
      <c r="M3189" s="14">
        <f>STDEV(L3187:L3191)</f>
        <v>44020.57531</v>
      </c>
      <c r="N3189" s="15" t="b">
        <f t="shared" si="1"/>
        <v>0</v>
      </c>
    </row>
    <row r="3190" hidden="1">
      <c r="A3190" s="7" t="s">
        <v>646</v>
      </c>
      <c r="B3190" s="7" t="s">
        <v>519</v>
      </c>
      <c r="C3190" s="7">
        <v>0.5</v>
      </c>
      <c r="D3190" s="7">
        <v>0.5</v>
      </c>
      <c r="E3190" s="7">
        <v>8.0</v>
      </c>
      <c r="F3190" s="7">
        <v>142577.737179279</v>
      </c>
      <c r="G3190" s="7">
        <v>142761.65709114</v>
      </c>
      <c r="H3190" s="7">
        <v>3.0</v>
      </c>
      <c r="I3190" s="15">
        <v>0.827572014303998</v>
      </c>
      <c r="J3190" s="15">
        <v>0.102154572179293</v>
      </c>
      <c r="K3190" s="12">
        <f>AVERAGE(I3187:I3191)</f>
        <v>0.5465928607</v>
      </c>
      <c r="L3190" s="18">
        <v>7464.0</v>
      </c>
      <c r="M3190" s="14">
        <f>STDEV(L3187:L3191)</f>
        <v>44020.57531</v>
      </c>
      <c r="N3190" s="15" t="b">
        <f t="shared" si="1"/>
        <v>0</v>
      </c>
    </row>
    <row r="3191" hidden="1">
      <c r="A3191" s="7" t="s">
        <v>646</v>
      </c>
      <c r="B3191" s="7" t="s">
        <v>519</v>
      </c>
      <c r="C3191" s="7">
        <v>0.5</v>
      </c>
      <c r="D3191" s="7">
        <v>0.5</v>
      </c>
      <c r="E3191" s="7">
        <v>8.0</v>
      </c>
      <c r="F3191" s="7">
        <v>142577.737179279</v>
      </c>
      <c r="G3191" s="7">
        <v>142761.65709114</v>
      </c>
      <c r="H3191" s="7">
        <v>4.0</v>
      </c>
      <c r="I3191" s="15">
        <v>-0.00482783279185191</v>
      </c>
      <c r="J3191" s="15">
        <v>0.211709406850995</v>
      </c>
      <c r="K3191" s="12">
        <f>AVERAGE(I3187:I3191)</f>
        <v>0.5465928607</v>
      </c>
      <c r="L3191" s="18">
        <v>106855.0</v>
      </c>
      <c r="M3191" s="14">
        <f>STDEV(L3187:L3191)</f>
        <v>44020.57531</v>
      </c>
      <c r="N3191" s="15" t="b">
        <f t="shared" si="1"/>
        <v>0</v>
      </c>
    </row>
    <row r="3192" hidden="1">
      <c r="A3192" s="7" t="s">
        <v>647</v>
      </c>
      <c r="B3192" s="7" t="s">
        <v>519</v>
      </c>
      <c r="C3192" s="7">
        <v>0.5</v>
      </c>
      <c r="D3192" s="7">
        <v>0.5</v>
      </c>
      <c r="E3192" s="7">
        <v>9.0</v>
      </c>
      <c r="F3192" s="7">
        <v>326166.356384754</v>
      </c>
      <c r="G3192" s="7">
        <v>326345.643028497</v>
      </c>
      <c r="H3192" s="7">
        <v>0.0</v>
      </c>
      <c r="I3192" s="15">
        <v>0.395995066990015</v>
      </c>
      <c r="J3192" s="15">
        <v>0.0591667345031877</v>
      </c>
      <c r="K3192" s="12">
        <f>AVERAGE(I3192:I3196)</f>
        <v>0.2995514002</v>
      </c>
      <c r="L3192" s="18">
        <v>13208.0</v>
      </c>
      <c r="M3192" s="14">
        <f>STDEV(L3192:L3196)</f>
        <v>32834.63278</v>
      </c>
      <c r="N3192" s="15" t="b">
        <f t="shared" si="1"/>
        <v>0</v>
      </c>
    </row>
    <row r="3193" hidden="1">
      <c r="A3193" s="7" t="s">
        <v>647</v>
      </c>
      <c r="B3193" s="7" t="s">
        <v>519</v>
      </c>
      <c r="C3193" s="7">
        <v>0.5</v>
      </c>
      <c r="D3193" s="7">
        <v>0.5</v>
      </c>
      <c r="E3193" s="7">
        <v>9.0</v>
      </c>
      <c r="F3193" s="7">
        <v>326166.356384754</v>
      </c>
      <c r="G3193" s="7">
        <v>326345.643028497</v>
      </c>
      <c r="H3193" s="7">
        <v>1.0</v>
      </c>
      <c r="I3193" s="15">
        <v>0.207605945730389</v>
      </c>
      <c r="J3193" s="15">
        <v>0.0846365706026395</v>
      </c>
      <c r="K3193" s="12">
        <f>AVERAGE(I3192:I3196)</f>
        <v>0.2995514002</v>
      </c>
      <c r="L3193" s="18">
        <v>6634.0</v>
      </c>
      <c r="M3193" s="14">
        <f>STDEV(L3192:L3196)</f>
        <v>32834.63278</v>
      </c>
      <c r="N3193" s="15" t="b">
        <f t="shared" si="1"/>
        <v>0</v>
      </c>
    </row>
    <row r="3194" hidden="1">
      <c r="A3194" s="7" t="s">
        <v>647</v>
      </c>
      <c r="B3194" s="7" t="s">
        <v>519</v>
      </c>
      <c r="C3194" s="7">
        <v>0.5</v>
      </c>
      <c r="D3194" s="7">
        <v>0.5</v>
      </c>
      <c r="E3194" s="7">
        <v>9.0</v>
      </c>
      <c r="F3194" s="7">
        <v>326166.356384754</v>
      </c>
      <c r="G3194" s="7">
        <v>326345.643028497</v>
      </c>
      <c r="H3194" s="7">
        <v>2.0</v>
      </c>
      <c r="I3194" s="15">
        <v>0.0165146500368016</v>
      </c>
      <c r="J3194" s="15">
        <v>0.201951254125269</v>
      </c>
      <c r="K3194" s="12">
        <f>AVERAGE(I3192:I3196)</f>
        <v>0.2995514002</v>
      </c>
      <c r="L3194" s="18">
        <v>85983.0</v>
      </c>
      <c r="M3194" s="14">
        <f>STDEV(L3192:L3196)</f>
        <v>32834.63278</v>
      </c>
      <c r="N3194" s="15" t="b">
        <f t="shared" si="1"/>
        <v>0</v>
      </c>
    </row>
    <row r="3195" hidden="1">
      <c r="A3195" s="7" t="s">
        <v>647</v>
      </c>
      <c r="B3195" s="7" t="s">
        <v>519</v>
      </c>
      <c r="C3195" s="7">
        <v>0.5</v>
      </c>
      <c r="D3195" s="7">
        <v>0.5</v>
      </c>
      <c r="E3195" s="7">
        <v>9.0</v>
      </c>
      <c r="F3195" s="7">
        <v>326166.356384754</v>
      </c>
      <c r="G3195" s="7">
        <v>326345.643028497</v>
      </c>
      <c r="H3195" s="7">
        <v>3.0</v>
      </c>
      <c r="I3195" s="15">
        <v>0.0393033984148933</v>
      </c>
      <c r="J3195" s="15">
        <v>0.0398951604884948</v>
      </c>
      <c r="K3195" s="12">
        <f>AVERAGE(I3192:I3196)</f>
        <v>0.2995514002</v>
      </c>
      <c r="L3195" s="18">
        <v>23954.0</v>
      </c>
      <c r="M3195" s="14">
        <f>STDEV(L3192:L3196)</f>
        <v>32834.63278</v>
      </c>
      <c r="N3195" s="15" t="b">
        <f t="shared" si="1"/>
        <v>0</v>
      </c>
    </row>
    <row r="3196" hidden="1">
      <c r="A3196" s="7" t="s">
        <v>647</v>
      </c>
      <c r="B3196" s="7" t="s">
        <v>519</v>
      </c>
      <c r="C3196" s="7">
        <v>0.5</v>
      </c>
      <c r="D3196" s="7">
        <v>0.5</v>
      </c>
      <c r="E3196" s="7">
        <v>9.0</v>
      </c>
      <c r="F3196" s="7">
        <v>326166.356384754</v>
      </c>
      <c r="G3196" s="7">
        <v>326345.643028497</v>
      </c>
      <c r="H3196" s="7">
        <v>4.0</v>
      </c>
      <c r="I3196" s="15">
        <v>0.838337939812403</v>
      </c>
      <c r="J3196" s="15">
        <v>0.0661821675886819</v>
      </c>
      <c r="K3196" s="12">
        <f>AVERAGE(I3192:I3196)</f>
        <v>0.2995514002</v>
      </c>
      <c r="L3196" s="18">
        <v>11897.0</v>
      </c>
      <c r="M3196" s="14">
        <f>STDEV(L3192:L3196)</f>
        <v>32834.63278</v>
      </c>
      <c r="N3196" s="15" t="b">
        <f t="shared" si="1"/>
        <v>0</v>
      </c>
    </row>
    <row r="3197" hidden="1">
      <c r="A3197" s="7" t="s">
        <v>648</v>
      </c>
      <c r="B3197" s="7" t="s">
        <v>519</v>
      </c>
      <c r="C3197" s="7">
        <v>0.5</v>
      </c>
      <c r="D3197" s="7">
        <v>0.5</v>
      </c>
      <c r="E3197" s="7">
        <v>10.0</v>
      </c>
      <c r="F3197" s="7">
        <v>147346.561947345</v>
      </c>
      <c r="G3197" s="7">
        <v>147503.724607706</v>
      </c>
      <c r="H3197" s="7">
        <v>0.0</v>
      </c>
      <c r="I3197" s="15">
        <v>0.343270504545976</v>
      </c>
      <c r="J3197" s="15">
        <v>0.119497944614836</v>
      </c>
      <c r="K3197" s="12">
        <f>AVERAGE(I3197:I3201)</f>
        <v>0.4562920673</v>
      </c>
      <c r="L3197" s="18">
        <v>4020.0</v>
      </c>
      <c r="M3197" s="14">
        <f>STDEV(L3197:L3201)</f>
        <v>50584.71346</v>
      </c>
      <c r="N3197" s="15" t="b">
        <f t="shared" si="1"/>
        <v>0</v>
      </c>
    </row>
    <row r="3198" hidden="1">
      <c r="A3198" s="7" t="s">
        <v>648</v>
      </c>
      <c r="B3198" s="7" t="s">
        <v>519</v>
      </c>
      <c r="C3198" s="7">
        <v>0.5</v>
      </c>
      <c r="D3198" s="7">
        <v>0.5</v>
      </c>
      <c r="E3198" s="7">
        <v>10.0</v>
      </c>
      <c r="F3198" s="7">
        <v>147346.561947345</v>
      </c>
      <c r="G3198" s="7">
        <v>147503.724607706</v>
      </c>
      <c r="H3198" s="7">
        <v>1.0</v>
      </c>
      <c r="I3198" s="15">
        <v>0.831062036311488</v>
      </c>
      <c r="J3198" s="15">
        <v>0.10330131509689</v>
      </c>
      <c r="K3198" s="12">
        <f>AVERAGE(I3197:I3201)</f>
        <v>0.4562920673</v>
      </c>
      <c r="L3198" s="18">
        <v>5519.0</v>
      </c>
      <c r="M3198" s="14">
        <f>STDEV(L3197:L3201)</f>
        <v>50584.71346</v>
      </c>
      <c r="N3198" s="15" t="b">
        <f t="shared" si="1"/>
        <v>0</v>
      </c>
    </row>
    <row r="3199" hidden="1">
      <c r="A3199" s="7" t="s">
        <v>648</v>
      </c>
      <c r="B3199" s="7" t="s">
        <v>519</v>
      </c>
      <c r="C3199" s="7">
        <v>0.5</v>
      </c>
      <c r="D3199" s="7">
        <v>0.5</v>
      </c>
      <c r="E3199" s="7">
        <v>10.0</v>
      </c>
      <c r="F3199" s="7">
        <v>147346.561947345</v>
      </c>
      <c r="G3199" s="7">
        <v>147503.724607706</v>
      </c>
      <c r="H3199" s="7">
        <v>2.0</v>
      </c>
      <c r="I3199" s="15">
        <v>0.771839444389975</v>
      </c>
      <c r="J3199" s="15">
        <v>0.142385009532705</v>
      </c>
      <c r="K3199" s="12">
        <f>AVERAGE(I3197:I3201)</f>
        <v>0.4562920673</v>
      </c>
      <c r="L3199" s="18">
        <v>7731.0</v>
      </c>
      <c r="M3199" s="14">
        <f>STDEV(L3197:L3201)</f>
        <v>50584.71346</v>
      </c>
      <c r="N3199" s="15" t="b">
        <f t="shared" si="1"/>
        <v>0</v>
      </c>
    </row>
    <row r="3200" hidden="1">
      <c r="A3200" s="7" t="s">
        <v>648</v>
      </c>
      <c r="B3200" s="7" t="s">
        <v>519</v>
      </c>
      <c r="C3200" s="7">
        <v>0.5</v>
      </c>
      <c r="D3200" s="7">
        <v>0.5</v>
      </c>
      <c r="E3200" s="7">
        <v>10.0</v>
      </c>
      <c r="F3200" s="7">
        <v>147346.561947345</v>
      </c>
      <c r="G3200" s="7">
        <v>147503.724607706</v>
      </c>
      <c r="H3200" s="7">
        <v>3.0</v>
      </c>
      <c r="I3200" s="15">
        <v>0.271631440338856</v>
      </c>
      <c r="J3200" s="15">
        <v>0.166108479567955</v>
      </c>
      <c r="K3200" s="12">
        <f>AVERAGE(I3197:I3201)</f>
        <v>0.4562920673</v>
      </c>
      <c r="L3200" s="18">
        <v>5613.0</v>
      </c>
      <c r="M3200" s="14">
        <f>STDEV(L3197:L3201)</f>
        <v>50584.71346</v>
      </c>
      <c r="N3200" s="15" t="b">
        <f t="shared" si="1"/>
        <v>0</v>
      </c>
    </row>
    <row r="3201" hidden="1">
      <c r="A3201" s="7" t="s">
        <v>648</v>
      </c>
      <c r="B3201" s="7" t="s">
        <v>519</v>
      </c>
      <c r="C3201" s="7">
        <v>0.5</v>
      </c>
      <c r="D3201" s="7">
        <v>0.5</v>
      </c>
      <c r="E3201" s="7">
        <v>10.0</v>
      </c>
      <c r="F3201" s="7">
        <v>147346.561947345</v>
      </c>
      <c r="G3201" s="7">
        <v>147503.724607706</v>
      </c>
      <c r="H3201" s="7">
        <v>4.0</v>
      </c>
      <c r="I3201" s="15">
        <v>0.0636569107775496</v>
      </c>
      <c r="J3201" s="15">
        <v>0.097308384164613</v>
      </c>
      <c r="K3201" s="12">
        <f>AVERAGE(I3197:I3201)</f>
        <v>0.4562920673</v>
      </c>
      <c r="L3201" s="18">
        <v>118793.0</v>
      </c>
      <c r="M3201" s="14">
        <f>STDEV(L3197:L3201)</f>
        <v>50584.71346</v>
      </c>
      <c r="N3201" s="15" t="b">
        <f t="shared" si="1"/>
        <v>0</v>
      </c>
    </row>
    <row r="3202" hidden="1">
      <c r="A3202" s="7" t="s">
        <v>649</v>
      </c>
      <c r="B3202" s="7" t="s">
        <v>519</v>
      </c>
      <c r="C3202" s="7">
        <v>0.5</v>
      </c>
      <c r="D3202" s="7">
        <v>0.75</v>
      </c>
      <c r="E3202" s="7">
        <v>1.0</v>
      </c>
      <c r="F3202" s="7">
        <v>282430.845433235</v>
      </c>
      <c r="G3202" s="7">
        <v>282618.889522552</v>
      </c>
      <c r="H3202" s="7">
        <v>0.0</v>
      </c>
      <c r="I3202" s="15">
        <v>0.760644281468505</v>
      </c>
      <c r="J3202" s="15">
        <v>0.152595737971579</v>
      </c>
      <c r="K3202" s="12">
        <f>AVERAGE(I3202:I3206)</f>
        <v>0.3469771471</v>
      </c>
      <c r="L3202" s="18">
        <v>7810.0</v>
      </c>
      <c r="M3202" s="14">
        <f>STDEV(L3202:L3206)</f>
        <v>43310.41038</v>
      </c>
      <c r="N3202" s="15" t="b">
        <f t="shared" si="1"/>
        <v>0</v>
      </c>
    </row>
    <row r="3203" hidden="1">
      <c r="A3203" s="7" t="s">
        <v>649</v>
      </c>
      <c r="B3203" s="7" t="s">
        <v>519</v>
      </c>
      <c r="C3203" s="7">
        <v>0.5</v>
      </c>
      <c r="D3203" s="7">
        <v>0.75</v>
      </c>
      <c r="E3203" s="7">
        <v>1.0</v>
      </c>
      <c r="F3203" s="7">
        <v>282430.845433235</v>
      </c>
      <c r="G3203" s="7">
        <v>282618.889522552</v>
      </c>
      <c r="H3203" s="7">
        <v>1.0</v>
      </c>
      <c r="I3203" s="15">
        <v>0.12155213177583</v>
      </c>
      <c r="J3203" s="15">
        <v>0.0714917185301091</v>
      </c>
      <c r="K3203" s="12">
        <f>AVERAGE(I3202:I3206)</f>
        <v>0.3469771471</v>
      </c>
      <c r="L3203" s="18">
        <v>5955.0</v>
      </c>
      <c r="M3203" s="14">
        <f>STDEV(L3202:L3206)</f>
        <v>43310.41038</v>
      </c>
      <c r="N3203" s="15" t="b">
        <f t="shared" si="1"/>
        <v>0</v>
      </c>
    </row>
    <row r="3204" hidden="1">
      <c r="A3204" s="7" t="s">
        <v>649</v>
      </c>
      <c r="B3204" s="7" t="s">
        <v>519</v>
      </c>
      <c r="C3204" s="7">
        <v>0.5</v>
      </c>
      <c r="D3204" s="7">
        <v>0.75</v>
      </c>
      <c r="E3204" s="7">
        <v>1.0</v>
      </c>
      <c r="F3204" s="7">
        <v>282430.845433235</v>
      </c>
      <c r="G3204" s="7">
        <v>282618.889522552</v>
      </c>
      <c r="H3204" s="7">
        <v>2.0</v>
      </c>
      <c r="I3204" s="15">
        <v>-0.0107543907032817</v>
      </c>
      <c r="J3204" s="15">
        <v>0.25195163235312</v>
      </c>
      <c r="K3204" s="12">
        <f>AVERAGE(I3202:I3206)</f>
        <v>0.3469771471</v>
      </c>
      <c r="L3204" s="18">
        <v>104994.0</v>
      </c>
      <c r="M3204" s="14">
        <f>STDEV(L3202:L3206)</f>
        <v>43310.41038</v>
      </c>
      <c r="N3204" s="15" t="b">
        <f t="shared" si="1"/>
        <v>0</v>
      </c>
    </row>
    <row r="3205" hidden="1">
      <c r="A3205" s="7" t="s">
        <v>649</v>
      </c>
      <c r="B3205" s="7" t="s">
        <v>519</v>
      </c>
      <c r="C3205" s="7">
        <v>0.5</v>
      </c>
      <c r="D3205" s="7">
        <v>0.75</v>
      </c>
      <c r="E3205" s="7">
        <v>1.0</v>
      </c>
      <c r="F3205" s="7">
        <v>282430.845433235</v>
      </c>
      <c r="G3205" s="7">
        <v>282618.889522552</v>
      </c>
      <c r="H3205" s="7">
        <v>3.0</v>
      </c>
      <c r="I3205" s="15">
        <v>0.205166296027866</v>
      </c>
      <c r="J3205" s="15">
        <v>0.095344558596431</v>
      </c>
      <c r="K3205" s="12">
        <f>AVERAGE(I3202:I3206)</f>
        <v>0.3469771471</v>
      </c>
      <c r="L3205" s="18">
        <v>19668.0</v>
      </c>
      <c r="M3205" s="14">
        <f>STDEV(L3202:L3206)</f>
        <v>43310.41038</v>
      </c>
      <c r="N3205" s="15" t="b">
        <f t="shared" si="1"/>
        <v>0</v>
      </c>
    </row>
    <row r="3206" hidden="1">
      <c r="A3206" s="7" t="s">
        <v>649</v>
      </c>
      <c r="B3206" s="7" t="s">
        <v>519</v>
      </c>
      <c r="C3206" s="7">
        <v>0.5</v>
      </c>
      <c r="D3206" s="7">
        <v>0.75</v>
      </c>
      <c r="E3206" s="7">
        <v>1.0</v>
      </c>
      <c r="F3206" s="7">
        <v>282430.845433235</v>
      </c>
      <c r="G3206" s="7">
        <v>282618.889522552</v>
      </c>
      <c r="H3206" s="7">
        <v>4.0</v>
      </c>
      <c r="I3206" s="15">
        <v>0.658277416767297</v>
      </c>
      <c r="J3206" s="15">
        <v>0.155505544899241</v>
      </c>
      <c r="K3206" s="12">
        <f>AVERAGE(I3202:I3206)</f>
        <v>0.3469771471</v>
      </c>
      <c r="L3206" s="18">
        <v>3249.0</v>
      </c>
      <c r="M3206" s="14">
        <f>STDEV(L3202:L3206)</f>
        <v>43310.41038</v>
      </c>
      <c r="N3206" s="15" t="b">
        <f t="shared" si="1"/>
        <v>0</v>
      </c>
    </row>
    <row r="3207" hidden="1">
      <c r="A3207" s="7" t="s">
        <v>650</v>
      </c>
      <c r="B3207" s="7" t="s">
        <v>519</v>
      </c>
      <c r="C3207" s="7">
        <v>0.5</v>
      </c>
      <c r="D3207" s="7">
        <v>0.75</v>
      </c>
      <c r="E3207" s="7">
        <v>2.0</v>
      </c>
      <c r="F3207" s="7">
        <v>307347.717210054</v>
      </c>
      <c r="G3207" s="7">
        <v>307438.020974397</v>
      </c>
      <c r="H3207" s="7">
        <v>0.0</v>
      </c>
      <c r="I3207" s="15">
        <v>0.115504980680768</v>
      </c>
      <c r="J3207" s="15">
        <v>0.0789743384213516</v>
      </c>
      <c r="K3207" s="12">
        <f>AVERAGE(I3207:I3211)</f>
        <v>0.277543691</v>
      </c>
      <c r="L3207" s="18">
        <v>6101.0</v>
      </c>
      <c r="M3207" s="14">
        <f>STDEV(L3207:L3211)</f>
        <v>44362.71871</v>
      </c>
      <c r="N3207" s="15" t="b">
        <f t="shared" si="1"/>
        <v>0</v>
      </c>
    </row>
    <row r="3208" hidden="1">
      <c r="A3208" s="7" t="s">
        <v>650</v>
      </c>
      <c r="B3208" s="7" t="s">
        <v>519</v>
      </c>
      <c r="C3208" s="7">
        <v>0.5</v>
      </c>
      <c r="D3208" s="7">
        <v>0.75</v>
      </c>
      <c r="E3208" s="7">
        <v>2.0</v>
      </c>
      <c r="F3208" s="7">
        <v>307347.717210054</v>
      </c>
      <c r="G3208" s="7">
        <v>307438.020974397</v>
      </c>
      <c r="H3208" s="7">
        <v>1.0</v>
      </c>
      <c r="I3208" s="15">
        <v>0.663564178215389</v>
      </c>
      <c r="J3208" s="15">
        <v>0.156244765141647</v>
      </c>
      <c r="K3208" s="12">
        <f>AVERAGE(I3207:I3211)</f>
        <v>0.277543691</v>
      </c>
      <c r="L3208" s="18">
        <v>1416.0</v>
      </c>
      <c r="M3208" s="14">
        <f>STDEV(L3207:L3211)</f>
        <v>44362.71871</v>
      </c>
      <c r="N3208" s="15" t="b">
        <f t="shared" si="1"/>
        <v>0</v>
      </c>
    </row>
    <row r="3209" hidden="1">
      <c r="A3209" s="7" t="s">
        <v>650</v>
      </c>
      <c r="B3209" s="7" t="s">
        <v>519</v>
      </c>
      <c r="C3209" s="7">
        <v>0.5</v>
      </c>
      <c r="D3209" s="7">
        <v>0.75</v>
      </c>
      <c r="E3209" s="7">
        <v>2.0</v>
      </c>
      <c r="F3209" s="7">
        <v>307347.717210054</v>
      </c>
      <c r="G3209" s="7">
        <v>307438.020974397</v>
      </c>
      <c r="H3209" s="7">
        <v>2.0</v>
      </c>
      <c r="I3209" s="15">
        <v>0.214789416831753</v>
      </c>
      <c r="J3209" s="15">
        <v>0.0434885729861876</v>
      </c>
      <c r="K3209" s="12">
        <f>AVERAGE(I3207:I3211)</f>
        <v>0.277543691</v>
      </c>
      <c r="L3209" s="18">
        <v>24055.0</v>
      </c>
      <c r="M3209" s="14">
        <f>STDEV(L3207:L3211)</f>
        <v>44362.71871</v>
      </c>
      <c r="N3209" s="15" t="b">
        <f t="shared" si="1"/>
        <v>0</v>
      </c>
    </row>
    <row r="3210" hidden="1">
      <c r="A3210" s="7" t="s">
        <v>650</v>
      </c>
      <c r="B3210" s="7" t="s">
        <v>519</v>
      </c>
      <c r="C3210" s="7">
        <v>0.5</v>
      </c>
      <c r="D3210" s="7">
        <v>0.75</v>
      </c>
      <c r="E3210" s="7">
        <v>2.0</v>
      </c>
      <c r="F3210" s="7">
        <v>307347.717210054</v>
      </c>
      <c r="G3210" s="7">
        <v>307438.020974397</v>
      </c>
      <c r="H3210" s="7">
        <v>3.0</v>
      </c>
      <c r="I3210" s="15">
        <v>0.0487261228203035</v>
      </c>
      <c r="J3210" s="15">
        <v>0.177299881995492</v>
      </c>
      <c r="K3210" s="12">
        <f>AVERAGE(I3207:I3211)</f>
        <v>0.277543691</v>
      </c>
      <c r="L3210" s="18">
        <v>106078.0</v>
      </c>
      <c r="M3210" s="14">
        <f>STDEV(L3207:L3211)</f>
        <v>44362.71871</v>
      </c>
      <c r="N3210" s="15" t="b">
        <f t="shared" si="1"/>
        <v>0</v>
      </c>
    </row>
    <row r="3211" hidden="1">
      <c r="A3211" s="7" t="s">
        <v>650</v>
      </c>
      <c r="B3211" s="7" t="s">
        <v>519</v>
      </c>
      <c r="C3211" s="7">
        <v>0.5</v>
      </c>
      <c r="D3211" s="7">
        <v>0.75</v>
      </c>
      <c r="E3211" s="7">
        <v>2.0</v>
      </c>
      <c r="F3211" s="7">
        <v>307347.717210054</v>
      </c>
      <c r="G3211" s="7">
        <v>307438.020974397</v>
      </c>
      <c r="H3211" s="7">
        <v>4.0</v>
      </c>
      <c r="I3211" s="15">
        <v>0.345133756558474</v>
      </c>
      <c r="J3211" s="15">
        <v>0.102137971066027</v>
      </c>
      <c r="K3211" s="12">
        <f>AVERAGE(I3207:I3211)</f>
        <v>0.277543691</v>
      </c>
      <c r="L3211" s="18">
        <v>4026.0</v>
      </c>
      <c r="M3211" s="14">
        <f>STDEV(L3207:L3211)</f>
        <v>44362.71871</v>
      </c>
      <c r="N3211" s="15" t="b">
        <f t="shared" si="1"/>
        <v>0</v>
      </c>
    </row>
    <row r="3212" hidden="1">
      <c r="A3212" s="7" t="s">
        <v>651</v>
      </c>
      <c r="B3212" s="7" t="s">
        <v>519</v>
      </c>
      <c r="C3212" s="7">
        <v>0.5</v>
      </c>
      <c r="D3212" s="7">
        <v>0.75</v>
      </c>
      <c r="E3212" s="7">
        <v>3.0</v>
      </c>
      <c r="F3212" s="7">
        <v>362077.881314039</v>
      </c>
      <c r="G3212" s="7">
        <v>362191.171660423</v>
      </c>
      <c r="H3212" s="7">
        <v>0.0</v>
      </c>
      <c r="I3212" s="15">
        <v>0.829095953850973</v>
      </c>
      <c r="J3212" s="15">
        <v>0.100001076716969</v>
      </c>
      <c r="K3212" s="12">
        <f>AVERAGE(I3212:I3216)</f>
        <v>0.4090756092</v>
      </c>
      <c r="L3212" s="18">
        <v>10294.0</v>
      </c>
      <c r="M3212" s="14">
        <f>STDEV(L3212:L3216)</f>
        <v>39343.36671</v>
      </c>
      <c r="N3212" s="15" t="b">
        <f t="shared" si="1"/>
        <v>0</v>
      </c>
    </row>
    <row r="3213" hidden="1">
      <c r="A3213" s="7" t="s">
        <v>651</v>
      </c>
      <c r="B3213" s="7" t="s">
        <v>519</v>
      </c>
      <c r="C3213" s="7">
        <v>0.5</v>
      </c>
      <c r="D3213" s="7">
        <v>0.75</v>
      </c>
      <c r="E3213" s="7">
        <v>3.0</v>
      </c>
      <c r="F3213" s="7">
        <v>362077.881314039</v>
      </c>
      <c r="G3213" s="7">
        <v>362191.171660423</v>
      </c>
      <c r="H3213" s="7">
        <v>1.0</v>
      </c>
      <c r="I3213" s="15">
        <v>0.0340831842835232</v>
      </c>
      <c r="J3213" s="15">
        <v>0.184766003156548</v>
      </c>
      <c r="K3213" s="12">
        <f>AVERAGE(I3212:I3216)</f>
        <v>0.4090756092</v>
      </c>
      <c r="L3213" s="18">
        <v>97996.0</v>
      </c>
      <c r="M3213" s="14">
        <f>STDEV(L3212:L3216)</f>
        <v>39343.36671</v>
      </c>
      <c r="N3213" s="15" t="b">
        <f t="shared" si="1"/>
        <v>0</v>
      </c>
    </row>
    <row r="3214" hidden="1">
      <c r="A3214" s="7" t="s">
        <v>651</v>
      </c>
      <c r="B3214" s="7" t="s">
        <v>519</v>
      </c>
      <c r="C3214" s="7">
        <v>0.5</v>
      </c>
      <c r="D3214" s="7">
        <v>0.75</v>
      </c>
      <c r="E3214" s="7">
        <v>3.0</v>
      </c>
      <c r="F3214" s="7">
        <v>362077.881314039</v>
      </c>
      <c r="G3214" s="7">
        <v>362191.171660423</v>
      </c>
      <c r="H3214" s="7">
        <v>2.0</v>
      </c>
      <c r="I3214" s="15">
        <v>0.191885052570556</v>
      </c>
      <c r="J3214" s="15">
        <v>0.0832111711392461</v>
      </c>
      <c r="K3214" s="12">
        <f>AVERAGE(I3212:I3216)</f>
        <v>0.4090756092</v>
      </c>
      <c r="L3214" s="18">
        <v>20215.0</v>
      </c>
      <c r="M3214" s="14">
        <f>STDEV(L3212:L3216)</f>
        <v>39343.36671</v>
      </c>
      <c r="N3214" s="15" t="b">
        <f t="shared" si="1"/>
        <v>0</v>
      </c>
    </row>
    <row r="3215" hidden="1">
      <c r="A3215" s="7" t="s">
        <v>651</v>
      </c>
      <c r="B3215" s="7" t="s">
        <v>519</v>
      </c>
      <c r="C3215" s="7">
        <v>0.5</v>
      </c>
      <c r="D3215" s="7">
        <v>0.75</v>
      </c>
      <c r="E3215" s="7">
        <v>3.0</v>
      </c>
      <c r="F3215" s="7">
        <v>362077.881314039</v>
      </c>
      <c r="G3215" s="7">
        <v>362191.171660423</v>
      </c>
      <c r="H3215" s="7">
        <v>3.0</v>
      </c>
      <c r="I3215" s="15">
        <v>0.160691986400889</v>
      </c>
      <c r="J3215" s="15">
        <v>0.0721677117321812</v>
      </c>
      <c r="K3215" s="12">
        <f>AVERAGE(I3212:I3216)</f>
        <v>0.4090756092</v>
      </c>
      <c r="L3215" s="18">
        <v>5733.0</v>
      </c>
      <c r="M3215" s="14">
        <f>STDEV(L3212:L3216)</f>
        <v>39343.36671</v>
      </c>
      <c r="N3215" s="15" t="b">
        <f t="shared" si="1"/>
        <v>0</v>
      </c>
    </row>
    <row r="3216" hidden="1">
      <c r="A3216" s="7" t="s">
        <v>651</v>
      </c>
      <c r="B3216" s="7" t="s">
        <v>519</v>
      </c>
      <c r="C3216" s="7">
        <v>0.5</v>
      </c>
      <c r="D3216" s="7">
        <v>0.75</v>
      </c>
      <c r="E3216" s="7">
        <v>3.0</v>
      </c>
      <c r="F3216" s="7">
        <v>362077.881314039</v>
      </c>
      <c r="G3216" s="7">
        <v>362191.171660423</v>
      </c>
      <c r="H3216" s="7">
        <v>4.0</v>
      </c>
      <c r="I3216" s="15">
        <v>0.829621868862291</v>
      </c>
      <c r="J3216" s="15">
        <v>0.100794842867963</v>
      </c>
      <c r="K3216" s="12">
        <f>AVERAGE(I3212:I3216)</f>
        <v>0.4090756092</v>
      </c>
      <c r="L3216" s="18">
        <v>7438.0</v>
      </c>
      <c r="M3216" s="14">
        <f>STDEV(L3212:L3216)</f>
        <v>39343.36671</v>
      </c>
      <c r="N3216" s="15" t="b">
        <f t="shared" si="1"/>
        <v>0</v>
      </c>
    </row>
    <row r="3217" hidden="1">
      <c r="A3217" s="7" t="s">
        <v>652</v>
      </c>
      <c r="B3217" s="7" t="s">
        <v>519</v>
      </c>
      <c r="C3217" s="7">
        <v>0.5</v>
      </c>
      <c r="D3217" s="7">
        <v>0.75</v>
      </c>
      <c r="E3217" s="7">
        <v>4.0</v>
      </c>
      <c r="F3217" s="7">
        <v>285606.182180404</v>
      </c>
      <c r="G3217" s="7">
        <v>285784.853589296</v>
      </c>
      <c r="H3217" s="7">
        <v>0.0</v>
      </c>
      <c r="I3217" s="15">
        <v>0.650131007724056</v>
      </c>
      <c r="J3217" s="15">
        <v>0.242964485779638</v>
      </c>
      <c r="K3217" s="12">
        <f>AVERAGE(I3217:I3221)</f>
        <v>0.4163713978</v>
      </c>
      <c r="L3217" s="18">
        <v>12510.0</v>
      </c>
      <c r="M3217" s="14">
        <f>STDEV(L3217:L3221)</f>
        <v>39148.05116</v>
      </c>
      <c r="N3217" s="15" t="b">
        <f t="shared" si="1"/>
        <v>0</v>
      </c>
    </row>
    <row r="3218" hidden="1">
      <c r="A3218" s="7" t="s">
        <v>652</v>
      </c>
      <c r="B3218" s="7" t="s">
        <v>519</v>
      </c>
      <c r="C3218" s="7">
        <v>0.5</v>
      </c>
      <c r="D3218" s="7">
        <v>0.75</v>
      </c>
      <c r="E3218" s="7">
        <v>4.0</v>
      </c>
      <c r="F3218" s="7">
        <v>285606.182180404</v>
      </c>
      <c r="G3218" s="7">
        <v>285784.853589296</v>
      </c>
      <c r="H3218" s="7">
        <v>1.0</v>
      </c>
      <c r="I3218" s="15">
        <v>0.82895545537292</v>
      </c>
      <c r="J3218" s="15">
        <v>0.101032378250121</v>
      </c>
      <c r="K3218" s="12">
        <f>AVERAGE(I3217:I3221)</f>
        <v>0.4163713978</v>
      </c>
      <c r="L3218" s="18">
        <v>7446.0</v>
      </c>
      <c r="M3218" s="14">
        <f>STDEV(L3217:L3221)</f>
        <v>39148.05116</v>
      </c>
      <c r="N3218" s="15" t="b">
        <f t="shared" si="1"/>
        <v>0</v>
      </c>
    </row>
    <row r="3219" hidden="1">
      <c r="A3219" s="7" t="s">
        <v>652</v>
      </c>
      <c r="B3219" s="7" t="s">
        <v>519</v>
      </c>
      <c r="C3219" s="7">
        <v>0.5</v>
      </c>
      <c r="D3219" s="7">
        <v>0.75</v>
      </c>
      <c r="E3219" s="7">
        <v>4.0</v>
      </c>
      <c r="F3219" s="7">
        <v>285606.182180404</v>
      </c>
      <c r="G3219" s="7">
        <v>285784.853589296</v>
      </c>
      <c r="H3219" s="7">
        <v>2.0</v>
      </c>
      <c r="I3219" s="15">
        <v>-0.00573746112883437</v>
      </c>
      <c r="J3219" s="15">
        <v>0.195924556681191</v>
      </c>
      <c r="K3219" s="12">
        <f>AVERAGE(I3217:I3221)</f>
        <v>0.4163713978</v>
      </c>
      <c r="L3219" s="18">
        <v>98095.0</v>
      </c>
      <c r="M3219" s="14">
        <f>STDEV(L3217:L3221)</f>
        <v>39148.05116</v>
      </c>
      <c r="N3219" s="15" t="b">
        <f t="shared" si="1"/>
        <v>0</v>
      </c>
    </row>
    <row r="3220" hidden="1">
      <c r="A3220" s="7" t="s">
        <v>652</v>
      </c>
      <c r="B3220" s="7" t="s">
        <v>519</v>
      </c>
      <c r="C3220" s="7">
        <v>0.5</v>
      </c>
      <c r="D3220" s="7">
        <v>0.75</v>
      </c>
      <c r="E3220" s="7">
        <v>4.0</v>
      </c>
      <c r="F3220" s="7">
        <v>285606.182180404</v>
      </c>
      <c r="G3220" s="7">
        <v>285784.853589296</v>
      </c>
      <c r="H3220" s="7">
        <v>3.0</v>
      </c>
      <c r="I3220" s="15">
        <v>0.342049156088595</v>
      </c>
      <c r="J3220" s="15">
        <v>0.0972336665836476</v>
      </c>
      <c r="K3220" s="12">
        <f>AVERAGE(I3217:I3221)</f>
        <v>0.4163713978</v>
      </c>
      <c r="L3220" s="18">
        <v>7872.0</v>
      </c>
      <c r="M3220" s="14">
        <f>STDEV(L3217:L3221)</f>
        <v>39148.05116</v>
      </c>
      <c r="N3220" s="15" t="b">
        <f t="shared" si="1"/>
        <v>0</v>
      </c>
    </row>
    <row r="3221" hidden="1">
      <c r="A3221" s="7" t="s">
        <v>652</v>
      </c>
      <c r="B3221" s="7" t="s">
        <v>519</v>
      </c>
      <c r="C3221" s="7">
        <v>0.5</v>
      </c>
      <c r="D3221" s="7">
        <v>0.75</v>
      </c>
      <c r="E3221" s="7">
        <v>4.0</v>
      </c>
      <c r="F3221" s="7">
        <v>285606.182180404</v>
      </c>
      <c r="G3221" s="7">
        <v>285784.853589296</v>
      </c>
      <c r="H3221" s="7">
        <v>4.0</v>
      </c>
      <c r="I3221" s="15">
        <v>0.266458830888787</v>
      </c>
      <c r="J3221" s="15">
        <v>0.11526542313544</v>
      </c>
      <c r="K3221" s="12">
        <f>AVERAGE(I3217:I3221)</f>
        <v>0.4163713978</v>
      </c>
      <c r="L3221" s="18">
        <v>15753.0</v>
      </c>
      <c r="M3221" s="14">
        <f>STDEV(L3217:L3221)</f>
        <v>39148.05116</v>
      </c>
      <c r="N3221" s="15" t="b">
        <f t="shared" si="1"/>
        <v>0</v>
      </c>
    </row>
    <row r="3222" hidden="1">
      <c r="A3222" s="7" t="s">
        <v>653</v>
      </c>
      <c r="B3222" s="7" t="s">
        <v>519</v>
      </c>
      <c r="C3222" s="7">
        <v>0.5</v>
      </c>
      <c r="D3222" s="7">
        <v>0.75</v>
      </c>
      <c r="E3222" s="7">
        <v>5.0</v>
      </c>
      <c r="F3222" s="7">
        <v>94885.3242914676</v>
      </c>
      <c r="G3222" s="7">
        <v>94945.4762635231</v>
      </c>
      <c r="H3222" s="7">
        <v>0.0</v>
      </c>
      <c r="I3222" s="15">
        <v>0.767566839102765</v>
      </c>
      <c r="J3222" s="15">
        <v>0.150190512644836</v>
      </c>
      <c r="K3222" s="12">
        <f>AVERAGE(I3222:I3226)</f>
        <v>0.3361869707</v>
      </c>
      <c r="L3222" s="18">
        <v>7746.0</v>
      </c>
      <c r="M3222" s="14">
        <f>STDEV(L3222:L3226)</f>
        <v>38009.58381</v>
      </c>
      <c r="N3222" s="15" t="b">
        <f t="shared" si="1"/>
        <v>0</v>
      </c>
    </row>
    <row r="3223" hidden="1">
      <c r="A3223" s="7" t="s">
        <v>653</v>
      </c>
      <c r="B3223" s="7" t="s">
        <v>519</v>
      </c>
      <c r="C3223" s="7">
        <v>0.5</v>
      </c>
      <c r="D3223" s="7">
        <v>0.75</v>
      </c>
      <c r="E3223" s="7">
        <v>5.0</v>
      </c>
      <c r="F3223" s="7">
        <v>94885.3242914676</v>
      </c>
      <c r="G3223" s="7">
        <v>94945.4762635231</v>
      </c>
      <c r="H3223" s="7">
        <v>1.0</v>
      </c>
      <c r="I3223" s="15">
        <v>0.0701822794055577</v>
      </c>
      <c r="J3223" s="15">
        <v>0.0664677492591238</v>
      </c>
      <c r="K3223" s="12">
        <f>AVERAGE(I3222:I3226)</f>
        <v>0.3361869707</v>
      </c>
      <c r="L3223" s="18">
        <v>93603.0</v>
      </c>
      <c r="M3223" s="14">
        <f>STDEV(L3222:L3226)</f>
        <v>38009.58381</v>
      </c>
      <c r="N3223" s="15" t="b">
        <f t="shared" si="1"/>
        <v>0</v>
      </c>
    </row>
    <row r="3224" hidden="1">
      <c r="A3224" s="7" t="s">
        <v>653</v>
      </c>
      <c r="B3224" s="7" t="s">
        <v>519</v>
      </c>
      <c r="C3224" s="7">
        <v>0.5</v>
      </c>
      <c r="D3224" s="7">
        <v>0.75</v>
      </c>
      <c r="E3224" s="7">
        <v>5.0</v>
      </c>
      <c r="F3224" s="7">
        <v>94885.3242914676</v>
      </c>
      <c r="G3224" s="7">
        <v>94945.4762635231</v>
      </c>
      <c r="H3224" s="7">
        <v>2.0</v>
      </c>
      <c r="I3224" s="15">
        <v>0.126269394922536</v>
      </c>
      <c r="J3224" s="15">
        <v>0.050448811206351</v>
      </c>
      <c r="K3224" s="12">
        <f>AVERAGE(I3222:I3226)</f>
        <v>0.3361869707</v>
      </c>
      <c r="L3224" s="18">
        <v>5981.0</v>
      </c>
      <c r="M3224" s="14">
        <f>STDEV(L3222:L3226)</f>
        <v>38009.58381</v>
      </c>
      <c r="N3224" s="15" t="b">
        <f t="shared" si="1"/>
        <v>0</v>
      </c>
    </row>
    <row r="3225" hidden="1">
      <c r="A3225" s="7" t="s">
        <v>653</v>
      </c>
      <c r="B3225" s="7" t="s">
        <v>519</v>
      </c>
      <c r="C3225" s="7">
        <v>0.5</v>
      </c>
      <c r="D3225" s="7">
        <v>0.75</v>
      </c>
      <c r="E3225" s="7">
        <v>5.0</v>
      </c>
      <c r="F3225" s="7">
        <v>94885.3242914676</v>
      </c>
      <c r="G3225" s="7">
        <v>94945.4762635231</v>
      </c>
      <c r="H3225" s="7">
        <v>3.0</v>
      </c>
      <c r="I3225" s="15">
        <v>0.348294681552368</v>
      </c>
      <c r="J3225" s="15">
        <v>0.0808892227911606</v>
      </c>
      <c r="K3225" s="12">
        <f>AVERAGE(I3222:I3226)</f>
        <v>0.3361869707</v>
      </c>
      <c r="L3225" s="18">
        <v>4016.0</v>
      </c>
      <c r="M3225" s="14">
        <f>STDEV(L3222:L3226)</f>
        <v>38009.58381</v>
      </c>
      <c r="N3225" s="15" t="b">
        <f t="shared" si="1"/>
        <v>0</v>
      </c>
    </row>
    <row r="3226" hidden="1">
      <c r="A3226" s="7" t="s">
        <v>653</v>
      </c>
      <c r="B3226" s="7" t="s">
        <v>519</v>
      </c>
      <c r="C3226" s="7">
        <v>0.5</v>
      </c>
      <c r="D3226" s="7">
        <v>0.75</v>
      </c>
      <c r="E3226" s="7">
        <v>5.0</v>
      </c>
      <c r="F3226" s="7">
        <v>94885.3242914676</v>
      </c>
      <c r="G3226" s="7">
        <v>94945.4762635231</v>
      </c>
      <c r="H3226" s="7">
        <v>4.0</v>
      </c>
      <c r="I3226" s="15">
        <v>0.368621658391967</v>
      </c>
      <c r="J3226" s="15">
        <v>0.159481663579684</v>
      </c>
      <c r="K3226" s="12">
        <f>AVERAGE(I3222:I3226)</f>
        <v>0.3361869707</v>
      </c>
      <c r="L3226" s="18">
        <v>30330.0</v>
      </c>
      <c r="M3226" s="14">
        <f>STDEV(L3222:L3226)</f>
        <v>38009.58381</v>
      </c>
      <c r="N3226" s="15" t="b">
        <f t="shared" si="1"/>
        <v>0</v>
      </c>
    </row>
    <row r="3227" hidden="1">
      <c r="A3227" s="7" t="s">
        <v>654</v>
      </c>
      <c r="B3227" s="7" t="s">
        <v>519</v>
      </c>
      <c r="C3227" s="7">
        <v>0.5</v>
      </c>
      <c r="D3227" s="7">
        <v>0.75</v>
      </c>
      <c r="E3227" s="7">
        <v>6.0</v>
      </c>
      <c r="F3227" s="7">
        <v>452603.238219499</v>
      </c>
      <c r="G3227" s="7">
        <v>452760.520760297</v>
      </c>
      <c r="H3227" s="7">
        <v>0.0</v>
      </c>
      <c r="I3227" s="15">
        <v>0.802565126835878</v>
      </c>
      <c r="J3227" s="15">
        <v>0.172669204814424</v>
      </c>
      <c r="K3227" s="12">
        <f>AVERAGE(I3227:I3231)</f>
        <v>0.392204356</v>
      </c>
      <c r="L3227" s="18">
        <v>552.0</v>
      </c>
      <c r="M3227" s="14">
        <f>STDEV(L3227:L3231)</f>
        <v>44885.91846</v>
      </c>
      <c r="N3227" s="15" t="b">
        <f t="shared" si="1"/>
        <v>0</v>
      </c>
    </row>
    <row r="3228" hidden="1">
      <c r="A3228" s="7" t="s">
        <v>654</v>
      </c>
      <c r="B3228" s="7" t="s">
        <v>519</v>
      </c>
      <c r="C3228" s="7">
        <v>0.5</v>
      </c>
      <c r="D3228" s="7">
        <v>0.75</v>
      </c>
      <c r="E3228" s="7">
        <v>6.0</v>
      </c>
      <c r="F3228" s="7">
        <v>452603.238219499</v>
      </c>
      <c r="G3228" s="7">
        <v>452760.520760297</v>
      </c>
      <c r="H3228" s="7">
        <v>1.0</v>
      </c>
      <c r="I3228" s="15">
        <v>0.478000712119287</v>
      </c>
      <c r="J3228" s="15">
        <v>0.140756514990941</v>
      </c>
      <c r="K3228" s="12">
        <f>AVERAGE(I3227:I3231)</f>
        <v>0.392204356</v>
      </c>
      <c r="L3228" s="18">
        <v>17196.0</v>
      </c>
      <c r="M3228" s="14">
        <f>STDEV(L3227:L3231)</f>
        <v>44885.91846</v>
      </c>
      <c r="N3228" s="15" t="b">
        <f t="shared" si="1"/>
        <v>0</v>
      </c>
    </row>
    <row r="3229" hidden="1">
      <c r="A3229" s="7" t="s">
        <v>654</v>
      </c>
      <c r="B3229" s="7" t="s">
        <v>519</v>
      </c>
      <c r="C3229" s="7">
        <v>0.5</v>
      </c>
      <c r="D3229" s="7">
        <v>0.75</v>
      </c>
      <c r="E3229" s="7">
        <v>6.0</v>
      </c>
      <c r="F3229" s="7">
        <v>452603.238219499</v>
      </c>
      <c r="G3229" s="7">
        <v>452760.520760297</v>
      </c>
      <c r="H3229" s="7">
        <v>2.0</v>
      </c>
      <c r="I3229" s="15">
        <v>0.0260013202834839</v>
      </c>
      <c r="J3229" s="15">
        <v>0.187466891829343</v>
      </c>
      <c r="K3229" s="12">
        <f>AVERAGE(I3227:I3231)</f>
        <v>0.392204356</v>
      </c>
      <c r="L3229" s="18">
        <v>107771.0</v>
      </c>
      <c r="M3229" s="14">
        <f>STDEV(L3227:L3231)</f>
        <v>44885.91846</v>
      </c>
      <c r="N3229" s="15" t="b">
        <f t="shared" si="1"/>
        <v>0</v>
      </c>
    </row>
    <row r="3230" hidden="1">
      <c r="A3230" s="7" t="s">
        <v>654</v>
      </c>
      <c r="B3230" s="7" t="s">
        <v>519</v>
      </c>
      <c r="C3230" s="7">
        <v>0.5</v>
      </c>
      <c r="D3230" s="7">
        <v>0.75</v>
      </c>
      <c r="E3230" s="7">
        <v>6.0</v>
      </c>
      <c r="F3230" s="7">
        <v>452603.238219499</v>
      </c>
      <c r="G3230" s="7">
        <v>452760.520760297</v>
      </c>
      <c r="H3230" s="7">
        <v>3.0</v>
      </c>
      <c r="I3230" s="15">
        <v>0.316329852368331</v>
      </c>
      <c r="J3230" s="15">
        <v>0.155808889518637</v>
      </c>
      <c r="K3230" s="12">
        <f>AVERAGE(I3227:I3231)</f>
        <v>0.392204356</v>
      </c>
      <c r="L3230" s="18">
        <v>12096.0</v>
      </c>
      <c r="M3230" s="14">
        <f>STDEV(L3227:L3231)</f>
        <v>44885.91846</v>
      </c>
      <c r="N3230" s="15" t="b">
        <f t="shared" si="1"/>
        <v>0</v>
      </c>
    </row>
    <row r="3231" hidden="1">
      <c r="A3231" s="7" t="s">
        <v>654</v>
      </c>
      <c r="B3231" s="7" t="s">
        <v>519</v>
      </c>
      <c r="C3231" s="7">
        <v>0.5</v>
      </c>
      <c r="D3231" s="7">
        <v>0.75</v>
      </c>
      <c r="E3231" s="7">
        <v>6.0</v>
      </c>
      <c r="F3231" s="7">
        <v>452603.238219499</v>
      </c>
      <c r="G3231" s="7">
        <v>452760.520760297</v>
      </c>
      <c r="H3231" s="7">
        <v>4.0</v>
      </c>
      <c r="I3231" s="15">
        <v>0.338124768630817</v>
      </c>
      <c r="J3231" s="15">
        <v>0.0994352111687956</v>
      </c>
      <c r="K3231" s="12">
        <f>AVERAGE(I3227:I3231)</f>
        <v>0.392204356</v>
      </c>
      <c r="L3231" s="18">
        <v>4061.0</v>
      </c>
      <c r="M3231" s="14">
        <f>STDEV(L3227:L3231)</f>
        <v>44885.91846</v>
      </c>
      <c r="N3231" s="15" t="b">
        <f t="shared" si="1"/>
        <v>0</v>
      </c>
    </row>
    <row r="3232" hidden="1">
      <c r="A3232" s="7" t="s">
        <v>655</v>
      </c>
      <c r="B3232" s="7" t="s">
        <v>519</v>
      </c>
      <c r="C3232" s="7">
        <v>0.5</v>
      </c>
      <c r="D3232" s="7">
        <v>0.75</v>
      </c>
      <c r="E3232" s="7">
        <v>7.0</v>
      </c>
      <c r="F3232" s="7">
        <v>399508.568062305</v>
      </c>
      <c r="G3232" s="7">
        <v>399680.361730575</v>
      </c>
      <c r="H3232" s="7">
        <v>0.0</v>
      </c>
      <c r="I3232" s="15">
        <v>0.370755345016204</v>
      </c>
      <c r="J3232" s="15">
        <v>0.164765363145761</v>
      </c>
      <c r="K3232" s="12">
        <f>AVERAGE(I3232:I3236)</f>
        <v>0.3381543264</v>
      </c>
      <c r="L3232" s="18">
        <v>32024.0</v>
      </c>
      <c r="M3232" s="14">
        <f>STDEV(L3232:L3236)</f>
        <v>36220.99146</v>
      </c>
      <c r="N3232" s="15" t="b">
        <f t="shared" si="1"/>
        <v>0</v>
      </c>
    </row>
    <row r="3233" hidden="1">
      <c r="A3233" s="7" t="s">
        <v>655</v>
      </c>
      <c r="B3233" s="7" t="s">
        <v>519</v>
      </c>
      <c r="C3233" s="7">
        <v>0.5</v>
      </c>
      <c r="D3233" s="7">
        <v>0.75</v>
      </c>
      <c r="E3233" s="7">
        <v>7.0</v>
      </c>
      <c r="F3233" s="7">
        <v>399508.568062305</v>
      </c>
      <c r="G3233" s="7">
        <v>399680.361730575</v>
      </c>
      <c r="H3233" s="7">
        <v>1.0</v>
      </c>
      <c r="I3233" s="15">
        <v>0.0806272179225481</v>
      </c>
      <c r="J3233" s="15">
        <v>0.0559510281248975</v>
      </c>
      <c r="K3233" s="12">
        <f>AVERAGE(I3232:I3236)</f>
        <v>0.3381543264</v>
      </c>
      <c r="L3233" s="18">
        <v>90021.0</v>
      </c>
      <c r="M3233" s="14">
        <f>STDEV(L3232:L3236)</f>
        <v>36220.99146</v>
      </c>
      <c r="N3233" s="15" t="b">
        <f t="shared" si="1"/>
        <v>0</v>
      </c>
    </row>
    <row r="3234" hidden="1">
      <c r="A3234" s="7" t="s">
        <v>655</v>
      </c>
      <c r="B3234" s="7" t="s">
        <v>519</v>
      </c>
      <c r="C3234" s="7">
        <v>0.5</v>
      </c>
      <c r="D3234" s="7">
        <v>0.75</v>
      </c>
      <c r="E3234" s="7">
        <v>7.0</v>
      </c>
      <c r="F3234" s="7">
        <v>399508.568062305</v>
      </c>
      <c r="G3234" s="7">
        <v>399680.361730575</v>
      </c>
      <c r="H3234" s="7">
        <v>2.0</v>
      </c>
      <c r="I3234" s="15">
        <v>0.807700627973818</v>
      </c>
      <c r="J3234" s="15">
        <v>0.129249404367182</v>
      </c>
      <c r="K3234" s="12">
        <f>AVERAGE(I3232:I3236)</f>
        <v>0.3381543264</v>
      </c>
      <c r="L3234" s="18">
        <v>5646.0</v>
      </c>
      <c r="M3234" s="14">
        <f>STDEV(L3232:L3236)</f>
        <v>36220.99146</v>
      </c>
      <c r="N3234" s="15" t="b">
        <f t="shared" si="1"/>
        <v>0</v>
      </c>
    </row>
    <row r="3235" hidden="1">
      <c r="A3235" s="7" t="s">
        <v>655</v>
      </c>
      <c r="B3235" s="7" t="s">
        <v>519</v>
      </c>
      <c r="C3235" s="7">
        <v>0.5</v>
      </c>
      <c r="D3235" s="7">
        <v>0.75</v>
      </c>
      <c r="E3235" s="7">
        <v>7.0</v>
      </c>
      <c r="F3235" s="7">
        <v>399508.568062305</v>
      </c>
      <c r="G3235" s="7">
        <v>399680.361730575</v>
      </c>
      <c r="H3235" s="7">
        <v>3.0</v>
      </c>
      <c r="I3235" s="15">
        <v>0.165094821810634</v>
      </c>
      <c r="J3235" s="15">
        <v>0.0676617215098466</v>
      </c>
      <c r="K3235" s="12">
        <f>AVERAGE(I3232:I3236)</f>
        <v>0.3381543264</v>
      </c>
      <c r="L3235" s="18">
        <v>5713.0</v>
      </c>
      <c r="M3235" s="14">
        <f>STDEV(L3232:L3236)</f>
        <v>36220.99146</v>
      </c>
      <c r="N3235" s="15" t="b">
        <f t="shared" si="1"/>
        <v>0</v>
      </c>
    </row>
    <row r="3236" hidden="1">
      <c r="A3236" s="7" t="s">
        <v>655</v>
      </c>
      <c r="B3236" s="7" t="s">
        <v>519</v>
      </c>
      <c r="C3236" s="7">
        <v>0.5</v>
      </c>
      <c r="D3236" s="7">
        <v>0.75</v>
      </c>
      <c r="E3236" s="7">
        <v>7.0</v>
      </c>
      <c r="F3236" s="7">
        <v>399508.568062305</v>
      </c>
      <c r="G3236" s="7">
        <v>399680.361730575</v>
      </c>
      <c r="H3236" s="7">
        <v>4.0</v>
      </c>
      <c r="I3236" s="15">
        <v>0.266593619333273</v>
      </c>
      <c r="J3236" s="15">
        <v>0.114287140089066</v>
      </c>
      <c r="K3236" s="12">
        <f>AVERAGE(I3232:I3236)</f>
        <v>0.3381543264</v>
      </c>
      <c r="L3236" s="18">
        <v>8272.0</v>
      </c>
      <c r="M3236" s="14">
        <f>STDEV(L3232:L3236)</f>
        <v>36220.99146</v>
      </c>
      <c r="N3236" s="15" t="b">
        <f t="shared" si="1"/>
        <v>0</v>
      </c>
    </row>
    <row r="3237" hidden="1">
      <c r="A3237" s="7" t="s">
        <v>656</v>
      </c>
      <c r="B3237" s="7" t="s">
        <v>519</v>
      </c>
      <c r="C3237" s="7">
        <v>0.5</v>
      </c>
      <c r="D3237" s="7">
        <v>0.75</v>
      </c>
      <c r="E3237" s="7">
        <v>8.0</v>
      </c>
      <c r="F3237" s="7">
        <v>428158.053388357</v>
      </c>
      <c r="G3237" s="7">
        <v>428308.722104787</v>
      </c>
      <c r="H3237" s="7">
        <v>0.0</v>
      </c>
      <c r="I3237" s="15">
        <v>0.325200995611024</v>
      </c>
      <c r="J3237" s="15">
        <v>0.11708306965093</v>
      </c>
      <c r="K3237" s="12">
        <f>AVERAGE(I3237:I3241)</f>
        <v>0.3293778328</v>
      </c>
      <c r="L3237" s="18">
        <v>22347.0</v>
      </c>
      <c r="M3237" s="14">
        <f>STDEV(L3237:L3241)</f>
        <v>38424.53474</v>
      </c>
      <c r="N3237" s="15" t="b">
        <f t="shared" si="1"/>
        <v>0</v>
      </c>
    </row>
    <row r="3238" hidden="1">
      <c r="A3238" s="7" t="s">
        <v>656</v>
      </c>
      <c r="B3238" s="7" t="s">
        <v>519</v>
      </c>
      <c r="C3238" s="7">
        <v>0.5</v>
      </c>
      <c r="D3238" s="7">
        <v>0.75</v>
      </c>
      <c r="E3238" s="7">
        <v>8.0</v>
      </c>
      <c r="F3238" s="7">
        <v>428158.053388357</v>
      </c>
      <c r="G3238" s="7">
        <v>428308.722104787</v>
      </c>
      <c r="H3238" s="7">
        <v>1.0</v>
      </c>
      <c r="I3238" s="15">
        <v>0.771332708255221</v>
      </c>
      <c r="J3238" s="15">
        <v>0.137178537253545</v>
      </c>
      <c r="K3238" s="12">
        <f>AVERAGE(I3237:I3241)</f>
        <v>0.3293778328</v>
      </c>
      <c r="L3238" s="18">
        <v>7751.0</v>
      </c>
      <c r="M3238" s="14">
        <f>STDEV(L3237:L3241)</f>
        <v>38424.53474</v>
      </c>
      <c r="N3238" s="15" t="b">
        <f t="shared" si="1"/>
        <v>0</v>
      </c>
    </row>
    <row r="3239" hidden="1">
      <c r="A3239" s="7" t="s">
        <v>656</v>
      </c>
      <c r="B3239" s="7" t="s">
        <v>519</v>
      </c>
      <c r="C3239" s="7">
        <v>0.5</v>
      </c>
      <c r="D3239" s="7">
        <v>0.75</v>
      </c>
      <c r="E3239" s="7">
        <v>8.0</v>
      </c>
      <c r="F3239" s="7">
        <v>428158.053388357</v>
      </c>
      <c r="G3239" s="7">
        <v>428308.722104787</v>
      </c>
      <c r="H3239" s="7">
        <v>2.0</v>
      </c>
      <c r="I3239" s="15">
        <v>0.345041847968054</v>
      </c>
      <c r="J3239" s="15">
        <v>0.0831383685817861</v>
      </c>
      <c r="K3239" s="12">
        <f>AVERAGE(I3237:I3241)</f>
        <v>0.3293778328</v>
      </c>
      <c r="L3239" s="18">
        <v>4028.0</v>
      </c>
      <c r="M3239" s="14">
        <f>STDEV(L3237:L3241)</f>
        <v>38424.53474</v>
      </c>
      <c r="N3239" s="15" t="b">
        <f t="shared" si="1"/>
        <v>0</v>
      </c>
    </row>
    <row r="3240" hidden="1">
      <c r="A3240" s="7" t="s">
        <v>656</v>
      </c>
      <c r="B3240" s="7" t="s">
        <v>519</v>
      </c>
      <c r="C3240" s="7">
        <v>0.5</v>
      </c>
      <c r="D3240" s="7">
        <v>0.75</v>
      </c>
      <c r="E3240" s="7">
        <v>8.0</v>
      </c>
      <c r="F3240" s="7">
        <v>428158.053388357</v>
      </c>
      <c r="G3240" s="7">
        <v>428308.722104787</v>
      </c>
      <c r="H3240" s="7">
        <v>3.0</v>
      </c>
      <c r="I3240" s="15">
        <v>0.168962405992659</v>
      </c>
      <c r="J3240" s="15">
        <v>0.104107177057466</v>
      </c>
      <c r="K3240" s="12">
        <f>AVERAGE(I3237:I3241)</f>
        <v>0.3293778328</v>
      </c>
      <c r="L3240" s="18">
        <v>11579.0</v>
      </c>
      <c r="M3240" s="14">
        <f>STDEV(L3237:L3241)</f>
        <v>38424.53474</v>
      </c>
      <c r="N3240" s="15" t="b">
        <f t="shared" si="1"/>
        <v>0</v>
      </c>
    </row>
    <row r="3241" hidden="1">
      <c r="A3241" s="7" t="s">
        <v>656</v>
      </c>
      <c r="B3241" s="7" t="s">
        <v>519</v>
      </c>
      <c r="C3241" s="7">
        <v>0.5</v>
      </c>
      <c r="D3241" s="7">
        <v>0.75</v>
      </c>
      <c r="E3241" s="7">
        <v>8.0</v>
      </c>
      <c r="F3241" s="7">
        <v>428158.053388357</v>
      </c>
      <c r="G3241" s="7">
        <v>428308.722104787</v>
      </c>
      <c r="H3241" s="7">
        <v>4.0</v>
      </c>
      <c r="I3241" s="15">
        <v>0.0363512062889576</v>
      </c>
      <c r="J3241" s="15">
        <v>0.12996893442382</v>
      </c>
      <c r="K3241" s="12">
        <f>AVERAGE(I3237:I3241)</f>
        <v>0.3293778328</v>
      </c>
      <c r="L3241" s="18">
        <v>95971.0</v>
      </c>
      <c r="M3241" s="14">
        <f>STDEV(L3237:L3241)</f>
        <v>38424.53474</v>
      </c>
      <c r="N3241" s="15" t="b">
        <f t="shared" si="1"/>
        <v>0</v>
      </c>
    </row>
    <row r="3242" hidden="1">
      <c r="A3242" s="7" t="s">
        <v>657</v>
      </c>
      <c r="B3242" s="7" t="s">
        <v>519</v>
      </c>
      <c r="C3242" s="7">
        <v>0.5</v>
      </c>
      <c r="D3242" s="7">
        <v>0.75</v>
      </c>
      <c r="E3242" s="7">
        <v>9.0</v>
      </c>
      <c r="F3242" s="7">
        <v>262458.022191762</v>
      </c>
      <c r="G3242" s="7">
        <v>262569.973358631</v>
      </c>
      <c r="H3242" s="7">
        <v>0.0</v>
      </c>
      <c r="I3242" s="15">
        <v>0.23312629218041</v>
      </c>
      <c r="J3242" s="15">
        <v>0.0370266684843059</v>
      </c>
      <c r="K3242" s="12">
        <f>AVERAGE(I3242:I3246)</f>
        <v>0.3309478215</v>
      </c>
      <c r="L3242" s="18">
        <v>5687.0</v>
      </c>
      <c r="M3242" s="14">
        <f>STDEV(L3242:L3246)</f>
        <v>52516.29273</v>
      </c>
      <c r="N3242" s="15" t="b">
        <f t="shared" si="1"/>
        <v>0</v>
      </c>
    </row>
    <row r="3243" hidden="1">
      <c r="A3243" s="7" t="s">
        <v>657</v>
      </c>
      <c r="B3243" s="7" t="s">
        <v>519</v>
      </c>
      <c r="C3243" s="7">
        <v>0.5</v>
      </c>
      <c r="D3243" s="7">
        <v>0.75</v>
      </c>
      <c r="E3243" s="7">
        <v>9.0</v>
      </c>
      <c r="F3243" s="7">
        <v>262458.022191762</v>
      </c>
      <c r="G3243" s="7">
        <v>262569.973358631</v>
      </c>
      <c r="H3243" s="7">
        <v>1.0</v>
      </c>
      <c r="I3243" s="15">
        <v>0.207038311947665</v>
      </c>
      <c r="J3243" s="15">
        <v>0.0660698908799922</v>
      </c>
      <c r="K3243" s="12">
        <f>AVERAGE(I3242:I3246)</f>
        <v>0.3309478215</v>
      </c>
      <c r="L3243" s="18">
        <v>3254.0</v>
      </c>
      <c r="M3243" s="14">
        <f>STDEV(L3242:L3246)</f>
        <v>52516.29273</v>
      </c>
      <c r="N3243" s="15" t="b">
        <f t="shared" si="1"/>
        <v>0</v>
      </c>
    </row>
    <row r="3244" hidden="1">
      <c r="A3244" s="7" t="s">
        <v>657</v>
      </c>
      <c r="B3244" s="7" t="s">
        <v>519</v>
      </c>
      <c r="C3244" s="7">
        <v>0.5</v>
      </c>
      <c r="D3244" s="7">
        <v>0.75</v>
      </c>
      <c r="E3244" s="7">
        <v>9.0</v>
      </c>
      <c r="F3244" s="7">
        <v>262458.022191762</v>
      </c>
      <c r="G3244" s="7">
        <v>262569.973358631</v>
      </c>
      <c r="H3244" s="7">
        <v>2.0</v>
      </c>
      <c r="I3244" s="15">
        <v>0.0436154403181944</v>
      </c>
      <c r="J3244" s="15">
        <v>0.0999896491020591</v>
      </c>
      <c r="K3244" s="12">
        <f>AVERAGE(I3242:I3246)</f>
        <v>0.3309478215</v>
      </c>
      <c r="L3244" s="18">
        <v>122225.0</v>
      </c>
      <c r="M3244" s="14">
        <f>STDEV(L3242:L3246)</f>
        <v>52516.29273</v>
      </c>
      <c r="N3244" s="15" t="b">
        <f t="shared" si="1"/>
        <v>0</v>
      </c>
    </row>
    <row r="3245" hidden="1">
      <c r="A3245" s="7" t="s">
        <v>657</v>
      </c>
      <c r="B3245" s="7" t="s">
        <v>519</v>
      </c>
      <c r="C3245" s="7">
        <v>0.5</v>
      </c>
      <c r="D3245" s="7">
        <v>0.75</v>
      </c>
      <c r="E3245" s="7">
        <v>9.0</v>
      </c>
      <c r="F3245" s="7">
        <v>262458.022191762</v>
      </c>
      <c r="G3245" s="7">
        <v>262569.973358631</v>
      </c>
      <c r="H3245" s="7">
        <v>3.0</v>
      </c>
      <c r="I3245" s="15">
        <v>0.829748285528944</v>
      </c>
      <c r="J3245" s="15">
        <v>0.11316471709196</v>
      </c>
      <c r="K3245" s="12">
        <f>AVERAGE(I3242:I3246)</f>
        <v>0.3309478215</v>
      </c>
      <c r="L3245" s="18">
        <v>7394.0</v>
      </c>
      <c r="M3245" s="14">
        <f>STDEV(L3242:L3246)</f>
        <v>52516.29273</v>
      </c>
      <c r="N3245" s="15" t="b">
        <f t="shared" si="1"/>
        <v>0</v>
      </c>
    </row>
    <row r="3246" hidden="1">
      <c r="A3246" s="7" t="s">
        <v>657</v>
      </c>
      <c r="B3246" s="7" t="s">
        <v>519</v>
      </c>
      <c r="C3246" s="7">
        <v>0.5</v>
      </c>
      <c r="D3246" s="7">
        <v>0.75</v>
      </c>
      <c r="E3246" s="7">
        <v>9.0</v>
      </c>
      <c r="F3246" s="7">
        <v>262458.022191762</v>
      </c>
      <c r="G3246" s="7">
        <v>262569.973358631</v>
      </c>
      <c r="H3246" s="7">
        <v>4.0</v>
      </c>
      <c r="I3246" s="15">
        <v>0.341210777311779</v>
      </c>
      <c r="J3246" s="15">
        <v>0.0766056732294643</v>
      </c>
      <c r="K3246" s="12">
        <f>AVERAGE(I3242:I3246)</f>
        <v>0.3309478215</v>
      </c>
      <c r="L3246" s="18">
        <v>3116.0</v>
      </c>
      <c r="M3246" s="14">
        <f>STDEV(L3242:L3246)</f>
        <v>52516.29273</v>
      </c>
      <c r="N3246" s="15" t="b">
        <f t="shared" si="1"/>
        <v>0</v>
      </c>
    </row>
    <row r="3247" hidden="1">
      <c r="A3247" s="7" t="s">
        <v>658</v>
      </c>
      <c r="B3247" s="7" t="s">
        <v>519</v>
      </c>
      <c r="C3247" s="7">
        <v>0.5</v>
      </c>
      <c r="D3247" s="7">
        <v>0.75</v>
      </c>
      <c r="E3247" s="7">
        <v>10.0</v>
      </c>
      <c r="F3247" s="7">
        <v>392817.276030302</v>
      </c>
      <c r="G3247" s="7">
        <v>392992.12886691</v>
      </c>
      <c r="H3247" s="7">
        <v>0.0</v>
      </c>
      <c r="I3247" s="15">
        <v>0.168676746198244</v>
      </c>
      <c r="J3247" s="15">
        <v>0.0717123477151972</v>
      </c>
      <c r="K3247" s="12">
        <f>AVERAGE(I3247:I3251)</f>
        <v>0.3421620302</v>
      </c>
      <c r="L3247" s="18">
        <v>5823.0</v>
      </c>
      <c r="M3247" s="14">
        <f>STDEV(L3247:L3251)</f>
        <v>40997.59719</v>
      </c>
      <c r="N3247" s="15" t="b">
        <f t="shared" si="1"/>
        <v>0</v>
      </c>
    </row>
    <row r="3248" hidden="1">
      <c r="A3248" s="7" t="s">
        <v>658</v>
      </c>
      <c r="B3248" s="7" t="s">
        <v>519</v>
      </c>
      <c r="C3248" s="7">
        <v>0.5</v>
      </c>
      <c r="D3248" s="7">
        <v>0.75</v>
      </c>
      <c r="E3248" s="7">
        <v>10.0</v>
      </c>
      <c r="F3248" s="7">
        <v>392817.276030302</v>
      </c>
      <c r="G3248" s="7">
        <v>392992.12886691</v>
      </c>
      <c r="H3248" s="7">
        <v>1.0</v>
      </c>
      <c r="I3248" s="15">
        <v>0.218472839735008</v>
      </c>
      <c r="J3248" s="15">
        <v>0.0912862800305178</v>
      </c>
      <c r="K3248" s="12">
        <f>AVERAGE(I3247:I3251)</f>
        <v>0.3421620302</v>
      </c>
      <c r="L3248" s="18">
        <v>4988.0</v>
      </c>
      <c r="M3248" s="14">
        <f>STDEV(L3247:L3251)</f>
        <v>40997.59719</v>
      </c>
      <c r="N3248" s="15" t="b">
        <f t="shared" si="1"/>
        <v>0</v>
      </c>
    </row>
    <row r="3249" hidden="1">
      <c r="A3249" s="7" t="s">
        <v>658</v>
      </c>
      <c r="B3249" s="7" t="s">
        <v>519</v>
      </c>
      <c r="C3249" s="7">
        <v>0.5</v>
      </c>
      <c r="D3249" s="7">
        <v>0.75</v>
      </c>
      <c r="E3249" s="7">
        <v>10.0</v>
      </c>
      <c r="F3249" s="7">
        <v>392817.276030302</v>
      </c>
      <c r="G3249" s="7">
        <v>392992.12886691</v>
      </c>
      <c r="H3249" s="7">
        <v>2.0</v>
      </c>
      <c r="I3249" s="15">
        <v>0.456485681903169</v>
      </c>
      <c r="J3249" s="15">
        <v>0.124703275474388</v>
      </c>
      <c r="K3249" s="12">
        <f>AVERAGE(I3247:I3251)</f>
        <v>0.3421620302</v>
      </c>
      <c r="L3249" s="18">
        <v>11620.0</v>
      </c>
      <c r="M3249" s="14">
        <f>STDEV(L3247:L3251)</f>
        <v>40997.59719</v>
      </c>
      <c r="N3249" s="15" t="b">
        <f t="shared" si="1"/>
        <v>0</v>
      </c>
    </row>
    <row r="3250" hidden="1">
      <c r="A3250" s="7" t="s">
        <v>658</v>
      </c>
      <c r="B3250" s="7" t="s">
        <v>519</v>
      </c>
      <c r="C3250" s="7">
        <v>0.5</v>
      </c>
      <c r="D3250" s="7">
        <v>0.75</v>
      </c>
      <c r="E3250" s="7">
        <v>10.0</v>
      </c>
      <c r="F3250" s="7">
        <v>392817.276030302</v>
      </c>
      <c r="G3250" s="7">
        <v>392992.12886691</v>
      </c>
      <c r="H3250" s="7">
        <v>3.0</v>
      </c>
      <c r="I3250" s="15">
        <v>0.0485880916080241</v>
      </c>
      <c r="J3250" s="15">
        <v>0.0780549471277295</v>
      </c>
      <c r="K3250" s="12">
        <f>AVERAGE(I3247:I3251)</f>
        <v>0.3421620302</v>
      </c>
      <c r="L3250" s="18">
        <v>101060.0</v>
      </c>
      <c r="M3250" s="14">
        <f>STDEV(L3247:L3251)</f>
        <v>40997.59719</v>
      </c>
      <c r="N3250" s="15" t="b">
        <f t="shared" si="1"/>
        <v>0</v>
      </c>
    </row>
    <row r="3251" hidden="1">
      <c r="A3251" s="7" t="s">
        <v>658</v>
      </c>
      <c r="B3251" s="7" t="s">
        <v>519</v>
      </c>
      <c r="C3251" s="7">
        <v>0.5</v>
      </c>
      <c r="D3251" s="7">
        <v>0.75</v>
      </c>
      <c r="E3251" s="7">
        <v>10.0</v>
      </c>
      <c r="F3251" s="7">
        <v>392817.276030302</v>
      </c>
      <c r="G3251" s="7">
        <v>392992.12886691</v>
      </c>
      <c r="H3251" s="7">
        <v>4.0</v>
      </c>
      <c r="I3251" s="15">
        <v>0.818586791599302</v>
      </c>
      <c r="J3251" s="15">
        <v>0.0611008193263358</v>
      </c>
      <c r="K3251" s="12">
        <f>AVERAGE(I3247:I3251)</f>
        <v>0.3421620302</v>
      </c>
      <c r="L3251" s="18">
        <v>18185.0</v>
      </c>
      <c r="M3251" s="14">
        <f>STDEV(L3247:L3251)</f>
        <v>40997.59719</v>
      </c>
      <c r="N3251" s="15" t="b">
        <f t="shared" si="1"/>
        <v>0</v>
      </c>
    </row>
    <row r="3252" hidden="1">
      <c r="A3252" s="7" t="s">
        <v>659</v>
      </c>
      <c r="B3252" s="7" t="s">
        <v>519</v>
      </c>
      <c r="C3252" s="7">
        <v>0.5</v>
      </c>
      <c r="D3252" s="7">
        <v>1.0</v>
      </c>
      <c r="E3252" s="7">
        <v>1.0</v>
      </c>
      <c r="F3252" s="7">
        <v>465451.233842611</v>
      </c>
      <c r="G3252" s="7">
        <v>465551.311827897</v>
      </c>
      <c r="H3252" s="7">
        <v>0.0</v>
      </c>
      <c r="I3252" s="15">
        <v>0.260404283078907</v>
      </c>
      <c r="J3252" s="15">
        <v>0.109978792473952</v>
      </c>
      <c r="K3252" s="12">
        <f>AVERAGE(I3252:I3256)</f>
        <v>0.4818355825</v>
      </c>
      <c r="L3252" s="18">
        <v>16017.0</v>
      </c>
      <c r="M3252" s="14">
        <f>STDEV(L3252:L3256)</f>
        <v>41103.97729</v>
      </c>
      <c r="N3252" s="15" t="b">
        <f t="shared" si="1"/>
        <v>0</v>
      </c>
    </row>
    <row r="3253" hidden="1">
      <c r="A3253" s="7" t="s">
        <v>659</v>
      </c>
      <c r="B3253" s="7" t="s">
        <v>519</v>
      </c>
      <c r="C3253" s="7">
        <v>0.5</v>
      </c>
      <c r="D3253" s="7">
        <v>1.0</v>
      </c>
      <c r="E3253" s="7">
        <v>1.0</v>
      </c>
      <c r="F3253" s="7">
        <v>465451.233842611</v>
      </c>
      <c r="G3253" s="7">
        <v>465551.311827897</v>
      </c>
      <c r="H3253" s="7">
        <v>1.0</v>
      </c>
      <c r="I3253" s="15">
        <v>0.826736600762991</v>
      </c>
      <c r="J3253" s="15">
        <v>0.113775446589438</v>
      </c>
      <c r="K3253" s="12">
        <f>AVERAGE(I3252:I3256)</f>
        <v>0.4818355825</v>
      </c>
      <c r="L3253" s="18">
        <v>9466.0</v>
      </c>
      <c r="M3253" s="14">
        <f>STDEV(L3252:L3256)</f>
        <v>41103.97729</v>
      </c>
      <c r="N3253" s="15" t="b">
        <f t="shared" si="1"/>
        <v>0</v>
      </c>
    </row>
    <row r="3254" hidden="1">
      <c r="A3254" s="7" t="s">
        <v>659</v>
      </c>
      <c r="B3254" s="7" t="s">
        <v>519</v>
      </c>
      <c r="C3254" s="7">
        <v>0.5</v>
      </c>
      <c r="D3254" s="7">
        <v>1.0</v>
      </c>
      <c r="E3254" s="7">
        <v>1.0</v>
      </c>
      <c r="F3254" s="7">
        <v>465451.233842611</v>
      </c>
      <c r="G3254" s="7">
        <v>465551.311827897</v>
      </c>
      <c r="H3254" s="7">
        <v>2.0</v>
      </c>
      <c r="I3254" s="15">
        <v>0.466468660089827</v>
      </c>
      <c r="J3254" s="15">
        <v>0.243375844785919</v>
      </c>
      <c r="K3254" s="12">
        <f>AVERAGE(I3252:I3256)</f>
        <v>0.4818355825</v>
      </c>
      <c r="L3254" s="18">
        <v>10073.0</v>
      </c>
      <c r="M3254" s="14">
        <f>STDEV(L3252:L3256)</f>
        <v>41103.97729</v>
      </c>
      <c r="N3254" s="15" t="b">
        <f t="shared" si="1"/>
        <v>0</v>
      </c>
    </row>
    <row r="3255" hidden="1">
      <c r="A3255" s="7" t="s">
        <v>659</v>
      </c>
      <c r="B3255" s="7" t="s">
        <v>519</v>
      </c>
      <c r="C3255" s="7">
        <v>0.5</v>
      </c>
      <c r="D3255" s="7">
        <v>1.0</v>
      </c>
      <c r="E3255" s="7">
        <v>1.0</v>
      </c>
      <c r="F3255" s="7">
        <v>465451.233842611</v>
      </c>
      <c r="G3255" s="7">
        <v>465551.311827897</v>
      </c>
      <c r="H3255" s="7">
        <v>3.0</v>
      </c>
      <c r="I3255" s="15">
        <v>0.0306371951466819</v>
      </c>
      <c r="J3255" s="15">
        <v>0.194699609964885</v>
      </c>
      <c r="K3255" s="12">
        <f>AVERAGE(I3252:I3256)</f>
        <v>0.4818355825</v>
      </c>
      <c r="L3255" s="18">
        <v>101507.0</v>
      </c>
      <c r="M3255" s="14">
        <f>STDEV(L3252:L3256)</f>
        <v>41103.97729</v>
      </c>
      <c r="N3255" s="15" t="b">
        <f t="shared" si="1"/>
        <v>0</v>
      </c>
    </row>
    <row r="3256" hidden="1">
      <c r="A3256" s="7" t="s">
        <v>659</v>
      </c>
      <c r="B3256" s="7" t="s">
        <v>519</v>
      </c>
      <c r="C3256" s="7">
        <v>0.5</v>
      </c>
      <c r="D3256" s="7">
        <v>1.0</v>
      </c>
      <c r="E3256" s="7">
        <v>1.0</v>
      </c>
      <c r="F3256" s="7">
        <v>465451.233842611</v>
      </c>
      <c r="G3256" s="7">
        <v>465551.311827897</v>
      </c>
      <c r="H3256" s="7">
        <v>4.0</v>
      </c>
      <c r="I3256" s="15">
        <v>0.824931173198543</v>
      </c>
      <c r="J3256" s="15">
        <v>0.0966295575356462</v>
      </c>
      <c r="K3256" s="12">
        <f>AVERAGE(I3252:I3256)</f>
        <v>0.4818355825</v>
      </c>
      <c r="L3256" s="18">
        <v>4613.0</v>
      </c>
      <c r="M3256" s="14">
        <f>STDEV(L3252:L3256)</f>
        <v>41103.97729</v>
      </c>
      <c r="N3256" s="15" t="b">
        <f t="shared" si="1"/>
        <v>0</v>
      </c>
    </row>
    <row r="3257" hidden="1">
      <c r="A3257" s="7" t="s">
        <v>660</v>
      </c>
      <c r="B3257" s="7" t="s">
        <v>519</v>
      </c>
      <c r="C3257" s="7">
        <v>0.5</v>
      </c>
      <c r="D3257" s="7">
        <v>1.0</v>
      </c>
      <c r="E3257" s="7">
        <v>2.0</v>
      </c>
      <c r="F3257" s="7">
        <v>546858.341347694</v>
      </c>
      <c r="G3257" s="7">
        <v>546993.146243572</v>
      </c>
      <c r="H3257" s="7">
        <v>0.0</v>
      </c>
      <c r="I3257" s="15">
        <v>0.307500452192935</v>
      </c>
      <c r="J3257" s="15">
        <v>0.143521838032897</v>
      </c>
      <c r="K3257" s="12">
        <f>AVERAGE(I3257:I3261)</f>
        <v>0.3611152567</v>
      </c>
      <c r="L3257" s="18">
        <v>15125.0</v>
      </c>
      <c r="M3257" s="14">
        <f>STDEV(L3257:L3261)</f>
        <v>46145.16387</v>
      </c>
      <c r="N3257" s="15" t="b">
        <f t="shared" si="1"/>
        <v>0</v>
      </c>
    </row>
    <row r="3258" hidden="1">
      <c r="A3258" s="7" t="s">
        <v>660</v>
      </c>
      <c r="B3258" s="7" t="s">
        <v>519</v>
      </c>
      <c r="C3258" s="7">
        <v>0.5</v>
      </c>
      <c r="D3258" s="7">
        <v>1.0</v>
      </c>
      <c r="E3258" s="7">
        <v>2.0</v>
      </c>
      <c r="F3258" s="7">
        <v>546858.341347694</v>
      </c>
      <c r="G3258" s="7">
        <v>546993.146243572</v>
      </c>
      <c r="H3258" s="7">
        <v>1.0</v>
      </c>
      <c r="I3258" s="15">
        <v>0.0624768093072535</v>
      </c>
      <c r="J3258" s="15">
        <v>0.126760814498068</v>
      </c>
      <c r="K3258" s="12">
        <f>AVERAGE(I3257:I3261)</f>
        <v>0.3611152567</v>
      </c>
      <c r="L3258" s="18">
        <v>110346.0</v>
      </c>
      <c r="M3258" s="14">
        <f>STDEV(L3257:L3261)</f>
        <v>46145.16387</v>
      </c>
      <c r="N3258" s="15" t="b">
        <f t="shared" si="1"/>
        <v>0</v>
      </c>
    </row>
    <row r="3259" hidden="1">
      <c r="A3259" s="7" t="s">
        <v>660</v>
      </c>
      <c r="B3259" s="7" t="s">
        <v>519</v>
      </c>
      <c r="C3259" s="7">
        <v>0.5</v>
      </c>
      <c r="D3259" s="7">
        <v>1.0</v>
      </c>
      <c r="E3259" s="7">
        <v>2.0</v>
      </c>
      <c r="F3259" s="7">
        <v>546858.341347694</v>
      </c>
      <c r="G3259" s="7">
        <v>546993.146243572</v>
      </c>
      <c r="H3259" s="7">
        <v>2.0</v>
      </c>
      <c r="I3259" s="15">
        <v>0.209184680972725</v>
      </c>
      <c r="J3259" s="15">
        <v>0.173651471827845</v>
      </c>
      <c r="K3259" s="12">
        <f>AVERAGE(I3257:I3261)</f>
        <v>0.3611152567</v>
      </c>
      <c r="L3259" s="18">
        <v>8122.0</v>
      </c>
      <c r="M3259" s="14">
        <f>STDEV(L3257:L3261)</f>
        <v>46145.16387</v>
      </c>
      <c r="N3259" s="15" t="b">
        <f t="shared" si="1"/>
        <v>0</v>
      </c>
    </row>
    <row r="3260" hidden="1">
      <c r="A3260" s="7" t="s">
        <v>660</v>
      </c>
      <c r="B3260" s="7" t="s">
        <v>519</v>
      </c>
      <c r="C3260" s="7">
        <v>0.5</v>
      </c>
      <c r="D3260" s="7">
        <v>1.0</v>
      </c>
      <c r="E3260" s="7">
        <v>2.0</v>
      </c>
      <c r="F3260" s="7">
        <v>546858.341347694</v>
      </c>
      <c r="G3260" s="7">
        <v>546993.146243572</v>
      </c>
      <c r="H3260" s="7">
        <v>3.0</v>
      </c>
      <c r="I3260" s="15">
        <v>0.461138040426609</v>
      </c>
      <c r="J3260" s="15">
        <v>0.0931527574814212</v>
      </c>
      <c r="K3260" s="12">
        <f>AVERAGE(I3257:I3261)</f>
        <v>0.3611152567</v>
      </c>
      <c r="L3260" s="18">
        <v>281.0</v>
      </c>
      <c r="M3260" s="14">
        <f>STDEV(L3257:L3261)</f>
        <v>46145.16387</v>
      </c>
      <c r="N3260" s="15" t="b">
        <f t="shared" si="1"/>
        <v>0</v>
      </c>
    </row>
    <row r="3261" hidden="1">
      <c r="A3261" s="7" t="s">
        <v>660</v>
      </c>
      <c r="B3261" s="7" t="s">
        <v>519</v>
      </c>
      <c r="C3261" s="7">
        <v>0.5</v>
      </c>
      <c r="D3261" s="7">
        <v>1.0</v>
      </c>
      <c r="E3261" s="7">
        <v>2.0</v>
      </c>
      <c r="F3261" s="7">
        <v>546858.341347694</v>
      </c>
      <c r="G3261" s="7">
        <v>546993.146243572</v>
      </c>
      <c r="H3261" s="7">
        <v>4.0</v>
      </c>
      <c r="I3261" s="15">
        <v>0.765276300544683</v>
      </c>
      <c r="J3261" s="15">
        <v>0.141292547649878</v>
      </c>
      <c r="K3261" s="12">
        <f>AVERAGE(I3257:I3261)</f>
        <v>0.3611152567</v>
      </c>
      <c r="L3261" s="18">
        <v>7802.0</v>
      </c>
      <c r="M3261" s="14">
        <f>STDEV(L3257:L3261)</f>
        <v>46145.16387</v>
      </c>
      <c r="N3261" s="15" t="b">
        <f t="shared" si="1"/>
        <v>0</v>
      </c>
    </row>
    <row r="3262" hidden="1">
      <c r="A3262" s="7" t="s">
        <v>661</v>
      </c>
      <c r="B3262" s="7" t="s">
        <v>519</v>
      </c>
      <c r="C3262" s="7">
        <v>0.5</v>
      </c>
      <c r="D3262" s="7">
        <v>1.0</v>
      </c>
      <c r="E3262" s="7">
        <v>3.0</v>
      </c>
      <c r="F3262" s="7">
        <v>462451.395061969</v>
      </c>
      <c r="G3262" s="7">
        <v>462604.534721612</v>
      </c>
      <c r="H3262" s="7">
        <v>0.0</v>
      </c>
      <c r="I3262" s="15">
        <v>0.477153053221381</v>
      </c>
      <c r="J3262" s="15">
        <v>0.152368709666701</v>
      </c>
      <c r="K3262" s="12">
        <f>AVERAGE(I3262:I3266)</f>
        <v>0.2725016408</v>
      </c>
      <c r="L3262" s="18">
        <v>14428.0</v>
      </c>
      <c r="M3262" s="14">
        <f>STDEV(L3262:L3266)</f>
        <v>40318.10893</v>
      </c>
      <c r="N3262" s="15" t="b">
        <f t="shared" si="1"/>
        <v>0</v>
      </c>
    </row>
    <row r="3263" hidden="1">
      <c r="A3263" s="7" t="s">
        <v>661</v>
      </c>
      <c r="B3263" s="7" t="s">
        <v>519</v>
      </c>
      <c r="C3263" s="7">
        <v>0.5</v>
      </c>
      <c r="D3263" s="7">
        <v>1.0</v>
      </c>
      <c r="E3263" s="7">
        <v>3.0</v>
      </c>
      <c r="F3263" s="7">
        <v>462451.395061969</v>
      </c>
      <c r="G3263" s="7">
        <v>462604.534721612</v>
      </c>
      <c r="H3263" s="7">
        <v>1.0</v>
      </c>
      <c r="I3263" s="15">
        <v>0.323891045192741</v>
      </c>
      <c r="J3263" s="15">
        <v>0.104760003806243</v>
      </c>
      <c r="K3263" s="12">
        <f>AVERAGE(I3262:I3266)</f>
        <v>0.2725016408</v>
      </c>
      <c r="L3263" s="18">
        <v>2867.0</v>
      </c>
      <c r="M3263" s="14">
        <f>STDEV(L3262:L3266)</f>
        <v>40318.10893</v>
      </c>
      <c r="N3263" s="15" t="b">
        <f t="shared" si="1"/>
        <v>0</v>
      </c>
    </row>
    <row r="3264" hidden="1">
      <c r="A3264" s="7" t="s">
        <v>661</v>
      </c>
      <c r="B3264" s="7" t="s">
        <v>519</v>
      </c>
      <c r="C3264" s="7">
        <v>0.5</v>
      </c>
      <c r="D3264" s="7">
        <v>1.0</v>
      </c>
      <c r="E3264" s="7">
        <v>3.0</v>
      </c>
      <c r="F3264" s="7">
        <v>462451.395061969</v>
      </c>
      <c r="G3264" s="7">
        <v>462604.534721612</v>
      </c>
      <c r="H3264" s="7">
        <v>2.0</v>
      </c>
      <c r="I3264" s="15">
        <v>0.0384052256075505</v>
      </c>
      <c r="J3264" s="15">
        <v>0.144014915000134</v>
      </c>
      <c r="K3264" s="12">
        <f>AVERAGE(I3262:I3266)</f>
        <v>0.2725016408</v>
      </c>
      <c r="L3264" s="18">
        <v>98953.0</v>
      </c>
      <c r="M3264" s="14">
        <f>STDEV(L3262:L3266)</f>
        <v>40318.10893</v>
      </c>
      <c r="N3264" s="15" t="b">
        <f t="shared" si="1"/>
        <v>0</v>
      </c>
    </row>
    <row r="3265" hidden="1">
      <c r="A3265" s="7" t="s">
        <v>661</v>
      </c>
      <c r="B3265" s="7" t="s">
        <v>519</v>
      </c>
      <c r="C3265" s="7">
        <v>0.5</v>
      </c>
      <c r="D3265" s="7">
        <v>1.0</v>
      </c>
      <c r="E3265" s="7">
        <v>3.0</v>
      </c>
      <c r="F3265" s="7">
        <v>462451.395061969</v>
      </c>
      <c r="G3265" s="7">
        <v>462604.534721612</v>
      </c>
      <c r="H3265" s="7">
        <v>3.0</v>
      </c>
      <c r="I3265" s="15">
        <v>0.333748812511741</v>
      </c>
      <c r="J3265" s="15">
        <v>0.0627357157901775</v>
      </c>
      <c r="K3265" s="12">
        <f>AVERAGE(I3262:I3266)</f>
        <v>0.2725016408</v>
      </c>
      <c r="L3265" s="18">
        <v>3090.0</v>
      </c>
      <c r="M3265" s="14">
        <f>STDEV(L3262:L3266)</f>
        <v>40318.10893</v>
      </c>
      <c r="N3265" s="15" t="b">
        <f t="shared" si="1"/>
        <v>0</v>
      </c>
    </row>
    <row r="3266" hidden="1">
      <c r="A3266" s="7" t="s">
        <v>661</v>
      </c>
      <c r="B3266" s="7" t="s">
        <v>519</v>
      </c>
      <c r="C3266" s="7">
        <v>0.5</v>
      </c>
      <c r="D3266" s="7">
        <v>1.0</v>
      </c>
      <c r="E3266" s="7">
        <v>3.0</v>
      </c>
      <c r="F3266" s="7">
        <v>462451.395061969</v>
      </c>
      <c r="G3266" s="7">
        <v>462604.534721612</v>
      </c>
      <c r="H3266" s="7">
        <v>4.0</v>
      </c>
      <c r="I3266" s="15">
        <v>0.189310067633446</v>
      </c>
      <c r="J3266" s="15">
        <v>0.0889649406182506</v>
      </c>
      <c r="K3266" s="12">
        <f>AVERAGE(I3262:I3266)</f>
        <v>0.2725016408</v>
      </c>
      <c r="L3266" s="18">
        <v>22338.0</v>
      </c>
      <c r="M3266" s="14">
        <f>STDEV(L3262:L3266)</f>
        <v>40318.10893</v>
      </c>
      <c r="N3266" s="15" t="b">
        <f t="shared" si="1"/>
        <v>0</v>
      </c>
    </row>
    <row r="3267" hidden="1">
      <c r="A3267" s="7" t="s">
        <v>662</v>
      </c>
      <c r="B3267" s="7" t="s">
        <v>519</v>
      </c>
      <c r="C3267" s="7">
        <v>0.5</v>
      </c>
      <c r="D3267" s="7">
        <v>1.0</v>
      </c>
      <c r="E3267" s="7">
        <v>4.0</v>
      </c>
      <c r="F3267" s="7">
        <v>557242.085991144</v>
      </c>
      <c r="G3267" s="7">
        <v>557387.094096422</v>
      </c>
      <c r="H3267" s="7">
        <v>0.0</v>
      </c>
      <c r="I3267" s="15">
        <v>0.827673586145317</v>
      </c>
      <c r="J3267" s="15">
        <v>0.111816784633628</v>
      </c>
      <c r="K3267" s="12">
        <f>AVERAGE(I3267:I3271)</f>
        <v>0.3438572216</v>
      </c>
      <c r="L3267" s="18">
        <v>7438.0</v>
      </c>
      <c r="M3267" s="14">
        <f>STDEV(L3267:L3271)</f>
        <v>35989.43771</v>
      </c>
      <c r="N3267" s="15" t="b">
        <f t="shared" si="1"/>
        <v>0</v>
      </c>
    </row>
    <row r="3268" hidden="1">
      <c r="A3268" s="7" t="s">
        <v>662</v>
      </c>
      <c r="B3268" s="7" t="s">
        <v>519</v>
      </c>
      <c r="C3268" s="7">
        <v>0.5</v>
      </c>
      <c r="D3268" s="7">
        <v>1.0</v>
      </c>
      <c r="E3268" s="7">
        <v>4.0</v>
      </c>
      <c r="F3268" s="7">
        <v>557242.085991144</v>
      </c>
      <c r="G3268" s="7">
        <v>557387.094096422</v>
      </c>
      <c r="H3268" s="7">
        <v>1.0</v>
      </c>
      <c r="I3268" s="15">
        <v>0.379082785419487</v>
      </c>
      <c r="J3268" s="15">
        <v>0.171761624821525</v>
      </c>
      <c r="K3268" s="12">
        <f>AVERAGE(I3267:I3271)</f>
        <v>0.3438572216</v>
      </c>
      <c r="L3268" s="18">
        <v>30027.0</v>
      </c>
      <c r="M3268" s="14">
        <f>STDEV(L3267:L3271)</f>
        <v>35989.43771</v>
      </c>
      <c r="N3268" s="15" t="b">
        <f t="shared" si="1"/>
        <v>0</v>
      </c>
    </row>
    <row r="3269" hidden="1">
      <c r="A3269" s="7" t="s">
        <v>662</v>
      </c>
      <c r="B3269" s="7" t="s">
        <v>519</v>
      </c>
      <c r="C3269" s="7">
        <v>0.5</v>
      </c>
      <c r="D3269" s="7">
        <v>1.0</v>
      </c>
      <c r="E3269" s="7">
        <v>4.0</v>
      </c>
      <c r="F3269" s="7">
        <v>557242.085991144</v>
      </c>
      <c r="G3269" s="7">
        <v>557387.094096422</v>
      </c>
      <c r="H3269" s="7">
        <v>2.0</v>
      </c>
      <c r="I3269" s="15">
        <v>0.165718639193706</v>
      </c>
      <c r="J3269" s="15">
        <v>0.0631513149453398</v>
      </c>
      <c r="K3269" s="12">
        <f>AVERAGE(I3267:I3271)</f>
        <v>0.3438572216</v>
      </c>
      <c r="L3269" s="18">
        <v>5796.0</v>
      </c>
      <c r="M3269" s="14">
        <f>STDEV(L3267:L3271)</f>
        <v>35989.43771</v>
      </c>
      <c r="N3269" s="15" t="b">
        <f t="shared" si="1"/>
        <v>0</v>
      </c>
    </row>
    <row r="3270" hidden="1">
      <c r="A3270" s="7" t="s">
        <v>662</v>
      </c>
      <c r="B3270" s="7" t="s">
        <v>519</v>
      </c>
      <c r="C3270" s="7">
        <v>0.5</v>
      </c>
      <c r="D3270" s="7">
        <v>1.0</v>
      </c>
      <c r="E3270" s="7">
        <v>4.0</v>
      </c>
      <c r="F3270" s="7">
        <v>557242.085991144</v>
      </c>
      <c r="G3270" s="7">
        <v>557387.094096422</v>
      </c>
      <c r="H3270" s="7">
        <v>3.0</v>
      </c>
      <c r="I3270" s="15">
        <v>0.266360748301586</v>
      </c>
      <c r="J3270" s="15">
        <v>0.11495933735801</v>
      </c>
      <c r="K3270" s="12">
        <f>AVERAGE(I3267:I3271)</f>
        <v>0.3438572216</v>
      </c>
      <c r="L3270" s="18">
        <v>8207.0</v>
      </c>
      <c r="M3270" s="14">
        <f>STDEV(L3267:L3271)</f>
        <v>35989.43771</v>
      </c>
      <c r="N3270" s="15" t="b">
        <f t="shared" si="1"/>
        <v>0</v>
      </c>
    </row>
    <row r="3271" hidden="1">
      <c r="A3271" s="7" t="s">
        <v>662</v>
      </c>
      <c r="B3271" s="7" t="s">
        <v>519</v>
      </c>
      <c r="C3271" s="7">
        <v>0.5</v>
      </c>
      <c r="D3271" s="7">
        <v>1.0</v>
      </c>
      <c r="E3271" s="7">
        <v>4.0</v>
      </c>
      <c r="F3271" s="7">
        <v>557242.085991144</v>
      </c>
      <c r="G3271" s="7">
        <v>557387.094096422</v>
      </c>
      <c r="H3271" s="7">
        <v>4.0</v>
      </c>
      <c r="I3271" s="15">
        <v>0.0804503488264553</v>
      </c>
      <c r="J3271" s="15">
        <v>0.0559469912917028</v>
      </c>
      <c r="K3271" s="12">
        <f>AVERAGE(I3267:I3271)</f>
        <v>0.3438572216</v>
      </c>
      <c r="L3271" s="18">
        <v>90208.0</v>
      </c>
      <c r="M3271" s="14">
        <f>STDEV(L3267:L3271)</f>
        <v>35989.43771</v>
      </c>
      <c r="N3271" s="15" t="b">
        <f t="shared" si="1"/>
        <v>0</v>
      </c>
    </row>
    <row r="3272" hidden="1">
      <c r="A3272" s="7" t="s">
        <v>663</v>
      </c>
      <c r="B3272" s="7" t="s">
        <v>519</v>
      </c>
      <c r="C3272" s="7">
        <v>0.5</v>
      </c>
      <c r="D3272" s="7">
        <v>1.0</v>
      </c>
      <c r="E3272" s="7">
        <v>5.0</v>
      </c>
      <c r="F3272" s="7">
        <v>685707.365572929</v>
      </c>
      <c r="G3272" s="7">
        <v>685764.503119707</v>
      </c>
      <c r="H3272" s="7">
        <v>0.0</v>
      </c>
      <c r="I3272" s="15">
        <v>0.0867496706993856</v>
      </c>
      <c r="J3272" s="15">
        <v>0.0498552398278723</v>
      </c>
      <c r="K3272" s="12">
        <f>AVERAGE(I3272:I3276)</f>
        <v>0.4839505852</v>
      </c>
      <c r="L3272" s="18">
        <v>110377.0</v>
      </c>
      <c r="M3272" s="14">
        <f>STDEV(L3272:L3276)</f>
        <v>46094.28483</v>
      </c>
      <c r="N3272" s="15" t="b">
        <f t="shared" si="1"/>
        <v>0</v>
      </c>
    </row>
    <row r="3273" hidden="1">
      <c r="A3273" s="7" t="s">
        <v>663</v>
      </c>
      <c r="B3273" s="7" t="s">
        <v>519</v>
      </c>
      <c r="C3273" s="7">
        <v>0.5</v>
      </c>
      <c r="D3273" s="7">
        <v>1.0</v>
      </c>
      <c r="E3273" s="7">
        <v>5.0</v>
      </c>
      <c r="F3273" s="7">
        <v>685707.365572929</v>
      </c>
      <c r="G3273" s="7">
        <v>685764.503119707</v>
      </c>
      <c r="H3273" s="7">
        <v>1.0</v>
      </c>
      <c r="I3273" s="15">
        <v>0.853247660026013</v>
      </c>
      <c r="J3273" s="15">
        <v>0.0722253484270751</v>
      </c>
      <c r="K3273" s="12">
        <f>AVERAGE(I3272:I3276)</f>
        <v>0.4839505852</v>
      </c>
      <c r="L3273" s="18">
        <v>7216.0</v>
      </c>
      <c r="M3273" s="14">
        <f>STDEV(L3272:L3276)</f>
        <v>46094.28483</v>
      </c>
      <c r="N3273" s="15" t="b">
        <f t="shared" si="1"/>
        <v>0</v>
      </c>
    </row>
    <row r="3274" hidden="1">
      <c r="A3274" s="7" t="s">
        <v>663</v>
      </c>
      <c r="B3274" s="7" t="s">
        <v>519</v>
      </c>
      <c r="C3274" s="7">
        <v>0.5</v>
      </c>
      <c r="D3274" s="7">
        <v>1.0</v>
      </c>
      <c r="E3274" s="7">
        <v>5.0</v>
      </c>
      <c r="F3274" s="7">
        <v>685707.365572929</v>
      </c>
      <c r="G3274" s="7">
        <v>685764.503119707</v>
      </c>
      <c r="H3274" s="7">
        <v>2.0</v>
      </c>
      <c r="I3274" s="15">
        <v>0.300674963846824</v>
      </c>
      <c r="J3274" s="15">
        <v>0.120891935367808</v>
      </c>
      <c r="K3274" s="12">
        <f>AVERAGE(I3272:I3276)</f>
        <v>0.4839505852</v>
      </c>
      <c r="L3274" s="18">
        <v>15535.0</v>
      </c>
      <c r="M3274" s="14">
        <f>STDEV(L3272:L3276)</f>
        <v>46094.28483</v>
      </c>
      <c r="N3274" s="15" t="b">
        <f t="shared" si="1"/>
        <v>0</v>
      </c>
    </row>
    <row r="3275" hidden="1">
      <c r="A3275" s="7" t="s">
        <v>663</v>
      </c>
      <c r="B3275" s="7" t="s">
        <v>519</v>
      </c>
      <c r="C3275" s="7">
        <v>0.5</v>
      </c>
      <c r="D3275" s="7">
        <v>1.0</v>
      </c>
      <c r="E3275" s="7">
        <v>5.0</v>
      </c>
      <c r="F3275" s="7">
        <v>685707.365572929</v>
      </c>
      <c r="G3275" s="7">
        <v>685764.503119707</v>
      </c>
      <c r="H3275" s="7">
        <v>3.0</v>
      </c>
      <c r="I3275" s="15">
        <v>0.338226361790322</v>
      </c>
      <c r="J3275" s="15">
        <v>0.127859293783525</v>
      </c>
      <c r="K3275" s="12">
        <f>AVERAGE(I3272:I3276)</f>
        <v>0.4839505852</v>
      </c>
      <c r="L3275" s="18">
        <v>4022.0</v>
      </c>
      <c r="M3275" s="14">
        <f>STDEV(L3272:L3276)</f>
        <v>46094.28483</v>
      </c>
      <c r="N3275" s="15" t="b">
        <f t="shared" si="1"/>
        <v>0</v>
      </c>
    </row>
    <row r="3276" hidden="1">
      <c r="A3276" s="7" t="s">
        <v>663</v>
      </c>
      <c r="B3276" s="7" t="s">
        <v>519</v>
      </c>
      <c r="C3276" s="7">
        <v>0.5</v>
      </c>
      <c r="D3276" s="7">
        <v>1.0</v>
      </c>
      <c r="E3276" s="7">
        <v>5.0</v>
      </c>
      <c r="F3276" s="7">
        <v>685707.365572929</v>
      </c>
      <c r="G3276" s="7">
        <v>685764.503119707</v>
      </c>
      <c r="H3276" s="7">
        <v>4.0</v>
      </c>
      <c r="I3276" s="15">
        <v>0.840854269673773</v>
      </c>
      <c r="J3276" s="15">
        <v>0.0811009584858792</v>
      </c>
      <c r="K3276" s="12">
        <f>AVERAGE(I3272:I3276)</f>
        <v>0.4839505852</v>
      </c>
      <c r="L3276" s="18">
        <v>4526.0</v>
      </c>
      <c r="M3276" s="14">
        <f>STDEV(L3272:L3276)</f>
        <v>46094.28483</v>
      </c>
      <c r="N3276" s="15" t="b">
        <f t="shared" si="1"/>
        <v>0</v>
      </c>
    </row>
    <row r="3277" hidden="1">
      <c r="A3277" s="7" t="s">
        <v>664</v>
      </c>
      <c r="B3277" s="7" t="s">
        <v>519</v>
      </c>
      <c r="C3277" s="7">
        <v>0.5</v>
      </c>
      <c r="D3277" s="7">
        <v>1.0</v>
      </c>
      <c r="E3277" s="7">
        <v>6.0</v>
      </c>
      <c r="F3277" s="7">
        <v>555517.110677957</v>
      </c>
      <c r="G3277" s="7">
        <v>555651.594188213</v>
      </c>
      <c r="H3277" s="7">
        <v>0.0</v>
      </c>
      <c r="I3277" s="15">
        <v>0.810682719723203</v>
      </c>
      <c r="J3277" s="15">
        <v>0.116738805604566</v>
      </c>
      <c r="K3277" s="12">
        <f>AVERAGE(I3277:I3281)</f>
        <v>0.3381058692</v>
      </c>
      <c r="L3277" s="18">
        <v>7363.0</v>
      </c>
      <c r="M3277" s="14">
        <f>STDEV(L3277:L3281)</f>
        <v>44696.89366</v>
      </c>
      <c r="N3277" s="15" t="b">
        <f t="shared" si="1"/>
        <v>0</v>
      </c>
    </row>
    <row r="3278" hidden="1">
      <c r="A3278" s="7" t="s">
        <v>664</v>
      </c>
      <c r="B3278" s="7" t="s">
        <v>519</v>
      </c>
      <c r="C3278" s="7">
        <v>0.5</v>
      </c>
      <c r="D3278" s="7">
        <v>1.0</v>
      </c>
      <c r="E3278" s="7">
        <v>6.0</v>
      </c>
      <c r="F3278" s="7">
        <v>555517.110677957</v>
      </c>
      <c r="G3278" s="7">
        <v>555651.594188213</v>
      </c>
      <c r="H3278" s="7">
        <v>1.0</v>
      </c>
      <c r="I3278" s="15">
        <v>0.0834185116798211</v>
      </c>
      <c r="J3278" s="15">
        <v>0.0523182302300617</v>
      </c>
      <c r="K3278" s="12">
        <f>AVERAGE(I3277:I3281)</f>
        <v>0.3381058692</v>
      </c>
      <c r="L3278" s="18">
        <v>107783.0</v>
      </c>
      <c r="M3278" s="14">
        <f>STDEV(L3277:L3281)</f>
        <v>44696.89366</v>
      </c>
      <c r="N3278" s="15" t="b">
        <f t="shared" si="1"/>
        <v>0</v>
      </c>
    </row>
    <row r="3279" hidden="1">
      <c r="A3279" s="7" t="s">
        <v>664</v>
      </c>
      <c r="B3279" s="7" t="s">
        <v>519</v>
      </c>
      <c r="C3279" s="7">
        <v>0.5</v>
      </c>
      <c r="D3279" s="7">
        <v>1.0</v>
      </c>
      <c r="E3279" s="7">
        <v>6.0</v>
      </c>
      <c r="F3279" s="7">
        <v>555517.110677957</v>
      </c>
      <c r="G3279" s="7">
        <v>555651.594188213</v>
      </c>
      <c r="H3279" s="7">
        <v>2.0</v>
      </c>
      <c r="I3279" s="15">
        <v>0.352015835319618</v>
      </c>
      <c r="J3279" s="15">
        <v>0.0886913540629298</v>
      </c>
      <c r="K3279" s="12">
        <f>AVERAGE(I3277:I3281)</f>
        <v>0.3381058692</v>
      </c>
      <c r="L3279" s="18">
        <v>4015.0</v>
      </c>
      <c r="M3279" s="14">
        <f>STDEV(L3277:L3281)</f>
        <v>44696.89366</v>
      </c>
      <c r="N3279" s="15" t="b">
        <f t="shared" si="1"/>
        <v>0</v>
      </c>
    </row>
    <row r="3280" hidden="1">
      <c r="A3280" s="7" t="s">
        <v>664</v>
      </c>
      <c r="B3280" s="7" t="s">
        <v>519</v>
      </c>
      <c r="C3280" s="7">
        <v>0.5</v>
      </c>
      <c r="D3280" s="7">
        <v>1.0</v>
      </c>
      <c r="E3280" s="7">
        <v>6.0</v>
      </c>
      <c r="F3280" s="7">
        <v>555517.110677957</v>
      </c>
      <c r="G3280" s="7">
        <v>555651.594188213</v>
      </c>
      <c r="H3280" s="7">
        <v>3.0</v>
      </c>
      <c r="I3280" s="15">
        <v>0.294550090611283</v>
      </c>
      <c r="J3280" s="15">
        <v>0.0680827005344142</v>
      </c>
      <c r="K3280" s="12">
        <f>AVERAGE(I3277:I3281)</f>
        <v>0.3381058692</v>
      </c>
      <c r="L3280" s="18">
        <v>16945.0</v>
      </c>
      <c r="M3280" s="14">
        <f>STDEV(L3277:L3281)</f>
        <v>44696.89366</v>
      </c>
      <c r="N3280" s="15" t="b">
        <f t="shared" si="1"/>
        <v>0</v>
      </c>
    </row>
    <row r="3281" hidden="1">
      <c r="A3281" s="7" t="s">
        <v>664</v>
      </c>
      <c r="B3281" s="7" t="s">
        <v>519</v>
      </c>
      <c r="C3281" s="7">
        <v>0.5</v>
      </c>
      <c r="D3281" s="7">
        <v>1.0</v>
      </c>
      <c r="E3281" s="7">
        <v>6.0</v>
      </c>
      <c r="F3281" s="7">
        <v>555517.110677957</v>
      </c>
      <c r="G3281" s="7">
        <v>555651.594188213</v>
      </c>
      <c r="H3281" s="7">
        <v>4.0</v>
      </c>
      <c r="I3281" s="15">
        <v>0.149862188685349</v>
      </c>
      <c r="J3281" s="15">
        <v>0.103022307459826</v>
      </c>
      <c r="K3281" s="12">
        <f>AVERAGE(I3277:I3281)</f>
        <v>0.3381058692</v>
      </c>
      <c r="L3281" s="18">
        <v>5570.0</v>
      </c>
      <c r="M3281" s="14">
        <f>STDEV(L3277:L3281)</f>
        <v>44696.89366</v>
      </c>
      <c r="N3281" s="15" t="b">
        <f t="shared" si="1"/>
        <v>0</v>
      </c>
    </row>
    <row r="3282" hidden="1">
      <c r="A3282" s="7" t="s">
        <v>665</v>
      </c>
      <c r="B3282" s="7" t="s">
        <v>519</v>
      </c>
      <c r="C3282" s="7">
        <v>0.5</v>
      </c>
      <c r="D3282" s="7">
        <v>1.0</v>
      </c>
      <c r="E3282" s="7">
        <v>7.0</v>
      </c>
      <c r="F3282" s="7">
        <v>472031.413210868</v>
      </c>
      <c r="G3282" s="7">
        <v>472190.913679599</v>
      </c>
      <c r="H3282" s="7">
        <v>0.0</v>
      </c>
      <c r="I3282" s="15">
        <v>0.156683888086281</v>
      </c>
      <c r="J3282" s="15">
        <v>0.0552347686081781</v>
      </c>
      <c r="K3282" s="12">
        <f>AVERAGE(I3282:I3286)</f>
        <v>0.4126287429</v>
      </c>
      <c r="L3282" s="18">
        <v>3674.0</v>
      </c>
      <c r="M3282" s="14">
        <f>STDEV(L3282:L3286)</f>
        <v>42042.89527</v>
      </c>
      <c r="N3282" s="15" t="b">
        <f t="shared" si="1"/>
        <v>0</v>
      </c>
    </row>
    <row r="3283" hidden="1">
      <c r="A3283" s="7" t="s">
        <v>665</v>
      </c>
      <c r="B3283" s="7" t="s">
        <v>519</v>
      </c>
      <c r="C3283" s="7">
        <v>0.5</v>
      </c>
      <c r="D3283" s="7">
        <v>1.0</v>
      </c>
      <c r="E3283" s="7">
        <v>7.0</v>
      </c>
      <c r="F3283" s="7">
        <v>472031.413210868</v>
      </c>
      <c r="G3283" s="7">
        <v>472190.913679599</v>
      </c>
      <c r="H3283" s="7">
        <v>1.0</v>
      </c>
      <c r="I3283" s="15">
        <v>0.169648747364731</v>
      </c>
      <c r="J3283" s="15">
        <v>0.0760178386767208</v>
      </c>
      <c r="K3283" s="12">
        <f>AVERAGE(I3282:I3286)</f>
        <v>0.4126287429</v>
      </c>
      <c r="L3283" s="18">
        <v>27199.0</v>
      </c>
      <c r="M3283" s="14">
        <f>STDEV(L3282:L3286)</f>
        <v>42042.89527</v>
      </c>
      <c r="N3283" s="15" t="b">
        <f t="shared" si="1"/>
        <v>0</v>
      </c>
    </row>
    <row r="3284" hidden="1">
      <c r="A3284" s="7" t="s">
        <v>665</v>
      </c>
      <c r="B3284" s="7" t="s">
        <v>519</v>
      </c>
      <c r="C3284" s="7">
        <v>0.5</v>
      </c>
      <c r="D3284" s="7">
        <v>1.0</v>
      </c>
      <c r="E3284" s="7">
        <v>7.0</v>
      </c>
      <c r="F3284" s="7">
        <v>472031.413210868</v>
      </c>
      <c r="G3284" s="7">
        <v>472190.913679599</v>
      </c>
      <c r="H3284" s="7">
        <v>2.0</v>
      </c>
      <c r="I3284" s="15">
        <v>0.0195578844102325</v>
      </c>
      <c r="J3284" s="15">
        <v>0.208792185860017</v>
      </c>
      <c r="K3284" s="12">
        <f>AVERAGE(I3282:I3286)</f>
        <v>0.4126287429</v>
      </c>
      <c r="L3284" s="18">
        <v>101230.0</v>
      </c>
      <c r="M3284" s="14">
        <f>STDEV(L3282:L3286)</f>
        <v>42042.89527</v>
      </c>
      <c r="N3284" s="15" t="b">
        <f t="shared" si="1"/>
        <v>0</v>
      </c>
    </row>
    <row r="3285" hidden="1">
      <c r="A3285" s="7" t="s">
        <v>665</v>
      </c>
      <c r="B3285" s="7" t="s">
        <v>519</v>
      </c>
      <c r="C3285" s="7">
        <v>0.5</v>
      </c>
      <c r="D3285" s="7">
        <v>1.0</v>
      </c>
      <c r="E3285" s="7">
        <v>7.0</v>
      </c>
      <c r="F3285" s="7">
        <v>472031.413210868</v>
      </c>
      <c r="G3285" s="7">
        <v>472190.913679599</v>
      </c>
      <c r="H3285" s="7">
        <v>3.0</v>
      </c>
      <c r="I3285" s="15">
        <v>0.86017532872654</v>
      </c>
      <c r="J3285" s="15">
        <v>0.0621973507845821</v>
      </c>
      <c r="K3285" s="12">
        <f>AVERAGE(I3282:I3286)</f>
        <v>0.4126287429</v>
      </c>
      <c r="L3285" s="18">
        <v>9158.0</v>
      </c>
      <c r="M3285" s="14">
        <f>STDEV(L3282:L3286)</f>
        <v>42042.89527</v>
      </c>
      <c r="N3285" s="15" t="b">
        <f t="shared" si="1"/>
        <v>0</v>
      </c>
    </row>
    <row r="3286" hidden="1">
      <c r="A3286" s="7" t="s">
        <v>665</v>
      </c>
      <c r="B3286" s="7" t="s">
        <v>519</v>
      </c>
      <c r="C3286" s="7">
        <v>0.5</v>
      </c>
      <c r="D3286" s="7">
        <v>1.0</v>
      </c>
      <c r="E3286" s="7">
        <v>7.0</v>
      </c>
      <c r="F3286" s="7">
        <v>472031.413210868</v>
      </c>
      <c r="G3286" s="7">
        <v>472190.913679599</v>
      </c>
      <c r="H3286" s="7">
        <v>4.0</v>
      </c>
      <c r="I3286" s="15">
        <v>0.85707786568033</v>
      </c>
      <c r="J3286" s="15">
        <v>0.115584179062629</v>
      </c>
      <c r="K3286" s="12">
        <f>AVERAGE(I3282:I3286)</f>
        <v>0.4126287429</v>
      </c>
      <c r="L3286" s="18">
        <v>415.0</v>
      </c>
      <c r="M3286" s="14">
        <f>STDEV(L3282:L3286)</f>
        <v>42042.89527</v>
      </c>
      <c r="N3286" s="15" t="b">
        <f t="shared" si="1"/>
        <v>0</v>
      </c>
    </row>
    <row r="3287" hidden="1">
      <c r="A3287" s="7" t="s">
        <v>666</v>
      </c>
      <c r="B3287" s="7" t="s">
        <v>519</v>
      </c>
      <c r="C3287" s="7">
        <v>0.5</v>
      </c>
      <c r="D3287" s="7">
        <v>1.0</v>
      </c>
      <c r="E3287" s="7">
        <v>8.0</v>
      </c>
      <c r="F3287" s="7">
        <v>426389.824999332</v>
      </c>
      <c r="G3287" s="7">
        <v>426486.278591156</v>
      </c>
      <c r="H3287" s="7">
        <v>0.0</v>
      </c>
      <c r="I3287" s="15">
        <v>0.0611147437620537</v>
      </c>
      <c r="J3287" s="15">
        <v>0.0456334315527376</v>
      </c>
      <c r="K3287" s="12">
        <f>AVERAGE(I3287:I3291)</f>
        <v>0.4396099985</v>
      </c>
      <c r="L3287" s="18">
        <v>105479.0</v>
      </c>
      <c r="M3287" s="14">
        <f>STDEV(L3287:L3291)</f>
        <v>43463.83509</v>
      </c>
      <c r="N3287" s="15" t="b">
        <f t="shared" si="1"/>
        <v>0</v>
      </c>
    </row>
    <row r="3288" hidden="1">
      <c r="A3288" s="7" t="s">
        <v>666</v>
      </c>
      <c r="B3288" s="7" t="s">
        <v>519</v>
      </c>
      <c r="C3288" s="7">
        <v>0.5</v>
      </c>
      <c r="D3288" s="7">
        <v>1.0</v>
      </c>
      <c r="E3288" s="7">
        <v>8.0</v>
      </c>
      <c r="F3288" s="7">
        <v>426389.824999332</v>
      </c>
      <c r="G3288" s="7">
        <v>426486.278591156</v>
      </c>
      <c r="H3288" s="7">
        <v>1.0</v>
      </c>
      <c r="I3288" s="15">
        <v>0.85358622802503</v>
      </c>
      <c r="J3288" s="15">
        <v>0.0718533358588105</v>
      </c>
      <c r="K3288" s="12">
        <f>AVERAGE(I3287:I3291)</f>
        <v>0.4396099985</v>
      </c>
      <c r="L3288" s="18">
        <v>7200.0</v>
      </c>
      <c r="M3288" s="14">
        <f>STDEV(L3287:L3291)</f>
        <v>43463.83509</v>
      </c>
      <c r="N3288" s="15" t="b">
        <f t="shared" si="1"/>
        <v>0</v>
      </c>
    </row>
    <row r="3289" hidden="1">
      <c r="A3289" s="7" t="s">
        <v>666</v>
      </c>
      <c r="B3289" s="7" t="s">
        <v>519</v>
      </c>
      <c r="C3289" s="7">
        <v>0.5</v>
      </c>
      <c r="D3289" s="7">
        <v>1.0</v>
      </c>
      <c r="E3289" s="7">
        <v>8.0</v>
      </c>
      <c r="F3289" s="7">
        <v>426389.824999332</v>
      </c>
      <c r="G3289" s="7">
        <v>426486.278591156</v>
      </c>
      <c r="H3289" s="7">
        <v>2.0</v>
      </c>
      <c r="I3289" s="15">
        <v>0.331908327530893</v>
      </c>
      <c r="J3289" s="15">
        <v>0.11634099595832</v>
      </c>
      <c r="K3289" s="12">
        <f>AVERAGE(I3287:I3291)</f>
        <v>0.4396099985</v>
      </c>
      <c r="L3289" s="18">
        <v>4010.0</v>
      </c>
      <c r="M3289" s="14">
        <f>STDEV(L3287:L3291)</f>
        <v>43463.83509</v>
      </c>
      <c r="N3289" s="15" t="b">
        <f t="shared" si="1"/>
        <v>0</v>
      </c>
    </row>
    <row r="3290" hidden="1">
      <c r="A3290" s="7" t="s">
        <v>666</v>
      </c>
      <c r="B3290" s="7" t="s">
        <v>519</v>
      </c>
      <c r="C3290" s="7">
        <v>0.5</v>
      </c>
      <c r="D3290" s="7">
        <v>1.0</v>
      </c>
      <c r="E3290" s="7">
        <v>8.0</v>
      </c>
      <c r="F3290" s="7">
        <v>426389.824999332</v>
      </c>
      <c r="G3290" s="7">
        <v>426486.278591156</v>
      </c>
      <c r="H3290" s="7">
        <v>3.0</v>
      </c>
      <c r="I3290" s="15">
        <v>0.133097021981371</v>
      </c>
      <c r="J3290" s="15">
        <v>0.0648369215994873</v>
      </c>
      <c r="K3290" s="12">
        <f>AVERAGE(I3287:I3291)</f>
        <v>0.4396099985</v>
      </c>
      <c r="L3290" s="18">
        <v>6796.0</v>
      </c>
      <c r="M3290" s="14">
        <f>STDEV(L3287:L3291)</f>
        <v>43463.83509</v>
      </c>
      <c r="N3290" s="15" t="b">
        <f t="shared" si="1"/>
        <v>0</v>
      </c>
    </row>
    <row r="3291" hidden="1">
      <c r="A3291" s="7" t="s">
        <v>666</v>
      </c>
      <c r="B3291" s="7" t="s">
        <v>519</v>
      </c>
      <c r="C3291" s="7">
        <v>0.5</v>
      </c>
      <c r="D3291" s="7">
        <v>1.0</v>
      </c>
      <c r="E3291" s="7">
        <v>8.0</v>
      </c>
      <c r="F3291" s="7">
        <v>426389.824999332</v>
      </c>
      <c r="G3291" s="7">
        <v>426486.278591156</v>
      </c>
      <c r="H3291" s="7">
        <v>4.0</v>
      </c>
      <c r="I3291" s="15">
        <v>0.818343671112126</v>
      </c>
      <c r="J3291" s="15">
        <v>0.0617748293678684</v>
      </c>
      <c r="K3291" s="12">
        <f>AVERAGE(I3287:I3291)</f>
        <v>0.4396099985</v>
      </c>
      <c r="L3291" s="18">
        <v>18191.0</v>
      </c>
      <c r="M3291" s="14">
        <f>STDEV(L3287:L3291)</f>
        <v>43463.83509</v>
      </c>
      <c r="N3291" s="15" t="b">
        <f t="shared" si="1"/>
        <v>0</v>
      </c>
    </row>
    <row r="3292" hidden="1">
      <c r="A3292" s="7" t="s">
        <v>667</v>
      </c>
      <c r="B3292" s="7" t="s">
        <v>519</v>
      </c>
      <c r="C3292" s="7">
        <v>0.5</v>
      </c>
      <c r="D3292" s="7">
        <v>1.0</v>
      </c>
      <c r="E3292" s="7">
        <v>9.0</v>
      </c>
      <c r="F3292" s="7">
        <v>389056.12673521</v>
      </c>
      <c r="G3292" s="7">
        <v>389143.078240394</v>
      </c>
      <c r="H3292" s="7">
        <v>0.0</v>
      </c>
      <c r="I3292" s="15">
        <v>0.368564967846828</v>
      </c>
      <c r="J3292" s="15">
        <v>0.159363182925832</v>
      </c>
      <c r="K3292" s="12">
        <f>AVERAGE(I3292:I3296)</f>
        <v>0.3489829704</v>
      </c>
      <c r="L3292" s="18">
        <v>30347.0</v>
      </c>
      <c r="M3292" s="14">
        <f>STDEV(L3292:L3296)</f>
        <v>38466.05362</v>
      </c>
      <c r="N3292" s="15" t="b">
        <f t="shared" si="1"/>
        <v>0</v>
      </c>
    </row>
    <row r="3293" hidden="1">
      <c r="A3293" s="7" t="s">
        <v>667</v>
      </c>
      <c r="B3293" s="7" t="s">
        <v>519</v>
      </c>
      <c r="C3293" s="7">
        <v>0.5</v>
      </c>
      <c r="D3293" s="7">
        <v>1.0</v>
      </c>
      <c r="E3293" s="7">
        <v>9.0</v>
      </c>
      <c r="F3293" s="7">
        <v>389056.12673521</v>
      </c>
      <c r="G3293" s="7">
        <v>389143.078240394</v>
      </c>
      <c r="H3293" s="7">
        <v>1.0</v>
      </c>
      <c r="I3293" s="15">
        <v>0.80720314446281</v>
      </c>
      <c r="J3293" s="15">
        <v>0.120469231167677</v>
      </c>
      <c r="K3293" s="12">
        <f>AVERAGE(I3292:I3296)</f>
        <v>0.3489829704</v>
      </c>
      <c r="L3293" s="18">
        <v>7383.0</v>
      </c>
      <c r="M3293" s="14">
        <f>STDEV(L3292:L3296)</f>
        <v>38466.05362</v>
      </c>
      <c r="N3293" s="15" t="b">
        <f t="shared" si="1"/>
        <v>0</v>
      </c>
    </row>
    <row r="3294" hidden="1">
      <c r="A3294" s="7" t="s">
        <v>667</v>
      </c>
      <c r="B3294" s="7" t="s">
        <v>519</v>
      </c>
      <c r="C3294" s="7">
        <v>0.5</v>
      </c>
      <c r="D3294" s="7">
        <v>1.0</v>
      </c>
      <c r="E3294" s="7">
        <v>9.0</v>
      </c>
      <c r="F3294" s="7">
        <v>389056.12673521</v>
      </c>
      <c r="G3294" s="7">
        <v>389143.078240394</v>
      </c>
      <c r="H3294" s="7">
        <v>2.0</v>
      </c>
      <c r="I3294" s="15">
        <v>0.147533746447958</v>
      </c>
      <c r="J3294" s="15">
        <v>0.100988863077968</v>
      </c>
      <c r="K3294" s="12">
        <f>AVERAGE(I3292:I3296)</f>
        <v>0.3489829704</v>
      </c>
      <c r="L3294" s="18">
        <v>5527.0</v>
      </c>
      <c r="M3294" s="14">
        <f>STDEV(L3292:L3296)</f>
        <v>38466.05362</v>
      </c>
      <c r="N3294" s="15" t="b">
        <f t="shared" si="1"/>
        <v>0</v>
      </c>
    </row>
    <row r="3295" hidden="1">
      <c r="A3295" s="7" t="s">
        <v>667</v>
      </c>
      <c r="B3295" s="7" t="s">
        <v>519</v>
      </c>
      <c r="C3295" s="7">
        <v>0.5</v>
      </c>
      <c r="D3295" s="7">
        <v>1.0</v>
      </c>
      <c r="E3295" s="7">
        <v>9.0</v>
      </c>
      <c r="F3295" s="7">
        <v>389056.12673521</v>
      </c>
      <c r="G3295" s="7">
        <v>389143.078240394</v>
      </c>
      <c r="H3295" s="7">
        <v>3.0</v>
      </c>
      <c r="I3295" s="15">
        <v>0.347346584555901</v>
      </c>
      <c r="J3295" s="15">
        <v>0.0821445991292621</v>
      </c>
      <c r="K3295" s="12">
        <f>AVERAGE(I3292:I3296)</f>
        <v>0.3489829704</v>
      </c>
      <c r="L3295" s="18">
        <v>4022.0</v>
      </c>
      <c r="M3295" s="14">
        <f>STDEV(L3292:L3296)</f>
        <v>38466.05362</v>
      </c>
      <c r="N3295" s="15" t="b">
        <f t="shared" si="1"/>
        <v>0</v>
      </c>
    </row>
    <row r="3296" hidden="1">
      <c r="A3296" s="7" t="s">
        <v>667</v>
      </c>
      <c r="B3296" s="7" t="s">
        <v>519</v>
      </c>
      <c r="C3296" s="7">
        <v>0.5</v>
      </c>
      <c r="D3296" s="7">
        <v>1.0</v>
      </c>
      <c r="E3296" s="7">
        <v>9.0</v>
      </c>
      <c r="F3296" s="7">
        <v>389056.12673521</v>
      </c>
      <c r="G3296" s="7">
        <v>389143.078240394</v>
      </c>
      <c r="H3296" s="7">
        <v>4.0</v>
      </c>
      <c r="I3296" s="15">
        <v>0.0742664085927534</v>
      </c>
      <c r="J3296" s="15">
        <v>0.0548928793241029</v>
      </c>
      <c r="K3296" s="12">
        <f>AVERAGE(I3292:I3296)</f>
        <v>0.3489829704</v>
      </c>
      <c r="L3296" s="18">
        <v>94397.0</v>
      </c>
      <c r="M3296" s="14">
        <f>STDEV(L3292:L3296)</f>
        <v>38466.05362</v>
      </c>
      <c r="N3296" s="15" t="b">
        <f t="shared" si="1"/>
        <v>0</v>
      </c>
    </row>
    <row r="3297" hidden="1">
      <c r="A3297" s="7" t="s">
        <v>668</v>
      </c>
      <c r="B3297" s="7" t="s">
        <v>519</v>
      </c>
      <c r="C3297" s="7">
        <v>0.5</v>
      </c>
      <c r="D3297" s="7">
        <v>1.0</v>
      </c>
      <c r="E3297" s="7">
        <v>10.0</v>
      </c>
      <c r="F3297" s="7">
        <v>557262.11345458</v>
      </c>
      <c r="G3297" s="7">
        <v>557399.179974556</v>
      </c>
      <c r="H3297" s="7">
        <v>0.0</v>
      </c>
      <c r="I3297" s="15">
        <v>0.143137318730523</v>
      </c>
      <c r="J3297" s="15">
        <v>0.107811673069977</v>
      </c>
      <c r="K3297" s="12">
        <f>AVERAGE(I3297:I3301)</f>
        <v>0.4125297692</v>
      </c>
      <c r="L3297" s="18">
        <v>5597.0</v>
      </c>
      <c r="M3297" s="14">
        <f>STDEV(L3297:L3301)</f>
        <v>42133.03258</v>
      </c>
      <c r="N3297" s="15" t="b">
        <f t="shared" si="1"/>
        <v>0</v>
      </c>
    </row>
    <row r="3298" hidden="1">
      <c r="A3298" s="7" t="s">
        <v>668</v>
      </c>
      <c r="B3298" s="7" t="s">
        <v>519</v>
      </c>
      <c r="C3298" s="7">
        <v>0.5</v>
      </c>
      <c r="D3298" s="7">
        <v>1.0</v>
      </c>
      <c r="E3298" s="7">
        <v>10.0</v>
      </c>
      <c r="F3298" s="7">
        <v>557262.11345458</v>
      </c>
      <c r="G3298" s="7">
        <v>557399.179974556</v>
      </c>
      <c r="H3298" s="7">
        <v>1.0</v>
      </c>
      <c r="I3298" s="15">
        <v>0.835517097341555</v>
      </c>
      <c r="J3298" s="15">
        <v>0.103273152889747</v>
      </c>
      <c r="K3298" s="12">
        <f>AVERAGE(I3297:I3301)</f>
        <v>0.4125297692</v>
      </c>
      <c r="L3298" s="18">
        <v>9344.0</v>
      </c>
      <c r="M3298" s="14">
        <f>STDEV(L3297:L3301)</f>
        <v>42133.03258</v>
      </c>
      <c r="N3298" s="15" t="b">
        <f t="shared" si="1"/>
        <v>0</v>
      </c>
    </row>
    <row r="3299" hidden="1">
      <c r="A3299" s="7" t="s">
        <v>668</v>
      </c>
      <c r="B3299" s="7" t="s">
        <v>519</v>
      </c>
      <c r="C3299" s="7">
        <v>0.5</v>
      </c>
      <c r="D3299" s="7">
        <v>1.0</v>
      </c>
      <c r="E3299" s="7">
        <v>10.0</v>
      </c>
      <c r="F3299" s="7">
        <v>557262.11345458</v>
      </c>
      <c r="G3299" s="7">
        <v>557399.179974556</v>
      </c>
      <c r="H3299" s="7">
        <v>2.0</v>
      </c>
      <c r="I3299" s="15">
        <v>0.800510771002375</v>
      </c>
      <c r="J3299" s="15">
        <v>0.123688719747195</v>
      </c>
      <c r="K3299" s="12">
        <f>AVERAGE(I3297:I3301)</f>
        <v>0.4125297692</v>
      </c>
      <c r="L3299" s="18">
        <v>7432.0</v>
      </c>
      <c r="M3299" s="14">
        <f>STDEV(L3297:L3301)</f>
        <v>42133.03258</v>
      </c>
      <c r="N3299" s="15" t="b">
        <f t="shared" si="1"/>
        <v>0</v>
      </c>
    </row>
    <row r="3300" hidden="1">
      <c r="A3300" s="7" t="s">
        <v>668</v>
      </c>
      <c r="B3300" s="7" t="s">
        <v>519</v>
      </c>
      <c r="C3300" s="7">
        <v>0.5</v>
      </c>
      <c r="D3300" s="7">
        <v>1.0</v>
      </c>
      <c r="E3300" s="7">
        <v>10.0</v>
      </c>
      <c r="F3300" s="7">
        <v>557262.11345458</v>
      </c>
      <c r="G3300" s="7">
        <v>557399.179974556</v>
      </c>
      <c r="H3300" s="7">
        <v>3.0</v>
      </c>
      <c r="I3300" s="15">
        <v>0.0239619880231037</v>
      </c>
      <c r="J3300" s="15">
        <v>0.191873360104489</v>
      </c>
      <c r="K3300" s="12">
        <f>AVERAGE(I3297:I3301)</f>
        <v>0.4125297692</v>
      </c>
      <c r="L3300" s="18">
        <v>103382.0</v>
      </c>
      <c r="M3300" s="14">
        <f>STDEV(L3297:L3301)</f>
        <v>42133.03258</v>
      </c>
      <c r="N3300" s="15" t="b">
        <f t="shared" si="1"/>
        <v>0</v>
      </c>
    </row>
    <row r="3301" hidden="1">
      <c r="A3301" s="7" t="s">
        <v>668</v>
      </c>
      <c r="B3301" s="7" t="s">
        <v>519</v>
      </c>
      <c r="C3301" s="7">
        <v>0.5</v>
      </c>
      <c r="D3301" s="7">
        <v>1.0</v>
      </c>
      <c r="E3301" s="7">
        <v>10.0</v>
      </c>
      <c r="F3301" s="7">
        <v>557262.11345458</v>
      </c>
      <c r="G3301" s="7">
        <v>557399.179974556</v>
      </c>
      <c r="H3301" s="7">
        <v>4.0</v>
      </c>
      <c r="I3301" s="15">
        <v>0.259521670737786</v>
      </c>
      <c r="J3301" s="15">
        <v>0.109819364872602</v>
      </c>
      <c r="K3301" s="12">
        <f>AVERAGE(I3297:I3301)</f>
        <v>0.4125297692</v>
      </c>
      <c r="L3301" s="18">
        <v>15921.0</v>
      </c>
      <c r="M3301" s="14">
        <f>STDEV(L3297:L3301)</f>
        <v>42133.03258</v>
      </c>
      <c r="N3301" s="15" t="b">
        <f t="shared" si="1"/>
        <v>0</v>
      </c>
    </row>
    <row r="3302" hidden="1">
      <c r="A3302" s="7" t="s">
        <v>669</v>
      </c>
      <c r="B3302" s="7" t="s">
        <v>519</v>
      </c>
      <c r="C3302" s="7">
        <v>0.75</v>
      </c>
      <c r="D3302" s="7">
        <v>0.1</v>
      </c>
      <c r="E3302" s="7">
        <v>1.0</v>
      </c>
      <c r="F3302" s="7">
        <v>44591.449532032</v>
      </c>
      <c r="G3302" s="7">
        <v>44766.6398265361</v>
      </c>
      <c r="H3302" s="7">
        <v>0.0</v>
      </c>
      <c r="I3302" s="15">
        <v>0.841485834598924</v>
      </c>
      <c r="J3302" s="15">
        <v>0.0989072250603461</v>
      </c>
      <c r="K3302" s="12">
        <f>AVERAGE(I3302:I3306)</f>
        <v>0.4631624878</v>
      </c>
      <c r="L3302" s="18">
        <v>3928.0</v>
      </c>
      <c r="M3302" s="14">
        <f>STDEV(L3302:L3306)</f>
        <v>39513.73391</v>
      </c>
      <c r="N3302" s="15" t="b">
        <f t="shared" si="1"/>
        <v>0</v>
      </c>
    </row>
    <row r="3303" hidden="1">
      <c r="A3303" s="7" t="s">
        <v>669</v>
      </c>
      <c r="B3303" s="7" t="s">
        <v>519</v>
      </c>
      <c r="C3303" s="7">
        <v>0.75</v>
      </c>
      <c r="D3303" s="7">
        <v>0.1</v>
      </c>
      <c r="E3303" s="7">
        <v>1.0</v>
      </c>
      <c r="F3303" s="7">
        <v>44591.449532032</v>
      </c>
      <c r="G3303" s="7">
        <v>44766.6398265361</v>
      </c>
      <c r="H3303" s="7">
        <v>1.0</v>
      </c>
      <c r="I3303" s="15">
        <v>0.764655532413377</v>
      </c>
      <c r="J3303" s="15">
        <v>0.13351861287257</v>
      </c>
      <c r="K3303" s="12">
        <f>AVERAGE(I3302:I3306)</f>
        <v>0.4631624878</v>
      </c>
      <c r="L3303" s="18">
        <v>8605.0</v>
      </c>
      <c r="M3303" s="14">
        <f>STDEV(L3302:L3306)</f>
        <v>39513.73391</v>
      </c>
      <c r="N3303" s="15" t="b">
        <f t="shared" si="1"/>
        <v>0</v>
      </c>
    </row>
    <row r="3304" hidden="1">
      <c r="A3304" s="7" t="s">
        <v>669</v>
      </c>
      <c r="B3304" s="7" t="s">
        <v>519</v>
      </c>
      <c r="C3304" s="7">
        <v>0.75</v>
      </c>
      <c r="D3304" s="7">
        <v>0.1</v>
      </c>
      <c r="E3304" s="7">
        <v>1.0</v>
      </c>
      <c r="F3304" s="7">
        <v>44591.449532032</v>
      </c>
      <c r="G3304" s="7">
        <v>44766.6398265361</v>
      </c>
      <c r="H3304" s="7">
        <v>2.0</v>
      </c>
      <c r="I3304" s="15">
        <v>0.355538700946666</v>
      </c>
      <c r="J3304" s="15">
        <v>0.09282813362905</v>
      </c>
      <c r="K3304" s="12">
        <f>AVERAGE(I3302:I3306)</f>
        <v>0.4631624878</v>
      </c>
      <c r="L3304" s="18">
        <v>25235.0</v>
      </c>
      <c r="M3304" s="14">
        <f>STDEV(L3302:L3306)</f>
        <v>39513.73391</v>
      </c>
      <c r="N3304" s="15" t="b">
        <f t="shared" si="1"/>
        <v>0</v>
      </c>
    </row>
    <row r="3305" hidden="1">
      <c r="A3305" s="7" t="s">
        <v>669</v>
      </c>
      <c r="B3305" s="7" t="s">
        <v>519</v>
      </c>
      <c r="C3305" s="7">
        <v>0.75</v>
      </c>
      <c r="D3305" s="7">
        <v>0.1</v>
      </c>
      <c r="E3305" s="7">
        <v>1.0</v>
      </c>
      <c r="F3305" s="7">
        <v>44591.449532032</v>
      </c>
      <c r="G3305" s="7">
        <v>44766.6398265361</v>
      </c>
      <c r="H3305" s="7">
        <v>3.0</v>
      </c>
      <c r="I3305" s="15">
        <v>0.394095916670885</v>
      </c>
      <c r="J3305" s="15">
        <v>0.285810826766357</v>
      </c>
      <c r="K3305" s="12">
        <f>AVERAGE(I3302:I3306)</f>
        <v>0.4631624878</v>
      </c>
      <c r="L3305" s="18">
        <v>6484.0</v>
      </c>
      <c r="M3305" s="14">
        <f>STDEV(L3302:L3306)</f>
        <v>39513.73391</v>
      </c>
      <c r="N3305" s="15" t="b">
        <f t="shared" si="1"/>
        <v>0</v>
      </c>
    </row>
    <row r="3306" hidden="1">
      <c r="A3306" s="7" t="s">
        <v>669</v>
      </c>
      <c r="B3306" s="7" t="s">
        <v>519</v>
      </c>
      <c r="C3306" s="7">
        <v>0.75</v>
      </c>
      <c r="D3306" s="7">
        <v>0.1</v>
      </c>
      <c r="E3306" s="7">
        <v>1.0</v>
      </c>
      <c r="F3306" s="7">
        <v>44591.449532032</v>
      </c>
      <c r="G3306" s="7">
        <v>44766.6398265361</v>
      </c>
      <c r="H3306" s="7">
        <v>4.0</v>
      </c>
      <c r="I3306" s="15">
        <v>-0.0399635456230499</v>
      </c>
      <c r="J3306" s="15">
        <v>0.226260802003432</v>
      </c>
      <c r="K3306" s="12">
        <f>AVERAGE(I3302:I3306)</f>
        <v>0.4631624878</v>
      </c>
      <c r="L3306" s="18">
        <v>97424.0</v>
      </c>
      <c r="M3306" s="14">
        <f>STDEV(L3302:L3306)</f>
        <v>39513.73391</v>
      </c>
      <c r="N3306" s="15" t="b">
        <f t="shared" si="1"/>
        <v>0</v>
      </c>
    </row>
    <row r="3307" hidden="1">
      <c r="A3307" s="7" t="s">
        <v>670</v>
      </c>
      <c r="B3307" s="7" t="s">
        <v>519</v>
      </c>
      <c r="C3307" s="7">
        <v>0.75</v>
      </c>
      <c r="D3307" s="7">
        <v>0.1</v>
      </c>
      <c r="E3307" s="7">
        <v>2.0</v>
      </c>
      <c r="F3307" s="7">
        <v>41438.2254407405</v>
      </c>
      <c r="G3307" s="7">
        <v>41583.0548360347</v>
      </c>
      <c r="H3307" s="7">
        <v>0.0</v>
      </c>
      <c r="I3307" s="15">
        <v>0.788004995558028</v>
      </c>
      <c r="J3307" s="15">
        <v>0.123582319808932</v>
      </c>
      <c r="K3307" s="12">
        <f>AVERAGE(I3307:I3311)</f>
        <v>0.5251547503</v>
      </c>
      <c r="L3307" s="18">
        <v>10422.0</v>
      </c>
      <c r="M3307" s="14">
        <f>STDEV(L3307:L3311)</f>
        <v>45889.27489</v>
      </c>
      <c r="N3307" s="15" t="b">
        <f t="shared" si="1"/>
        <v>0</v>
      </c>
    </row>
    <row r="3308" hidden="1">
      <c r="A3308" s="7" t="s">
        <v>670</v>
      </c>
      <c r="B3308" s="7" t="s">
        <v>519</v>
      </c>
      <c r="C3308" s="7">
        <v>0.75</v>
      </c>
      <c r="D3308" s="7">
        <v>0.1</v>
      </c>
      <c r="E3308" s="7">
        <v>2.0</v>
      </c>
      <c r="F3308" s="7">
        <v>41438.2254407405</v>
      </c>
      <c r="G3308" s="7">
        <v>41583.0548360347</v>
      </c>
      <c r="H3308" s="7">
        <v>1.0</v>
      </c>
      <c r="I3308" s="15">
        <v>0.573353887805701</v>
      </c>
      <c r="J3308" s="15">
        <v>0.251922258710567</v>
      </c>
      <c r="K3308" s="12">
        <f>AVERAGE(I3307:I3311)</f>
        <v>0.5251547503</v>
      </c>
      <c r="L3308" s="18">
        <v>10788.0</v>
      </c>
      <c r="M3308" s="14">
        <f>STDEV(L3307:L3311)</f>
        <v>45889.27489</v>
      </c>
      <c r="N3308" s="15" t="b">
        <f t="shared" si="1"/>
        <v>0</v>
      </c>
    </row>
    <row r="3309" hidden="1">
      <c r="A3309" s="7" t="s">
        <v>670</v>
      </c>
      <c r="B3309" s="7" t="s">
        <v>519</v>
      </c>
      <c r="C3309" s="7">
        <v>0.75</v>
      </c>
      <c r="D3309" s="7">
        <v>0.1</v>
      </c>
      <c r="E3309" s="7">
        <v>2.0</v>
      </c>
      <c r="F3309" s="7">
        <v>41438.2254407405</v>
      </c>
      <c r="G3309" s="7">
        <v>41583.0548360347</v>
      </c>
      <c r="H3309" s="7">
        <v>2.0</v>
      </c>
      <c r="I3309" s="15">
        <v>-0.00663258817092161</v>
      </c>
      <c r="J3309" s="15">
        <v>0.237396869484586</v>
      </c>
      <c r="K3309" s="12">
        <f>AVERAGE(I3307:I3311)</f>
        <v>0.5251547503</v>
      </c>
      <c r="L3309" s="18">
        <v>110271.0</v>
      </c>
      <c r="M3309" s="14">
        <f>STDEV(L3307:L3311)</f>
        <v>45889.27489</v>
      </c>
      <c r="N3309" s="15" t="b">
        <f t="shared" si="1"/>
        <v>0</v>
      </c>
    </row>
    <row r="3310" hidden="1">
      <c r="A3310" s="7" t="s">
        <v>670</v>
      </c>
      <c r="B3310" s="7" t="s">
        <v>519</v>
      </c>
      <c r="C3310" s="7">
        <v>0.75</v>
      </c>
      <c r="D3310" s="7">
        <v>0.1</v>
      </c>
      <c r="E3310" s="7">
        <v>2.0</v>
      </c>
      <c r="F3310" s="7">
        <v>41438.2254407405</v>
      </c>
      <c r="G3310" s="7">
        <v>41583.0548360347</v>
      </c>
      <c r="H3310" s="7">
        <v>3.0</v>
      </c>
      <c r="I3310" s="15">
        <v>0.446806942198094</v>
      </c>
      <c r="J3310" s="15">
        <v>0.249658297608427</v>
      </c>
      <c r="K3310" s="12">
        <f>AVERAGE(I3307:I3311)</f>
        <v>0.5251547503</v>
      </c>
      <c r="L3310" s="18">
        <v>5825.0</v>
      </c>
      <c r="M3310" s="14">
        <f>STDEV(L3307:L3311)</f>
        <v>45889.27489</v>
      </c>
      <c r="N3310" s="15" t="b">
        <f t="shared" si="1"/>
        <v>0</v>
      </c>
    </row>
    <row r="3311" hidden="1">
      <c r="A3311" s="7" t="s">
        <v>670</v>
      </c>
      <c r="B3311" s="7" t="s">
        <v>519</v>
      </c>
      <c r="C3311" s="7">
        <v>0.75</v>
      </c>
      <c r="D3311" s="7">
        <v>0.1</v>
      </c>
      <c r="E3311" s="7">
        <v>2.0</v>
      </c>
      <c r="F3311" s="7">
        <v>41438.2254407405</v>
      </c>
      <c r="G3311" s="7">
        <v>41583.0548360347</v>
      </c>
      <c r="H3311" s="7">
        <v>4.0</v>
      </c>
      <c r="I3311" s="15">
        <v>0.824240513968568</v>
      </c>
      <c r="J3311" s="15">
        <v>0.121033875488244</v>
      </c>
      <c r="K3311" s="12">
        <f>AVERAGE(I3307:I3311)</f>
        <v>0.5251547503</v>
      </c>
      <c r="L3311" s="18">
        <v>4370.0</v>
      </c>
      <c r="M3311" s="14">
        <f>STDEV(L3307:L3311)</f>
        <v>45889.27489</v>
      </c>
      <c r="N3311" s="15" t="b">
        <f t="shared" si="1"/>
        <v>0</v>
      </c>
    </row>
    <row r="3312" hidden="1">
      <c r="A3312" s="7" t="s">
        <v>671</v>
      </c>
      <c r="B3312" s="7" t="s">
        <v>519</v>
      </c>
      <c r="C3312" s="7">
        <v>0.75</v>
      </c>
      <c r="D3312" s="7">
        <v>0.1</v>
      </c>
      <c r="E3312" s="7">
        <v>3.0</v>
      </c>
      <c r="F3312" s="7">
        <v>273392.864040613</v>
      </c>
      <c r="G3312" s="7">
        <v>273564.174796342</v>
      </c>
      <c r="H3312" s="7">
        <v>0.0</v>
      </c>
      <c r="I3312" s="15">
        <v>0.320235122854866</v>
      </c>
      <c r="J3312" s="15">
        <v>0.0931720269530456</v>
      </c>
      <c r="K3312" s="12">
        <f>AVERAGE(I3312:I3316)</f>
        <v>0.3638099137</v>
      </c>
      <c r="L3312" s="18">
        <v>4025.0</v>
      </c>
      <c r="M3312" s="14">
        <f>STDEV(L3312:L3316)</f>
        <v>32273.55718</v>
      </c>
      <c r="N3312" s="15" t="b">
        <f t="shared" si="1"/>
        <v>0</v>
      </c>
    </row>
    <row r="3313" hidden="1">
      <c r="A3313" s="7" t="s">
        <v>671</v>
      </c>
      <c r="B3313" s="7" t="s">
        <v>519</v>
      </c>
      <c r="C3313" s="7">
        <v>0.75</v>
      </c>
      <c r="D3313" s="7">
        <v>0.1</v>
      </c>
      <c r="E3313" s="7">
        <v>3.0</v>
      </c>
      <c r="F3313" s="7">
        <v>273392.864040613</v>
      </c>
      <c r="G3313" s="7">
        <v>273564.174796342</v>
      </c>
      <c r="H3313" s="7">
        <v>1.0</v>
      </c>
      <c r="I3313" s="15">
        <v>0.415595513951528</v>
      </c>
      <c r="J3313" s="15">
        <v>0.113773654221701</v>
      </c>
      <c r="K3313" s="12">
        <f>AVERAGE(I3312:I3316)</f>
        <v>0.3638099137</v>
      </c>
      <c r="L3313" s="18">
        <v>19414.0</v>
      </c>
      <c r="M3313" s="14">
        <f>STDEV(L3312:L3316)</f>
        <v>32273.55718</v>
      </c>
      <c r="N3313" s="15" t="b">
        <f t="shared" si="1"/>
        <v>0</v>
      </c>
    </row>
    <row r="3314" hidden="1">
      <c r="A3314" s="7" t="s">
        <v>671</v>
      </c>
      <c r="B3314" s="7" t="s">
        <v>519</v>
      </c>
      <c r="C3314" s="7">
        <v>0.75</v>
      </c>
      <c r="D3314" s="7">
        <v>0.1</v>
      </c>
      <c r="E3314" s="7">
        <v>3.0</v>
      </c>
      <c r="F3314" s="7">
        <v>273392.864040613</v>
      </c>
      <c r="G3314" s="7">
        <v>273564.174796342</v>
      </c>
      <c r="H3314" s="7">
        <v>2.0</v>
      </c>
      <c r="I3314" s="15">
        <v>-0.0408663157856435</v>
      </c>
      <c r="J3314" s="15">
        <v>0.154673323058797</v>
      </c>
      <c r="K3314" s="12">
        <f>AVERAGE(I3312:I3316)</f>
        <v>0.3638099137</v>
      </c>
      <c r="L3314" s="18">
        <v>83551.0</v>
      </c>
      <c r="M3314" s="14">
        <f>STDEV(L3312:L3316)</f>
        <v>32273.55718</v>
      </c>
      <c r="N3314" s="15" t="b">
        <f t="shared" si="1"/>
        <v>0</v>
      </c>
    </row>
    <row r="3315" hidden="1">
      <c r="A3315" s="7" t="s">
        <v>671</v>
      </c>
      <c r="B3315" s="7" t="s">
        <v>519</v>
      </c>
      <c r="C3315" s="7">
        <v>0.75</v>
      </c>
      <c r="D3315" s="7">
        <v>0.1</v>
      </c>
      <c r="E3315" s="7">
        <v>3.0</v>
      </c>
      <c r="F3315" s="7">
        <v>273392.864040613</v>
      </c>
      <c r="G3315" s="7">
        <v>273564.174796342</v>
      </c>
      <c r="H3315" s="7">
        <v>3.0</v>
      </c>
      <c r="I3315" s="15">
        <v>0.27056384293316</v>
      </c>
      <c r="J3315" s="15">
        <v>0.0890706464796768</v>
      </c>
      <c r="K3315" s="12">
        <f>AVERAGE(I3312:I3316)</f>
        <v>0.3638099137</v>
      </c>
      <c r="L3315" s="18">
        <v>27475.0</v>
      </c>
      <c r="M3315" s="14">
        <f>STDEV(L3312:L3316)</f>
        <v>32273.55718</v>
      </c>
      <c r="N3315" s="15" t="b">
        <f t="shared" si="1"/>
        <v>0</v>
      </c>
    </row>
    <row r="3316" hidden="1">
      <c r="A3316" s="7" t="s">
        <v>671</v>
      </c>
      <c r="B3316" s="7" t="s">
        <v>519</v>
      </c>
      <c r="C3316" s="7">
        <v>0.75</v>
      </c>
      <c r="D3316" s="7">
        <v>0.1</v>
      </c>
      <c r="E3316" s="7">
        <v>3.0</v>
      </c>
      <c r="F3316" s="7">
        <v>273392.864040613</v>
      </c>
      <c r="G3316" s="7">
        <v>273564.174796342</v>
      </c>
      <c r="H3316" s="7">
        <v>4.0</v>
      </c>
      <c r="I3316" s="15">
        <v>0.853521404637371</v>
      </c>
      <c r="J3316" s="15">
        <v>0.0710027554812407</v>
      </c>
      <c r="K3316" s="12">
        <f>AVERAGE(I3312:I3316)</f>
        <v>0.3638099137</v>
      </c>
      <c r="L3316" s="18">
        <v>7211.0</v>
      </c>
      <c r="M3316" s="14">
        <f>STDEV(L3312:L3316)</f>
        <v>32273.55718</v>
      </c>
      <c r="N3316" s="15" t="b">
        <f t="shared" si="1"/>
        <v>0</v>
      </c>
    </row>
    <row r="3317" hidden="1">
      <c r="A3317" s="7" t="s">
        <v>672</v>
      </c>
      <c r="B3317" s="7" t="s">
        <v>519</v>
      </c>
      <c r="C3317" s="7">
        <v>0.75</v>
      </c>
      <c r="D3317" s="7">
        <v>0.1</v>
      </c>
      <c r="E3317" s="7">
        <v>4.0</v>
      </c>
      <c r="F3317" s="7">
        <v>56018.3374207019</v>
      </c>
      <c r="G3317" s="7">
        <v>56159.72747612</v>
      </c>
      <c r="H3317" s="7">
        <v>0.0</v>
      </c>
      <c r="I3317" s="15">
        <v>0.147388378772901</v>
      </c>
      <c r="J3317" s="15">
        <v>0.105009480565523</v>
      </c>
      <c r="K3317" s="12">
        <f>AVERAGE(I3317:I3321)</f>
        <v>0.3882504794</v>
      </c>
      <c r="L3317" s="18">
        <v>5596.0</v>
      </c>
      <c r="M3317" s="14">
        <f>STDEV(L3317:L3321)</f>
        <v>42528.943</v>
      </c>
      <c r="N3317" s="15" t="b">
        <f t="shared" si="1"/>
        <v>0</v>
      </c>
    </row>
    <row r="3318" hidden="1">
      <c r="A3318" s="7" t="s">
        <v>672</v>
      </c>
      <c r="B3318" s="7" t="s">
        <v>519</v>
      </c>
      <c r="C3318" s="7">
        <v>0.75</v>
      </c>
      <c r="D3318" s="7">
        <v>0.1</v>
      </c>
      <c r="E3318" s="7">
        <v>4.0</v>
      </c>
      <c r="F3318" s="7">
        <v>56018.3374207019</v>
      </c>
      <c r="G3318" s="7">
        <v>56159.72747612</v>
      </c>
      <c r="H3318" s="7">
        <v>1.0</v>
      </c>
      <c r="I3318" s="15">
        <v>0.270579940859726</v>
      </c>
      <c r="J3318" s="15">
        <v>0.114219960690909</v>
      </c>
      <c r="K3318" s="12">
        <f>AVERAGE(I3317:I3321)</f>
        <v>0.3882504794</v>
      </c>
      <c r="L3318" s="18">
        <v>19536.0</v>
      </c>
      <c r="M3318" s="14">
        <f>STDEV(L3317:L3321)</f>
        <v>42528.943</v>
      </c>
      <c r="N3318" s="15" t="b">
        <f t="shared" si="1"/>
        <v>0</v>
      </c>
    </row>
    <row r="3319" hidden="1">
      <c r="A3319" s="7" t="s">
        <v>672</v>
      </c>
      <c r="B3319" s="7" t="s">
        <v>519</v>
      </c>
      <c r="C3319" s="7">
        <v>0.75</v>
      </c>
      <c r="D3319" s="7">
        <v>0.1</v>
      </c>
      <c r="E3319" s="7">
        <v>4.0</v>
      </c>
      <c r="F3319" s="7">
        <v>56018.3374207019</v>
      </c>
      <c r="G3319" s="7">
        <v>56159.72747612</v>
      </c>
      <c r="H3319" s="7">
        <v>2.0</v>
      </c>
      <c r="I3319" s="15">
        <v>-0.00528478825288673</v>
      </c>
      <c r="J3319" s="15">
        <v>0.197603293591247</v>
      </c>
      <c r="K3319" s="12">
        <f>AVERAGE(I3317:I3321)</f>
        <v>0.3882504794</v>
      </c>
      <c r="L3319" s="18">
        <v>103498.0</v>
      </c>
      <c r="M3319" s="14">
        <f>STDEV(L3317:L3321)</f>
        <v>42528.943</v>
      </c>
      <c r="N3319" s="15" t="b">
        <f t="shared" si="1"/>
        <v>0</v>
      </c>
    </row>
    <row r="3320" hidden="1">
      <c r="A3320" s="7" t="s">
        <v>672</v>
      </c>
      <c r="B3320" s="7" t="s">
        <v>519</v>
      </c>
      <c r="C3320" s="7">
        <v>0.75</v>
      </c>
      <c r="D3320" s="7">
        <v>0.1</v>
      </c>
      <c r="E3320" s="7">
        <v>4.0</v>
      </c>
      <c r="F3320" s="7">
        <v>56018.3374207019</v>
      </c>
      <c r="G3320" s="7">
        <v>56159.72747612</v>
      </c>
      <c r="H3320" s="7">
        <v>3.0</v>
      </c>
      <c r="I3320" s="15">
        <v>0.793595216971906</v>
      </c>
      <c r="J3320" s="15">
        <v>0.120701667979384</v>
      </c>
      <c r="K3320" s="12">
        <f>AVERAGE(I3317:I3321)</f>
        <v>0.3882504794</v>
      </c>
      <c r="L3320" s="18">
        <v>10959.0</v>
      </c>
      <c r="M3320" s="14">
        <f>STDEV(L3317:L3321)</f>
        <v>42528.943</v>
      </c>
      <c r="N3320" s="15" t="b">
        <f t="shared" si="1"/>
        <v>0</v>
      </c>
    </row>
    <row r="3321" hidden="1">
      <c r="A3321" s="7" t="s">
        <v>672</v>
      </c>
      <c r="B3321" s="7" t="s">
        <v>519</v>
      </c>
      <c r="C3321" s="7">
        <v>0.75</v>
      </c>
      <c r="D3321" s="7">
        <v>0.1</v>
      </c>
      <c r="E3321" s="7">
        <v>4.0</v>
      </c>
      <c r="F3321" s="7">
        <v>56018.3374207019</v>
      </c>
      <c r="G3321" s="7">
        <v>56159.72747612</v>
      </c>
      <c r="H3321" s="7">
        <v>4.0</v>
      </c>
      <c r="I3321" s="15">
        <v>0.734973648897548</v>
      </c>
      <c r="J3321" s="15">
        <v>0.144458687244232</v>
      </c>
      <c r="K3321" s="12">
        <f>AVERAGE(I3317:I3321)</f>
        <v>0.3882504794</v>
      </c>
      <c r="L3321" s="18">
        <v>2087.0</v>
      </c>
      <c r="M3321" s="14">
        <f>STDEV(L3317:L3321)</f>
        <v>42528.943</v>
      </c>
      <c r="N3321" s="15" t="b">
        <f t="shared" si="1"/>
        <v>0</v>
      </c>
    </row>
    <row r="3322" hidden="1">
      <c r="A3322" s="7" t="s">
        <v>673</v>
      </c>
      <c r="B3322" s="7" t="s">
        <v>519</v>
      </c>
      <c r="C3322" s="7">
        <v>0.75</v>
      </c>
      <c r="D3322" s="7">
        <v>0.1</v>
      </c>
      <c r="E3322" s="7">
        <v>5.0</v>
      </c>
      <c r="F3322" s="7">
        <v>562794.174763202</v>
      </c>
      <c r="G3322" s="7">
        <v>562915.523318529</v>
      </c>
      <c r="H3322" s="7">
        <v>0.0</v>
      </c>
      <c r="I3322" s="15">
        <v>0.0637015948597407</v>
      </c>
      <c r="J3322" s="15">
        <v>0.21874307458624</v>
      </c>
      <c r="K3322" s="12">
        <f>AVERAGE(I3322:I3326)</f>
        <v>0.4102239217</v>
      </c>
      <c r="L3322" s="18">
        <v>92226.0</v>
      </c>
      <c r="M3322" s="14">
        <f>STDEV(L3322:L3326)</f>
        <v>37639.95772</v>
      </c>
      <c r="N3322" s="15" t="b">
        <f t="shared" si="1"/>
        <v>0</v>
      </c>
    </row>
    <row r="3323" hidden="1">
      <c r="A3323" s="7" t="s">
        <v>673</v>
      </c>
      <c r="B3323" s="7" t="s">
        <v>519</v>
      </c>
      <c r="C3323" s="7">
        <v>0.75</v>
      </c>
      <c r="D3323" s="7">
        <v>0.1</v>
      </c>
      <c r="E3323" s="7">
        <v>5.0</v>
      </c>
      <c r="F3323" s="7">
        <v>562794.174763202</v>
      </c>
      <c r="G3323" s="7">
        <v>562915.523318529</v>
      </c>
      <c r="H3323" s="7">
        <v>1.0</v>
      </c>
      <c r="I3323" s="15">
        <v>0.849608249607827</v>
      </c>
      <c r="J3323" s="15">
        <v>0.0893855260453446</v>
      </c>
      <c r="K3323" s="12">
        <f>AVERAGE(I3322:I3326)</f>
        <v>0.4102239217</v>
      </c>
      <c r="L3323" s="18">
        <v>3885.0</v>
      </c>
      <c r="M3323" s="14">
        <f>STDEV(L3322:L3326)</f>
        <v>37639.95772</v>
      </c>
      <c r="N3323" s="15" t="b">
        <f t="shared" si="1"/>
        <v>0</v>
      </c>
    </row>
    <row r="3324" hidden="1">
      <c r="A3324" s="7" t="s">
        <v>673</v>
      </c>
      <c r="B3324" s="7" t="s">
        <v>519</v>
      </c>
      <c r="C3324" s="7">
        <v>0.75</v>
      </c>
      <c r="D3324" s="7">
        <v>0.1</v>
      </c>
      <c r="E3324" s="7">
        <v>5.0</v>
      </c>
      <c r="F3324" s="7">
        <v>562794.174763202</v>
      </c>
      <c r="G3324" s="7">
        <v>562915.523318529</v>
      </c>
      <c r="H3324" s="7">
        <v>2.0</v>
      </c>
      <c r="I3324" s="15">
        <v>0.0470509976093505</v>
      </c>
      <c r="J3324" s="15">
        <v>0.0408279595148231</v>
      </c>
      <c r="K3324" s="12">
        <f>AVERAGE(I3322:I3326)</f>
        <v>0.4102239217</v>
      </c>
      <c r="L3324" s="18">
        <v>32637.0</v>
      </c>
      <c r="M3324" s="14">
        <f>STDEV(L3322:L3326)</f>
        <v>37639.95772</v>
      </c>
      <c r="N3324" s="15" t="b">
        <f t="shared" si="1"/>
        <v>0</v>
      </c>
    </row>
    <row r="3325" hidden="1">
      <c r="A3325" s="7" t="s">
        <v>673</v>
      </c>
      <c r="B3325" s="7" t="s">
        <v>519</v>
      </c>
      <c r="C3325" s="7">
        <v>0.75</v>
      </c>
      <c r="D3325" s="7">
        <v>0.1</v>
      </c>
      <c r="E3325" s="7">
        <v>5.0</v>
      </c>
      <c r="F3325" s="7">
        <v>562794.174763202</v>
      </c>
      <c r="G3325" s="7">
        <v>562915.523318529</v>
      </c>
      <c r="H3325" s="7">
        <v>3.0</v>
      </c>
      <c r="I3325" s="15">
        <v>0.339680690637564</v>
      </c>
      <c r="J3325" s="15">
        <v>0.102584037455623</v>
      </c>
      <c r="K3325" s="12">
        <f>AVERAGE(I3322:I3326)</f>
        <v>0.4102239217</v>
      </c>
      <c r="L3325" s="18">
        <v>4013.0</v>
      </c>
      <c r="M3325" s="14">
        <f>STDEV(L3322:L3326)</f>
        <v>37639.95772</v>
      </c>
      <c r="N3325" s="15" t="b">
        <f t="shared" si="1"/>
        <v>0</v>
      </c>
    </row>
    <row r="3326" hidden="1">
      <c r="A3326" s="7" t="s">
        <v>673</v>
      </c>
      <c r="B3326" s="7" t="s">
        <v>519</v>
      </c>
      <c r="C3326" s="7">
        <v>0.75</v>
      </c>
      <c r="D3326" s="7">
        <v>0.1</v>
      </c>
      <c r="E3326" s="7">
        <v>5.0</v>
      </c>
      <c r="F3326" s="7">
        <v>562794.174763202</v>
      </c>
      <c r="G3326" s="7">
        <v>562915.523318529</v>
      </c>
      <c r="H3326" s="7">
        <v>4.0</v>
      </c>
      <c r="I3326" s="15">
        <v>0.751078075789844</v>
      </c>
      <c r="J3326" s="15">
        <v>0.132173144996753</v>
      </c>
      <c r="K3326" s="12">
        <f>AVERAGE(I3322:I3326)</f>
        <v>0.4102239217</v>
      </c>
      <c r="L3326" s="18">
        <v>8915.0</v>
      </c>
      <c r="M3326" s="14">
        <f>STDEV(L3322:L3326)</f>
        <v>37639.95772</v>
      </c>
      <c r="N3326" s="15" t="b">
        <f t="shared" si="1"/>
        <v>0</v>
      </c>
    </row>
    <row r="3327" hidden="1">
      <c r="A3327" s="7" t="s">
        <v>674</v>
      </c>
      <c r="B3327" s="7" t="s">
        <v>519</v>
      </c>
      <c r="C3327" s="7">
        <v>0.75</v>
      </c>
      <c r="D3327" s="7">
        <v>0.1</v>
      </c>
      <c r="E3327" s="7">
        <v>6.0</v>
      </c>
      <c r="F3327" s="7">
        <v>38227.939798355</v>
      </c>
      <c r="G3327" s="7">
        <v>38399.7407171726</v>
      </c>
      <c r="H3327" s="7">
        <v>0.0</v>
      </c>
      <c r="I3327" s="15">
        <v>0.826199897321217</v>
      </c>
      <c r="J3327" s="15">
        <v>0.112895927735189</v>
      </c>
      <c r="K3327" s="12">
        <f>AVERAGE(I3327:I3331)</f>
        <v>0.4717262346</v>
      </c>
      <c r="L3327" s="18">
        <v>4370.0</v>
      </c>
      <c r="M3327" s="14">
        <f>STDEV(L3327:L3331)</f>
        <v>42907.65983</v>
      </c>
      <c r="N3327" s="15" t="b">
        <f t="shared" si="1"/>
        <v>0</v>
      </c>
    </row>
    <row r="3328" hidden="1">
      <c r="A3328" s="7" t="s">
        <v>674</v>
      </c>
      <c r="B3328" s="7" t="s">
        <v>519</v>
      </c>
      <c r="C3328" s="7">
        <v>0.75</v>
      </c>
      <c r="D3328" s="7">
        <v>0.1</v>
      </c>
      <c r="E3328" s="7">
        <v>6.0</v>
      </c>
      <c r="F3328" s="7">
        <v>38227.939798355</v>
      </c>
      <c r="G3328" s="7">
        <v>38399.7407171726</v>
      </c>
      <c r="H3328" s="7">
        <v>1.0</v>
      </c>
      <c r="I3328" s="15">
        <v>0.401080502897342</v>
      </c>
      <c r="J3328" s="15">
        <v>0.274392237617852</v>
      </c>
      <c r="K3328" s="12">
        <f>AVERAGE(I3327:I3331)</f>
        <v>0.4717262346</v>
      </c>
      <c r="L3328" s="18">
        <v>6484.0</v>
      </c>
      <c r="M3328" s="14">
        <f>STDEV(L3327:L3331)</f>
        <v>42907.65983</v>
      </c>
      <c r="N3328" s="15" t="b">
        <f t="shared" si="1"/>
        <v>0</v>
      </c>
    </row>
    <row r="3329" hidden="1">
      <c r="A3329" s="7" t="s">
        <v>674</v>
      </c>
      <c r="B3329" s="7" t="s">
        <v>519</v>
      </c>
      <c r="C3329" s="7">
        <v>0.75</v>
      </c>
      <c r="D3329" s="7">
        <v>0.1</v>
      </c>
      <c r="E3329" s="7">
        <v>6.0</v>
      </c>
      <c r="F3329" s="7">
        <v>38227.939798355</v>
      </c>
      <c r="G3329" s="7">
        <v>38399.7407171726</v>
      </c>
      <c r="H3329" s="7">
        <v>2.0</v>
      </c>
      <c r="I3329" s="15">
        <v>-0.0137842479610457</v>
      </c>
      <c r="J3329" s="15">
        <v>0.217219641605271</v>
      </c>
      <c r="K3329" s="12">
        <f>AVERAGE(I3327:I3331)</f>
        <v>0.4717262346</v>
      </c>
      <c r="L3329" s="18">
        <v>103829.0</v>
      </c>
      <c r="M3329" s="14">
        <f>STDEV(L3327:L3331)</f>
        <v>42907.65983</v>
      </c>
      <c r="N3329" s="15" t="b">
        <f t="shared" si="1"/>
        <v>0</v>
      </c>
    </row>
    <row r="3330" hidden="1">
      <c r="A3330" s="7" t="s">
        <v>674</v>
      </c>
      <c r="B3330" s="7" t="s">
        <v>519</v>
      </c>
      <c r="C3330" s="7">
        <v>0.75</v>
      </c>
      <c r="D3330" s="7">
        <v>0.1</v>
      </c>
      <c r="E3330" s="7">
        <v>6.0</v>
      </c>
      <c r="F3330" s="7">
        <v>38227.939798355</v>
      </c>
      <c r="G3330" s="7">
        <v>38399.7407171726</v>
      </c>
      <c r="H3330" s="7">
        <v>3.0</v>
      </c>
      <c r="I3330" s="15">
        <v>0.365573471878285</v>
      </c>
      <c r="J3330" s="15">
        <v>0.112411004075541</v>
      </c>
      <c r="K3330" s="12">
        <f>AVERAGE(I3327:I3331)</f>
        <v>0.4717262346</v>
      </c>
      <c r="L3330" s="18">
        <v>22791.0</v>
      </c>
      <c r="M3330" s="14">
        <f>STDEV(L3327:L3331)</f>
        <v>42907.65983</v>
      </c>
      <c r="N3330" s="15" t="b">
        <f t="shared" si="1"/>
        <v>0</v>
      </c>
    </row>
    <row r="3331" hidden="1">
      <c r="A3331" s="7" t="s">
        <v>674</v>
      </c>
      <c r="B3331" s="7" t="s">
        <v>519</v>
      </c>
      <c r="C3331" s="7">
        <v>0.75</v>
      </c>
      <c r="D3331" s="7">
        <v>0.1</v>
      </c>
      <c r="E3331" s="7">
        <v>6.0</v>
      </c>
      <c r="F3331" s="7">
        <v>38227.939798355</v>
      </c>
      <c r="G3331" s="7">
        <v>38399.7407171726</v>
      </c>
      <c r="H3331" s="7">
        <v>4.0</v>
      </c>
      <c r="I3331" s="15">
        <v>0.779561549067213</v>
      </c>
      <c r="J3331" s="15">
        <v>0.130370755343735</v>
      </c>
      <c r="K3331" s="12">
        <f>AVERAGE(I3327:I3331)</f>
        <v>0.4717262346</v>
      </c>
      <c r="L3331" s="18">
        <v>4202.0</v>
      </c>
      <c r="M3331" s="14">
        <f>STDEV(L3327:L3331)</f>
        <v>42907.65983</v>
      </c>
      <c r="N3331" s="15" t="b">
        <f t="shared" si="1"/>
        <v>0</v>
      </c>
    </row>
    <row r="3332" hidden="1">
      <c r="A3332" s="7" t="s">
        <v>675</v>
      </c>
      <c r="B3332" s="7" t="s">
        <v>519</v>
      </c>
      <c r="C3332" s="7">
        <v>0.75</v>
      </c>
      <c r="D3332" s="7">
        <v>0.1</v>
      </c>
      <c r="E3332" s="7">
        <v>7.0</v>
      </c>
      <c r="F3332" s="7">
        <v>44261.2776396274</v>
      </c>
      <c r="G3332" s="7">
        <v>44438.2096586227</v>
      </c>
      <c r="H3332" s="7">
        <v>0.0</v>
      </c>
      <c r="I3332" s="15">
        <v>0.523524660217564</v>
      </c>
      <c r="J3332" s="15">
        <v>0.263496259520231</v>
      </c>
      <c r="K3332" s="12">
        <f>AVERAGE(I3332:I3336)</f>
        <v>0.5315811103</v>
      </c>
      <c r="L3332" s="18">
        <v>5433.0</v>
      </c>
      <c r="M3332" s="14">
        <f>STDEV(L3332:L3336)</f>
        <v>46204.59633</v>
      </c>
      <c r="N3332" s="15" t="b">
        <f t="shared" si="1"/>
        <v>0</v>
      </c>
    </row>
    <row r="3333" hidden="1">
      <c r="A3333" s="7" t="s">
        <v>675</v>
      </c>
      <c r="B3333" s="7" t="s">
        <v>519</v>
      </c>
      <c r="C3333" s="7">
        <v>0.75</v>
      </c>
      <c r="D3333" s="7">
        <v>0.1</v>
      </c>
      <c r="E3333" s="7">
        <v>7.0</v>
      </c>
      <c r="F3333" s="7">
        <v>44261.2776396274</v>
      </c>
      <c r="G3333" s="7">
        <v>44438.2096586227</v>
      </c>
      <c r="H3333" s="7">
        <v>1.0</v>
      </c>
      <c r="I3333" s="15">
        <v>0.787851210618401</v>
      </c>
      <c r="J3333" s="15">
        <v>0.122799122656574</v>
      </c>
      <c r="K3333" s="12">
        <f>AVERAGE(I3332:I3336)</f>
        <v>0.5315811103</v>
      </c>
      <c r="L3333" s="18">
        <v>10431.0</v>
      </c>
      <c r="M3333" s="14">
        <f>STDEV(L3332:L3336)</f>
        <v>46204.59633</v>
      </c>
      <c r="N3333" s="15" t="b">
        <f t="shared" si="1"/>
        <v>0</v>
      </c>
    </row>
    <row r="3334" hidden="1">
      <c r="A3334" s="7" t="s">
        <v>675</v>
      </c>
      <c r="B3334" s="7" t="s">
        <v>519</v>
      </c>
      <c r="C3334" s="7">
        <v>0.75</v>
      </c>
      <c r="D3334" s="7">
        <v>0.1</v>
      </c>
      <c r="E3334" s="7">
        <v>7.0</v>
      </c>
      <c r="F3334" s="7">
        <v>44261.2776396274</v>
      </c>
      <c r="G3334" s="7">
        <v>44438.2096586227</v>
      </c>
      <c r="H3334" s="7">
        <v>2.0</v>
      </c>
      <c r="I3334" s="15">
        <v>0.570774842016915</v>
      </c>
      <c r="J3334" s="15">
        <v>0.26023875152446</v>
      </c>
      <c r="K3334" s="12">
        <f>AVERAGE(I3332:I3336)</f>
        <v>0.5315811103</v>
      </c>
      <c r="L3334" s="18">
        <v>10788.0</v>
      </c>
      <c r="M3334" s="14">
        <f>STDEV(L3332:L3336)</f>
        <v>46204.59633</v>
      </c>
      <c r="N3334" s="15" t="b">
        <f t="shared" si="1"/>
        <v>0</v>
      </c>
    </row>
    <row r="3335" hidden="1">
      <c r="A3335" s="7" t="s">
        <v>675</v>
      </c>
      <c r="B3335" s="7" t="s">
        <v>519</v>
      </c>
      <c r="C3335" s="7">
        <v>0.75</v>
      </c>
      <c r="D3335" s="7">
        <v>0.1</v>
      </c>
      <c r="E3335" s="7">
        <v>7.0</v>
      </c>
      <c r="F3335" s="7">
        <v>44261.2776396274</v>
      </c>
      <c r="G3335" s="7">
        <v>44438.2096586227</v>
      </c>
      <c r="H3335" s="7">
        <v>3.0</v>
      </c>
      <c r="I3335" s="15">
        <v>0.779167960487313</v>
      </c>
      <c r="J3335" s="15">
        <v>0.132324525535769</v>
      </c>
      <c r="K3335" s="12">
        <f>AVERAGE(I3332:I3336)</f>
        <v>0.5315811103</v>
      </c>
      <c r="L3335" s="18">
        <v>4202.0</v>
      </c>
      <c r="M3335" s="14">
        <f>STDEV(L3332:L3336)</f>
        <v>46204.59633</v>
      </c>
      <c r="N3335" s="15" t="b">
        <f t="shared" si="1"/>
        <v>0</v>
      </c>
    </row>
    <row r="3336" hidden="1">
      <c r="A3336" s="7" t="s">
        <v>675</v>
      </c>
      <c r="B3336" s="7" t="s">
        <v>519</v>
      </c>
      <c r="C3336" s="7">
        <v>0.75</v>
      </c>
      <c r="D3336" s="7">
        <v>0.1</v>
      </c>
      <c r="E3336" s="7">
        <v>7.0</v>
      </c>
      <c r="F3336" s="7">
        <v>44261.2776396274</v>
      </c>
      <c r="G3336" s="7">
        <v>44438.2096586227</v>
      </c>
      <c r="H3336" s="7">
        <v>4.0</v>
      </c>
      <c r="I3336" s="15">
        <v>-0.00341312169242557</v>
      </c>
      <c r="J3336" s="15">
        <v>0.233626740062411</v>
      </c>
      <c r="K3336" s="12">
        <f>AVERAGE(I3332:I3336)</f>
        <v>0.5315811103</v>
      </c>
      <c r="L3336" s="18">
        <v>110822.0</v>
      </c>
      <c r="M3336" s="14">
        <f>STDEV(L3332:L3336)</f>
        <v>46204.59633</v>
      </c>
      <c r="N3336" s="15" t="b">
        <f t="shared" si="1"/>
        <v>0</v>
      </c>
    </row>
    <row r="3337" hidden="1">
      <c r="A3337" s="7" t="s">
        <v>676</v>
      </c>
      <c r="B3337" s="7" t="s">
        <v>519</v>
      </c>
      <c r="C3337" s="7">
        <v>0.75</v>
      </c>
      <c r="D3337" s="7">
        <v>0.1</v>
      </c>
      <c r="E3337" s="7">
        <v>8.0</v>
      </c>
      <c r="F3337" s="7">
        <v>70584.3248062133</v>
      </c>
      <c r="G3337" s="7">
        <v>70727.4971301555</v>
      </c>
      <c r="H3337" s="7">
        <v>0.0</v>
      </c>
      <c r="I3337" s="15">
        <v>0.75048345903403</v>
      </c>
      <c r="J3337" s="15">
        <v>0.135476895419674</v>
      </c>
      <c r="K3337" s="12">
        <f>AVERAGE(I3337:I3341)</f>
        <v>0.4629451905</v>
      </c>
      <c r="L3337" s="18">
        <v>8938.0</v>
      </c>
      <c r="M3337" s="14">
        <f>STDEV(L3337:L3341)</f>
        <v>41911.45493</v>
      </c>
      <c r="N3337" s="15" t="b">
        <f t="shared" si="1"/>
        <v>0</v>
      </c>
    </row>
    <row r="3338" hidden="1">
      <c r="A3338" s="7" t="s">
        <v>676</v>
      </c>
      <c r="B3338" s="7" t="s">
        <v>519</v>
      </c>
      <c r="C3338" s="7">
        <v>0.75</v>
      </c>
      <c r="D3338" s="7">
        <v>0.1</v>
      </c>
      <c r="E3338" s="7">
        <v>8.0</v>
      </c>
      <c r="F3338" s="7">
        <v>70584.3248062133</v>
      </c>
      <c r="G3338" s="7">
        <v>70727.4971301555</v>
      </c>
      <c r="H3338" s="7">
        <v>1.0</v>
      </c>
      <c r="I3338" s="15">
        <v>0.381551035830722</v>
      </c>
      <c r="J3338" s="15">
        <v>0.109029054044871</v>
      </c>
      <c r="K3338" s="12">
        <f>AVERAGE(I3337:I3341)</f>
        <v>0.4629451905</v>
      </c>
      <c r="L3338" s="18">
        <v>22191.0</v>
      </c>
      <c r="M3338" s="14">
        <f>STDEV(L3337:L3341)</f>
        <v>41911.45493</v>
      </c>
      <c r="N3338" s="15" t="b">
        <f t="shared" si="1"/>
        <v>0</v>
      </c>
    </row>
    <row r="3339" hidden="1">
      <c r="A3339" s="7" t="s">
        <v>676</v>
      </c>
      <c r="B3339" s="7" t="s">
        <v>519</v>
      </c>
      <c r="C3339" s="7">
        <v>0.75</v>
      </c>
      <c r="D3339" s="7">
        <v>0.1</v>
      </c>
      <c r="E3339" s="7">
        <v>8.0</v>
      </c>
      <c r="F3339" s="7">
        <v>70584.3248062133</v>
      </c>
      <c r="G3339" s="7">
        <v>70727.4971301555</v>
      </c>
      <c r="H3339" s="7">
        <v>2.0</v>
      </c>
      <c r="I3339" s="15">
        <v>0.865314352383241</v>
      </c>
      <c r="J3339" s="15">
        <v>0.0750540875462565</v>
      </c>
      <c r="K3339" s="12">
        <f>AVERAGE(I3337:I3341)</f>
        <v>0.4629451905</v>
      </c>
      <c r="L3339" s="18">
        <v>4375.0</v>
      </c>
      <c r="M3339" s="14">
        <f>STDEV(L3337:L3341)</f>
        <v>41911.45493</v>
      </c>
      <c r="N3339" s="15" t="b">
        <f t="shared" si="1"/>
        <v>0</v>
      </c>
    </row>
    <row r="3340" hidden="1">
      <c r="A3340" s="7" t="s">
        <v>676</v>
      </c>
      <c r="B3340" s="7" t="s">
        <v>519</v>
      </c>
      <c r="C3340" s="7">
        <v>0.75</v>
      </c>
      <c r="D3340" s="7">
        <v>0.1</v>
      </c>
      <c r="E3340" s="7">
        <v>8.0</v>
      </c>
      <c r="F3340" s="7">
        <v>70584.3248062133</v>
      </c>
      <c r="G3340" s="7">
        <v>70727.4971301555</v>
      </c>
      <c r="H3340" s="7">
        <v>3.0</v>
      </c>
      <c r="I3340" s="15">
        <v>0.32129526926941</v>
      </c>
      <c r="J3340" s="15">
        <v>0.105196374000493</v>
      </c>
      <c r="K3340" s="12">
        <f>AVERAGE(I3337:I3341)</f>
        <v>0.4629451905</v>
      </c>
      <c r="L3340" s="18">
        <v>4030.0</v>
      </c>
      <c r="M3340" s="14">
        <f>STDEV(L3337:L3341)</f>
        <v>41911.45493</v>
      </c>
      <c r="N3340" s="15" t="b">
        <f t="shared" si="1"/>
        <v>0</v>
      </c>
    </row>
    <row r="3341" hidden="1">
      <c r="A3341" s="7" t="s">
        <v>676</v>
      </c>
      <c r="B3341" s="7" t="s">
        <v>519</v>
      </c>
      <c r="C3341" s="7">
        <v>0.75</v>
      </c>
      <c r="D3341" s="7">
        <v>0.1</v>
      </c>
      <c r="E3341" s="7">
        <v>8.0</v>
      </c>
      <c r="F3341" s="7">
        <v>70584.3248062133</v>
      </c>
      <c r="G3341" s="7">
        <v>70727.4971301555</v>
      </c>
      <c r="H3341" s="7">
        <v>4.0</v>
      </c>
      <c r="I3341" s="15">
        <v>-0.00391816398566694</v>
      </c>
      <c r="J3341" s="15">
        <v>0.193634724745178</v>
      </c>
      <c r="K3341" s="12">
        <f>AVERAGE(I3337:I3341)</f>
        <v>0.4629451905</v>
      </c>
      <c r="L3341" s="18">
        <v>102142.0</v>
      </c>
      <c r="M3341" s="14">
        <f>STDEV(L3337:L3341)</f>
        <v>41911.45493</v>
      </c>
      <c r="N3341" s="15" t="b">
        <f t="shared" si="1"/>
        <v>0</v>
      </c>
    </row>
    <row r="3342" hidden="1">
      <c r="A3342" s="7" t="s">
        <v>677</v>
      </c>
      <c r="B3342" s="7" t="s">
        <v>519</v>
      </c>
      <c r="C3342" s="7">
        <v>0.75</v>
      </c>
      <c r="D3342" s="7">
        <v>0.1</v>
      </c>
      <c r="E3342" s="7">
        <v>9.0</v>
      </c>
      <c r="F3342" s="7">
        <v>55540.2688744068</v>
      </c>
      <c r="G3342" s="7">
        <v>55684.9636588096</v>
      </c>
      <c r="H3342" s="7">
        <v>0.0</v>
      </c>
      <c r="I3342" s="15">
        <v>0.840535906879532</v>
      </c>
      <c r="J3342" s="15">
        <v>0.0984112061958514</v>
      </c>
      <c r="K3342" s="12">
        <f>AVERAGE(I3342:I3346)</f>
        <v>0.4715537287</v>
      </c>
      <c r="L3342" s="18">
        <v>3928.0</v>
      </c>
      <c r="M3342" s="14">
        <f>STDEV(L3342:L3346)</f>
        <v>35720.77571</v>
      </c>
      <c r="N3342" s="15" t="b">
        <f t="shared" si="1"/>
        <v>0</v>
      </c>
    </row>
    <row r="3343" hidden="1">
      <c r="A3343" s="7" t="s">
        <v>677</v>
      </c>
      <c r="B3343" s="7" t="s">
        <v>519</v>
      </c>
      <c r="C3343" s="7">
        <v>0.75</v>
      </c>
      <c r="D3343" s="7">
        <v>0.1</v>
      </c>
      <c r="E3343" s="7">
        <v>9.0</v>
      </c>
      <c r="F3343" s="7">
        <v>55540.2688744068</v>
      </c>
      <c r="G3343" s="7">
        <v>55684.9636588096</v>
      </c>
      <c r="H3343" s="7">
        <v>1.0</v>
      </c>
      <c r="I3343" s="15">
        <v>0.0742069941928196</v>
      </c>
      <c r="J3343" s="15">
        <v>0.204600354343067</v>
      </c>
      <c r="K3343" s="12">
        <f>AVERAGE(I3342:I3346)</f>
        <v>0.4715537287</v>
      </c>
      <c r="L3343" s="18">
        <v>89664.0</v>
      </c>
      <c r="M3343" s="14">
        <f>STDEV(L3342:L3346)</f>
        <v>35720.77571</v>
      </c>
      <c r="N3343" s="15" t="b">
        <f t="shared" si="1"/>
        <v>0</v>
      </c>
    </row>
    <row r="3344" hidden="1">
      <c r="A3344" s="7" t="s">
        <v>677</v>
      </c>
      <c r="B3344" s="7" t="s">
        <v>519</v>
      </c>
      <c r="C3344" s="7">
        <v>0.75</v>
      </c>
      <c r="D3344" s="7">
        <v>0.1</v>
      </c>
      <c r="E3344" s="7">
        <v>9.0</v>
      </c>
      <c r="F3344" s="7">
        <v>55540.2688744068</v>
      </c>
      <c r="G3344" s="7">
        <v>55684.9636588096</v>
      </c>
      <c r="H3344" s="7">
        <v>2.0</v>
      </c>
      <c r="I3344" s="15">
        <v>0.0386259911640569</v>
      </c>
      <c r="J3344" s="15">
        <v>0.0330003201376859</v>
      </c>
      <c r="K3344" s="12">
        <f>AVERAGE(I3342:I3346)</f>
        <v>0.4715537287</v>
      </c>
      <c r="L3344" s="18">
        <v>29862.0</v>
      </c>
      <c r="M3344" s="14">
        <f>STDEV(L3342:L3346)</f>
        <v>35720.77571</v>
      </c>
      <c r="N3344" s="15" t="b">
        <f t="shared" si="1"/>
        <v>0</v>
      </c>
    </row>
    <row r="3345" hidden="1">
      <c r="A3345" s="7" t="s">
        <v>677</v>
      </c>
      <c r="B3345" s="7" t="s">
        <v>519</v>
      </c>
      <c r="C3345" s="7">
        <v>0.75</v>
      </c>
      <c r="D3345" s="7">
        <v>0.1</v>
      </c>
      <c r="E3345" s="7">
        <v>9.0</v>
      </c>
      <c r="F3345" s="7">
        <v>55540.2688744068</v>
      </c>
      <c r="G3345" s="7">
        <v>55684.9636588096</v>
      </c>
      <c r="H3345" s="7">
        <v>3.0</v>
      </c>
      <c r="I3345" s="15">
        <v>0.829343753951116</v>
      </c>
      <c r="J3345" s="15">
        <v>0.0983812237970932</v>
      </c>
      <c r="K3345" s="12">
        <f>AVERAGE(I3342:I3346)</f>
        <v>0.4715537287</v>
      </c>
      <c r="L3345" s="18">
        <v>7454.0</v>
      </c>
      <c r="M3345" s="14">
        <f>STDEV(L3342:L3346)</f>
        <v>35720.77571</v>
      </c>
      <c r="N3345" s="15" t="b">
        <f t="shared" si="1"/>
        <v>0</v>
      </c>
    </row>
    <row r="3346" hidden="1">
      <c r="A3346" s="7" t="s">
        <v>677</v>
      </c>
      <c r="B3346" s="7" t="s">
        <v>519</v>
      </c>
      <c r="C3346" s="7">
        <v>0.75</v>
      </c>
      <c r="D3346" s="7">
        <v>0.1</v>
      </c>
      <c r="E3346" s="7">
        <v>9.0</v>
      </c>
      <c r="F3346" s="7">
        <v>55540.2688744068</v>
      </c>
      <c r="G3346" s="7">
        <v>55684.9636588096</v>
      </c>
      <c r="H3346" s="7">
        <v>4.0</v>
      </c>
      <c r="I3346" s="15">
        <v>0.575055997241498</v>
      </c>
      <c r="J3346" s="15">
        <v>0.239466919157766</v>
      </c>
      <c r="K3346" s="12">
        <f>AVERAGE(I3342:I3346)</f>
        <v>0.4715537287</v>
      </c>
      <c r="L3346" s="18">
        <v>10768.0</v>
      </c>
      <c r="M3346" s="14">
        <f>STDEV(L3342:L3346)</f>
        <v>35720.77571</v>
      </c>
      <c r="N3346" s="15" t="b">
        <f t="shared" si="1"/>
        <v>0</v>
      </c>
    </row>
    <row r="3347" hidden="1">
      <c r="A3347" s="7" t="s">
        <v>678</v>
      </c>
      <c r="B3347" s="7" t="s">
        <v>519</v>
      </c>
      <c r="C3347" s="7">
        <v>0.75</v>
      </c>
      <c r="D3347" s="7">
        <v>0.1</v>
      </c>
      <c r="E3347" s="7">
        <v>10.0</v>
      </c>
      <c r="F3347" s="7">
        <v>37464.6237769126</v>
      </c>
      <c r="G3347" s="7">
        <v>37635.7544000148</v>
      </c>
      <c r="H3347" s="7">
        <v>0.0</v>
      </c>
      <c r="I3347" s="15">
        <v>0.840228231848392</v>
      </c>
      <c r="J3347" s="15">
        <v>0.0788693165554506</v>
      </c>
      <c r="K3347" s="12">
        <f>AVERAGE(I3347:I3351)</f>
        <v>0.3594315056</v>
      </c>
      <c r="L3347" s="18">
        <v>7136.0</v>
      </c>
      <c r="M3347" s="14">
        <f>STDEV(L3347:L3351)</f>
        <v>39938.28143</v>
      </c>
      <c r="N3347" s="15" t="b">
        <f t="shared" si="1"/>
        <v>0</v>
      </c>
    </row>
    <row r="3348" hidden="1">
      <c r="A3348" s="7" t="s">
        <v>678</v>
      </c>
      <c r="B3348" s="7" t="s">
        <v>519</v>
      </c>
      <c r="C3348" s="7">
        <v>0.75</v>
      </c>
      <c r="D3348" s="7">
        <v>0.1</v>
      </c>
      <c r="E3348" s="7">
        <v>10.0</v>
      </c>
      <c r="F3348" s="7">
        <v>37464.6237769126</v>
      </c>
      <c r="G3348" s="7">
        <v>37635.7544000148</v>
      </c>
      <c r="H3348" s="7">
        <v>1.0</v>
      </c>
      <c r="I3348" s="15">
        <v>0.0660965193251604</v>
      </c>
      <c r="J3348" s="15">
        <v>0.0546377401179125</v>
      </c>
      <c r="K3348" s="12">
        <f>AVERAGE(I3347:I3351)</f>
        <v>0.3594315056</v>
      </c>
      <c r="L3348" s="18">
        <v>97822.0</v>
      </c>
      <c r="M3348" s="14">
        <f>STDEV(L3347:L3351)</f>
        <v>39938.28143</v>
      </c>
      <c r="N3348" s="15" t="b">
        <f t="shared" si="1"/>
        <v>0</v>
      </c>
    </row>
    <row r="3349" hidden="1">
      <c r="A3349" s="7" t="s">
        <v>678</v>
      </c>
      <c r="B3349" s="7" t="s">
        <v>519</v>
      </c>
      <c r="C3349" s="7">
        <v>0.75</v>
      </c>
      <c r="D3349" s="7">
        <v>0.1</v>
      </c>
      <c r="E3349" s="7">
        <v>10.0</v>
      </c>
      <c r="F3349" s="7">
        <v>37464.6237769126</v>
      </c>
      <c r="G3349" s="7">
        <v>37635.7544000148</v>
      </c>
      <c r="H3349" s="7">
        <v>2.0</v>
      </c>
      <c r="I3349" s="15">
        <v>0.425885449212918</v>
      </c>
      <c r="J3349" s="15">
        <v>0.107702011548213</v>
      </c>
      <c r="K3349" s="12">
        <f>AVERAGE(I3347:I3351)</f>
        <v>0.3594315056</v>
      </c>
      <c r="L3349" s="18">
        <v>26930.0</v>
      </c>
      <c r="M3349" s="14">
        <f>STDEV(L3347:L3351)</f>
        <v>39938.28143</v>
      </c>
      <c r="N3349" s="15" t="b">
        <f t="shared" si="1"/>
        <v>0</v>
      </c>
    </row>
    <row r="3350" hidden="1">
      <c r="A3350" s="7" t="s">
        <v>678</v>
      </c>
      <c r="B3350" s="7" t="s">
        <v>519</v>
      </c>
      <c r="C3350" s="7">
        <v>0.75</v>
      </c>
      <c r="D3350" s="7">
        <v>0.1</v>
      </c>
      <c r="E3350" s="7">
        <v>10.0</v>
      </c>
      <c r="F3350" s="7">
        <v>37464.6237769126</v>
      </c>
      <c r="G3350" s="7">
        <v>37635.7544000148</v>
      </c>
      <c r="H3350" s="7">
        <v>3.0</v>
      </c>
      <c r="I3350" s="15">
        <v>0.321808946592686</v>
      </c>
      <c r="J3350" s="15">
        <v>0.0989071864676862</v>
      </c>
      <c r="K3350" s="12">
        <f>AVERAGE(I3347:I3351)</f>
        <v>0.3594315056</v>
      </c>
      <c r="L3350" s="18">
        <v>4031.0</v>
      </c>
      <c r="M3350" s="14">
        <f>STDEV(L3347:L3351)</f>
        <v>39938.28143</v>
      </c>
      <c r="N3350" s="15" t="b">
        <f t="shared" si="1"/>
        <v>0</v>
      </c>
    </row>
    <row r="3351" hidden="1">
      <c r="A3351" s="7" t="s">
        <v>678</v>
      </c>
      <c r="B3351" s="7" t="s">
        <v>519</v>
      </c>
      <c r="C3351" s="7">
        <v>0.75</v>
      </c>
      <c r="D3351" s="7">
        <v>0.1</v>
      </c>
      <c r="E3351" s="7">
        <v>10.0</v>
      </c>
      <c r="F3351" s="7">
        <v>37464.6237769126</v>
      </c>
      <c r="G3351" s="7">
        <v>37635.7544000148</v>
      </c>
      <c r="H3351" s="7">
        <v>4.0</v>
      </c>
      <c r="I3351" s="15">
        <v>0.143138381096786</v>
      </c>
      <c r="J3351" s="15">
        <v>0.0739424979235272</v>
      </c>
      <c r="K3351" s="12">
        <f>AVERAGE(I3347:I3351)</f>
        <v>0.3594315056</v>
      </c>
      <c r="L3351" s="18">
        <v>5757.0</v>
      </c>
      <c r="M3351" s="14">
        <f>STDEV(L3347:L3351)</f>
        <v>39938.28143</v>
      </c>
      <c r="N3351" s="15" t="b">
        <f t="shared" si="1"/>
        <v>0</v>
      </c>
    </row>
    <row r="3352" hidden="1">
      <c r="A3352" s="7" t="s">
        <v>679</v>
      </c>
      <c r="B3352" s="7" t="s">
        <v>519</v>
      </c>
      <c r="C3352" s="7">
        <v>0.75</v>
      </c>
      <c r="D3352" s="7">
        <v>0.25</v>
      </c>
      <c r="E3352" s="7">
        <v>1.0</v>
      </c>
      <c r="F3352" s="7">
        <v>21599.1543147563</v>
      </c>
      <c r="G3352" s="7">
        <v>21652.9633159637</v>
      </c>
      <c r="H3352" s="7">
        <v>0.0</v>
      </c>
      <c r="I3352" s="15">
        <v>0.659722402967721</v>
      </c>
      <c r="J3352" s="15">
        <v>0.225748121551385</v>
      </c>
      <c r="K3352" s="12">
        <f>AVERAGE(I3352:I3356)</f>
        <v>0.5139769777</v>
      </c>
      <c r="L3352" s="18">
        <v>11197.0</v>
      </c>
      <c r="M3352" s="14">
        <f>STDEV(L3352:L3356)</f>
        <v>48097.92264</v>
      </c>
      <c r="N3352" s="15" t="b">
        <f t="shared" si="1"/>
        <v>0</v>
      </c>
    </row>
    <row r="3353" hidden="1">
      <c r="A3353" s="7" t="s">
        <v>679</v>
      </c>
      <c r="B3353" s="7" t="s">
        <v>519</v>
      </c>
      <c r="C3353" s="7">
        <v>0.75</v>
      </c>
      <c r="D3353" s="7">
        <v>0.25</v>
      </c>
      <c r="E3353" s="7">
        <v>1.0</v>
      </c>
      <c r="F3353" s="7">
        <v>21599.1543147563</v>
      </c>
      <c r="G3353" s="7">
        <v>21652.9633159637</v>
      </c>
      <c r="H3353" s="7">
        <v>1.0</v>
      </c>
      <c r="I3353" s="15">
        <v>0.809756337489714</v>
      </c>
      <c r="J3353" s="15">
        <v>0.0957747460996112</v>
      </c>
      <c r="K3353" s="12">
        <f>AVERAGE(I3352:I3356)</f>
        <v>0.5139769777</v>
      </c>
      <c r="L3353" s="18">
        <v>8704.0</v>
      </c>
      <c r="M3353" s="14">
        <f>STDEV(L3352:L3356)</f>
        <v>48097.92264</v>
      </c>
      <c r="N3353" s="15" t="b">
        <f t="shared" si="1"/>
        <v>0</v>
      </c>
    </row>
    <row r="3354" hidden="1">
      <c r="A3354" s="7" t="s">
        <v>679</v>
      </c>
      <c r="B3354" s="7" t="s">
        <v>519</v>
      </c>
      <c r="C3354" s="7">
        <v>0.75</v>
      </c>
      <c r="D3354" s="7">
        <v>0.25</v>
      </c>
      <c r="E3354" s="7">
        <v>1.0</v>
      </c>
      <c r="F3354" s="7">
        <v>21599.1543147563</v>
      </c>
      <c r="G3354" s="7">
        <v>21652.9633159637</v>
      </c>
      <c r="H3354" s="7">
        <v>2.0</v>
      </c>
      <c r="I3354" s="15">
        <v>-0.0560462991675834</v>
      </c>
      <c r="J3354" s="15">
        <v>0.282166004043828</v>
      </c>
      <c r="K3354" s="12">
        <f>AVERAGE(I3352:I3356)</f>
        <v>0.5139769777</v>
      </c>
      <c r="L3354" s="18">
        <v>114184.0</v>
      </c>
      <c r="M3354" s="14">
        <f>STDEV(L3352:L3356)</f>
        <v>48097.92264</v>
      </c>
      <c r="N3354" s="15" t="b">
        <f t="shared" si="1"/>
        <v>0</v>
      </c>
    </row>
    <row r="3355" hidden="1">
      <c r="A3355" s="7" t="s">
        <v>679</v>
      </c>
      <c r="B3355" s="7" t="s">
        <v>519</v>
      </c>
      <c r="C3355" s="7">
        <v>0.75</v>
      </c>
      <c r="D3355" s="7">
        <v>0.25</v>
      </c>
      <c r="E3355" s="7">
        <v>1.0</v>
      </c>
      <c r="F3355" s="7">
        <v>21599.1543147563</v>
      </c>
      <c r="G3355" s="7">
        <v>21652.9633159637</v>
      </c>
      <c r="H3355" s="7">
        <v>3.0</v>
      </c>
      <c r="I3355" s="15">
        <v>0.287698156837527</v>
      </c>
      <c r="J3355" s="15">
        <v>0.110018838958404</v>
      </c>
      <c r="K3355" s="12">
        <f>AVERAGE(I3352:I3356)</f>
        <v>0.5139769777</v>
      </c>
      <c r="L3355" s="18">
        <v>4049.0</v>
      </c>
      <c r="M3355" s="14">
        <f>STDEV(L3352:L3356)</f>
        <v>48097.92264</v>
      </c>
      <c r="N3355" s="15" t="b">
        <f t="shared" si="1"/>
        <v>0</v>
      </c>
    </row>
    <row r="3356" hidden="1">
      <c r="A3356" s="7" t="s">
        <v>679</v>
      </c>
      <c r="B3356" s="7" t="s">
        <v>519</v>
      </c>
      <c r="C3356" s="7">
        <v>0.75</v>
      </c>
      <c r="D3356" s="7">
        <v>0.25</v>
      </c>
      <c r="E3356" s="7">
        <v>1.0</v>
      </c>
      <c r="F3356" s="7">
        <v>21599.1543147563</v>
      </c>
      <c r="G3356" s="7">
        <v>21652.9633159637</v>
      </c>
      <c r="H3356" s="7">
        <v>4.0</v>
      </c>
      <c r="I3356" s="15">
        <v>0.868754290265793</v>
      </c>
      <c r="J3356" s="15">
        <v>0.0638514746933981</v>
      </c>
      <c r="K3356" s="12">
        <f>AVERAGE(I3352:I3356)</f>
        <v>0.5139769777</v>
      </c>
      <c r="L3356" s="18">
        <v>3542.0</v>
      </c>
      <c r="M3356" s="14">
        <f>STDEV(L3352:L3356)</f>
        <v>48097.92264</v>
      </c>
      <c r="N3356" s="15" t="b">
        <f t="shared" si="1"/>
        <v>0</v>
      </c>
    </row>
    <row r="3357" hidden="1">
      <c r="A3357" s="7" t="s">
        <v>680</v>
      </c>
      <c r="B3357" s="7" t="s">
        <v>519</v>
      </c>
      <c r="C3357" s="7">
        <v>0.75</v>
      </c>
      <c r="D3357" s="7">
        <v>0.25</v>
      </c>
      <c r="E3357" s="7">
        <v>2.0</v>
      </c>
      <c r="F3357" s="7">
        <v>248970.547330379</v>
      </c>
      <c r="G3357" s="7">
        <v>249067.799945592</v>
      </c>
      <c r="H3357" s="7">
        <v>0.0</v>
      </c>
      <c r="I3357" s="15">
        <v>0.877863172609671</v>
      </c>
      <c r="J3357" s="15">
        <v>0.0933252316552319</v>
      </c>
      <c r="K3357" s="12">
        <f>AVERAGE(I3357:I3361)</f>
        <v>0.3798222712</v>
      </c>
      <c r="L3357" s="18">
        <v>319.0</v>
      </c>
      <c r="M3357" s="14">
        <f>STDEV(L3357:L3361)</f>
        <v>35975.66709</v>
      </c>
      <c r="N3357" s="15" t="b">
        <f t="shared" si="1"/>
        <v>0</v>
      </c>
    </row>
    <row r="3358" hidden="1">
      <c r="A3358" s="7" t="s">
        <v>680</v>
      </c>
      <c r="B3358" s="7" t="s">
        <v>519</v>
      </c>
      <c r="C3358" s="7">
        <v>0.75</v>
      </c>
      <c r="D3358" s="7">
        <v>0.25</v>
      </c>
      <c r="E3358" s="7">
        <v>2.0</v>
      </c>
      <c r="F3358" s="7">
        <v>248970.547330379</v>
      </c>
      <c r="G3358" s="7">
        <v>249067.799945592</v>
      </c>
      <c r="H3358" s="7">
        <v>1.0</v>
      </c>
      <c r="I3358" s="15">
        <v>0.034228520876561</v>
      </c>
      <c r="J3358" s="15">
        <v>0.24170330998348</v>
      </c>
      <c r="K3358" s="12">
        <f>AVERAGE(I3357:I3361)</f>
        <v>0.3798222712</v>
      </c>
      <c r="L3358" s="18">
        <v>84948.0</v>
      </c>
      <c r="M3358" s="14">
        <f>STDEV(L3357:L3361)</f>
        <v>35975.66709</v>
      </c>
      <c r="N3358" s="15" t="b">
        <f t="shared" si="1"/>
        <v>0</v>
      </c>
    </row>
    <row r="3359" hidden="1">
      <c r="A3359" s="7" t="s">
        <v>680</v>
      </c>
      <c r="B3359" s="7" t="s">
        <v>519</v>
      </c>
      <c r="C3359" s="7">
        <v>0.75</v>
      </c>
      <c r="D3359" s="7">
        <v>0.25</v>
      </c>
      <c r="E3359" s="7">
        <v>2.0</v>
      </c>
      <c r="F3359" s="7">
        <v>248970.547330379</v>
      </c>
      <c r="G3359" s="7">
        <v>249067.799945592</v>
      </c>
      <c r="H3359" s="7">
        <v>2.0</v>
      </c>
      <c r="I3359" s="15">
        <v>0.0416926991860461</v>
      </c>
      <c r="J3359" s="15">
        <v>0.0405084688577948</v>
      </c>
      <c r="K3359" s="12">
        <f>AVERAGE(I3357:I3361)</f>
        <v>0.3798222712</v>
      </c>
      <c r="L3359" s="18">
        <v>43467.0</v>
      </c>
      <c r="M3359" s="14">
        <f>STDEV(L3357:L3361)</f>
        <v>35975.66709</v>
      </c>
      <c r="N3359" s="15" t="b">
        <f t="shared" si="1"/>
        <v>0</v>
      </c>
    </row>
    <row r="3360" hidden="1">
      <c r="A3360" s="7" t="s">
        <v>680</v>
      </c>
      <c r="B3360" s="7" t="s">
        <v>519</v>
      </c>
      <c r="C3360" s="7">
        <v>0.75</v>
      </c>
      <c r="D3360" s="7">
        <v>0.25</v>
      </c>
      <c r="E3360" s="7">
        <v>2.0</v>
      </c>
      <c r="F3360" s="7">
        <v>248970.547330379</v>
      </c>
      <c r="G3360" s="7">
        <v>249067.799945592</v>
      </c>
      <c r="H3360" s="7">
        <v>3.0</v>
      </c>
      <c r="I3360" s="15">
        <v>0.193485957473565</v>
      </c>
      <c r="J3360" s="15">
        <v>0.141122125955135</v>
      </c>
      <c r="K3360" s="12">
        <f>AVERAGE(I3357:I3361)</f>
        <v>0.3798222712</v>
      </c>
      <c r="L3360" s="18">
        <v>5466.0</v>
      </c>
      <c r="M3360" s="14">
        <f>STDEV(L3357:L3361)</f>
        <v>35975.66709</v>
      </c>
      <c r="N3360" s="15" t="b">
        <f t="shared" si="1"/>
        <v>0</v>
      </c>
    </row>
    <row r="3361" hidden="1">
      <c r="A3361" s="7" t="s">
        <v>680</v>
      </c>
      <c r="B3361" s="7" t="s">
        <v>519</v>
      </c>
      <c r="C3361" s="7">
        <v>0.75</v>
      </c>
      <c r="D3361" s="7">
        <v>0.25</v>
      </c>
      <c r="E3361" s="7">
        <v>2.0</v>
      </c>
      <c r="F3361" s="7">
        <v>248970.547330379</v>
      </c>
      <c r="G3361" s="7">
        <v>249067.799945592</v>
      </c>
      <c r="H3361" s="7">
        <v>4.0</v>
      </c>
      <c r="I3361" s="15">
        <v>0.751841005731965</v>
      </c>
      <c r="J3361" s="15">
        <v>0.132573480779236</v>
      </c>
      <c r="K3361" s="12">
        <f>AVERAGE(I3357:I3361)</f>
        <v>0.3798222712</v>
      </c>
      <c r="L3361" s="18">
        <v>7476.0</v>
      </c>
      <c r="M3361" s="14">
        <f>STDEV(L3357:L3361)</f>
        <v>35975.66709</v>
      </c>
      <c r="N3361" s="15" t="b">
        <f t="shared" si="1"/>
        <v>0</v>
      </c>
    </row>
    <row r="3362" hidden="1">
      <c r="A3362" s="7" t="s">
        <v>681</v>
      </c>
      <c r="B3362" s="7" t="s">
        <v>519</v>
      </c>
      <c r="C3362" s="7">
        <v>0.75</v>
      </c>
      <c r="D3362" s="7">
        <v>0.25</v>
      </c>
      <c r="E3362" s="7">
        <v>3.0</v>
      </c>
      <c r="F3362" s="7">
        <v>97382.1996345519</v>
      </c>
      <c r="G3362" s="7">
        <v>97560.8752043247</v>
      </c>
      <c r="H3362" s="7">
        <v>0.0</v>
      </c>
      <c r="I3362" s="15">
        <v>0.173202819276367</v>
      </c>
      <c r="J3362" s="15">
        <v>0.0700299125113996</v>
      </c>
      <c r="K3362" s="12">
        <f>AVERAGE(I3362:I3366)</f>
        <v>0.4321466824</v>
      </c>
      <c r="L3362" s="18">
        <v>5864.0</v>
      </c>
      <c r="M3362" s="14">
        <f>STDEV(L3362:L3366)</f>
        <v>49173.16268</v>
      </c>
      <c r="N3362" s="15" t="b">
        <f t="shared" si="1"/>
        <v>0</v>
      </c>
    </row>
    <row r="3363" hidden="1">
      <c r="A3363" s="7" t="s">
        <v>681</v>
      </c>
      <c r="B3363" s="7" t="s">
        <v>519</v>
      </c>
      <c r="C3363" s="7">
        <v>0.75</v>
      </c>
      <c r="D3363" s="7">
        <v>0.25</v>
      </c>
      <c r="E3363" s="7">
        <v>3.0</v>
      </c>
      <c r="F3363" s="7">
        <v>97382.1996345519</v>
      </c>
      <c r="G3363" s="7">
        <v>97560.8752043247</v>
      </c>
      <c r="H3363" s="7">
        <v>1.0</v>
      </c>
      <c r="I3363" s="15">
        <v>0.071789830036809</v>
      </c>
      <c r="J3363" s="15">
        <v>0.0586502455956327</v>
      </c>
      <c r="K3363" s="12">
        <f>AVERAGE(I3362:I3366)</f>
        <v>0.4321466824</v>
      </c>
      <c r="L3363" s="18">
        <v>116285.0</v>
      </c>
      <c r="M3363" s="14">
        <f>STDEV(L3362:L3366)</f>
        <v>49173.16268</v>
      </c>
      <c r="N3363" s="15" t="b">
        <f t="shared" si="1"/>
        <v>0</v>
      </c>
    </row>
    <row r="3364" hidden="1">
      <c r="A3364" s="7" t="s">
        <v>681</v>
      </c>
      <c r="B3364" s="7" t="s">
        <v>519</v>
      </c>
      <c r="C3364" s="7">
        <v>0.75</v>
      </c>
      <c r="D3364" s="7">
        <v>0.25</v>
      </c>
      <c r="E3364" s="7">
        <v>3.0</v>
      </c>
      <c r="F3364" s="7">
        <v>97382.1996345519</v>
      </c>
      <c r="G3364" s="7">
        <v>97560.8752043247</v>
      </c>
      <c r="H3364" s="7">
        <v>2.0</v>
      </c>
      <c r="I3364" s="15">
        <v>0.221844627107562</v>
      </c>
      <c r="J3364" s="15">
        <v>0.120858449816458</v>
      </c>
      <c r="K3364" s="12">
        <f>AVERAGE(I3362:I3366)</f>
        <v>0.4321466824</v>
      </c>
      <c r="L3364" s="18">
        <v>5161.0</v>
      </c>
      <c r="M3364" s="14">
        <f>STDEV(L3362:L3366)</f>
        <v>49173.16268</v>
      </c>
      <c r="N3364" s="15" t="b">
        <f t="shared" si="1"/>
        <v>0</v>
      </c>
    </row>
    <row r="3365" hidden="1">
      <c r="A3365" s="7" t="s">
        <v>681</v>
      </c>
      <c r="B3365" s="7" t="s">
        <v>519</v>
      </c>
      <c r="C3365" s="7">
        <v>0.75</v>
      </c>
      <c r="D3365" s="7">
        <v>0.25</v>
      </c>
      <c r="E3365" s="7">
        <v>3.0</v>
      </c>
      <c r="F3365" s="7">
        <v>97382.1996345519</v>
      </c>
      <c r="G3365" s="7">
        <v>97560.8752043247</v>
      </c>
      <c r="H3365" s="7">
        <v>3.0</v>
      </c>
      <c r="I3365" s="15">
        <v>0.853482175619803</v>
      </c>
      <c r="J3365" s="15">
        <v>0.0760488091818489</v>
      </c>
      <c r="K3365" s="12">
        <f>AVERAGE(I3362:I3366)</f>
        <v>0.4321466824</v>
      </c>
      <c r="L3365" s="18">
        <v>7221.0</v>
      </c>
      <c r="M3365" s="14">
        <f>STDEV(L3362:L3366)</f>
        <v>49173.16268</v>
      </c>
      <c r="N3365" s="15" t="b">
        <f t="shared" si="1"/>
        <v>0</v>
      </c>
    </row>
    <row r="3366" hidden="1">
      <c r="A3366" s="7" t="s">
        <v>681</v>
      </c>
      <c r="B3366" s="7" t="s">
        <v>519</v>
      </c>
      <c r="C3366" s="7">
        <v>0.75</v>
      </c>
      <c r="D3366" s="7">
        <v>0.25</v>
      </c>
      <c r="E3366" s="7">
        <v>3.0</v>
      </c>
      <c r="F3366" s="7">
        <v>97382.1996345519</v>
      </c>
      <c r="G3366" s="7">
        <v>97560.8752043247</v>
      </c>
      <c r="H3366" s="7">
        <v>4.0</v>
      </c>
      <c r="I3366" s="15">
        <v>0.840413959776357</v>
      </c>
      <c r="J3366" s="15">
        <v>0.079954456212146</v>
      </c>
      <c r="K3366" s="12">
        <f>AVERAGE(I3362:I3366)</f>
        <v>0.4321466824</v>
      </c>
      <c r="L3366" s="18">
        <v>7145.0</v>
      </c>
      <c r="M3366" s="14">
        <f>STDEV(L3362:L3366)</f>
        <v>49173.16268</v>
      </c>
      <c r="N3366" s="15" t="b">
        <f t="shared" si="1"/>
        <v>0</v>
      </c>
    </row>
    <row r="3367" hidden="1">
      <c r="A3367" s="7" t="s">
        <v>682</v>
      </c>
      <c r="B3367" s="7" t="s">
        <v>519</v>
      </c>
      <c r="C3367" s="7">
        <v>0.75</v>
      </c>
      <c r="D3367" s="7">
        <v>0.25</v>
      </c>
      <c r="E3367" s="7">
        <v>4.0</v>
      </c>
      <c r="F3367" s="7">
        <v>230657.947566509</v>
      </c>
      <c r="G3367" s="7">
        <v>230838.532531023</v>
      </c>
      <c r="H3367" s="7">
        <v>0.0</v>
      </c>
      <c r="I3367" s="15">
        <v>0.339815313255327</v>
      </c>
      <c r="J3367" s="15">
        <v>0.122072954370305</v>
      </c>
      <c r="K3367" s="12">
        <f>AVERAGE(I3367:I3371)</f>
        <v>0.3611910664</v>
      </c>
      <c r="L3367" s="18">
        <v>13523.0</v>
      </c>
      <c r="M3367" s="14">
        <f>STDEV(L3367:L3371)</f>
        <v>41708.76754</v>
      </c>
      <c r="N3367" s="15" t="b">
        <f t="shared" si="1"/>
        <v>0</v>
      </c>
    </row>
    <row r="3368" hidden="1">
      <c r="A3368" s="7" t="s">
        <v>682</v>
      </c>
      <c r="B3368" s="7" t="s">
        <v>519</v>
      </c>
      <c r="C3368" s="7">
        <v>0.75</v>
      </c>
      <c r="D3368" s="7">
        <v>0.25</v>
      </c>
      <c r="E3368" s="7">
        <v>4.0</v>
      </c>
      <c r="F3368" s="7">
        <v>230657.947566509</v>
      </c>
      <c r="G3368" s="7">
        <v>230838.532531023</v>
      </c>
      <c r="H3368" s="7">
        <v>1.0</v>
      </c>
      <c r="I3368" s="15">
        <v>0.387928595711155</v>
      </c>
      <c r="J3368" s="15">
        <v>0.0458298050629359</v>
      </c>
      <c r="K3368" s="12">
        <f>AVERAGE(I3367:I3371)</f>
        <v>0.3611910664</v>
      </c>
      <c r="L3368" s="18">
        <v>19669.0</v>
      </c>
      <c r="M3368" s="14">
        <f>STDEV(L3367:L3371)</f>
        <v>41708.76754</v>
      </c>
      <c r="N3368" s="15" t="b">
        <f t="shared" si="1"/>
        <v>0</v>
      </c>
    </row>
    <row r="3369" hidden="1">
      <c r="A3369" s="7" t="s">
        <v>682</v>
      </c>
      <c r="B3369" s="7" t="s">
        <v>519</v>
      </c>
      <c r="C3369" s="7">
        <v>0.75</v>
      </c>
      <c r="D3369" s="7">
        <v>0.25</v>
      </c>
      <c r="E3369" s="7">
        <v>4.0</v>
      </c>
      <c r="F3369" s="7">
        <v>230657.947566509</v>
      </c>
      <c r="G3369" s="7">
        <v>230838.532531023</v>
      </c>
      <c r="H3369" s="7">
        <v>2.0</v>
      </c>
      <c r="I3369" s="15">
        <v>0.223886404477277</v>
      </c>
      <c r="J3369" s="15">
        <v>0.0699006068543423</v>
      </c>
      <c r="K3369" s="12">
        <f>AVERAGE(I3367:I3371)</f>
        <v>0.3611910664</v>
      </c>
      <c r="L3369" s="18">
        <v>5334.0</v>
      </c>
      <c r="M3369" s="14">
        <f>STDEV(L3367:L3371)</f>
        <v>41708.76754</v>
      </c>
      <c r="N3369" s="15" t="b">
        <f t="shared" si="1"/>
        <v>0</v>
      </c>
    </row>
    <row r="3370" hidden="1">
      <c r="A3370" s="7" t="s">
        <v>682</v>
      </c>
      <c r="B3370" s="7" t="s">
        <v>519</v>
      </c>
      <c r="C3370" s="7">
        <v>0.75</v>
      </c>
      <c r="D3370" s="7">
        <v>0.25</v>
      </c>
      <c r="E3370" s="7">
        <v>4.0</v>
      </c>
      <c r="F3370" s="7">
        <v>230657.947566509</v>
      </c>
      <c r="G3370" s="7">
        <v>230838.532531023</v>
      </c>
      <c r="H3370" s="7">
        <v>3.0</v>
      </c>
      <c r="I3370" s="15">
        <v>0.89770093287405</v>
      </c>
      <c r="J3370" s="15">
        <v>0.1339605915707</v>
      </c>
      <c r="K3370" s="12">
        <f>AVERAGE(I3367:I3371)</f>
        <v>0.3611910664</v>
      </c>
      <c r="L3370" s="18">
        <v>1302.0</v>
      </c>
      <c r="M3370" s="14">
        <f>STDEV(L3367:L3371)</f>
        <v>41708.76754</v>
      </c>
      <c r="N3370" s="15" t="b">
        <f t="shared" si="1"/>
        <v>0</v>
      </c>
    </row>
    <row r="3371" hidden="1">
      <c r="A3371" s="7" t="s">
        <v>682</v>
      </c>
      <c r="B3371" s="7" t="s">
        <v>519</v>
      </c>
      <c r="C3371" s="7">
        <v>0.75</v>
      </c>
      <c r="D3371" s="7">
        <v>0.25</v>
      </c>
      <c r="E3371" s="7">
        <v>4.0</v>
      </c>
      <c r="F3371" s="7">
        <v>230657.947566509</v>
      </c>
      <c r="G3371" s="7">
        <v>230838.532531023</v>
      </c>
      <c r="H3371" s="7">
        <v>4.0</v>
      </c>
      <c r="I3371" s="15">
        <v>-0.0433759143038851</v>
      </c>
      <c r="J3371" s="15">
        <v>0.195243661911222</v>
      </c>
      <c r="K3371" s="12">
        <f>AVERAGE(I3367:I3371)</f>
        <v>0.3611910664</v>
      </c>
      <c r="L3371" s="18">
        <v>101848.0</v>
      </c>
      <c r="M3371" s="14">
        <f>STDEV(L3367:L3371)</f>
        <v>41708.76754</v>
      </c>
      <c r="N3371" s="15" t="b">
        <f t="shared" si="1"/>
        <v>0</v>
      </c>
    </row>
    <row r="3372" hidden="1">
      <c r="A3372" s="7" t="s">
        <v>683</v>
      </c>
      <c r="B3372" s="7" t="s">
        <v>519</v>
      </c>
      <c r="C3372" s="7">
        <v>0.75</v>
      </c>
      <c r="D3372" s="7">
        <v>0.25</v>
      </c>
      <c r="E3372" s="7">
        <v>5.0</v>
      </c>
      <c r="F3372" s="7">
        <v>147176.999798536</v>
      </c>
      <c r="G3372" s="7">
        <v>147312.272316694</v>
      </c>
      <c r="H3372" s="7">
        <v>0.0</v>
      </c>
      <c r="I3372" s="15">
        <v>0.234144870918431</v>
      </c>
      <c r="J3372" s="15">
        <v>0.115689850961446</v>
      </c>
      <c r="K3372" s="12">
        <f>AVERAGE(I3372:I3376)</f>
        <v>0.4008389258</v>
      </c>
      <c r="L3372" s="18">
        <v>6342.0</v>
      </c>
      <c r="M3372" s="14">
        <f>STDEV(L3372:L3376)</f>
        <v>45665.37856</v>
      </c>
      <c r="N3372" s="15" t="b">
        <f t="shared" si="1"/>
        <v>0</v>
      </c>
    </row>
    <row r="3373" hidden="1">
      <c r="A3373" s="7" t="s">
        <v>683</v>
      </c>
      <c r="B3373" s="7" t="s">
        <v>519</v>
      </c>
      <c r="C3373" s="7">
        <v>0.75</v>
      </c>
      <c r="D3373" s="7">
        <v>0.25</v>
      </c>
      <c r="E3373" s="7">
        <v>5.0</v>
      </c>
      <c r="F3373" s="7">
        <v>147176.999798536</v>
      </c>
      <c r="G3373" s="7">
        <v>147312.272316694</v>
      </c>
      <c r="H3373" s="7">
        <v>1.0</v>
      </c>
      <c r="I3373" s="15">
        <v>0.027208144771119</v>
      </c>
      <c r="J3373" s="15">
        <v>0.159822374410447</v>
      </c>
      <c r="K3373" s="12">
        <f>AVERAGE(I3372:I3376)</f>
        <v>0.4008389258</v>
      </c>
      <c r="L3373" s="18">
        <v>109661.0</v>
      </c>
      <c r="M3373" s="14">
        <f>STDEV(L3372:L3376)</f>
        <v>45665.37856</v>
      </c>
      <c r="N3373" s="15" t="b">
        <f t="shared" si="1"/>
        <v>0</v>
      </c>
    </row>
    <row r="3374" hidden="1">
      <c r="A3374" s="7" t="s">
        <v>683</v>
      </c>
      <c r="B3374" s="7" t="s">
        <v>519</v>
      </c>
      <c r="C3374" s="7">
        <v>0.75</v>
      </c>
      <c r="D3374" s="7">
        <v>0.25</v>
      </c>
      <c r="E3374" s="7">
        <v>5.0</v>
      </c>
      <c r="F3374" s="7">
        <v>147176.999798536</v>
      </c>
      <c r="G3374" s="7">
        <v>147312.272316694</v>
      </c>
      <c r="H3374" s="7">
        <v>2.0</v>
      </c>
      <c r="I3374" s="15">
        <v>0.81242304029325</v>
      </c>
      <c r="J3374" s="15">
        <v>0.143565067800867</v>
      </c>
      <c r="K3374" s="12">
        <f>AVERAGE(I3372:I3376)</f>
        <v>0.4008389258</v>
      </c>
      <c r="L3374" s="18">
        <v>3713.0</v>
      </c>
      <c r="M3374" s="14">
        <f>STDEV(L3372:L3376)</f>
        <v>45665.37856</v>
      </c>
      <c r="N3374" s="15" t="b">
        <f t="shared" si="1"/>
        <v>0</v>
      </c>
    </row>
    <row r="3375" hidden="1">
      <c r="A3375" s="7" t="s">
        <v>683</v>
      </c>
      <c r="B3375" s="7" t="s">
        <v>519</v>
      </c>
      <c r="C3375" s="7">
        <v>0.75</v>
      </c>
      <c r="D3375" s="7">
        <v>0.25</v>
      </c>
      <c r="E3375" s="7">
        <v>5.0</v>
      </c>
      <c r="F3375" s="7">
        <v>147176.999798536</v>
      </c>
      <c r="G3375" s="7">
        <v>147312.272316694</v>
      </c>
      <c r="H3375" s="7">
        <v>3.0</v>
      </c>
      <c r="I3375" s="15">
        <v>0.117968335710264</v>
      </c>
      <c r="J3375" s="15">
        <v>0.0845980808788233</v>
      </c>
      <c r="K3375" s="12">
        <f>AVERAGE(I3372:I3376)</f>
        <v>0.4008389258</v>
      </c>
      <c r="L3375" s="18">
        <v>6793.0</v>
      </c>
      <c r="M3375" s="14">
        <f>STDEV(L3372:L3376)</f>
        <v>45665.37856</v>
      </c>
      <c r="N3375" s="15" t="b">
        <f t="shared" si="1"/>
        <v>0</v>
      </c>
    </row>
    <row r="3376" hidden="1">
      <c r="A3376" s="7" t="s">
        <v>683</v>
      </c>
      <c r="B3376" s="7" t="s">
        <v>519</v>
      </c>
      <c r="C3376" s="7">
        <v>0.75</v>
      </c>
      <c r="D3376" s="7">
        <v>0.25</v>
      </c>
      <c r="E3376" s="7">
        <v>5.0</v>
      </c>
      <c r="F3376" s="7">
        <v>147176.999798536</v>
      </c>
      <c r="G3376" s="7">
        <v>147312.272316694</v>
      </c>
      <c r="H3376" s="7">
        <v>4.0</v>
      </c>
      <c r="I3376" s="15">
        <v>0.812450237404462</v>
      </c>
      <c r="J3376" s="15">
        <v>0.0902849532776705</v>
      </c>
      <c r="K3376" s="12">
        <f>AVERAGE(I3372:I3376)</f>
        <v>0.4008389258</v>
      </c>
      <c r="L3376" s="18">
        <v>15167.0</v>
      </c>
      <c r="M3376" s="14">
        <f>STDEV(L3372:L3376)</f>
        <v>45665.37856</v>
      </c>
      <c r="N3376" s="15" t="b">
        <f t="shared" si="1"/>
        <v>0</v>
      </c>
    </row>
    <row r="3377" hidden="1">
      <c r="A3377" s="7" t="s">
        <v>684</v>
      </c>
      <c r="B3377" s="7" t="s">
        <v>519</v>
      </c>
      <c r="C3377" s="7">
        <v>0.75</v>
      </c>
      <c r="D3377" s="7">
        <v>0.25</v>
      </c>
      <c r="E3377" s="7">
        <v>6.0</v>
      </c>
      <c r="F3377" s="7">
        <v>88477.390610218</v>
      </c>
      <c r="G3377" s="7">
        <v>88596.2731556892</v>
      </c>
      <c r="H3377" s="7">
        <v>0.0</v>
      </c>
      <c r="I3377" s="15">
        <v>0.432789254930614</v>
      </c>
      <c r="J3377" s="15">
        <v>0.11592621149892</v>
      </c>
      <c r="K3377" s="12">
        <f>AVERAGE(I3377:I3381)</f>
        <v>0.3214936509</v>
      </c>
      <c r="L3377" s="18">
        <v>17714.0</v>
      </c>
      <c r="M3377" s="14">
        <f>STDEV(L3377:L3381)</f>
        <v>35861.5605</v>
      </c>
      <c r="N3377" s="15" t="b">
        <f t="shared" si="1"/>
        <v>0</v>
      </c>
    </row>
    <row r="3378" hidden="1">
      <c r="A3378" s="7" t="s">
        <v>684</v>
      </c>
      <c r="B3378" s="7" t="s">
        <v>519</v>
      </c>
      <c r="C3378" s="7">
        <v>0.75</v>
      </c>
      <c r="D3378" s="7">
        <v>0.25</v>
      </c>
      <c r="E3378" s="7">
        <v>6.0</v>
      </c>
      <c r="F3378" s="7">
        <v>88477.390610218</v>
      </c>
      <c r="G3378" s="7">
        <v>88596.2731556892</v>
      </c>
      <c r="H3378" s="7">
        <v>1.0</v>
      </c>
      <c r="I3378" s="15">
        <v>0.36029325360324</v>
      </c>
      <c r="J3378" s="15">
        <v>0.255483924544675</v>
      </c>
      <c r="K3378" s="12">
        <f>AVERAGE(I3377:I3381)</f>
        <v>0.3214936509</v>
      </c>
      <c r="L3378" s="18">
        <v>6013.0</v>
      </c>
      <c r="M3378" s="14">
        <f>STDEV(L3377:L3381)</f>
        <v>35861.5605</v>
      </c>
      <c r="N3378" s="15" t="b">
        <f t="shared" si="1"/>
        <v>0</v>
      </c>
    </row>
    <row r="3379" hidden="1">
      <c r="A3379" s="7" t="s">
        <v>684</v>
      </c>
      <c r="B3379" s="7" t="s">
        <v>519</v>
      </c>
      <c r="C3379" s="7">
        <v>0.75</v>
      </c>
      <c r="D3379" s="7">
        <v>0.25</v>
      </c>
      <c r="E3379" s="7">
        <v>6.0</v>
      </c>
      <c r="F3379" s="7">
        <v>88477.390610218</v>
      </c>
      <c r="G3379" s="7">
        <v>88596.2731556892</v>
      </c>
      <c r="H3379" s="7">
        <v>2.0</v>
      </c>
      <c r="I3379" s="15">
        <v>0.0125480113654718</v>
      </c>
      <c r="J3379" s="15">
        <v>0.237220163429873</v>
      </c>
      <c r="K3379" s="12">
        <f>AVERAGE(I3377:I3381)</f>
        <v>0.3214936509</v>
      </c>
      <c r="L3379" s="18">
        <v>90811.0</v>
      </c>
      <c r="M3379" s="14">
        <f>STDEV(L3377:L3381)</f>
        <v>35861.5605</v>
      </c>
      <c r="N3379" s="15" t="b">
        <f t="shared" si="1"/>
        <v>0</v>
      </c>
    </row>
    <row r="3380" hidden="1">
      <c r="A3380" s="7" t="s">
        <v>684</v>
      </c>
      <c r="B3380" s="7" t="s">
        <v>519</v>
      </c>
      <c r="C3380" s="7">
        <v>0.75</v>
      </c>
      <c r="D3380" s="7">
        <v>0.25</v>
      </c>
      <c r="E3380" s="7">
        <v>6.0</v>
      </c>
      <c r="F3380" s="7">
        <v>88477.390610218</v>
      </c>
      <c r="G3380" s="7">
        <v>88596.2731556892</v>
      </c>
      <c r="H3380" s="7">
        <v>3.0</v>
      </c>
      <c r="I3380" s="15">
        <v>0.764246687693121</v>
      </c>
      <c r="J3380" s="15">
        <v>0.135374330094257</v>
      </c>
      <c r="K3380" s="12">
        <f>AVERAGE(I3377:I3381)</f>
        <v>0.3214936509</v>
      </c>
      <c r="L3380" s="18">
        <v>3725.0</v>
      </c>
      <c r="M3380" s="14">
        <f>STDEV(L3377:L3381)</f>
        <v>35861.5605</v>
      </c>
      <c r="N3380" s="15" t="b">
        <f t="shared" si="1"/>
        <v>0</v>
      </c>
    </row>
    <row r="3381" hidden="1">
      <c r="A3381" s="7" t="s">
        <v>684</v>
      </c>
      <c r="B3381" s="7" t="s">
        <v>519</v>
      </c>
      <c r="C3381" s="7">
        <v>0.75</v>
      </c>
      <c r="D3381" s="7">
        <v>0.25</v>
      </c>
      <c r="E3381" s="7">
        <v>6.0</v>
      </c>
      <c r="F3381" s="7">
        <v>88477.390610218</v>
      </c>
      <c r="G3381" s="7">
        <v>88596.2731556892</v>
      </c>
      <c r="H3381" s="7">
        <v>4.0</v>
      </c>
      <c r="I3381" s="15">
        <v>0.037591047116662</v>
      </c>
      <c r="J3381" s="15">
        <v>0.0388360728751063</v>
      </c>
      <c r="K3381" s="12">
        <f>AVERAGE(I3377:I3381)</f>
        <v>0.3214936509</v>
      </c>
      <c r="L3381" s="18">
        <v>23413.0</v>
      </c>
      <c r="M3381" s="14">
        <f>STDEV(L3377:L3381)</f>
        <v>35861.5605</v>
      </c>
      <c r="N3381" s="15" t="b">
        <f t="shared" si="1"/>
        <v>0</v>
      </c>
    </row>
    <row r="3382" hidden="1">
      <c r="A3382" s="7" t="s">
        <v>685</v>
      </c>
      <c r="B3382" s="7" t="s">
        <v>519</v>
      </c>
      <c r="C3382" s="7">
        <v>0.75</v>
      </c>
      <c r="D3382" s="7">
        <v>0.25</v>
      </c>
      <c r="E3382" s="7">
        <v>7.0</v>
      </c>
      <c r="F3382" s="7">
        <v>161074.450992822</v>
      </c>
      <c r="G3382" s="7">
        <v>161248.109598875</v>
      </c>
      <c r="H3382" s="7">
        <v>0.0</v>
      </c>
      <c r="I3382" s="15">
        <v>0.74769855999217</v>
      </c>
      <c r="J3382" s="15">
        <v>0.162053294232616</v>
      </c>
      <c r="K3382" s="12">
        <f>AVERAGE(I3382:I3386)</f>
        <v>0.2565452606</v>
      </c>
      <c r="L3382" s="18">
        <v>3876.0</v>
      </c>
      <c r="M3382" s="14">
        <f>STDEV(L3382:L3386)</f>
        <v>33341.78954</v>
      </c>
      <c r="N3382" s="15" t="b">
        <f t="shared" si="1"/>
        <v>0</v>
      </c>
    </row>
    <row r="3383" hidden="1">
      <c r="A3383" s="7" t="s">
        <v>685</v>
      </c>
      <c r="B3383" s="7" t="s">
        <v>519</v>
      </c>
      <c r="C3383" s="7">
        <v>0.75</v>
      </c>
      <c r="D3383" s="7">
        <v>0.25</v>
      </c>
      <c r="E3383" s="7">
        <v>7.0</v>
      </c>
      <c r="F3383" s="7">
        <v>161074.450992822</v>
      </c>
      <c r="G3383" s="7">
        <v>161248.109598875</v>
      </c>
      <c r="H3383" s="7">
        <v>1.0</v>
      </c>
      <c r="I3383" s="15">
        <v>0.039485652841282</v>
      </c>
      <c r="J3383" s="15">
        <v>0.0422006996546361</v>
      </c>
      <c r="K3383" s="12">
        <f>AVERAGE(I3382:I3386)</f>
        <v>0.2565452606</v>
      </c>
      <c r="L3383" s="18">
        <v>24255.0</v>
      </c>
      <c r="M3383" s="14">
        <f>STDEV(L3382:L3386)</f>
        <v>33341.78954</v>
      </c>
      <c r="N3383" s="15" t="b">
        <f t="shared" si="1"/>
        <v>0</v>
      </c>
    </row>
    <row r="3384" hidden="1">
      <c r="A3384" s="7" t="s">
        <v>685</v>
      </c>
      <c r="B3384" s="7" t="s">
        <v>519</v>
      </c>
      <c r="C3384" s="7">
        <v>0.75</v>
      </c>
      <c r="D3384" s="7">
        <v>0.25</v>
      </c>
      <c r="E3384" s="7">
        <v>7.0</v>
      </c>
      <c r="F3384" s="7">
        <v>161074.450992822</v>
      </c>
      <c r="G3384" s="7">
        <v>161248.109598875</v>
      </c>
      <c r="H3384" s="7">
        <v>2.0</v>
      </c>
      <c r="I3384" s="15">
        <v>0.297567738928801</v>
      </c>
      <c r="J3384" s="15">
        <v>0.0954050836523069</v>
      </c>
      <c r="K3384" s="12">
        <f>AVERAGE(I3382:I3386)</f>
        <v>0.2565452606</v>
      </c>
      <c r="L3384" s="18">
        <v>21848.0</v>
      </c>
      <c r="M3384" s="14">
        <f>STDEV(L3382:L3386)</f>
        <v>33341.78954</v>
      </c>
      <c r="N3384" s="15" t="b">
        <f t="shared" si="1"/>
        <v>0</v>
      </c>
    </row>
    <row r="3385" hidden="1">
      <c r="A3385" s="7" t="s">
        <v>685</v>
      </c>
      <c r="B3385" s="7" t="s">
        <v>519</v>
      </c>
      <c r="C3385" s="7">
        <v>0.75</v>
      </c>
      <c r="D3385" s="7">
        <v>0.25</v>
      </c>
      <c r="E3385" s="7">
        <v>7.0</v>
      </c>
      <c r="F3385" s="7">
        <v>161074.450992822</v>
      </c>
      <c r="G3385" s="7">
        <v>161248.109598875</v>
      </c>
      <c r="H3385" s="7">
        <v>3.0</v>
      </c>
      <c r="I3385" s="15">
        <v>0.165270056432445</v>
      </c>
      <c r="J3385" s="15">
        <v>0.0974407420081935</v>
      </c>
      <c r="K3385" s="12">
        <f>AVERAGE(I3382:I3386)</f>
        <v>0.2565452606</v>
      </c>
      <c r="L3385" s="18">
        <v>5997.0</v>
      </c>
      <c r="M3385" s="14">
        <f>STDEV(L3382:L3386)</f>
        <v>33341.78954</v>
      </c>
      <c r="N3385" s="15" t="b">
        <f t="shared" si="1"/>
        <v>0</v>
      </c>
    </row>
    <row r="3386" hidden="1">
      <c r="A3386" s="7" t="s">
        <v>685</v>
      </c>
      <c r="B3386" s="7" t="s">
        <v>519</v>
      </c>
      <c r="C3386" s="7">
        <v>0.75</v>
      </c>
      <c r="D3386" s="7">
        <v>0.25</v>
      </c>
      <c r="E3386" s="7">
        <v>7.0</v>
      </c>
      <c r="F3386" s="7">
        <v>161074.450992822</v>
      </c>
      <c r="G3386" s="7">
        <v>161248.109598875</v>
      </c>
      <c r="H3386" s="7">
        <v>4.0</v>
      </c>
      <c r="I3386" s="15">
        <v>0.0327042945850909</v>
      </c>
      <c r="J3386" s="15">
        <v>0.212368929822877</v>
      </c>
      <c r="K3386" s="12">
        <f>AVERAGE(I3382:I3386)</f>
        <v>0.2565452606</v>
      </c>
      <c r="L3386" s="18">
        <v>85700.0</v>
      </c>
      <c r="M3386" s="14">
        <f>STDEV(L3382:L3386)</f>
        <v>33341.78954</v>
      </c>
      <c r="N3386" s="15" t="b">
        <f t="shared" si="1"/>
        <v>0</v>
      </c>
    </row>
    <row r="3387" hidden="1">
      <c r="A3387" s="7" t="s">
        <v>686</v>
      </c>
      <c r="B3387" s="7" t="s">
        <v>519</v>
      </c>
      <c r="C3387" s="7">
        <v>0.75</v>
      </c>
      <c r="D3387" s="7">
        <v>0.25</v>
      </c>
      <c r="E3387" s="7">
        <v>8.0</v>
      </c>
      <c r="F3387" s="7">
        <v>259486.975671291</v>
      </c>
      <c r="G3387" s="7">
        <v>259668.74534583</v>
      </c>
      <c r="H3387" s="7">
        <v>0.0</v>
      </c>
      <c r="I3387" s="15">
        <v>-0.0181036916963343</v>
      </c>
      <c r="J3387" s="15">
        <v>0.177646427932786</v>
      </c>
      <c r="K3387" s="12">
        <f>AVERAGE(I3387:I3391)</f>
        <v>0.4189487004</v>
      </c>
      <c r="L3387" s="18">
        <v>92934.0</v>
      </c>
      <c r="M3387" s="14">
        <f>STDEV(L3387:L3391)</f>
        <v>38107.53403</v>
      </c>
      <c r="N3387" s="15" t="b">
        <f t="shared" si="1"/>
        <v>0</v>
      </c>
    </row>
    <row r="3388" hidden="1">
      <c r="A3388" s="7" t="s">
        <v>686</v>
      </c>
      <c r="B3388" s="7" t="s">
        <v>519</v>
      </c>
      <c r="C3388" s="7">
        <v>0.75</v>
      </c>
      <c r="D3388" s="7">
        <v>0.25</v>
      </c>
      <c r="E3388" s="7">
        <v>8.0</v>
      </c>
      <c r="F3388" s="7">
        <v>259486.975671291</v>
      </c>
      <c r="G3388" s="7">
        <v>259668.74534583</v>
      </c>
      <c r="H3388" s="7">
        <v>1.0</v>
      </c>
      <c r="I3388" s="15">
        <v>0.840786140023909</v>
      </c>
      <c r="J3388" s="15">
        <v>0.0974689026889453</v>
      </c>
      <c r="K3388" s="12">
        <f>AVERAGE(I3387:I3391)</f>
        <v>0.4189487004</v>
      </c>
      <c r="L3388" s="18">
        <v>3400.0</v>
      </c>
      <c r="M3388" s="14">
        <f>STDEV(L3387:L3391)</f>
        <v>38107.53403</v>
      </c>
      <c r="N3388" s="15" t="b">
        <f t="shared" si="1"/>
        <v>0</v>
      </c>
    </row>
    <row r="3389" hidden="1">
      <c r="A3389" s="7" t="s">
        <v>686</v>
      </c>
      <c r="B3389" s="7" t="s">
        <v>519</v>
      </c>
      <c r="C3389" s="7">
        <v>0.75</v>
      </c>
      <c r="D3389" s="7">
        <v>0.25</v>
      </c>
      <c r="E3389" s="7">
        <v>8.0</v>
      </c>
      <c r="F3389" s="7">
        <v>259486.975671291</v>
      </c>
      <c r="G3389" s="7">
        <v>259668.74534583</v>
      </c>
      <c r="H3389" s="7">
        <v>2.0</v>
      </c>
      <c r="I3389" s="15">
        <v>0.181270302064539</v>
      </c>
      <c r="J3389" s="15">
        <v>0.0610113423912573</v>
      </c>
      <c r="K3389" s="12">
        <f>AVERAGE(I3387:I3391)</f>
        <v>0.4189487004</v>
      </c>
      <c r="L3389" s="18">
        <v>33134.0</v>
      </c>
      <c r="M3389" s="14">
        <f>STDEV(L3387:L3391)</f>
        <v>38107.53403</v>
      </c>
      <c r="N3389" s="15" t="b">
        <f t="shared" si="1"/>
        <v>0</v>
      </c>
    </row>
    <row r="3390" hidden="1">
      <c r="A3390" s="7" t="s">
        <v>686</v>
      </c>
      <c r="B3390" s="7" t="s">
        <v>519</v>
      </c>
      <c r="C3390" s="7">
        <v>0.75</v>
      </c>
      <c r="D3390" s="7">
        <v>0.25</v>
      </c>
      <c r="E3390" s="7">
        <v>8.0</v>
      </c>
      <c r="F3390" s="7">
        <v>259486.975671291</v>
      </c>
      <c r="G3390" s="7">
        <v>259668.74534583</v>
      </c>
      <c r="H3390" s="7">
        <v>3.0</v>
      </c>
      <c r="I3390" s="15">
        <v>0.854020836241213</v>
      </c>
      <c r="J3390" s="15">
        <v>0.0698149995320422</v>
      </c>
      <c r="K3390" s="12">
        <f>AVERAGE(I3387:I3391)</f>
        <v>0.4189487004</v>
      </c>
      <c r="L3390" s="18">
        <v>7219.0</v>
      </c>
      <c r="M3390" s="14">
        <f>STDEV(L3387:L3391)</f>
        <v>38107.53403</v>
      </c>
      <c r="N3390" s="15" t="b">
        <f t="shared" si="1"/>
        <v>0</v>
      </c>
    </row>
    <row r="3391" hidden="1">
      <c r="A3391" s="7" t="s">
        <v>686</v>
      </c>
      <c r="B3391" s="7" t="s">
        <v>519</v>
      </c>
      <c r="C3391" s="7">
        <v>0.75</v>
      </c>
      <c r="D3391" s="7">
        <v>0.25</v>
      </c>
      <c r="E3391" s="7">
        <v>8.0</v>
      </c>
      <c r="F3391" s="7">
        <v>259486.975671291</v>
      </c>
      <c r="G3391" s="7">
        <v>259668.74534583</v>
      </c>
      <c r="H3391" s="7">
        <v>4.0</v>
      </c>
      <c r="I3391" s="15">
        <v>0.236769915609794</v>
      </c>
      <c r="J3391" s="15">
        <v>0.116680077884047</v>
      </c>
      <c r="K3391" s="12">
        <f>AVERAGE(I3387:I3391)</f>
        <v>0.4189487004</v>
      </c>
      <c r="L3391" s="18">
        <v>4989.0</v>
      </c>
      <c r="M3391" s="14">
        <f>STDEV(L3387:L3391)</f>
        <v>38107.53403</v>
      </c>
      <c r="N3391" s="15" t="b">
        <f t="shared" si="1"/>
        <v>0</v>
      </c>
    </row>
    <row r="3392" hidden="1">
      <c r="A3392" s="7" t="s">
        <v>687</v>
      </c>
      <c r="B3392" s="7" t="s">
        <v>519</v>
      </c>
      <c r="C3392" s="7">
        <v>0.75</v>
      </c>
      <c r="D3392" s="7">
        <v>0.25</v>
      </c>
      <c r="E3392" s="7">
        <v>9.0</v>
      </c>
      <c r="F3392" s="7">
        <v>57636.9375417232</v>
      </c>
      <c r="G3392" s="7">
        <v>57780.1902163028</v>
      </c>
      <c r="H3392" s="7">
        <v>0.0</v>
      </c>
      <c r="I3392" s="15">
        <v>-0.0428814127988949</v>
      </c>
      <c r="J3392" s="15">
        <v>0.269403180954058</v>
      </c>
      <c r="K3392" s="12">
        <f>AVERAGE(I3392:I3396)</f>
        <v>0.5609004647</v>
      </c>
      <c r="L3392" s="18">
        <v>113132.0</v>
      </c>
      <c r="M3392" s="14">
        <f>STDEV(L3392:L3396)</f>
        <v>47588.81889</v>
      </c>
      <c r="N3392" s="15" t="b">
        <f t="shared" si="1"/>
        <v>0</v>
      </c>
    </row>
    <row r="3393" hidden="1">
      <c r="A3393" s="7" t="s">
        <v>687</v>
      </c>
      <c r="B3393" s="7" t="s">
        <v>519</v>
      </c>
      <c r="C3393" s="7">
        <v>0.75</v>
      </c>
      <c r="D3393" s="7">
        <v>0.25</v>
      </c>
      <c r="E3393" s="7">
        <v>9.0</v>
      </c>
      <c r="F3393" s="7">
        <v>57636.9375417232</v>
      </c>
      <c r="G3393" s="7">
        <v>57780.1902163028</v>
      </c>
      <c r="H3393" s="7">
        <v>1.0</v>
      </c>
      <c r="I3393" s="15">
        <v>0.871810766033808</v>
      </c>
      <c r="J3393" s="15">
        <v>0.107128293905954</v>
      </c>
      <c r="K3393" s="12">
        <f>AVERAGE(I3392:I3396)</f>
        <v>0.5609004647</v>
      </c>
      <c r="L3393" s="18">
        <v>2745.0</v>
      </c>
      <c r="M3393" s="14">
        <f>STDEV(L3392:L3396)</f>
        <v>47588.81889</v>
      </c>
      <c r="N3393" s="15" t="b">
        <f t="shared" si="1"/>
        <v>0</v>
      </c>
    </row>
    <row r="3394" hidden="1">
      <c r="A3394" s="7" t="s">
        <v>687</v>
      </c>
      <c r="B3394" s="7" t="s">
        <v>519</v>
      </c>
      <c r="C3394" s="7">
        <v>0.75</v>
      </c>
      <c r="D3394" s="7">
        <v>0.25</v>
      </c>
      <c r="E3394" s="7">
        <v>9.0</v>
      </c>
      <c r="F3394" s="7">
        <v>57636.9375417232</v>
      </c>
      <c r="G3394" s="7">
        <v>57780.1902163028</v>
      </c>
      <c r="H3394" s="7">
        <v>2.0</v>
      </c>
      <c r="I3394" s="15">
        <v>0.597007316442838</v>
      </c>
      <c r="J3394" s="15">
        <v>0.238978950959179</v>
      </c>
      <c r="K3394" s="12">
        <f>AVERAGE(I3392:I3396)</f>
        <v>0.5609004647</v>
      </c>
      <c r="L3394" s="18">
        <v>12756.0</v>
      </c>
      <c r="M3394" s="14">
        <f>STDEV(L3392:L3396)</f>
        <v>47588.81889</v>
      </c>
      <c r="N3394" s="15" t="b">
        <f t="shared" si="1"/>
        <v>0</v>
      </c>
    </row>
    <row r="3395" hidden="1">
      <c r="A3395" s="7" t="s">
        <v>687</v>
      </c>
      <c r="B3395" s="7" t="s">
        <v>519</v>
      </c>
      <c r="C3395" s="7">
        <v>0.75</v>
      </c>
      <c r="D3395" s="7">
        <v>0.25</v>
      </c>
      <c r="E3395" s="7">
        <v>9.0</v>
      </c>
      <c r="F3395" s="7">
        <v>57636.9375417232</v>
      </c>
      <c r="G3395" s="7">
        <v>57780.1902163028</v>
      </c>
      <c r="H3395" s="7">
        <v>3.0</v>
      </c>
      <c r="I3395" s="15">
        <v>0.546192830009113</v>
      </c>
      <c r="J3395" s="15">
        <v>0.239793375315659</v>
      </c>
      <c r="K3395" s="12">
        <f>AVERAGE(I3392:I3396)</f>
        <v>0.5609004647</v>
      </c>
      <c r="L3395" s="18">
        <v>9607.0</v>
      </c>
      <c r="M3395" s="14">
        <f>STDEV(L3392:L3396)</f>
        <v>47588.81889</v>
      </c>
      <c r="N3395" s="15" t="b">
        <f t="shared" si="1"/>
        <v>0</v>
      </c>
    </row>
    <row r="3396" hidden="1">
      <c r="A3396" s="7" t="s">
        <v>687</v>
      </c>
      <c r="B3396" s="7" t="s">
        <v>519</v>
      </c>
      <c r="C3396" s="7">
        <v>0.75</v>
      </c>
      <c r="D3396" s="7">
        <v>0.25</v>
      </c>
      <c r="E3396" s="7">
        <v>9.0</v>
      </c>
      <c r="F3396" s="7">
        <v>57636.9375417232</v>
      </c>
      <c r="G3396" s="7">
        <v>57780.1902163028</v>
      </c>
      <c r="H3396" s="7">
        <v>4.0</v>
      </c>
      <c r="I3396" s="15">
        <v>0.832372823706744</v>
      </c>
      <c r="J3396" s="15">
        <v>0.105170089262672</v>
      </c>
      <c r="K3396" s="12">
        <f>AVERAGE(I3392:I3396)</f>
        <v>0.5609004647</v>
      </c>
      <c r="L3396" s="18">
        <v>3436.0</v>
      </c>
      <c r="M3396" s="14">
        <f>STDEV(L3392:L3396)</f>
        <v>47588.81889</v>
      </c>
      <c r="N3396" s="15" t="b">
        <f t="shared" si="1"/>
        <v>0</v>
      </c>
    </row>
    <row r="3397" hidden="1">
      <c r="A3397" s="7" t="s">
        <v>688</v>
      </c>
      <c r="B3397" s="7" t="s">
        <v>519</v>
      </c>
      <c r="C3397" s="7">
        <v>0.75</v>
      </c>
      <c r="D3397" s="7">
        <v>0.25</v>
      </c>
      <c r="E3397" s="7">
        <v>10.0</v>
      </c>
      <c r="F3397" s="7">
        <v>123652.009811162</v>
      </c>
      <c r="G3397" s="7">
        <v>123706.298258304</v>
      </c>
      <c r="H3397" s="7">
        <v>0.0</v>
      </c>
      <c r="I3397" s="15">
        <v>0.812172736244742</v>
      </c>
      <c r="J3397" s="15">
        <v>0.118269201346099</v>
      </c>
      <c r="K3397" s="12">
        <f>AVERAGE(I3397:I3401)</f>
        <v>0.2640759691</v>
      </c>
      <c r="L3397" s="18">
        <v>3782.0</v>
      </c>
      <c r="M3397" s="14">
        <f>STDEV(L3397:L3401)</f>
        <v>32350.08353</v>
      </c>
      <c r="N3397" s="15" t="b">
        <f t="shared" si="1"/>
        <v>0</v>
      </c>
    </row>
    <row r="3398" hidden="1">
      <c r="A3398" s="7" t="s">
        <v>688</v>
      </c>
      <c r="B3398" s="7" t="s">
        <v>519</v>
      </c>
      <c r="C3398" s="7">
        <v>0.75</v>
      </c>
      <c r="D3398" s="7">
        <v>0.25</v>
      </c>
      <c r="E3398" s="7">
        <v>10.0</v>
      </c>
      <c r="F3398" s="7">
        <v>123652.009811162</v>
      </c>
      <c r="G3398" s="7">
        <v>123706.298258304</v>
      </c>
      <c r="H3398" s="7">
        <v>1.0</v>
      </c>
      <c r="I3398" s="15">
        <v>0.135520581391161</v>
      </c>
      <c r="J3398" s="15">
        <v>0.0643777143754612</v>
      </c>
      <c r="K3398" s="12">
        <f>AVERAGE(I3397:I3401)</f>
        <v>0.2640759691</v>
      </c>
      <c r="L3398" s="18">
        <v>6872.0</v>
      </c>
      <c r="M3398" s="14">
        <f>STDEV(L3397:L3401)</f>
        <v>32350.08353</v>
      </c>
      <c r="N3398" s="15" t="b">
        <f t="shared" si="1"/>
        <v>0</v>
      </c>
    </row>
    <row r="3399" hidden="1">
      <c r="A3399" s="7" t="s">
        <v>688</v>
      </c>
      <c r="B3399" s="7" t="s">
        <v>519</v>
      </c>
      <c r="C3399" s="7">
        <v>0.75</v>
      </c>
      <c r="D3399" s="7">
        <v>0.25</v>
      </c>
      <c r="E3399" s="7">
        <v>10.0</v>
      </c>
      <c r="F3399" s="7">
        <v>123652.009811162</v>
      </c>
      <c r="G3399" s="7">
        <v>123706.298258304</v>
      </c>
      <c r="H3399" s="7">
        <v>2.0</v>
      </c>
      <c r="I3399" s="15">
        <v>0.362450962022979</v>
      </c>
      <c r="J3399" s="15">
        <v>0.0532118469212599</v>
      </c>
      <c r="K3399" s="12">
        <f>AVERAGE(I3397:I3401)</f>
        <v>0.2640759691</v>
      </c>
      <c r="L3399" s="18">
        <v>19897.0</v>
      </c>
      <c r="M3399" s="14">
        <f>STDEV(L3397:L3401)</f>
        <v>32350.08353</v>
      </c>
      <c r="N3399" s="15" t="b">
        <f t="shared" si="1"/>
        <v>0</v>
      </c>
    </row>
    <row r="3400" hidden="1">
      <c r="A3400" s="7" t="s">
        <v>688</v>
      </c>
      <c r="B3400" s="7" t="s">
        <v>519</v>
      </c>
      <c r="C3400" s="7">
        <v>0.75</v>
      </c>
      <c r="D3400" s="7">
        <v>0.25</v>
      </c>
      <c r="E3400" s="7">
        <v>10.0</v>
      </c>
      <c r="F3400" s="7">
        <v>123652.009811162</v>
      </c>
      <c r="G3400" s="7">
        <v>123706.298258304</v>
      </c>
      <c r="H3400" s="7">
        <v>3.0</v>
      </c>
      <c r="I3400" s="15">
        <v>0.0480600737201375</v>
      </c>
      <c r="J3400" s="15">
        <v>0.0424448210114764</v>
      </c>
      <c r="K3400" s="12">
        <f>AVERAGE(I3397:I3401)</f>
        <v>0.2640759691</v>
      </c>
      <c r="L3400" s="18">
        <v>27556.0</v>
      </c>
      <c r="M3400" s="14">
        <f>STDEV(L3397:L3401)</f>
        <v>32350.08353</v>
      </c>
      <c r="N3400" s="15" t="b">
        <f t="shared" si="1"/>
        <v>0</v>
      </c>
    </row>
    <row r="3401" hidden="1">
      <c r="A3401" s="7" t="s">
        <v>688</v>
      </c>
      <c r="B3401" s="7" t="s">
        <v>519</v>
      </c>
      <c r="C3401" s="7">
        <v>0.75</v>
      </c>
      <c r="D3401" s="7">
        <v>0.25</v>
      </c>
      <c r="E3401" s="7">
        <v>10.0</v>
      </c>
      <c r="F3401" s="7">
        <v>123652.009811162</v>
      </c>
      <c r="G3401" s="7">
        <v>123706.298258304</v>
      </c>
      <c r="H3401" s="7">
        <v>4.0</v>
      </c>
      <c r="I3401" s="15">
        <v>-0.0378245079841286</v>
      </c>
      <c r="J3401" s="15">
        <v>0.235164473242784</v>
      </c>
      <c r="K3401" s="12">
        <f>AVERAGE(I3397:I3401)</f>
        <v>0.2640759691</v>
      </c>
      <c r="L3401" s="18">
        <v>83569.0</v>
      </c>
      <c r="M3401" s="14">
        <f>STDEV(L3397:L3401)</f>
        <v>32350.08353</v>
      </c>
      <c r="N3401" s="15" t="b">
        <f t="shared" si="1"/>
        <v>0</v>
      </c>
    </row>
    <row r="3402" hidden="1">
      <c r="A3402" s="7" t="s">
        <v>689</v>
      </c>
      <c r="B3402" s="7" t="s">
        <v>519</v>
      </c>
      <c r="C3402" s="7">
        <v>0.75</v>
      </c>
      <c r="D3402" s="7">
        <v>0.5</v>
      </c>
      <c r="E3402" s="7">
        <v>1.0</v>
      </c>
      <c r="F3402" s="7">
        <v>274807.907463312</v>
      </c>
      <c r="G3402" s="7">
        <v>274901.707825183</v>
      </c>
      <c r="H3402" s="7">
        <v>0.0</v>
      </c>
      <c r="I3402" s="15">
        <v>-0.00404740373426615</v>
      </c>
      <c r="J3402" s="15">
        <v>0.198101166532815</v>
      </c>
      <c r="K3402" s="12">
        <f>AVERAGE(I3402:I3406)</f>
        <v>0.3973390593</v>
      </c>
      <c r="L3402" s="18">
        <v>111760.0</v>
      </c>
      <c r="M3402" s="14">
        <f>STDEV(L3402:L3406)</f>
        <v>46776.12495</v>
      </c>
      <c r="N3402" s="15" t="b">
        <f t="shared" si="1"/>
        <v>0</v>
      </c>
    </row>
    <row r="3403" hidden="1">
      <c r="A3403" s="7" t="s">
        <v>689</v>
      </c>
      <c r="B3403" s="7" t="s">
        <v>519</v>
      </c>
      <c r="C3403" s="7">
        <v>0.75</v>
      </c>
      <c r="D3403" s="7">
        <v>0.5</v>
      </c>
      <c r="E3403" s="7">
        <v>1.0</v>
      </c>
      <c r="F3403" s="7">
        <v>274807.907463312</v>
      </c>
      <c r="G3403" s="7">
        <v>274901.707825183</v>
      </c>
      <c r="H3403" s="7">
        <v>1.0</v>
      </c>
      <c r="I3403" s="15">
        <v>0.127894357360828</v>
      </c>
      <c r="J3403" s="15">
        <v>0.103737440397363</v>
      </c>
      <c r="K3403" s="12">
        <f>AVERAGE(I3402:I3406)</f>
        <v>0.3973390593</v>
      </c>
      <c r="L3403" s="18">
        <v>6800.0</v>
      </c>
      <c r="M3403" s="14">
        <f>STDEV(L3402:L3406)</f>
        <v>46776.12495</v>
      </c>
      <c r="N3403" s="15" t="b">
        <f t="shared" si="1"/>
        <v>0</v>
      </c>
    </row>
    <row r="3404" hidden="1">
      <c r="A3404" s="7" t="s">
        <v>689</v>
      </c>
      <c r="B3404" s="7" t="s">
        <v>519</v>
      </c>
      <c r="C3404" s="7">
        <v>0.75</v>
      </c>
      <c r="D3404" s="7">
        <v>0.5</v>
      </c>
      <c r="E3404" s="7">
        <v>1.0</v>
      </c>
      <c r="F3404" s="7">
        <v>274807.907463312</v>
      </c>
      <c r="G3404" s="7">
        <v>274901.707825183</v>
      </c>
      <c r="H3404" s="7">
        <v>2.0</v>
      </c>
      <c r="I3404" s="15">
        <v>0.829782408811061</v>
      </c>
      <c r="J3404" s="15">
        <v>0.101387495611097</v>
      </c>
      <c r="K3404" s="12">
        <f>AVERAGE(I3402:I3406)</f>
        <v>0.3973390593</v>
      </c>
      <c r="L3404" s="18">
        <v>7443.0</v>
      </c>
      <c r="M3404" s="14">
        <f>STDEV(L3402:L3406)</f>
        <v>46776.12495</v>
      </c>
      <c r="N3404" s="15" t="b">
        <f t="shared" si="1"/>
        <v>0</v>
      </c>
    </row>
    <row r="3405" hidden="1">
      <c r="A3405" s="7" t="s">
        <v>689</v>
      </c>
      <c r="B3405" s="7" t="s">
        <v>519</v>
      </c>
      <c r="C3405" s="7">
        <v>0.75</v>
      </c>
      <c r="D3405" s="7">
        <v>0.5</v>
      </c>
      <c r="E3405" s="7">
        <v>1.0</v>
      </c>
      <c r="F3405" s="7">
        <v>274807.907463312</v>
      </c>
      <c r="G3405" s="7">
        <v>274901.707825183</v>
      </c>
      <c r="H3405" s="7">
        <v>3.0</v>
      </c>
      <c r="I3405" s="15">
        <v>0.727597589265791</v>
      </c>
      <c r="J3405" s="15">
        <v>0.15049522082077</v>
      </c>
      <c r="K3405" s="12">
        <f>AVERAGE(I3402:I3406)</f>
        <v>0.3973390593</v>
      </c>
      <c r="L3405" s="18">
        <v>2753.0</v>
      </c>
      <c r="M3405" s="14">
        <f>STDEV(L3402:L3406)</f>
        <v>46776.12495</v>
      </c>
      <c r="N3405" s="15" t="b">
        <f t="shared" si="1"/>
        <v>0</v>
      </c>
    </row>
    <row r="3406" hidden="1">
      <c r="A3406" s="7" t="s">
        <v>689</v>
      </c>
      <c r="B3406" s="7" t="s">
        <v>519</v>
      </c>
      <c r="C3406" s="7">
        <v>0.75</v>
      </c>
      <c r="D3406" s="7">
        <v>0.5</v>
      </c>
      <c r="E3406" s="7">
        <v>1.0</v>
      </c>
      <c r="F3406" s="7">
        <v>274807.907463312</v>
      </c>
      <c r="G3406" s="7">
        <v>274901.707825183</v>
      </c>
      <c r="H3406" s="7">
        <v>4.0</v>
      </c>
      <c r="I3406" s="15">
        <v>0.305468344747389</v>
      </c>
      <c r="J3406" s="15">
        <v>0.121976876732834</v>
      </c>
      <c r="K3406" s="12">
        <f>AVERAGE(I3402:I3406)</f>
        <v>0.3973390593</v>
      </c>
      <c r="L3406" s="18">
        <v>12920.0</v>
      </c>
      <c r="M3406" s="14">
        <f>STDEV(L3402:L3406)</f>
        <v>46776.12495</v>
      </c>
      <c r="N3406" s="15" t="b">
        <f t="shared" si="1"/>
        <v>0</v>
      </c>
    </row>
    <row r="3407" hidden="1">
      <c r="A3407" s="7" t="s">
        <v>690</v>
      </c>
      <c r="B3407" s="7" t="s">
        <v>519</v>
      </c>
      <c r="C3407" s="7">
        <v>0.75</v>
      </c>
      <c r="D3407" s="7">
        <v>0.5</v>
      </c>
      <c r="E3407" s="7">
        <v>2.0</v>
      </c>
      <c r="F3407" s="7">
        <v>261948.931165695</v>
      </c>
      <c r="G3407" s="7">
        <v>262131.02175045</v>
      </c>
      <c r="H3407" s="7">
        <v>0.0</v>
      </c>
      <c r="I3407" s="15">
        <v>0.336957849213459</v>
      </c>
      <c r="J3407" s="15">
        <v>0.120090654732488</v>
      </c>
      <c r="K3407" s="12">
        <f>AVERAGE(I3407:I3411)</f>
        <v>0.389431942</v>
      </c>
      <c r="L3407" s="18">
        <v>4014.0</v>
      </c>
      <c r="M3407" s="14">
        <f>STDEV(L3407:L3411)</f>
        <v>49569.14823</v>
      </c>
      <c r="N3407" s="15" t="b">
        <f t="shared" si="1"/>
        <v>0</v>
      </c>
    </row>
    <row r="3408" hidden="1">
      <c r="A3408" s="7" t="s">
        <v>690</v>
      </c>
      <c r="B3408" s="7" t="s">
        <v>519</v>
      </c>
      <c r="C3408" s="7">
        <v>0.75</v>
      </c>
      <c r="D3408" s="7">
        <v>0.5</v>
      </c>
      <c r="E3408" s="7">
        <v>2.0</v>
      </c>
      <c r="F3408" s="7">
        <v>261948.931165695</v>
      </c>
      <c r="G3408" s="7">
        <v>262131.02175045</v>
      </c>
      <c r="H3408" s="7">
        <v>1.0</v>
      </c>
      <c r="I3408" s="15">
        <v>0.0560162337928464</v>
      </c>
      <c r="J3408" s="15">
        <v>0.110936711392172</v>
      </c>
      <c r="K3408" s="12">
        <f>AVERAGE(I3407:I3411)</f>
        <v>0.389431942</v>
      </c>
      <c r="L3408" s="18">
        <v>116977.0</v>
      </c>
      <c r="M3408" s="14">
        <f>STDEV(L3407:L3411)</f>
        <v>49569.14823</v>
      </c>
      <c r="N3408" s="15" t="b">
        <f t="shared" si="1"/>
        <v>0</v>
      </c>
    </row>
    <row r="3409" hidden="1">
      <c r="A3409" s="7" t="s">
        <v>690</v>
      </c>
      <c r="B3409" s="7" t="s">
        <v>519</v>
      </c>
      <c r="C3409" s="7">
        <v>0.75</v>
      </c>
      <c r="D3409" s="7">
        <v>0.5</v>
      </c>
      <c r="E3409" s="7">
        <v>2.0</v>
      </c>
      <c r="F3409" s="7">
        <v>261948.931165695</v>
      </c>
      <c r="G3409" s="7">
        <v>262131.02175045</v>
      </c>
      <c r="H3409" s="7">
        <v>2.0</v>
      </c>
      <c r="I3409" s="15">
        <v>0.495281764210573</v>
      </c>
      <c r="J3409" s="15">
        <v>0.180018802607749</v>
      </c>
      <c r="K3409" s="12">
        <f>AVERAGE(I3407:I3411)</f>
        <v>0.389431942</v>
      </c>
      <c r="L3409" s="18">
        <v>6340.0</v>
      </c>
      <c r="M3409" s="14">
        <f>STDEV(L3407:L3411)</f>
        <v>49569.14823</v>
      </c>
      <c r="N3409" s="15" t="b">
        <f t="shared" si="1"/>
        <v>0</v>
      </c>
    </row>
    <row r="3410" hidden="1">
      <c r="A3410" s="7" t="s">
        <v>690</v>
      </c>
      <c r="B3410" s="7" t="s">
        <v>519</v>
      </c>
      <c r="C3410" s="7">
        <v>0.75</v>
      </c>
      <c r="D3410" s="7">
        <v>0.5</v>
      </c>
      <c r="E3410" s="7">
        <v>2.0</v>
      </c>
      <c r="F3410" s="7">
        <v>261948.931165695</v>
      </c>
      <c r="G3410" s="7">
        <v>262131.02175045</v>
      </c>
      <c r="H3410" s="7">
        <v>3.0</v>
      </c>
      <c r="I3410" s="15">
        <v>0.206056471974741</v>
      </c>
      <c r="J3410" s="15">
        <v>0.133167302064464</v>
      </c>
      <c r="K3410" s="12">
        <f>AVERAGE(I3407:I3411)</f>
        <v>0.389431942</v>
      </c>
      <c r="L3410" s="18">
        <v>7129.0</v>
      </c>
      <c r="M3410" s="14">
        <f>STDEV(L3407:L3411)</f>
        <v>49569.14823</v>
      </c>
      <c r="N3410" s="15" t="b">
        <f t="shared" si="1"/>
        <v>0</v>
      </c>
    </row>
    <row r="3411" hidden="1">
      <c r="A3411" s="7" t="s">
        <v>690</v>
      </c>
      <c r="B3411" s="7" t="s">
        <v>519</v>
      </c>
      <c r="C3411" s="7">
        <v>0.75</v>
      </c>
      <c r="D3411" s="7">
        <v>0.5</v>
      </c>
      <c r="E3411" s="7">
        <v>2.0</v>
      </c>
      <c r="F3411" s="7">
        <v>261948.931165695</v>
      </c>
      <c r="G3411" s="7">
        <v>262131.02175045</v>
      </c>
      <c r="H3411" s="7">
        <v>4.0</v>
      </c>
      <c r="I3411" s="15">
        <v>0.852847390891783</v>
      </c>
      <c r="J3411" s="15">
        <v>0.0748420475637168</v>
      </c>
      <c r="K3411" s="12">
        <f>AVERAGE(I3407:I3411)</f>
        <v>0.389431942</v>
      </c>
      <c r="L3411" s="18">
        <v>7216.0</v>
      </c>
      <c r="M3411" s="14">
        <f>STDEV(L3407:L3411)</f>
        <v>49569.14823</v>
      </c>
      <c r="N3411" s="15" t="b">
        <f t="shared" si="1"/>
        <v>0</v>
      </c>
    </row>
    <row r="3412" hidden="1">
      <c r="A3412" s="7" t="s">
        <v>691</v>
      </c>
      <c r="B3412" s="7" t="s">
        <v>519</v>
      </c>
      <c r="C3412" s="7">
        <v>0.75</v>
      </c>
      <c r="D3412" s="7">
        <v>0.5</v>
      </c>
      <c r="E3412" s="7">
        <v>3.0</v>
      </c>
      <c r="F3412" s="7">
        <v>216856.928973674</v>
      </c>
      <c r="G3412" s="7">
        <v>216989.832594633</v>
      </c>
      <c r="H3412" s="7">
        <v>0.0</v>
      </c>
      <c r="I3412" s="15">
        <v>0.363131240567698</v>
      </c>
      <c r="J3412" s="15">
        <v>0.210908671351005</v>
      </c>
      <c r="K3412" s="12">
        <f>AVERAGE(I3412:I3416)</f>
        <v>0.4547325437</v>
      </c>
      <c r="L3412" s="18">
        <v>11866.0</v>
      </c>
      <c r="M3412" s="14">
        <f>STDEV(L3412:L3416)</f>
        <v>51682.12187</v>
      </c>
      <c r="N3412" s="15" t="b">
        <f t="shared" si="1"/>
        <v>0</v>
      </c>
    </row>
    <row r="3413" hidden="1">
      <c r="A3413" s="7" t="s">
        <v>691</v>
      </c>
      <c r="B3413" s="7" t="s">
        <v>519</v>
      </c>
      <c r="C3413" s="7">
        <v>0.75</v>
      </c>
      <c r="D3413" s="7">
        <v>0.5</v>
      </c>
      <c r="E3413" s="7">
        <v>3.0</v>
      </c>
      <c r="F3413" s="7">
        <v>216856.928973674</v>
      </c>
      <c r="G3413" s="7">
        <v>216989.832594633</v>
      </c>
      <c r="H3413" s="7">
        <v>1.0</v>
      </c>
      <c r="I3413" s="15">
        <v>0.718379826520965</v>
      </c>
      <c r="J3413" s="15">
        <v>0.144395367077438</v>
      </c>
      <c r="K3413" s="12">
        <f>AVERAGE(I3412:I3416)</f>
        <v>0.4547325437</v>
      </c>
      <c r="L3413" s="18">
        <v>2819.0</v>
      </c>
      <c r="M3413" s="14">
        <f>STDEV(L3412:L3416)</f>
        <v>51682.12187</v>
      </c>
      <c r="N3413" s="15" t="b">
        <f t="shared" si="1"/>
        <v>0</v>
      </c>
    </row>
    <row r="3414" hidden="1">
      <c r="A3414" s="7" t="s">
        <v>691</v>
      </c>
      <c r="B3414" s="7" t="s">
        <v>519</v>
      </c>
      <c r="C3414" s="7">
        <v>0.75</v>
      </c>
      <c r="D3414" s="7">
        <v>0.5</v>
      </c>
      <c r="E3414" s="7">
        <v>3.0</v>
      </c>
      <c r="F3414" s="7">
        <v>216856.928973674</v>
      </c>
      <c r="G3414" s="7">
        <v>216989.832594633</v>
      </c>
      <c r="H3414" s="7">
        <v>2.0</v>
      </c>
      <c r="I3414" s="15">
        <v>0.0116000117291035</v>
      </c>
      <c r="J3414" s="15">
        <v>0.231407486064601</v>
      </c>
      <c r="K3414" s="12">
        <f>AVERAGE(I3412:I3416)</f>
        <v>0.4547325437</v>
      </c>
      <c r="L3414" s="18">
        <v>120531.0</v>
      </c>
      <c r="M3414" s="14">
        <f>STDEV(L3412:L3416)</f>
        <v>51682.12187</v>
      </c>
      <c r="N3414" s="15" t="b">
        <f t="shared" si="1"/>
        <v>0</v>
      </c>
    </row>
    <row r="3415" hidden="1">
      <c r="A3415" s="7" t="s">
        <v>691</v>
      </c>
      <c r="B3415" s="7" t="s">
        <v>519</v>
      </c>
      <c r="C3415" s="7">
        <v>0.75</v>
      </c>
      <c r="D3415" s="7">
        <v>0.5</v>
      </c>
      <c r="E3415" s="7">
        <v>3.0</v>
      </c>
      <c r="F3415" s="7">
        <v>216856.928973674</v>
      </c>
      <c r="G3415" s="7">
        <v>216989.832594633</v>
      </c>
      <c r="H3415" s="7">
        <v>3.0</v>
      </c>
      <c r="I3415" s="15">
        <v>0.861358213884302</v>
      </c>
      <c r="J3415" s="15">
        <v>0.071990730330425</v>
      </c>
      <c r="K3415" s="12">
        <f>AVERAGE(I3412:I3416)</f>
        <v>0.4547325437</v>
      </c>
      <c r="L3415" s="18">
        <v>2440.0</v>
      </c>
      <c r="M3415" s="14">
        <f>STDEV(L3412:L3416)</f>
        <v>51682.12187</v>
      </c>
      <c r="N3415" s="15" t="b">
        <f t="shared" si="1"/>
        <v>0</v>
      </c>
    </row>
    <row r="3416" hidden="1">
      <c r="A3416" s="7" t="s">
        <v>691</v>
      </c>
      <c r="B3416" s="7" t="s">
        <v>519</v>
      </c>
      <c r="C3416" s="7">
        <v>0.75</v>
      </c>
      <c r="D3416" s="7">
        <v>0.5</v>
      </c>
      <c r="E3416" s="7">
        <v>3.0</v>
      </c>
      <c r="F3416" s="7">
        <v>216856.928973674</v>
      </c>
      <c r="G3416" s="7">
        <v>216989.832594633</v>
      </c>
      <c r="H3416" s="7">
        <v>4.0</v>
      </c>
      <c r="I3416" s="15">
        <v>0.319193425971877</v>
      </c>
      <c r="J3416" s="15">
        <v>0.138033519151144</v>
      </c>
      <c r="K3416" s="12">
        <f>AVERAGE(I3412:I3416)</f>
        <v>0.4547325437</v>
      </c>
      <c r="L3416" s="18">
        <v>4020.0</v>
      </c>
      <c r="M3416" s="14">
        <f>STDEV(L3412:L3416)</f>
        <v>51682.12187</v>
      </c>
      <c r="N3416" s="15" t="b">
        <f t="shared" si="1"/>
        <v>0</v>
      </c>
    </row>
    <row r="3417" hidden="1">
      <c r="A3417" s="7" t="s">
        <v>692</v>
      </c>
      <c r="B3417" s="7" t="s">
        <v>519</v>
      </c>
      <c r="C3417" s="7">
        <v>0.75</v>
      </c>
      <c r="D3417" s="7">
        <v>0.5</v>
      </c>
      <c r="E3417" s="7">
        <v>4.0</v>
      </c>
      <c r="F3417" s="7">
        <v>435290.737740755</v>
      </c>
      <c r="G3417" s="7">
        <v>435446.846116066</v>
      </c>
      <c r="H3417" s="7">
        <v>0.0</v>
      </c>
      <c r="I3417" s="15">
        <v>0.0011535085728393</v>
      </c>
      <c r="J3417" s="15">
        <v>0.270436016054193</v>
      </c>
      <c r="K3417" s="12">
        <f>AVERAGE(I3417:I3421)</f>
        <v>0.4038450954</v>
      </c>
      <c r="L3417" s="18">
        <v>95317.0</v>
      </c>
      <c r="M3417" s="14">
        <f>STDEV(L3417:L3421)</f>
        <v>39267.97123</v>
      </c>
      <c r="N3417" s="15" t="b">
        <f t="shared" si="1"/>
        <v>0</v>
      </c>
    </row>
    <row r="3418" hidden="1">
      <c r="A3418" s="7" t="s">
        <v>692</v>
      </c>
      <c r="B3418" s="7" t="s">
        <v>519</v>
      </c>
      <c r="C3418" s="7">
        <v>0.75</v>
      </c>
      <c r="D3418" s="7">
        <v>0.5</v>
      </c>
      <c r="E3418" s="7">
        <v>4.0</v>
      </c>
      <c r="F3418" s="7">
        <v>435290.737740755</v>
      </c>
      <c r="G3418" s="7">
        <v>435446.846116066</v>
      </c>
      <c r="H3418" s="7">
        <v>1.0</v>
      </c>
      <c r="I3418" s="15">
        <v>0.0406180826655028</v>
      </c>
      <c r="J3418" s="15">
        <v>0.05793413195857</v>
      </c>
      <c r="K3418" s="12">
        <f>AVERAGE(I3417:I3421)</f>
        <v>0.4038450954</v>
      </c>
      <c r="L3418" s="18">
        <v>32030.0</v>
      </c>
      <c r="M3418" s="14">
        <f>STDEV(L3417:L3421)</f>
        <v>39267.97123</v>
      </c>
      <c r="N3418" s="15" t="b">
        <f t="shared" si="1"/>
        <v>0</v>
      </c>
    </row>
    <row r="3419" hidden="1">
      <c r="A3419" s="7" t="s">
        <v>692</v>
      </c>
      <c r="B3419" s="7" t="s">
        <v>519</v>
      </c>
      <c r="C3419" s="7">
        <v>0.75</v>
      </c>
      <c r="D3419" s="7">
        <v>0.5</v>
      </c>
      <c r="E3419" s="7">
        <v>4.0</v>
      </c>
      <c r="F3419" s="7">
        <v>435290.737740755</v>
      </c>
      <c r="G3419" s="7">
        <v>435446.846116066</v>
      </c>
      <c r="H3419" s="7">
        <v>2.0</v>
      </c>
      <c r="I3419" s="15">
        <v>0.787809799498699</v>
      </c>
      <c r="J3419" s="15">
        <v>0.108326759497055</v>
      </c>
      <c r="K3419" s="12">
        <f>AVERAGE(I3417:I3421)</f>
        <v>0.4038450954</v>
      </c>
      <c r="L3419" s="18">
        <v>6090.0</v>
      </c>
      <c r="M3419" s="14">
        <f>STDEV(L3417:L3421)</f>
        <v>39267.97123</v>
      </c>
      <c r="N3419" s="15" t="b">
        <f t="shared" si="1"/>
        <v>0</v>
      </c>
    </row>
    <row r="3420" hidden="1">
      <c r="A3420" s="7" t="s">
        <v>692</v>
      </c>
      <c r="B3420" s="7" t="s">
        <v>519</v>
      </c>
      <c r="C3420" s="7">
        <v>0.75</v>
      </c>
      <c r="D3420" s="7">
        <v>0.5</v>
      </c>
      <c r="E3420" s="7">
        <v>4.0</v>
      </c>
      <c r="F3420" s="7">
        <v>435290.737740755</v>
      </c>
      <c r="G3420" s="7">
        <v>435446.846116066</v>
      </c>
      <c r="H3420" s="7">
        <v>3.0</v>
      </c>
      <c r="I3420" s="15">
        <v>0.323190252481481</v>
      </c>
      <c r="J3420" s="15">
        <v>0.117014962055448</v>
      </c>
      <c r="K3420" s="12">
        <f>AVERAGE(I3417:I3421)</f>
        <v>0.4038450954</v>
      </c>
      <c r="L3420" s="18">
        <v>3993.0</v>
      </c>
      <c r="M3420" s="14">
        <f>STDEV(L3417:L3421)</f>
        <v>39267.97123</v>
      </c>
      <c r="N3420" s="15" t="b">
        <f t="shared" si="1"/>
        <v>0</v>
      </c>
    </row>
    <row r="3421" hidden="1">
      <c r="A3421" s="7" t="s">
        <v>692</v>
      </c>
      <c r="B3421" s="7" t="s">
        <v>519</v>
      </c>
      <c r="C3421" s="7">
        <v>0.75</v>
      </c>
      <c r="D3421" s="7">
        <v>0.5</v>
      </c>
      <c r="E3421" s="7">
        <v>4.0</v>
      </c>
      <c r="F3421" s="7">
        <v>435290.737740755</v>
      </c>
      <c r="G3421" s="7">
        <v>435446.846116066</v>
      </c>
      <c r="H3421" s="7">
        <v>4.0</v>
      </c>
      <c r="I3421" s="15">
        <v>0.866453833921169</v>
      </c>
      <c r="J3421" s="15">
        <v>0.077025513238615</v>
      </c>
      <c r="K3421" s="12">
        <f>AVERAGE(I3417:I3421)</f>
        <v>0.4038450954</v>
      </c>
      <c r="L3421" s="18">
        <v>4246.0</v>
      </c>
      <c r="M3421" s="14">
        <f>STDEV(L3417:L3421)</f>
        <v>39267.97123</v>
      </c>
      <c r="N3421" s="15" t="b">
        <f t="shared" si="1"/>
        <v>0</v>
      </c>
    </row>
    <row r="3422" hidden="1">
      <c r="A3422" s="7" t="s">
        <v>693</v>
      </c>
      <c r="B3422" s="7" t="s">
        <v>519</v>
      </c>
      <c r="C3422" s="7">
        <v>0.75</v>
      </c>
      <c r="D3422" s="7">
        <v>0.5</v>
      </c>
      <c r="E3422" s="7">
        <v>5.0</v>
      </c>
      <c r="F3422" s="7">
        <v>461651.913262605</v>
      </c>
      <c r="G3422" s="7">
        <v>461812.151235818</v>
      </c>
      <c r="H3422" s="7">
        <v>0.0</v>
      </c>
      <c r="I3422" s="15">
        <v>0.495342713200999</v>
      </c>
      <c r="J3422" s="15">
        <v>0.284045266935503</v>
      </c>
      <c r="K3422" s="12">
        <f>AVERAGE(I3422:I3426)</f>
        <v>0.4924156183</v>
      </c>
      <c r="L3422" s="18">
        <v>9865.0</v>
      </c>
      <c r="M3422" s="14">
        <f>STDEV(L3422:L3426)</f>
        <v>47068.80095</v>
      </c>
      <c r="N3422" s="15" t="b">
        <f t="shared" si="1"/>
        <v>0</v>
      </c>
    </row>
    <row r="3423" hidden="1">
      <c r="A3423" s="7" t="s">
        <v>693</v>
      </c>
      <c r="B3423" s="7" t="s">
        <v>519</v>
      </c>
      <c r="C3423" s="7">
        <v>0.75</v>
      </c>
      <c r="D3423" s="7">
        <v>0.5</v>
      </c>
      <c r="E3423" s="7">
        <v>5.0</v>
      </c>
      <c r="F3423" s="7">
        <v>461651.913262605</v>
      </c>
      <c r="G3423" s="7">
        <v>461812.151235818</v>
      </c>
      <c r="H3423" s="7">
        <v>1.0</v>
      </c>
      <c r="I3423" s="15">
        <v>-0.0756220666711682</v>
      </c>
      <c r="J3423" s="15">
        <v>0.288461167837022</v>
      </c>
      <c r="K3423" s="12">
        <f>AVERAGE(I3422:I3426)</f>
        <v>0.4924156183</v>
      </c>
      <c r="L3423" s="18">
        <v>112456.0</v>
      </c>
      <c r="M3423" s="14">
        <f>STDEV(L3422:L3426)</f>
        <v>47068.80095</v>
      </c>
      <c r="N3423" s="15" t="b">
        <f t="shared" si="1"/>
        <v>0</v>
      </c>
    </row>
    <row r="3424" hidden="1">
      <c r="A3424" s="7" t="s">
        <v>693</v>
      </c>
      <c r="B3424" s="7" t="s">
        <v>519</v>
      </c>
      <c r="C3424" s="7">
        <v>0.75</v>
      </c>
      <c r="D3424" s="7">
        <v>0.5</v>
      </c>
      <c r="E3424" s="7">
        <v>5.0</v>
      </c>
      <c r="F3424" s="7">
        <v>461651.913262605</v>
      </c>
      <c r="G3424" s="7">
        <v>461812.151235818</v>
      </c>
      <c r="H3424" s="7">
        <v>2.0</v>
      </c>
      <c r="I3424" s="15">
        <v>0.469771543325678</v>
      </c>
      <c r="J3424" s="15">
        <v>0.219545843531808</v>
      </c>
      <c r="K3424" s="12">
        <f>AVERAGE(I3422:I3426)</f>
        <v>0.4924156183</v>
      </c>
      <c r="L3424" s="18">
        <v>8280.0</v>
      </c>
      <c r="M3424" s="14">
        <f>STDEV(L3422:L3426)</f>
        <v>47068.80095</v>
      </c>
      <c r="N3424" s="15" t="b">
        <f t="shared" si="1"/>
        <v>0</v>
      </c>
    </row>
    <row r="3425" hidden="1">
      <c r="A3425" s="7" t="s">
        <v>693</v>
      </c>
      <c r="B3425" s="7" t="s">
        <v>519</v>
      </c>
      <c r="C3425" s="7">
        <v>0.75</v>
      </c>
      <c r="D3425" s="7">
        <v>0.5</v>
      </c>
      <c r="E3425" s="7">
        <v>5.0</v>
      </c>
      <c r="F3425" s="7">
        <v>461651.913262605</v>
      </c>
      <c r="G3425" s="7">
        <v>461812.151235818</v>
      </c>
      <c r="H3425" s="7">
        <v>3.0</v>
      </c>
      <c r="I3425" s="15">
        <v>0.731639715239217</v>
      </c>
      <c r="J3425" s="15">
        <v>0.152872443437401</v>
      </c>
      <c r="K3425" s="12">
        <f>AVERAGE(I3422:I3426)</f>
        <v>0.4924156183</v>
      </c>
      <c r="L3425" s="18">
        <v>6710.0</v>
      </c>
      <c r="M3425" s="14">
        <f>STDEV(L3422:L3426)</f>
        <v>47068.80095</v>
      </c>
      <c r="N3425" s="15" t="b">
        <f t="shared" si="1"/>
        <v>0</v>
      </c>
    </row>
    <row r="3426" hidden="1">
      <c r="A3426" s="7" t="s">
        <v>693</v>
      </c>
      <c r="B3426" s="7" t="s">
        <v>519</v>
      </c>
      <c r="C3426" s="7">
        <v>0.75</v>
      </c>
      <c r="D3426" s="7">
        <v>0.5</v>
      </c>
      <c r="E3426" s="7">
        <v>5.0</v>
      </c>
      <c r="F3426" s="7">
        <v>461651.913262605</v>
      </c>
      <c r="G3426" s="7">
        <v>461812.151235818</v>
      </c>
      <c r="H3426" s="7">
        <v>4.0</v>
      </c>
      <c r="I3426" s="15">
        <v>0.84094618644793</v>
      </c>
      <c r="J3426" s="15">
        <v>0.10810085129168</v>
      </c>
      <c r="K3426" s="12">
        <f>AVERAGE(I3422:I3426)</f>
        <v>0.4924156183</v>
      </c>
      <c r="L3426" s="18">
        <v>4365.0</v>
      </c>
      <c r="M3426" s="14">
        <f>STDEV(L3422:L3426)</f>
        <v>47068.80095</v>
      </c>
      <c r="N3426" s="15" t="b">
        <f t="shared" si="1"/>
        <v>0</v>
      </c>
    </row>
    <row r="3427" hidden="1">
      <c r="A3427" s="7" t="s">
        <v>694</v>
      </c>
      <c r="B3427" s="7" t="s">
        <v>519</v>
      </c>
      <c r="C3427" s="7">
        <v>0.75</v>
      </c>
      <c r="D3427" s="7">
        <v>0.5</v>
      </c>
      <c r="E3427" s="7">
        <v>6.0</v>
      </c>
      <c r="F3427" s="7">
        <v>351120.920545816</v>
      </c>
      <c r="G3427" s="7">
        <v>351220.447735309</v>
      </c>
      <c r="H3427" s="7">
        <v>0.0</v>
      </c>
      <c r="I3427" s="15">
        <v>0.846325934878817</v>
      </c>
      <c r="J3427" s="15">
        <v>0.0995846637685076</v>
      </c>
      <c r="K3427" s="12">
        <f>AVERAGE(I3427:I3431)</f>
        <v>0.3886338719</v>
      </c>
      <c r="L3427" s="18">
        <v>4340.0</v>
      </c>
      <c r="M3427" s="14">
        <f>STDEV(L3427:L3431)</f>
        <v>41416.5071</v>
      </c>
      <c r="N3427" s="15" t="b">
        <f t="shared" si="1"/>
        <v>0</v>
      </c>
    </row>
    <row r="3428" hidden="1">
      <c r="A3428" s="7" t="s">
        <v>694</v>
      </c>
      <c r="B3428" s="7" t="s">
        <v>519</v>
      </c>
      <c r="C3428" s="7">
        <v>0.75</v>
      </c>
      <c r="D3428" s="7">
        <v>0.5</v>
      </c>
      <c r="E3428" s="7">
        <v>6.0</v>
      </c>
      <c r="F3428" s="7">
        <v>351120.920545816</v>
      </c>
      <c r="G3428" s="7">
        <v>351220.447735309</v>
      </c>
      <c r="H3428" s="7">
        <v>1.0</v>
      </c>
      <c r="I3428" s="15">
        <v>0.180268796589463</v>
      </c>
      <c r="J3428" s="15">
        <v>0.0530034780807413</v>
      </c>
      <c r="K3428" s="12">
        <f>AVERAGE(I3427:I3431)</f>
        <v>0.3886338719</v>
      </c>
      <c r="L3428" s="18">
        <v>21612.0</v>
      </c>
      <c r="M3428" s="14">
        <f>STDEV(L3427:L3431)</f>
        <v>41416.5071</v>
      </c>
      <c r="N3428" s="15" t="b">
        <f t="shared" si="1"/>
        <v>0</v>
      </c>
    </row>
    <row r="3429" hidden="1">
      <c r="A3429" s="7" t="s">
        <v>694</v>
      </c>
      <c r="B3429" s="7" t="s">
        <v>519</v>
      </c>
      <c r="C3429" s="7">
        <v>0.75</v>
      </c>
      <c r="D3429" s="7">
        <v>0.5</v>
      </c>
      <c r="E3429" s="7">
        <v>6.0</v>
      </c>
      <c r="F3429" s="7">
        <v>351120.920545816</v>
      </c>
      <c r="G3429" s="7">
        <v>351220.447735309</v>
      </c>
      <c r="H3429" s="7">
        <v>2.0</v>
      </c>
      <c r="I3429" s="15">
        <v>-0.0353705905347544</v>
      </c>
      <c r="J3429" s="15">
        <v>0.125092363685949</v>
      </c>
      <c r="K3429" s="12">
        <f>AVERAGE(I3427:I3431)</f>
        <v>0.3886338719</v>
      </c>
      <c r="L3429" s="18">
        <v>101427.0</v>
      </c>
      <c r="M3429" s="14">
        <f>STDEV(L3427:L3431)</f>
        <v>41416.5071</v>
      </c>
      <c r="N3429" s="15" t="b">
        <f t="shared" si="1"/>
        <v>0</v>
      </c>
    </row>
    <row r="3430" hidden="1">
      <c r="A3430" s="7" t="s">
        <v>694</v>
      </c>
      <c r="B3430" s="7" t="s">
        <v>519</v>
      </c>
      <c r="C3430" s="7">
        <v>0.75</v>
      </c>
      <c r="D3430" s="7">
        <v>0.5</v>
      </c>
      <c r="E3430" s="7">
        <v>6.0</v>
      </c>
      <c r="F3430" s="7">
        <v>351120.920545816</v>
      </c>
      <c r="G3430" s="7">
        <v>351220.447735309</v>
      </c>
      <c r="H3430" s="7">
        <v>3.0</v>
      </c>
      <c r="I3430" s="15">
        <v>0.122257109917188</v>
      </c>
      <c r="J3430" s="15">
        <v>0.0643868320670743</v>
      </c>
      <c r="K3430" s="12">
        <f>AVERAGE(I3427:I3431)</f>
        <v>0.3886338719</v>
      </c>
      <c r="L3430" s="18">
        <v>6854.0</v>
      </c>
      <c r="M3430" s="14">
        <f>STDEV(L3427:L3431)</f>
        <v>41416.5071</v>
      </c>
      <c r="N3430" s="15" t="b">
        <f t="shared" si="1"/>
        <v>0</v>
      </c>
    </row>
    <row r="3431" hidden="1">
      <c r="A3431" s="7" t="s">
        <v>694</v>
      </c>
      <c r="B3431" s="7" t="s">
        <v>519</v>
      </c>
      <c r="C3431" s="7">
        <v>0.75</v>
      </c>
      <c r="D3431" s="7">
        <v>0.5</v>
      </c>
      <c r="E3431" s="7">
        <v>6.0</v>
      </c>
      <c r="F3431" s="7">
        <v>351120.920545816</v>
      </c>
      <c r="G3431" s="7">
        <v>351220.447735309</v>
      </c>
      <c r="H3431" s="7">
        <v>4.0</v>
      </c>
      <c r="I3431" s="15">
        <v>0.829688108413167</v>
      </c>
      <c r="J3431" s="15">
        <v>0.100316432225896</v>
      </c>
      <c r="K3431" s="12">
        <f>AVERAGE(I3427:I3431)</f>
        <v>0.3886338719</v>
      </c>
      <c r="L3431" s="18">
        <v>7443.0</v>
      </c>
      <c r="M3431" s="14">
        <f>STDEV(L3427:L3431)</f>
        <v>41416.5071</v>
      </c>
      <c r="N3431" s="15" t="b">
        <f t="shared" si="1"/>
        <v>0</v>
      </c>
    </row>
    <row r="3432" hidden="1">
      <c r="A3432" s="7" t="s">
        <v>695</v>
      </c>
      <c r="B3432" s="7" t="s">
        <v>519</v>
      </c>
      <c r="C3432" s="7">
        <v>0.75</v>
      </c>
      <c r="D3432" s="7">
        <v>0.5</v>
      </c>
      <c r="E3432" s="7">
        <v>7.0</v>
      </c>
      <c r="F3432" s="7">
        <v>304832.188350915</v>
      </c>
      <c r="G3432" s="7">
        <v>305020.883167266</v>
      </c>
      <c r="H3432" s="7">
        <v>0.0</v>
      </c>
      <c r="I3432" s="15">
        <v>0.416921283174644</v>
      </c>
      <c r="J3432" s="15">
        <v>0.038664456538946</v>
      </c>
      <c r="K3432" s="12">
        <f>AVERAGE(I3432:I3436)</f>
        <v>0.3451193019</v>
      </c>
      <c r="L3432" s="18">
        <v>33192.0</v>
      </c>
      <c r="M3432" s="14">
        <f>STDEV(L3432:L3436)</f>
        <v>38580.1553</v>
      </c>
      <c r="N3432" s="15" t="b">
        <f t="shared" si="1"/>
        <v>0</v>
      </c>
    </row>
    <row r="3433" hidden="1">
      <c r="A3433" s="7" t="s">
        <v>695</v>
      </c>
      <c r="B3433" s="7" t="s">
        <v>519</v>
      </c>
      <c r="C3433" s="7">
        <v>0.75</v>
      </c>
      <c r="D3433" s="7">
        <v>0.5</v>
      </c>
      <c r="E3433" s="7">
        <v>7.0</v>
      </c>
      <c r="F3433" s="7">
        <v>304832.188350915</v>
      </c>
      <c r="G3433" s="7">
        <v>305020.883167266</v>
      </c>
      <c r="H3433" s="7">
        <v>1.0</v>
      </c>
      <c r="I3433" s="15">
        <v>0.0401553842489178</v>
      </c>
      <c r="J3433" s="15">
        <v>0.0784331147025776</v>
      </c>
      <c r="K3433" s="12">
        <f>AVERAGE(I3432:I3436)</f>
        <v>0.3451193019</v>
      </c>
      <c r="L3433" s="18">
        <v>93709.0</v>
      </c>
      <c r="M3433" s="14">
        <f>STDEV(L3432:L3436)</f>
        <v>38580.1553</v>
      </c>
      <c r="N3433" s="15" t="b">
        <f t="shared" si="1"/>
        <v>0</v>
      </c>
    </row>
    <row r="3434" hidden="1">
      <c r="A3434" s="7" t="s">
        <v>695</v>
      </c>
      <c r="B3434" s="7" t="s">
        <v>519</v>
      </c>
      <c r="C3434" s="7">
        <v>0.75</v>
      </c>
      <c r="D3434" s="7">
        <v>0.5</v>
      </c>
      <c r="E3434" s="7">
        <v>7.0</v>
      </c>
      <c r="F3434" s="7">
        <v>304832.188350915</v>
      </c>
      <c r="G3434" s="7">
        <v>305020.883167266</v>
      </c>
      <c r="H3434" s="7">
        <v>2.0</v>
      </c>
      <c r="I3434" s="15">
        <v>0.134657995353303</v>
      </c>
      <c r="J3434" s="15">
        <v>0.0714899729265952</v>
      </c>
      <c r="K3434" s="12">
        <f>AVERAGE(I3432:I3436)</f>
        <v>0.3451193019</v>
      </c>
      <c r="L3434" s="18">
        <v>6377.0</v>
      </c>
      <c r="M3434" s="14">
        <f>STDEV(L3432:L3436)</f>
        <v>38580.1553</v>
      </c>
      <c r="N3434" s="15" t="b">
        <f t="shared" si="1"/>
        <v>0</v>
      </c>
    </row>
    <row r="3435" hidden="1">
      <c r="A3435" s="7" t="s">
        <v>695</v>
      </c>
      <c r="B3435" s="7" t="s">
        <v>519</v>
      </c>
      <c r="C3435" s="7">
        <v>0.75</v>
      </c>
      <c r="D3435" s="7">
        <v>0.5</v>
      </c>
      <c r="E3435" s="7">
        <v>7.0</v>
      </c>
      <c r="F3435" s="7">
        <v>304832.188350915</v>
      </c>
      <c r="G3435" s="7">
        <v>305020.883167266</v>
      </c>
      <c r="H3435" s="7">
        <v>3.0</v>
      </c>
      <c r="I3435" s="15">
        <v>0.224401728748834</v>
      </c>
      <c r="J3435" s="15">
        <v>0.0483716835108577</v>
      </c>
      <c r="K3435" s="12">
        <f>AVERAGE(I3432:I3436)</f>
        <v>0.3451193019</v>
      </c>
      <c r="L3435" s="18">
        <v>6334.0</v>
      </c>
      <c r="M3435" s="14">
        <f>STDEV(L3432:L3436)</f>
        <v>38580.1553</v>
      </c>
      <c r="N3435" s="15" t="b">
        <f t="shared" si="1"/>
        <v>0</v>
      </c>
    </row>
    <row r="3436" hidden="1">
      <c r="A3436" s="7" t="s">
        <v>695</v>
      </c>
      <c r="B3436" s="7" t="s">
        <v>519</v>
      </c>
      <c r="C3436" s="7">
        <v>0.75</v>
      </c>
      <c r="D3436" s="7">
        <v>0.5</v>
      </c>
      <c r="E3436" s="7">
        <v>7.0</v>
      </c>
      <c r="F3436" s="7">
        <v>304832.188350915</v>
      </c>
      <c r="G3436" s="7">
        <v>305020.883167266</v>
      </c>
      <c r="H3436" s="7">
        <v>4.0</v>
      </c>
      <c r="I3436" s="15">
        <v>0.909460118041252</v>
      </c>
      <c r="J3436" s="15">
        <v>0.0437700683767782</v>
      </c>
      <c r="K3436" s="12">
        <f>AVERAGE(I3432:I3436)</f>
        <v>0.3451193019</v>
      </c>
      <c r="L3436" s="18">
        <v>2064.0</v>
      </c>
      <c r="M3436" s="14">
        <f>STDEV(L3432:L3436)</f>
        <v>38580.1553</v>
      </c>
      <c r="N3436" s="15" t="b">
        <f t="shared" si="1"/>
        <v>0</v>
      </c>
    </row>
    <row r="3437" hidden="1">
      <c r="A3437" s="7" t="s">
        <v>696</v>
      </c>
      <c r="B3437" s="7" t="s">
        <v>519</v>
      </c>
      <c r="C3437" s="7">
        <v>0.75</v>
      </c>
      <c r="D3437" s="7">
        <v>0.5</v>
      </c>
      <c r="E3437" s="7">
        <v>8.0</v>
      </c>
      <c r="F3437" s="7">
        <v>306155.586852073</v>
      </c>
      <c r="G3437" s="7">
        <v>306342.460473298</v>
      </c>
      <c r="H3437" s="7">
        <v>0.0</v>
      </c>
      <c r="I3437" s="15">
        <v>0.208077439280896</v>
      </c>
      <c r="J3437" s="15">
        <v>0.0240783330253816</v>
      </c>
      <c r="K3437" s="12">
        <f>AVERAGE(I3437:I3441)</f>
        <v>0.3385527146</v>
      </c>
      <c r="L3437" s="18">
        <v>25968.0</v>
      </c>
      <c r="M3437" s="14">
        <f>STDEV(L3437:L3441)</f>
        <v>42613.03217</v>
      </c>
      <c r="N3437" s="15" t="b">
        <f t="shared" si="1"/>
        <v>0</v>
      </c>
    </row>
    <row r="3438" hidden="1">
      <c r="A3438" s="7" t="s">
        <v>696</v>
      </c>
      <c r="B3438" s="7" t="s">
        <v>519</v>
      </c>
      <c r="C3438" s="7">
        <v>0.75</v>
      </c>
      <c r="D3438" s="7">
        <v>0.5</v>
      </c>
      <c r="E3438" s="7">
        <v>8.0</v>
      </c>
      <c r="F3438" s="7">
        <v>306155.586852073</v>
      </c>
      <c r="G3438" s="7">
        <v>306342.460473298</v>
      </c>
      <c r="H3438" s="7">
        <v>1.0</v>
      </c>
      <c r="I3438" s="15">
        <v>0.0923470422423968</v>
      </c>
      <c r="J3438" s="15">
        <v>0.0642668838948179</v>
      </c>
      <c r="K3438" s="12">
        <f>AVERAGE(I3437:I3441)</f>
        <v>0.3385527146</v>
      </c>
      <c r="L3438" s="18">
        <v>102637.0</v>
      </c>
      <c r="M3438" s="14">
        <f>STDEV(L3437:L3441)</f>
        <v>42613.03217</v>
      </c>
      <c r="N3438" s="15" t="b">
        <f t="shared" si="1"/>
        <v>0</v>
      </c>
    </row>
    <row r="3439" hidden="1">
      <c r="A3439" s="7" t="s">
        <v>696</v>
      </c>
      <c r="B3439" s="7" t="s">
        <v>519</v>
      </c>
      <c r="C3439" s="7">
        <v>0.75</v>
      </c>
      <c r="D3439" s="7">
        <v>0.5</v>
      </c>
      <c r="E3439" s="7">
        <v>8.0</v>
      </c>
      <c r="F3439" s="7">
        <v>306155.586852073</v>
      </c>
      <c r="G3439" s="7">
        <v>306342.460473298</v>
      </c>
      <c r="H3439" s="7">
        <v>2.0</v>
      </c>
      <c r="I3439" s="15">
        <v>0.359697325656491</v>
      </c>
      <c r="J3439" s="15">
        <v>0.06522851245693</v>
      </c>
      <c r="K3439" s="12">
        <f>AVERAGE(I3437:I3441)</f>
        <v>0.3385527146</v>
      </c>
      <c r="L3439" s="18">
        <v>4025.0</v>
      </c>
      <c r="M3439" s="14">
        <f>STDEV(L3437:L3441)</f>
        <v>42613.03217</v>
      </c>
      <c r="N3439" s="15" t="b">
        <f t="shared" si="1"/>
        <v>0</v>
      </c>
    </row>
    <row r="3440" hidden="1">
      <c r="A3440" s="7" t="s">
        <v>696</v>
      </c>
      <c r="B3440" s="7" t="s">
        <v>519</v>
      </c>
      <c r="C3440" s="7">
        <v>0.75</v>
      </c>
      <c r="D3440" s="7">
        <v>0.5</v>
      </c>
      <c r="E3440" s="7">
        <v>8.0</v>
      </c>
      <c r="F3440" s="7">
        <v>306155.586852073</v>
      </c>
      <c r="G3440" s="7">
        <v>306342.460473298</v>
      </c>
      <c r="H3440" s="7">
        <v>3.0</v>
      </c>
      <c r="I3440" s="15">
        <v>0.910002073287639</v>
      </c>
      <c r="J3440" s="15">
        <v>0.0437429543323325</v>
      </c>
      <c r="K3440" s="12">
        <f>AVERAGE(I3437:I3441)</f>
        <v>0.3385527146</v>
      </c>
      <c r="L3440" s="18">
        <v>2064.0</v>
      </c>
      <c r="M3440" s="14">
        <f>STDEV(L3437:L3441)</f>
        <v>42613.03217</v>
      </c>
      <c r="N3440" s="15" t="b">
        <f t="shared" si="1"/>
        <v>0</v>
      </c>
    </row>
    <row r="3441" hidden="1">
      <c r="A3441" s="7" t="s">
        <v>696</v>
      </c>
      <c r="B3441" s="7" t="s">
        <v>519</v>
      </c>
      <c r="C3441" s="7">
        <v>0.75</v>
      </c>
      <c r="D3441" s="7">
        <v>0.5</v>
      </c>
      <c r="E3441" s="7">
        <v>8.0</v>
      </c>
      <c r="F3441" s="7">
        <v>306155.586852073</v>
      </c>
      <c r="G3441" s="7">
        <v>306342.460473298</v>
      </c>
      <c r="H3441" s="7">
        <v>4.0</v>
      </c>
      <c r="I3441" s="15">
        <v>0.12263969275933</v>
      </c>
      <c r="J3441" s="15">
        <v>0.0576516459883999</v>
      </c>
      <c r="K3441" s="12">
        <f>AVERAGE(I3437:I3441)</f>
        <v>0.3385527146</v>
      </c>
      <c r="L3441" s="18">
        <v>6982.0</v>
      </c>
      <c r="M3441" s="14">
        <f>STDEV(L3437:L3441)</f>
        <v>42613.03217</v>
      </c>
      <c r="N3441" s="15" t="b">
        <f t="shared" si="1"/>
        <v>0</v>
      </c>
    </row>
    <row r="3442" hidden="1">
      <c r="A3442" s="7" t="s">
        <v>697</v>
      </c>
      <c r="B3442" s="7" t="s">
        <v>519</v>
      </c>
      <c r="C3442" s="7">
        <v>0.75</v>
      </c>
      <c r="D3442" s="7">
        <v>0.5</v>
      </c>
      <c r="E3442" s="7">
        <v>9.0</v>
      </c>
      <c r="F3442" s="7">
        <v>103828.341621637</v>
      </c>
      <c r="G3442" s="7">
        <v>103889.411685228</v>
      </c>
      <c r="H3442" s="7">
        <v>0.0</v>
      </c>
      <c r="I3442" s="15">
        <v>0.439740543457615</v>
      </c>
      <c r="J3442" s="15">
        <v>0.222453640601613</v>
      </c>
      <c r="K3442" s="12">
        <f>AVERAGE(I3442:I3446)</f>
        <v>0.4299595395</v>
      </c>
      <c r="L3442" s="18">
        <v>7707.0</v>
      </c>
      <c r="M3442" s="14">
        <f>STDEV(L3442:L3446)</f>
        <v>42525.66414</v>
      </c>
      <c r="N3442" s="15" t="b">
        <f t="shared" si="1"/>
        <v>0</v>
      </c>
    </row>
    <row r="3443" hidden="1">
      <c r="A3443" s="7" t="s">
        <v>697</v>
      </c>
      <c r="B3443" s="7" t="s">
        <v>519</v>
      </c>
      <c r="C3443" s="7">
        <v>0.75</v>
      </c>
      <c r="D3443" s="7">
        <v>0.5</v>
      </c>
      <c r="E3443" s="7">
        <v>9.0</v>
      </c>
      <c r="F3443" s="7">
        <v>103828.341621637</v>
      </c>
      <c r="G3443" s="7">
        <v>103889.411685228</v>
      </c>
      <c r="H3443" s="7">
        <v>1.0</v>
      </c>
      <c r="I3443" s="15">
        <v>0.784455475027632</v>
      </c>
      <c r="J3443" s="15">
        <v>0.129944400687802</v>
      </c>
      <c r="K3443" s="12">
        <f>AVERAGE(I3442:I3446)</f>
        <v>0.4299595395</v>
      </c>
      <c r="L3443" s="18">
        <v>2680.0</v>
      </c>
      <c r="M3443" s="14">
        <f>STDEV(L3442:L3446)</f>
        <v>42525.66414</v>
      </c>
      <c r="N3443" s="15" t="b">
        <f t="shared" si="1"/>
        <v>0</v>
      </c>
    </row>
    <row r="3444" hidden="1">
      <c r="A3444" s="7" t="s">
        <v>697</v>
      </c>
      <c r="B3444" s="7" t="s">
        <v>519</v>
      </c>
      <c r="C3444" s="7">
        <v>0.75</v>
      </c>
      <c r="D3444" s="7">
        <v>0.5</v>
      </c>
      <c r="E3444" s="7">
        <v>9.0</v>
      </c>
      <c r="F3444" s="7">
        <v>103828.341621637</v>
      </c>
      <c r="G3444" s="7">
        <v>103889.411685228</v>
      </c>
      <c r="H3444" s="7">
        <v>2.0</v>
      </c>
      <c r="I3444" s="15">
        <v>0.192806536345296</v>
      </c>
      <c r="J3444" s="15">
        <v>0.0643514902802975</v>
      </c>
      <c r="K3444" s="12">
        <f>AVERAGE(I3442:I3446)</f>
        <v>0.4299595395</v>
      </c>
      <c r="L3444" s="18">
        <v>20322.0</v>
      </c>
      <c r="M3444" s="14">
        <f>STDEV(L3442:L3446)</f>
        <v>42525.66414</v>
      </c>
      <c r="N3444" s="15" t="b">
        <f t="shared" si="1"/>
        <v>0</v>
      </c>
    </row>
    <row r="3445" hidden="1">
      <c r="A3445" s="7" t="s">
        <v>697</v>
      </c>
      <c r="B3445" s="7" t="s">
        <v>519</v>
      </c>
      <c r="C3445" s="7">
        <v>0.75</v>
      </c>
      <c r="D3445" s="7">
        <v>0.5</v>
      </c>
      <c r="E3445" s="7">
        <v>9.0</v>
      </c>
      <c r="F3445" s="7">
        <v>103828.341621637</v>
      </c>
      <c r="G3445" s="7">
        <v>103889.411685228</v>
      </c>
      <c r="H3445" s="7">
        <v>3.0</v>
      </c>
      <c r="I3445" s="15">
        <v>0.827558186065355</v>
      </c>
      <c r="J3445" s="15">
        <v>0.103167530748274</v>
      </c>
      <c r="K3445" s="12">
        <f>AVERAGE(I3442:I3446)</f>
        <v>0.4299595395</v>
      </c>
      <c r="L3445" s="18">
        <v>7464.0</v>
      </c>
      <c r="M3445" s="14">
        <f>STDEV(L3442:L3446)</f>
        <v>42525.66414</v>
      </c>
      <c r="N3445" s="15" t="b">
        <f t="shared" si="1"/>
        <v>0</v>
      </c>
    </row>
    <row r="3446" hidden="1">
      <c r="A3446" s="7" t="s">
        <v>697</v>
      </c>
      <c r="B3446" s="7" t="s">
        <v>519</v>
      </c>
      <c r="C3446" s="7">
        <v>0.75</v>
      </c>
      <c r="D3446" s="7">
        <v>0.5</v>
      </c>
      <c r="E3446" s="7">
        <v>9.0</v>
      </c>
      <c r="F3446" s="7">
        <v>103828.341621637</v>
      </c>
      <c r="G3446" s="7">
        <v>103889.411685228</v>
      </c>
      <c r="H3446" s="7">
        <v>4.0</v>
      </c>
      <c r="I3446" s="15">
        <v>-0.0947630435133637</v>
      </c>
      <c r="J3446" s="15">
        <v>0.241675628260894</v>
      </c>
      <c r="K3446" s="12">
        <f>AVERAGE(I3442:I3446)</f>
        <v>0.4299595395</v>
      </c>
      <c r="L3446" s="18">
        <v>103503.0</v>
      </c>
      <c r="M3446" s="14">
        <f>STDEV(L3442:L3446)</f>
        <v>42525.66414</v>
      </c>
      <c r="N3446" s="15" t="b">
        <f t="shared" si="1"/>
        <v>0</v>
      </c>
    </row>
    <row r="3447" hidden="1">
      <c r="A3447" s="7" t="s">
        <v>698</v>
      </c>
      <c r="B3447" s="7" t="s">
        <v>519</v>
      </c>
      <c r="C3447" s="7">
        <v>0.75</v>
      </c>
      <c r="D3447" s="7">
        <v>0.5</v>
      </c>
      <c r="E3447" s="7">
        <v>10.0</v>
      </c>
      <c r="F3447" s="7">
        <v>432568.189423322</v>
      </c>
      <c r="G3447" s="7">
        <v>432658.99981594</v>
      </c>
      <c r="H3447" s="7">
        <v>0.0</v>
      </c>
      <c r="I3447" s="15">
        <v>0.336441055909697</v>
      </c>
      <c r="J3447" s="15">
        <v>0.0607603195672456</v>
      </c>
      <c r="K3447" s="12">
        <f>AVERAGE(I3447:I3451)</f>
        <v>0.360996812</v>
      </c>
      <c r="L3447" s="18">
        <v>14077.0</v>
      </c>
      <c r="M3447" s="14">
        <f>STDEV(L3447:L3451)</f>
        <v>41887.74277</v>
      </c>
      <c r="N3447" s="15" t="b">
        <f t="shared" si="1"/>
        <v>0</v>
      </c>
    </row>
    <row r="3448" hidden="1">
      <c r="A3448" s="7" t="s">
        <v>698</v>
      </c>
      <c r="B3448" s="7" t="s">
        <v>519</v>
      </c>
      <c r="C3448" s="7">
        <v>0.75</v>
      </c>
      <c r="D3448" s="7">
        <v>0.5</v>
      </c>
      <c r="E3448" s="7">
        <v>10.0</v>
      </c>
      <c r="F3448" s="7">
        <v>432568.189423322</v>
      </c>
      <c r="G3448" s="7">
        <v>432658.99981594</v>
      </c>
      <c r="H3448" s="7">
        <v>1.0</v>
      </c>
      <c r="I3448" s="15">
        <v>0.784146204172606</v>
      </c>
      <c r="J3448" s="15">
        <v>0.130923860918379</v>
      </c>
      <c r="K3448" s="12">
        <f>AVERAGE(I3447:I3451)</f>
        <v>0.360996812</v>
      </c>
      <c r="L3448" s="18">
        <v>2680.0</v>
      </c>
      <c r="M3448" s="14">
        <f>STDEV(L3447:L3451)</f>
        <v>41887.74277</v>
      </c>
      <c r="N3448" s="15" t="b">
        <f t="shared" si="1"/>
        <v>0</v>
      </c>
    </row>
    <row r="3449" hidden="1">
      <c r="A3449" s="7" t="s">
        <v>698</v>
      </c>
      <c r="B3449" s="7" t="s">
        <v>519</v>
      </c>
      <c r="C3449" s="7">
        <v>0.75</v>
      </c>
      <c r="D3449" s="7">
        <v>0.5</v>
      </c>
      <c r="E3449" s="7">
        <v>10.0</v>
      </c>
      <c r="F3449" s="7">
        <v>432568.189423322</v>
      </c>
      <c r="G3449" s="7">
        <v>432658.99981594</v>
      </c>
      <c r="H3449" s="7">
        <v>2.0</v>
      </c>
      <c r="I3449" s="15">
        <v>0.303816968852024</v>
      </c>
      <c r="J3449" s="15">
        <v>0.102069398835337</v>
      </c>
      <c r="K3449" s="12">
        <f>AVERAGE(I3447:I3451)</f>
        <v>0.360996812</v>
      </c>
      <c r="L3449" s="18">
        <v>12175.0</v>
      </c>
      <c r="M3449" s="14">
        <f>STDEV(L3447:L3451)</f>
        <v>41887.74277</v>
      </c>
      <c r="N3449" s="15" t="b">
        <f t="shared" si="1"/>
        <v>0</v>
      </c>
    </row>
    <row r="3450" hidden="1">
      <c r="A3450" s="7" t="s">
        <v>698</v>
      </c>
      <c r="B3450" s="7" t="s">
        <v>519</v>
      </c>
      <c r="C3450" s="7">
        <v>0.75</v>
      </c>
      <c r="D3450" s="7">
        <v>0.5</v>
      </c>
      <c r="E3450" s="7">
        <v>10.0</v>
      </c>
      <c r="F3450" s="7">
        <v>432568.189423322</v>
      </c>
      <c r="G3450" s="7">
        <v>432658.99981594</v>
      </c>
      <c r="H3450" s="7">
        <v>3.0</v>
      </c>
      <c r="I3450" s="15">
        <v>-0.117936697898692</v>
      </c>
      <c r="J3450" s="15">
        <v>0.235400873559495</v>
      </c>
      <c r="K3450" s="12">
        <f>AVERAGE(I3447:I3451)</f>
        <v>0.360996812</v>
      </c>
      <c r="L3450" s="18">
        <v>102867.0</v>
      </c>
      <c r="M3450" s="14">
        <f>STDEV(L3447:L3451)</f>
        <v>41887.74277</v>
      </c>
      <c r="N3450" s="15" t="b">
        <f t="shared" si="1"/>
        <v>0</v>
      </c>
    </row>
    <row r="3451" hidden="1">
      <c r="A3451" s="7" t="s">
        <v>698</v>
      </c>
      <c r="B3451" s="7" t="s">
        <v>519</v>
      </c>
      <c r="C3451" s="7">
        <v>0.75</v>
      </c>
      <c r="D3451" s="7">
        <v>0.5</v>
      </c>
      <c r="E3451" s="7">
        <v>10.0</v>
      </c>
      <c r="F3451" s="7">
        <v>432568.189423322</v>
      </c>
      <c r="G3451" s="7">
        <v>432658.99981594</v>
      </c>
      <c r="H3451" s="7">
        <v>4.0</v>
      </c>
      <c r="I3451" s="15">
        <v>0.498516529028334</v>
      </c>
      <c r="J3451" s="15">
        <v>0.275422820649977</v>
      </c>
      <c r="K3451" s="12">
        <f>AVERAGE(I3447:I3451)</f>
        <v>0.360996812</v>
      </c>
      <c r="L3451" s="18">
        <v>9877.0</v>
      </c>
      <c r="M3451" s="14">
        <f>STDEV(L3447:L3451)</f>
        <v>41887.74277</v>
      </c>
      <c r="N3451" s="15" t="b">
        <f t="shared" si="1"/>
        <v>0</v>
      </c>
    </row>
    <row r="3452" hidden="1">
      <c r="A3452" s="7" t="s">
        <v>699</v>
      </c>
      <c r="B3452" s="7" t="s">
        <v>519</v>
      </c>
      <c r="C3452" s="7">
        <v>0.75</v>
      </c>
      <c r="D3452" s="7">
        <v>0.75</v>
      </c>
      <c r="E3452" s="7">
        <v>1.0</v>
      </c>
      <c r="F3452" s="7">
        <v>386195.081310033</v>
      </c>
      <c r="G3452" s="7">
        <v>386288.202287435</v>
      </c>
      <c r="H3452" s="7">
        <v>0.0</v>
      </c>
      <c r="I3452" s="15">
        <v>0.356984054034643</v>
      </c>
      <c r="J3452" s="15">
        <v>0.0756437826336616</v>
      </c>
      <c r="K3452" s="12">
        <f>AVERAGE(I3452:I3456)</f>
        <v>0.3881669246</v>
      </c>
      <c r="L3452" s="18">
        <v>4016.0</v>
      </c>
      <c r="M3452" s="14">
        <f>STDEV(L3452:L3456)</f>
        <v>49819.10382</v>
      </c>
      <c r="N3452" s="15" t="b">
        <f t="shared" si="1"/>
        <v>0</v>
      </c>
    </row>
    <row r="3453" hidden="1">
      <c r="A3453" s="7" t="s">
        <v>699</v>
      </c>
      <c r="B3453" s="7" t="s">
        <v>519</v>
      </c>
      <c r="C3453" s="7">
        <v>0.75</v>
      </c>
      <c r="D3453" s="7">
        <v>0.75</v>
      </c>
      <c r="E3453" s="7">
        <v>1.0</v>
      </c>
      <c r="F3453" s="7">
        <v>386195.081310033</v>
      </c>
      <c r="G3453" s="7">
        <v>386288.202287435</v>
      </c>
      <c r="H3453" s="7">
        <v>1.0</v>
      </c>
      <c r="I3453" s="15">
        <v>0.173325128041427</v>
      </c>
      <c r="J3453" s="15">
        <v>0.0635375037792384</v>
      </c>
      <c r="K3453" s="12">
        <f>AVERAGE(I3452:I3456)</f>
        <v>0.3881669246</v>
      </c>
      <c r="L3453" s="18">
        <v>5898.0</v>
      </c>
      <c r="M3453" s="14">
        <f>STDEV(L3452:L3456)</f>
        <v>49819.10382</v>
      </c>
      <c r="N3453" s="15" t="b">
        <f t="shared" si="1"/>
        <v>0</v>
      </c>
    </row>
    <row r="3454" hidden="1">
      <c r="A3454" s="7" t="s">
        <v>699</v>
      </c>
      <c r="B3454" s="7" t="s">
        <v>519</v>
      </c>
      <c r="C3454" s="7">
        <v>0.75</v>
      </c>
      <c r="D3454" s="7">
        <v>0.75</v>
      </c>
      <c r="E3454" s="7">
        <v>1.0</v>
      </c>
      <c r="F3454" s="7">
        <v>386195.081310033</v>
      </c>
      <c r="G3454" s="7">
        <v>386288.202287435</v>
      </c>
      <c r="H3454" s="7">
        <v>2.0</v>
      </c>
      <c r="I3454" s="15">
        <v>0.423653420114226</v>
      </c>
      <c r="J3454" s="15">
        <v>0.044516256568021</v>
      </c>
      <c r="K3454" s="12">
        <f>AVERAGE(I3452:I3456)</f>
        <v>0.3881669246</v>
      </c>
      <c r="L3454" s="18">
        <v>12522.0</v>
      </c>
      <c r="M3454" s="14">
        <f>STDEV(L3452:L3456)</f>
        <v>49819.10382</v>
      </c>
      <c r="N3454" s="15" t="b">
        <f t="shared" si="1"/>
        <v>0</v>
      </c>
    </row>
    <row r="3455" hidden="1">
      <c r="A3455" s="7" t="s">
        <v>699</v>
      </c>
      <c r="B3455" s="7" t="s">
        <v>519</v>
      </c>
      <c r="C3455" s="7">
        <v>0.75</v>
      </c>
      <c r="D3455" s="7">
        <v>0.75</v>
      </c>
      <c r="E3455" s="7">
        <v>1.0</v>
      </c>
      <c r="F3455" s="7">
        <v>386195.081310033</v>
      </c>
      <c r="G3455" s="7">
        <v>386288.202287435</v>
      </c>
      <c r="H3455" s="7">
        <v>3.0</v>
      </c>
      <c r="I3455" s="15">
        <v>0.910075938291483</v>
      </c>
      <c r="J3455" s="15">
        <v>0.0435901126611862</v>
      </c>
      <c r="K3455" s="12">
        <f>AVERAGE(I3452:I3456)</f>
        <v>0.3881669246</v>
      </c>
      <c r="L3455" s="18">
        <v>2064.0</v>
      </c>
      <c r="M3455" s="14">
        <f>STDEV(L3452:L3456)</f>
        <v>49819.10382</v>
      </c>
      <c r="N3455" s="15" t="b">
        <f t="shared" si="1"/>
        <v>0</v>
      </c>
    </row>
    <row r="3456" hidden="1">
      <c r="A3456" s="7" t="s">
        <v>699</v>
      </c>
      <c r="B3456" s="7" t="s">
        <v>519</v>
      </c>
      <c r="C3456" s="7">
        <v>0.75</v>
      </c>
      <c r="D3456" s="7">
        <v>0.75</v>
      </c>
      <c r="E3456" s="7">
        <v>1.0</v>
      </c>
      <c r="F3456" s="7">
        <v>386195.081310033</v>
      </c>
      <c r="G3456" s="7">
        <v>386288.202287435</v>
      </c>
      <c r="H3456" s="7">
        <v>4.0</v>
      </c>
      <c r="I3456" s="15">
        <v>0.0767960822766869</v>
      </c>
      <c r="J3456" s="15">
        <v>0.0485651334116609</v>
      </c>
      <c r="K3456" s="12">
        <f>AVERAGE(I3452:I3456)</f>
        <v>0.3881669246</v>
      </c>
      <c r="L3456" s="18">
        <v>117176.0</v>
      </c>
      <c r="M3456" s="14">
        <f>STDEV(L3452:L3456)</f>
        <v>49819.10382</v>
      </c>
      <c r="N3456" s="15" t="b">
        <f t="shared" si="1"/>
        <v>0</v>
      </c>
    </row>
    <row r="3457" hidden="1">
      <c r="A3457" s="7" t="s">
        <v>700</v>
      </c>
      <c r="B3457" s="7" t="s">
        <v>519</v>
      </c>
      <c r="C3457" s="7">
        <v>0.75</v>
      </c>
      <c r="D3457" s="7">
        <v>0.75</v>
      </c>
      <c r="E3457" s="7">
        <v>2.0</v>
      </c>
      <c r="F3457" s="7">
        <v>175608.158108949</v>
      </c>
      <c r="G3457" s="7">
        <v>175653.501975536</v>
      </c>
      <c r="H3457" s="7">
        <v>0.0</v>
      </c>
      <c r="I3457" s="15">
        <v>0.3155482614844</v>
      </c>
      <c r="J3457" s="15">
        <v>0.14547270477412</v>
      </c>
      <c r="K3457" s="12">
        <f>AVERAGE(I3457:I3461)</f>
        <v>0.5108656802</v>
      </c>
      <c r="L3457" s="18">
        <v>4044.0</v>
      </c>
      <c r="M3457" s="14">
        <f>STDEV(L3457:L3461)</f>
        <v>52882.35785</v>
      </c>
      <c r="N3457" s="15" t="b">
        <f t="shared" si="1"/>
        <v>0</v>
      </c>
    </row>
    <row r="3458" hidden="1">
      <c r="A3458" s="7" t="s">
        <v>700</v>
      </c>
      <c r="B3458" s="7" t="s">
        <v>519</v>
      </c>
      <c r="C3458" s="7">
        <v>0.75</v>
      </c>
      <c r="D3458" s="7">
        <v>0.75</v>
      </c>
      <c r="E3458" s="7">
        <v>2.0</v>
      </c>
      <c r="F3458" s="7">
        <v>175608.158108949</v>
      </c>
      <c r="G3458" s="7">
        <v>175653.501975536</v>
      </c>
      <c r="H3458" s="7">
        <v>1.0</v>
      </c>
      <c r="I3458" s="15">
        <v>0.871229312119308</v>
      </c>
      <c r="J3458" s="15">
        <v>0.0783067701575215</v>
      </c>
      <c r="K3458" s="12">
        <f>AVERAGE(I3457:I3461)</f>
        <v>0.5108656802</v>
      </c>
      <c r="L3458" s="18">
        <v>4007.0</v>
      </c>
      <c r="M3458" s="14">
        <f>STDEV(L3457:L3461)</f>
        <v>52882.35785</v>
      </c>
      <c r="N3458" s="15" t="b">
        <f t="shared" si="1"/>
        <v>0</v>
      </c>
    </row>
    <row r="3459" hidden="1">
      <c r="A3459" s="7" t="s">
        <v>700</v>
      </c>
      <c r="B3459" s="7" t="s">
        <v>519</v>
      </c>
      <c r="C3459" s="7">
        <v>0.75</v>
      </c>
      <c r="D3459" s="7">
        <v>0.75</v>
      </c>
      <c r="E3459" s="7">
        <v>2.0</v>
      </c>
      <c r="F3459" s="7">
        <v>175608.158108949</v>
      </c>
      <c r="G3459" s="7">
        <v>175653.501975536</v>
      </c>
      <c r="H3459" s="7">
        <v>2.0</v>
      </c>
      <c r="I3459" s="15">
        <v>0.0197776875759673</v>
      </c>
      <c r="J3459" s="15">
        <v>0.225693350455238</v>
      </c>
      <c r="K3459" s="12">
        <f>AVERAGE(I3457:I3461)</f>
        <v>0.5108656802</v>
      </c>
      <c r="L3459" s="18">
        <v>122764.0</v>
      </c>
      <c r="M3459" s="14">
        <f>STDEV(L3457:L3461)</f>
        <v>52882.35785</v>
      </c>
      <c r="N3459" s="15" t="b">
        <f t="shared" si="1"/>
        <v>0</v>
      </c>
    </row>
    <row r="3460" hidden="1">
      <c r="A3460" s="7" t="s">
        <v>700</v>
      </c>
      <c r="B3460" s="7" t="s">
        <v>519</v>
      </c>
      <c r="C3460" s="7">
        <v>0.75</v>
      </c>
      <c r="D3460" s="7">
        <v>0.75</v>
      </c>
      <c r="E3460" s="7">
        <v>2.0</v>
      </c>
      <c r="F3460" s="7">
        <v>175608.158108949</v>
      </c>
      <c r="G3460" s="7">
        <v>175653.501975536</v>
      </c>
      <c r="H3460" s="7">
        <v>3.0</v>
      </c>
      <c r="I3460" s="15">
        <v>0.854401144675989</v>
      </c>
      <c r="J3460" s="15">
        <v>0.0950007121312529</v>
      </c>
      <c r="K3460" s="12">
        <f>AVERAGE(I3457:I3461)</f>
        <v>0.5108656802</v>
      </c>
      <c r="L3460" s="18">
        <v>1060.0</v>
      </c>
      <c r="M3460" s="14">
        <f>STDEV(L3457:L3461)</f>
        <v>52882.35785</v>
      </c>
      <c r="N3460" s="15" t="b">
        <f t="shared" si="1"/>
        <v>0</v>
      </c>
    </row>
    <row r="3461" hidden="1">
      <c r="A3461" s="7" t="s">
        <v>700</v>
      </c>
      <c r="B3461" s="7" t="s">
        <v>519</v>
      </c>
      <c r="C3461" s="7">
        <v>0.75</v>
      </c>
      <c r="D3461" s="7">
        <v>0.75</v>
      </c>
      <c r="E3461" s="7">
        <v>2.0</v>
      </c>
      <c r="F3461" s="7">
        <v>175608.158108949</v>
      </c>
      <c r="G3461" s="7">
        <v>175653.501975536</v>
      </c>
      <c r="H3461" s="7">
        <v>4.0</v>
      </c>
      <c r="I3461" s="15">
        <v>0.493371995109566</v>
      </c>
      <c r="J3461" s="15">
        <v>0.263273195502006</v>
      </c>
      <c r="K3461" s="12">
        <f>AVERAGE(I3457:I3461)</f>
        <v>0.5108656802</v>
      </c>
      <c r="L3461" s="18">
        <v>9801.0</v>
      </c>
      <c r="M3461" s="14">
        <f>STDEV(L3457:L3461)</f>
        <v>52882.35785</v>
      </c>
      <c r="N3461" s="15" t="b">
        <f t="shared" si="1"/>
        <v>0</v>
      </c>
    </row>
    <row r="3462" hidden="1">
      <c r="A3462" s="7" t="s">
        <v>701</v>
      </c>
      <c r="B3462" s="7" t="s">
        <v>519</v>
      </c>
      <c r="C3462" s="7">
        <v>0.75</v>
      </c>
      <c r="D3462" s="7">
        <v>0.75</v>
      </c>
      <c r="E3462" s="7">
        <v>3.0</v>
      </c>
      <c r="F3462" s="7">
        <v>504666.377285003</v>
      </c>
      <c r="G3462" s="7">
        <v>504754.725307941</v>
      </c>
      <c r="H3462" s="7">
        <v>0.0</v>
      </c>
      <c r="I3462" s="15">
        <v>0.103522264992913</v>
      </c>
      <c r="J3462" s="15">
        <v>0.109593675751504</v>
      </c>
      <c r="K3462" s="12">
        <f>AVERAGE(I3462:I3466)</f>
        <v>0.3950106436</v>
      </c>
      <c r="L3462" s="18">
        <v>5949.0</v>
      </c>
      <c r="M3462" s="14">
        <f>STDEV(L3462:L3466)</f>
        <v>48854.61401</v>
      </c>
      <c r="N3462" s="15" t="b">
        <f t="shared" si="1"/>
        <v>0</v>
      </c>
    </row>
    <row r="3463" hidden="1">
      <c r="A3463" s="7" t="s">
        <v>701</v>
      </c>
      <c r="B3463" s="7" t="s">
        <v>519</v>
      </c>
      <c r="C3463" s="7">
        <v>0.75</v>
      </c>
      <c r="D3463" s="7">
        <v>0.75</v>
      </c>
      <c r="E3463" s="7">
        <v>3.0</v>
      </c>
      <c r="F3463" s="7">
        <v>504666.377285003</v>
      </c>
      <c r="G3463" s="7">
        <v>504754.725307941</v>
      </c>
      <c r="H3463" s="7">
        <v>1.0</v>
      </c>
      <c r="I3463" s="15">
        <v>0.699348137666233</v>
      </c>
      <c r="J3463" s="15">
        <v>0.176743660187399</v>
      </c>
      <c r="K3463" s="12">
        <f>AVERAGE(I3462:I3466)</f>
        <v>0.3950106436</v>
      </c>
      <c r="L3463" s="18">
        <v>1187.0</v>
      </c>
      <c r="M3463" s="14">
        <f>STDEV(L3462:L3466)</f>
        <v>48854.61401</v>
      </c>
      <c r="N3463" s="15" t="b">
        <f t="shared" si="1"/>
        <v>0</v>
      </c>
    </row>
    <row r="3464" hidden="1">
      <c r="A3464" s="7" t="s">
        <v>701</v>
      </c>
      <c r="B3464" s="7" t="s">
        <v>519</v>
      </c>
      <c r="C3464" s="7">
        <v>0.75</v>
      </c>
      <c r="D3464" s="7">
        <v>0.75</v>
      </c>
      <c r="E3464" s="7">
        <v>3.0</v>
      </c>
      <c r="F3464" s="7">
        <v>504666.377285003</v>
      </c>
      <c r="G3464" s="7">
        <v>504754.725307941</v>
      </c>
      <c r="H3464" s="7">
        <v>2.0</v>
      </c>
      <c r="I3464" s="15">
        <v>0.808048287210132</v>
      </c>
      <c r="J3464" s="15">
        <v>0.082042842356407</v>
      </c>
      <c r="K3464" s="12">
        <f>AVERAGE(I3462:I3466)</f>
        <v>0.3950106436</v>
      </c>
      <c r="L3464" s="18">
        <v>15336.0</v>
      </c>
      <c r="M3464" s="14">
        <f>STDEV(L3462:L3466)</f>
        <v>48854.61401</v>
      </c>
      <c r="N3464" s="15" t="b">
        <f t="shared" si="1"/>
        <v>0</v>
      </c>
    </row>
    <row r="3465" hidden="1">
      <c r="A3465" s="7" t="s">
        <v>701</v>
      </c>
      <c r="B3465" s="7" t="s">
        <v>519</v>
      </c>
      <c r="C3465" s="7">
        <v>0.75</v>
      </c>
      <c r="D3465" s="7">
        <v>0.75</v>
      </c>
      <c r="E3465" s="7">
        <v>3.0</v>
      </c>
      <c r="F3465" s="7">
        <v>504666.377285003</v>
      </c>
      <c r="G3465" s="7">
        <v>504754.725307941</v>
      </c>
      <c r="H3465" s="7">
        <v>3.0</v>
      </c>
      <c r="I3465" s="15">
        <v>0.0262928635847644</v>
      </c>
      <c r="J3465" s="15">
        <v>0.169565164426662</v>
      </c>
      <c r="K3465" s="12">
        <f>AVERAGE(I3462:I3466)</f>
        <v>0.3950106436</v>
      </c>
      <c r="L3465" s="18">
        <v>115211.0</v>
      </c>
      <c r="M3465" s="14">
        <f>STDEV(L3462:L3466)</f>
        <v>48854.61401</v>
      </c>
      <c r="N3465" s="15" t="b">
        <f t="shared" si="1"/>
        <v>0</v>
      </c>
    </row>
    <row r="3466" hidden="1">
      <c r="A3466" s="7" t="s">
        <v>701</v>
      </c>
      <c r="B3466" s="7" t="s">
        <v>519</v>
      </c>
      <c r="C3466" s="7">
        <v>0.75</v>
      </c>
      <c r="D3466" s="7">
        <v>0.75</v>
      </c>
      <c r="E3466" s="7">
        <v>3.0</v>
      </c>
      <c r="F3466" s="7">
        <v>504666.377285003</v>
      </c>
      <c r="G3466" s="7">
        <v>504754.725307941</v>
      </c>
      <c r="H3466" s="7">
        <v>4.0</v>
      </c>
      <c r="I3466" s="15">
        <v>0.337841664670524</v>
      </c>
      <c r="J3466" s="15">
        <v>0.100762199739997</v>
      </c>
      <c r="K3466" s="12">
        <f>AVERAGE(I3462:I3466)</f>
        <v>0.3950106436</v>
      </c>
      <c r="L3466" s="18">
        <v>3993.0</v>
      </c>
      <c r="M3466" s="14">
        <f>STDEV(L3462:L3466)</f>
        <v>48854.61401</v>
      </c>
      <c r="N3466" s="15" t="b">
        <f t="shared" si="1"/>
        <v>0</v>
      </c>
    </row>
    <row r="3467" hidden="1">
      <c r="A3467" s="7" t="s">
        <v>702</v>
      </c>
      <c r="B3467" s="7" t="s">
        <v>519</v>
      </c>
      <c r="C3467" s="7">
        <v>0.75</v>
      </c>
      <c r="D3467" s="7">
        <v>0.75</v>
      </c>
      <c r="E3467" s="7">
        <v>4.0</v>
      </c>
      <c r="F3467" s="7">
        <v>130266.380838394</v>
      </c>
      <c r="G3467" s="7">
        <v>130318.679861307</v>
      </c>
      <c r="H3467" s="7">
        <v>0.0</v>
      </c>
      <c r="I3467" s="15">
        <v>0.37162841390114</v>
      </c>
      <c r="J3467" s="15">
        <v>0.198626433047329</v>
      </c>
      <c r="K3467" s="12">
        <f>AVERAGE(I3467:I3471)</f>
        <v>0.3068144241</v>
      </c>
      <c r="L3467" s="18">
        <v>10759.0</v>
      </c>
      <c r="M3467" s="14">
        <f>STDEV(L3467:L3471)</f>
        <v>49243.81837</v>
      </c>
      <c r="N3467" s="15" t="b">
        <f t="shared" si="1"/>
        <v>0</v>
      </c>
    </row>
    <row r="3468" hidden="1">
      <c r="A3468" s="7" t="s">
        <v>702</v>
      </c>
      <c r="B3468" s="7" t="s">
        <v>519</v>
      </c>
      <c r="C3468" s="7">
        <v>0.75</v>
      </c>
      <c r="D3468" s="7">
        <v>0.75</v>
      </c>
      <c r="E3468" s="7">
        <v>4.0</v>
      </c>
      <c r="F3468" s="7">
        <v>130266.380838394</v>
      </c>
      <c r="G3468" s="7">
        <v>130318.679861307</v>
      </c>
      <c r="H3468" s="7">
        <v>1.0</v>
      </c>
      <c r="I3468" s="15">
        <v>-0.0177375163142216</v>
      </c>
      <c r="J3468" s="15">
        <v>0.198096243776408</v>
      </c>
      <c r="K3468" s="12">
        <f>AVERAGE(I3467:I3471)</f>
        <v>0.3068144241</v>
      </c>
      <c r="L3468" s="18">
        <v>116218.0</v>
      </c>
      <c r="M3468" s="14">
        <f>STDEV(L3467:L3471)</f>
        <v>49243.81837</v>
      </c>
      <c r="N3468" s="15" t="b">
        <f t="shared" si="1"/>
        <v>0</v>
      </c>
    </row>
    <row r="3469" hidden="1">
      <c r="A3469" s="7" t="s">
        <v>702</v>
      </c>
      <c r="B3469" s="7" t="s">
        <v>519</v>
      </c>
      <c r="C3469" s="7">
        <v>0.75</v>
      </c>
      <c r="D3469" s="7">
        <v>0.75</v>
      </c>
      <c r="E3469" s="7">
        <v>4.0</v>
      </c>
      <c r="F3469" s="7">
        <v>130266.380838394</v>
      </c>
      <c r="G3469" s="7">
        <v>130318.679861307</v>
      </c>
      <c r="H3469" s="7">
        <v>2.0</v>
      </c>
      <c r="I3469" s="15">
        <v>0.676395532867415</v>
      </c>
      <c r="J3469" s="15">
        <v>0.184104378901165</v>
      </c>
      <c r="K3469" s="12">
        <f>AVERAGE(I3467:I3471)</f>
        <v>0.3068144241</v>
      </c>
      <c r="L3469" s="18">
        <v>1290.0</v>
      </c>
      <c r="M3469" s="14">
        <f>STDEV(L3467:L3471)</f>
        <v>49243.81837</v>
      </c>
      <c r="N3469" s="15" t="b">
        <f t="shared" si="1"/>
        <v>0</v>
      </c>
    </row>
    <row r="3470" hidden="1">
      <c r="A3470" s="7" t="s">
        <v>702</v>
      </c>
      <c r="B3470" s="7" t="s">
        <v>519</v>
      </c>
      <c r="C3470" s="7">
        <v>0.75</v>
      </c>
      <c r="D3470" s="7">
        <v>0.75</v>
      </c>
      <c r="E3470" s="7">
        <v>4.0</v>
      </c>
      <c r="F3470" s="7">
        <v>130266.380838394</v>
      </c>
      <c r="G3470" s="7">
        <v>130318.679861307</v>
      </c>
      <c r="H3470" s="7">
        <v>3.0</v>
      </c>
      <c r="I3470" s="15">
        <v>0.397217119392087</v>
      </c>
      <c r="J3470" s="15">
        <v>0.115173398971894</v>
      </c>
      <c r="K3470" s="12">
        <f>AVERAGE(I3467:I3471)</f>
        <v>0.3068144241</v>
      </c>
      <c r="L3470" s="18">
        <v>7084.0</v>
      </c>
      <c r="M3470" s="14">
        <f>STDEV(L3467:L3471)</f>
        <v>49243.81837</v>
      </c>
      <c r="N3470" s="15" t="b">
        <f t="shared" si="1"/>
        <v>0</v>
      </c>
    </row>
    <row r="3471" hidden="1">
      <c r="A3471" s="7" t="s">
        <v>702</v>
      </c>
      <c r="B3471" s="7" t="s">
        <v>519</v>
      </c>
      <c r="C3471" s="7">
        <v>0.75</v>
      </c>
      <c r="D3471" s="7">
        <v>0.75</v>
      </c>
      <c r="E3471" s="7">
        <v>4.0</v>
      </c>
      <c r="F3471" s="7">
        <v>130266.380838394</v>
      </c>
      <c r="G3471" s="7">
        <v>130318.679861307</v>
      </c>
      <c r="H3471" s="7">
        <v>4.0</v>
      </c>
      <c r="I3471" s="15">
        <v>0.106568570563101</v>
      </c>
      <c r="J3471" s="15">
        <v>0.101975436652106</v>
      </c>
      <c r="K3471" s="12">
        <f>AVERAGE(I3467:I3471)</f>
        <v>0.3068144241</v>
      </c>
      <c r="L3471" s="18">
        <v>6325.0</v>
      </c>
      <c r="M3471" s="14">
        <f>STDEV(L3467:L3471)</f>
        <v>49243.81837</v>
      </c>
      <c r="N3471" s="15" t="b">
        <f t="shared" si="1"/>
        <v>0</v>
      </c>
    </row>
    <row r="3472" hidden="1">
      <c r="A3472" s="7" t="s">
        <v>703</v>
      </c>
      <c r="B3472" s="7" t="s">
        <v>519</v>
      </c>
      <c r="C3472" s="7">
        <v>0.75</v>
      </c>
      <c r="D3472" s="7">
        <v>0.75</v>
      </c>
      <c r="E3472" s="7">
        <v>5.0</v>
      </c>
      <c r="F3472" s="7">
        <v>480455.513932228</v>
      </c>
      <c r="G3472" s="7">
        <v>480548.913672447</v>
      </c>
      <c r="H3472" s="7">
        <v>0.0</v>
      </c>
      <c r="I3472" s="15">
        <v>0.423603615061057</v>
      </c>
      <c r="J3472" s="15">
        <v>0.0458606523805807</v>
      </c>
      <c r="K3472" s="12">
        <f>AVERAGE(I3472:I3476)</f>
        <v>0.3679066534</v>
      </c>
      <c r="L3472" s="18">
        <v>12506.0</v>
      </c>
      <c r="M3472" s="14">
        <f>STDEV(L3472:L3476)</f>
        <v>46944.0876</v>
      </c>
      <c r="N3472" s="15" t="b">
        <f t="shared" si="1"/>
        <v>0</v>
      </c>
    </row>
    <row r="3473" hidden="1">
      <c r="A3473" s="7" t="s">
        <v>703</v>
      </c>
      <c r="B3473" s="7" t="s">
        <v>519</v>
      </c>
      <c r="C3473" s="7">
        <v>0.75</v>
      </c>
      <c r="D3473" s="7">
        <v>0.75</v>
      </c>
      <c r="E3473" s="7">
        <v>5.0</v>
      </c>
      <c r="F3473" s="7">
        <v>480455.513932228</v>
      </c>
      <c r="G3473" s="7">
        <v>480548.913672447</v>
      </c>
      <c r="H3473" s="7">
        <v>1.0</v>
      </c>
      <c r="I3473" s="15">
        <v>0.329502151856595</v>
      </c>
      <c r="J3473" s="15">
        <v>0.115590691926315</v>
      </c>
      <c r="K3473" s="12">
        <f>AVERAGE(I3472:I3476)</f>
        <v>0.3679066534</v>
      </c>
      <c r="L3473" s="18">
        <v>4016.0</v>
      </c>
      <c r="M3473" s="14">
        <f>STDEV(L3472:L3476)</f>
        <v>46944.0876</v>
      </c>
      <c r="N3473" s="15" t="b">
        <f t="shared" si="1"/>
        <v>0</v>
      </c>
    </row>
    <row r="3474" hidden="1">
      <c r="A3474" s="7" t="s">
        <v>703</v>
      </c>
      <c r="B3474" s="7" t="s">
        <v>519</v>
      </c>
      <c r="C3474" s="7">
        <v>0.75</v>
      </c>
      <c r="D3474" s="7">
        <v>0.75</v>
      </c>
      <c r="E3474" s="7">
        <v>5.0</v>
      </c>
      <c r="F3474" s="7">
        <v>480455.513932228</v>
      </c>
      <c r="G3474" s="7">
        <v>480548.913672447</v>
      </c>
      <c r="H3474" s="7">
        <v>2.0</v>
      </c>
      <c r="I3474" s="15">
        <v>0.169193590137073</v>
      </c>
      <c r="J3474" s="15">
        <v>0.0715673073812386</v>
      </c>
      <c r="K3474" s="12">
        <f>AVERAGE(I3472:I3476)</f>
        <v>0.3679066534</v>
      </c>
      <c r="L3474" s="18">
        <v>5872.0</v>
      </c>
      <c r="M3474" s="14">
        <f>STDEV(L3472:L3476)</f>
        <v>46944.0876</v>
      </c>
      <c r="N3474" s="15" t="b">
        <f t="shared" si="1"/>
        <v>0</v>
      </c>
    </row>
    <row r="3475" hidden="1">
      <c r="A3475" s="7" t="s">
        <v>703</v>
      </c>
      <c r="B3475" s="7" t="s">
        <v>519</v>
      </c>
      <c r="C3475" s="7">
        <v>0.75</v>
      </c>
      <c r="D3475" s="7">
        <v>0.75</v>
      </c>
      <c r="E3475" s="7">
        <v>5.0</v>
      </c>
      <c r="F3475" s="7">
        <v>480455.513932228</v>
      </c>
      <c r="G3475" s="7">
        <v>480548.913672447</v>
      </c>
      <c r="H3475" s="7">
        <v>3.0</v>
      </c>
      <c r="I3475" s="15">
        <v>0.0775594937837577</v>
      </c>
      <c r="J3475" s="15">
        <v>0.0522353123733958</v>
      </c>
      <c r="K3475" s="12">
        <f>AVERAGE(I3472:I3476)</f>
        <v>0.3679066534</v>
      </c>
      <c r="L3475" s="18">
        <v>112121.0</v>
      </c>
      <c r="M3475" s="14">
        <f>STDEV(L3472:L3476)</f>
        <v>46944.0876</v>
      </c>
      <c r="N3475" s="15" t="b">
        <f t="shared" si="1"/>
        <v>0</v>
      </c>
    </row>
    <row r="3476" hidden="1">
      <c r="A3476" s="7" t="s">
        <v>703</v>
      </c>
      <c r="B3476" s="7" t="s">
        <v>519</v>
      </c>
      <c r="C3476" s="7">
        <v>0.75</v>
      </c>
      <c r="D3476" s="7">
        <v>0.75</v>
      </c>
      <c r="E3476" s="7">
        <v>5.0</v>
      </c>
      <c r="F3476" s="7">
        <v>480455.513932228</v>
      </c>
      <c r="G3476" s="7">
        <v>480548.913672447</v>
      </c>
      <c r="H3476" s="7">
        <v>4.0</v>
      </c>
      <c r="I3476" s="15">
        <v>0.839674416119858</v>
      </c>
      <c r="J3476" s="15">
        <v>0.0815977462108711</v>
      </c>
      <c r="K3476" s="12">
        <f>AVERAGE(I3472:I3476)</f>
        <v>0.3679066534</v>
      </c>
      <c r="L3476" s="18">
        <v>7161.0</v>
      </c>
      <c r="M3476" s="14">
        <f>STDEV(L3472:L3476)</f>
        <v>46944.0876</v>
      </c>
      <c r="N3476" s="15" t="b">
        <f t="shared" si="1"/>
        <v>0</v>
      </c>
    </row>
    <row r="3477" hidden="1">
      <c r="A3477" s="7" t="s">
        <v>704</v>
      </c>
      <c r="B3477" s="7" t="s">
        <v>519</v>
      </c>
      <c r="C3477" s="7">
        <v>0.75</v>
      </c>
      <c r="D3477" s="7">
        <v>0.75</v>
      </c>
      <c r="E3477" s="7">
        <v>6.0</v>
      </c>
      <c r="F3477" s="7">
        <v>153140.771513223</v>
      </c>
      <c r="G3477" s="7">
        <v>153192.257095575</v>
      </c>
      <c r="H3477" s="7">
        <v>0.0</v>
      </c>
      <c r="I3477" s="15">
        <v>0.298960181040534</v>
      </c>
      <c r="J3477" s="15">
        <v>0.100435513732817</v>
      </c>
      <c r="K3477" s="12">
        <f>AVERAGE(I3477:I3481)</f>
        <v>0.3344124063</v>
      </c>
      <c r="L3477" s="18">
        <v>24969.0</v>
      </c>
      <c r="M3477" s="14">
        <f>STDEV(L3477:L3481)</f>
        <v>40706.79573</v>
      </c>
      <c r="N3477" s="15" t="b">
        <f t="shared" si="1"/>
        <v>0</v>
      </c>
    </row>
    <row r="3478" hidden="1">
      <c r="A3478" s="7" t="s">
        <v>704</v>
      </c>
      <c r="B3478" s="7" t="s">
        <v>519</v>
      </c>
      <c r="C3478" s="7">
        <v>0.75</v>
      </c>
      <c r="D3478" s="7">
        <v>0.75</v>
      </c>
      <c r="E3478" s="7">
        <v>6.0</v>
      </c>
      <c r="F3478" s="7">
        <v>153140.771513223</v>
      </c>
      <c r="G3478" s="7">
        <v>153192.257095575</v>
      </c>
      <c r="H3478" s="7">
        <v>1.0</v>
      </c>
      <c r="I3478" s="15">
        <v>0.839721336920748</v>
      </c>
      <c r="J3478" s="15">
        <v>0.0812921049866351</v>
      </c>
      <c r="K3478" s="12">
        <f>AVERAGE(I3477:I3481)</f>
        <v>0.3344124063</v>
      </c>
      <c r="L3478" s="18">
        <v>7161.0</v>
      </c>
      <c r="M3478" s="14">
        <f>STDEV(L3477:L3481)</f>
        <v>40706.79573</v>
      </c>
      <c r="N3478" s="15" t="b">
        <f t="shared" si="1"/>
        <v>0</v>
      </c>
    </row>
    <row r="3479" hidden="1">
      <c r="A3479" s="7" t="s">
        <v>704</v>
      </c>
      <c r="B3479" s="7" t="s">
        <v>519</v>
      </c>
      <c r="C3479" s="7">
        <v>0.75</v>
      </c>
      <c r="D3479" s="7">
        <v>0.75</v>
      </c>
      <c r="E3479" s="7">
        <v>6.0</v>
      </c>
      <c r="F3479" s="7">
        <v>153140.771513223</v>
      </c>
      <c r="G3479" s="7">
        <v>153192.257095575</v>
      </c>
      <c r="H3479" s="7">
        <v>2.0</v>
      </c>
      <c r="I3479" s="15">
        <v>0.331500287657647</v>
      </c>
      <c r="J3479" s="15">
        <v>0.108938054116198</v>
      </c>
      <c r="K3479" s="12">
        <f>AVERAGE(I3477:I3481)</f>
        <v>0.3344124063</v>
      </c>
      <c r="L3479" s="18">
        <v>4025.0</v>
      </c>
      <c r="M3479" s="14">
        <f>STDEV(L3477:L3481)</f>
        <v>40706.79573</v>
      </c>
      <c r="N3479" s="15" t="b">
        <f t="shared" si="1"/>
        <v>0</v>
      </c>
    </row>
    <row r="3480" hidden="1">
      <c r="A3480" s="7" t="s">
        <v>704</v>
      </c>
      <c r="B3480" s="7" t="s">
        <v>519</v>
      </c>
      <c r="C3480" s="7">
        <v>0.75</v>
      </c>
      <c r="D3480" s="7">
        <v>0.75</v>
      </c>
      <c r="E3480" s="7">
        <v>6.0</v>
      </c>
      <c r="F3480" s="7">
        <v>153140.771513223</v>
      </c>
      <c r="G3480" s="7">
        <v>153192.257095575</v>
      </c>
      <c r="H3480" s="7">
        <v>3.0</v>
      </c>
      <c r="I3480" s="15">
        <v>0.116395814906537</v>
      </c>
      <c r="J3480" s="15">
        <v>0.0668729559171768</v>
      </c>
      <c r="K3480" s="12">
        <f>AVERAGE(I3477:I3481)</f>
        <v>0.3344124063</v>
      </c>
      <c r="L3480" s="18">
        <v>5940.0</v>
      </c>
      <c r="M3480" s="14">
        <f>STDEV(L3477:L3481)</f>
        <v>40706.79573</v>
      </c>
      <c r="N3480" s="15" t="b">
        <f t="shared" si="1"/>
        <v>0</v>
      </c>
    </row>
    <row r="3481" hidden="1">
      <c r="A3481" s="7" t="s">
        <v>704</v>
      </c>
      <c r="B3481" s="7" t="s">
        <v>519</v>
      </c>
      <c r="C3481" s="7">
        <v>0.75</v>
      </c>
      <c r="D3481" s="7">
        <v>0.75</v>
      </c>
      <c r="E3481" s="7">
        <v>6.0</v>
      </c>
      <c r="F3481" s="7">
        <v>153140.771513223</v>
      </c>
      <c r="G3481" s="7">
        <v>153192.257095575</v>
      </c>
      <c r="H3481" s="7">
        <v>4.0</v>
      </c>
      <c r="I3481" s="15">
        <v>0.0854844107795179</v>
      </c>
      <c r="J3481" s="15">
        <v>0.0653100371141865</v>
      </c>
      <c r="K3481" s="12">
        <f>AVERAGE(I3477:I3481)</f>
        <v>0.3344124063</v>
      </c>
      <c r="L3481" s="18">
        <v>99581.0</v>
      </c>
      <c r="M3481" s="14">
        <f>STDEV(L3477:L3481)</f>
        <v>40706.79573</v>
      </c>
      <c r="N3481" s="15" t="b">
        <f t="shared" si="1"/>
        <v>0</v>
      </c>
    </row>
    <row r="3482" hidden="1">
      <c r="A3482" s="7" t="s">
        <v>705</v>
      </c>
      <c r="B3482" s="7" t="s">
        <v>519</v>
      </c>
      <c r="C3482" s="7">
        <v>0.75</v>
      </c>
      <c r="D3482" s="7">
        <v>0.75</v>
      </c>
      <c r="E3482" s="7">
        <v>7.0</v>
      </c>
      <c r="F3482" s="7">
        <v>464473.075321197</v>
      </c>
      <c r="G3482" s="7">
        <v>464584.407915353</v>
      </c>
      <c r="H3482" s="7">
        <v>0.0</v>
      </c>
      <c r="I3482" s="15">
        <v>0.34968512524155</v>
      </c>
      <c r="J3482" s="15">
        <v>0.0889566727795155</v>
      </c>
      <c r="K3482" s="12">
        <f>AVERAGE(I3482:I3486)</f>
        <v>0.3490402796</v>
      </c>
      <c r="L3482" s="18">
        <v>4016.0</v>
      </c>
      <c r="M3482" s="14">
        <f>STDEV(L3482:L3486)</f>
        <v>50084.13303</v>
      </c>
      <c r="N3482" s="15" t="b">
        <f t="shared" si="1"/>
        <v>0</v>
      </c>
    </row>
    <row r="3483" hidden="1">
      <c r="A3483" s="7" t="s">
        <v>705</v>
      </c>
      <c r="B3483" s="7" t="s">
        <v>519</v>
      </c>
      <c r="C3483" s="7">
        <v>0.75</v>
      </c>
      <c r="D3483" s="7">
        <v>0.75</v>
      </c>
      <c r="E3483" s="7">
        <v>7.0</v>
      </c>
      <c r="F3483" s="7">
        <v>464473.075321197</v>
      </c>
      <c r="G3483" s="7">
        <v>464584.407915353</v>
      </c>
      <c r="H3483" s="7">
        <v>1.0</v>
      </c>
      <c r="I3483" s="15">
        <v>0.138070515693267</v>
      </c>
      <c r="J3483" s="15">
        <v>0.0590095503890153</v>
      </c>
      <c r="K3483" s="12">
        <f>AVERAGE(I3482:I3486)</f>
        <v>0.3490402796</v>
      </c>
      <c r="L3483" s="18">
        <v>6628.0</v>
      </c>
      <c r="M3483" s="14">
        <f>STDEV(L3482:L3486)</f>
        <v>50084.13303</v>
      </c>
      <c r="N3483" s="15" t="b">
        <f t="shared" si="1"/>
        <v>0</v>
      </c>
    </row>
    <row r="3484" hidden="1">
      <c r="A3484" s="7" t="s">
        <v>705</v>
      </c>
      <c r="B3484" s="7" t="s">
        <v>519</v>
      </c>
      <c r="C3484" s="7">
        <v>0.75</v>
      </c>
      <c r="D3484" s="7">
        <v>0.75</v>
      </c>
      <c r="E3484" s="7">
        <v>7.0</v>
      </c>
      <c r="F3484" s="7">
        <v>464473.075321197</v>
      </c>
      <c r="G3484" s="7">
        <v>464584.407915353</v>
      </c>
      <c r="H3484" s="7">
        <v>2.0</v>
      </c>
      <c r="I3484" s="15">
        <v>0.0348326683011678</v>
      </c>
      <c r="J3484" s="15">
        <v>0.17565745612633</v>
      </c>
      <c r="K3484" s="12">
        <f>AVERAGE(I3482:I3486)</f>
        <v>0.3490402796</v>
      </c>
      <c r="L3484" s="18">
        <v>117601.0</v>
      </c>
      <c r="M3484" s="14">
        <f>STDEV(L3482:L3486)</f>
        <v>50084.13303</v>
      </c>
      <c r="N3484" s="15" t="b">
        <f t="shared" si="1"/>
        <v>0</v>
      </c>
    </row>
    <row r="3485" hidden="1">
      <c r="A3485" s="7" t="s">
        <v>705</v>
      </c>
      <c r="B3485" s="7" t="s">
        <v>519</v>
      </c>
      <c r="C3485" s="7">
        <v>0.75</v>
      </c>
      <c r="D3485" s="7">
        <v>0.75</v>
      </c>
      <c r="E3485" s="7">
        <v>7.0</v>
      </c>
      <c r="F3485" s="7">
        <v>464473.075321197</v>
      </c>
      <c r="G3485" s="7">
        <v>464584.407915353</v>
      </c>
      <c r="H3485" s="7">
        <v>3.0</v>
      </c>
      <c r="I3485" s="15">
        <v>0.799594041183748</v>
      </c>
      <c r="J3485" s="15">
        <v>0.166731076081223</v>
      </c>
      <c r="K3485" s="12">
        <f>AVERAGE(I3482:I3486)</f>
        <v>0.3490402796</v>
      </c>
      <c r="L3485" s="18">
        <v>891.0</v>
      </c>
      <c r="M3485" s="14">
        <f>STDEV(L3482:L3486)</f>
        <v>50084.13303</v>
      </c>
      <c r="N3485" s="15" t="b">
        <f t="shared" si="1"/>
        <v>0</v>
      </c>
    </row>
    <row r="3486" hidden="1">
      <c r="A3486" s="7" t="s">
        <v>705</v>
      </c>
      <c r="B3486" s="7" t="s">
        <v>519</v>
      </c>
      <c r="C3486" s="7">
        <v>0.75</v>
      </c>
      <c r="D3486" s="7">
        <v>0.75</v>
      </c>
      <c r="E3486" s="7">
        <v>7.0</v>
      </c>
      <c r="F3486" s="7">
        <v>464473.075321197</v>
      </c>
      <c r="G3486" s="7">
        <v>464584.407915353</v>
      </c>
      <c r="H3486" s="7">
        <v>4.0</v>
      </c>
      <c r="I3486" s="15">
        <v>0.423019047591841</v>
      </c>
      <c r="J3486" s="15">
        <v>0.046020450526154</v>
      </c>
      <c r="K3486" s="12">
        <f>AVERAGE(I3482:I3486)</f>
        <v>0.3490402796</v>
      </c>
      <c r="L3486" s="18">
        <v>12540.0</v>
      </c>
      <c r="M3486" s="14">
        <f>STDEV(L3482:L3486)</f>
        <v>50084.13303</v>
      </c>
      <c r="N3486" s="15" t="b">
        <f t="shared" si="1"/>
        <v>0</v>
      </c>
    </row>
    <row r="3487" hidden="1">
      <c r="A3487" s="7" t="s">
        <v>706</v>
      </c>
      <c r="B3487" s="7" t="s">
        <v>519</v>
      </c>
      <c r="C3487" s="7">
        <v>0.75</v>
      </c>
      <c r="D3487" s="7">
        <v>0.75</v>
      </c>
      <c r="E3487" s="7">
        <v>8.0</v>
      </c>
      <c r="F3487" s="7">
        <v>662610.897668123</v>
      </c>
      <c r="G3487" s="7">
        <v>662685.189089298</v>
      </c>
      <c r="H3487" s="7">
        <v>0.0</v>
      </c>
      <c r="I3487" s="15">
        <v>-0.0540673825893802</v>
      </c>
      <c r="J3487" s="15">
        <v>0.170394460897856</v>
      </c>
      <c r="K3487" s="12">
        <f>AVERAGE(I3487:I3491)</f>
        <v>0.3422760166</v>
      </c>
      <c r="L3487" s="18">
        <v>115382.0</v>
      </c>
      <c r="M3487" s="14">
        <f>STDEV(L3487:L3491)</f>
        <v>48704.43479</v>
      </c>
      <c r="N3487" s="15" t="b">
        <f t="shared" si="1"/>
        <v>0</v>
      </c>
    </row>
    <row r="3488" hidden="1">
      <c r="A3488" s="7" t="s">
        <v>706</v>
      </c>
      <c r="B3488" s="7" t="s">
        <v>519</v>
      </c>
      <c r="C3488" s="7">
        <v>0.75</v>
      </c>
      <c r="D3488" s="7">
        <v>0.75</v>
      </c>
      <c r="E3488" s="7">
        <v>8.0</v>
      </c>
      <c r="F3488" s="7">
        <v>662610.897668123</v>
      </c>
      <c r="G3488" s="7">
        <v>662685.189089298</v>
      </c>
      <c r="H3488" s="7">
        <v>1.0</v>
      </c>
      <c r="I3488" s="15">
        <v>0.849759385818318</v>
      </c>
      <c r="J3488" s="15">
        <v>0.105149486432326</v>
      </c>
      <c r="K3488" s="12">
        <f>AVERAGE(I3487:I3491)</f>
        <v>0.3422760166</v>
      </c>
      <c r="L3488" s="18">
        <v>4091.0</v>
      </c>
      <c r="M3488" s="14">
        <f>STDEV(L3487:L3491)</f>
        <v>48704.43479</v>
      </c>
      <c r="N3488" s="15" t="b">
        <f t="shared" si="1"/>
        <v>0</v>
      </c>
    </row>
    <row r="3489" hidden="1">
      <c r="A3489" s="7" t="s">
        <v>706</v>
      </c>
      <c r="B3489" s="7" t="s">
        <v>519</v>
      </c>
      <c r="C3489" s="7">
        <v>0.75</v>
      </c>
      <c r="D3489" s="7">
        <v>0.75</v>
      </c>
      <c r="E3489" s="7">
        <v>8.0</v>
      </c>
      <c r="F3489" s="7">
        <v>662610.897668123</v>
      </c>
      <c r="G3489" s="7">
        <v>662685.189089298</v>
      </c>
      <c r="H3489" s="7">
        <v>2.0</v>
      </c>
      <c r="I3489" s="15">
        <v>0.162119432040386</v>
      </c>
      <c r="J3489" s="15">
        <v>0.0801113909664974</v>
      </c>
      <c r="K3489" s="12">
        <f>AVERAGE(I3487:I3491)</f>
        <v>0.3422760166</v>
      </c>
      <c r="L3489" s="18">
        <v>5856.0</v>
      </c>
      <c r="M3489" s="14">
        <f>STDEV(L3487:L3491)</f>
        <v>48704.43479</v>
      </c>
      <c r="N3489" s="15" t="b">
        <f t="shared" si="1"/>
        <v>0</v>
      </c>
    </row>
    <row r="3490" hidden="1">
      <c r="A3490" s="7" t="s">
        <v>706</v>
      </c>
      <c r="B3490" s="7" t="s">
        <v>519</v>
      </c>
      <c r="C3490" s="7">
        <v>0.75</v>
      </c>
      <c r="D3490" s="7">
        <v>0.75</v>
      </c>
      <c r="E3490" s="7">
        <v>8.0</v>
      </c>
      <c r="F3490" s="7">
        <v>662610.897668123</v>
      </c>
      <c r="G3490" s="7">
        <v>662685.189089298</v>
      </c>
      <c r="H3490" s="7">
        <v>3.0</v>
      </c>
      <c r="I3490" s="15">
        <v>0.460384814442707</v>
      </c>
      <c r="J3490" s="15">
        <v>0.242958808566413</v>
      </c>
      <c r="K3490" s="12">
        <f>AVERAGE(I3487:I3491)</f>
        <v>0.3422760166</v>
      </c>
      <c r="L3490" s="18">
        <v>9795.0</v>
      </c>
      <c r="M3490" s="14">
        <f>STDEV(L3487:L3491)</f>
        <v>48704.43479</v>
      </c>
      <c r="N3490" s="15" t="b">
        <f t="shared" si="1"/>
        <v>0</v>
      </c>
    </row>
    <row r="3491" hidden="1">
      <c r="A3491" s="7" t="s">
        <v>706</v>
      </c>
      <c r="B3491" s="7" t="s">
        <v>519</v>
      </c>
      <c r="C3491" s="7">
        <v>0.75</v>
      </c>
      <c r="D3491" s="7">
        <v>0.75</v>
      </c>
      <c r="E3491" s="7">
        <v>8.0</v>
      </c>
      <c r="F3491" s="7">
        <v>662610.897668123</v>
      </c>
      <c r="G3491" s="7">
        <v>662685.189089298</v>
      </c>
      <c r="H3491" s="7">
        <v>4.0</v>
      </c>
      <c r="I3491" s="15">
        <v>0.293183833042965</v>
      </c>
      <c r="J3491" s="15">
        <v>0.071216576273526</v>
      </c>
      <c r="K3491" s="12">
        <f>AVERAGE(I3487:I3491)</f>
        <v>0.3422760166</v>
      </c>
      <c r="L3491" s="18">
        <v>6552.0</v>
      </c>
      <c r="M3491" s="14">
        <f>STDEV(L3487:L3491)</f>
        <v>48704.43479</v>
      </c>
      <c r="N3491" s="15" t="b">
        <f t="shared" si="1"/>
        <v>0</v>
      </c>
    </row>
    <row r="3492" hidden="1">
      <c r="A3492" s="7" t="s">
        <v>707</v>
      </c>
      <c r="B3492" s="7" t="s">
        <v>519</v>
      </c>
      <c r="C3492" s="7">
        <v>0.75</v>
      </c>
      <c r="D3492" s="7">
        <v>0.75</v>
      </c>
      <c r="E3492" s="7">
        <v>9.0</v>
      </c>
      <c r="F3492" s="7">
        <v>425260.265405416</v>
      </c>
      <c r="G3492" s="7">
        <v>425347.694007873</v>
      </c>
      <c r="H3492" s="7">
        <v>0.0</v>
      </c>
      <c r="I3492" s="15">
        <v>0.0185532840709104</v>
      </c>
      <c r="J3492" s="15">
        <v>0.169966899288794</v>
      </c>
      <c r="K3492" s="12">
        <f>AVERAGE(I3492:I3496)</f>
        <v>0.3679197144</v>
      </c>
      <c r="L3492" s="18">
        <v>117556.0</v>
      </c>
      <c r="M3492" s="14">
        <f>STDEV(L3492:L3496)</f>
        <v>49967.33237</v>
      </c>
      <c r="N3492" s="15" t="b">
        <f t="shared" si="1"/>
        <v>0</v>
      </c>
    </row>
    <row r="3493" hidden="1">
      <c r="A3493" s="7" t="s">
        <v>707</v>
      </c>
      <c r="B3493" s="7" t="s">
        <v>519</v>
      </c>
      <c r="C3493" s="7">
        <v>0.75</v>
      </c>
      <c r="D3493" s="7">
        <v>0.75</v>
      </c>
      <c r="E3493" s="7">
        <v>9.0</v>
      </c>
      <c r="F3493" s="7">
        <v>425260.265405416</v>
      </c>
      <c r="G3493" s="7">
        <v>425347.694007873</v>
      </c>
      <c r="H3493" s="7">
        <v>1.0</v>
      </c>
      <c r="I3493" s="15">
        <v>0.221481717424137</v>
      </c>
      <c r="J3493" s="15">
        <v>0.125968172929095</v>
      </c>
      <c r="K3493" s="12">
        <f>AVERAGE(I3492:I3496)</f>
        <v>0.3679197144</v>
      </c>
      <c r="L3493" s="18">
        <v>9693.0</v>
      </c>
      <c r="M3493" s="14">
        <f>STDEV(L3492:L3496)</f>
        <v>49967.33237</v>
      </c>
      <c r="N3493" s="15" t="b">
        <f t="shared" si="1"/>
        <v>0</v>
      </c>
    </row>
    <row r="3494" hidden="1">
      <c r="A3494" s="7" t="s">
        <v>707</v>
      </c>
      <c r="B3494" s="7" t="s">
        <v>519</v>
      </c>
      <c r="C3494" s="7">
        <v>0.75</v>
      </c>
      <c r="D3494" s="7">
        <v>0.75</v>
      </c>
      <c r="E3494" s="7">
        <v>9.0</v>
      </c>
      <c r="F3494" s="7">
        <v>425260.265405416</v>
      </c>
      <c r="G3494" s="7">
        <v>425347.694007873</v>
      </c>
      <c r="H3494" s="7">
        <v>2.0</v>
      </c>
      <c r="I3494" s="15">
        <v>0.8285481933537</v>
      </c>
      <c r="J3494" s="15">
        <v>0.106493760672126</v>
      </c>
      <c r="K3494" s="12">
        <f>AVERAGE(I3492:I3496)</f>
        <v>0.3679197144</v>
      </c>
      <c r="L3494" s="18">
        <v>7443.0</v>
      </c>
      <c r="M3494" s="14">
        <f>STDEV(L3492:L3496)</f>
        <v>49967.33237</v>
      </c>
      <c r="N3494" s="15" t="b">
        <f t="shared" si="1"/>
        <v>0</v>
      </c>
    </row>
    <row r="3495" hidden="1">
      <c r="A3495" s="7" t="s">
        <v>707</v>
      </c>
      <c r="B3495" s="7" t="s">
        <v>519</v>
      </c>
      <c r="C3495" s="7">
        <v>0.75</v>
      </c>
      <c r="D3495" s="7">
        <v>0.75</v>
      </c>
      <c r="E3495" s="7">
        <v>9.0</v>
      </c>
      <c r="F3495" s="7">
        <v>425260.265405416</v>
      </c>
      <c r="G3495" s="7">
        <v>425347.694007873</v>
      </c>
      <c r="H3495" s="7">
        <v>3.0</v>
      </c>
      <c r="I3495" s="15">
        <v>0.153874547031041</v>
      </c>
      <c r="J3495" s="15">
        <v>0.109885989388757</v>
      </c>
      <c r="K3495" s="12">
        <f>AVERAGE(I3492:I3496)</f>
        <v>0.3679197144</v>
      </c>
      <c r="L3495" s="18">
        <v>5517.0</v>
      </c>
      <c r="M3495" s="14">
        <f>STDEV(L3492:L3496)</f>
        <v>49967.33237</v>
      </c>
      <c r="N3495" s="15" t="b">
        <f t="shared" si="1"/>
        <v>0</v>
      </c>
    </row>
    <row r="3496" hidden="1">
      <c r="A3496" s="7" t="s">
        <v>707</v>
      </c>
      <c r="B3496" s="7" t="s">
        <v>519</v>
      </c>
      <c r="C3496" s="7">
        <v>0.75</v>
      </c>
      <c r="D3496" s="7">
        <v>0.75</v>
      </c>
      <c r="E3496" s="7">
        <v>9.0</v>
      </c>
      <c r="F3496" s="7">
        <v>425260.265405416</v>
      </c>
      <c r="G3496" s="7">
        <v>425347.694007873</v>
      </c>
      <c r="H3496" s="7">
        <v>4.0</v>
      </c>
      <c r="I3496" s="15">
        <v>0.617140830248024</v>
      </c>
      <c r="J3496" s="15">
        <v>0.1667362707811</v>
      </c>
      <c r="K3496" s="12">
        <f>AVERAGE(I3492:I3496)</f>
        <v>0.3679197144</v>
      </c>
      <c r="L3496" s="18">
        <v>1467.0</v>
      </c>
      <c r="M3496" s="14">
        <f>STDEV(L3492:L3496)</f>
        <v>49967.33237</v>
      </c>
      <c r="N3496" s="15" t="b">
        <f t="shared" si="1"/>
        <v>0</v>
      </c>
    </row>
    <row r="3497" hidden="1">
      <c r="A3497" s="7" t="s">
        <v>708</v>
      </c>
      <c r="B3497" s="7" t="s">
        <v>519</v>
      </c>
      <c r="C3497" s="7">
        <v>0.75</v>
      </c>
      <c r="D3497" s="7">
        <v>0.75</v>
      </c>
      <c r="E3497" s="7">
        <v>10.0</v>
      </c>
      <c r="F3497" s="7">
        <v>677599.365239143</v>
      </c>
      <c r="G3497" s="7">
        <v>677676.636603355</v>
      </c>
      <c r="H3497" s="7">
        <v>0.0</v>
      </c>
      <c r="I3497" s="15">
        <v>-0.11324599949672</v>
      </c>
      <c r="J3497" s="15">
        <v>0.237545981909366</v>
      </c>
      <c r="K3497" s="12">
        <f>AVERAGE(I3497:I3501)</f>
        <v>0.2645769073</v>
      </c>
      <c r="L3497" s="18">
        <v>112730.0</v>
      </c>
      <c r="M3497" s="14">
        <f>STDEV(L3497:L3501)</f>
        <v>47282.31214</v>
      </c>
      <c r="N3497" s="15" t="b">
        <f t="shared" si="1"/>
        <v>0</v>
      </c>
    </row>
    <row r="3498" hidden="1">
      <c r="A3498" s="7" t="s">
        <v>708</v>
      </c>
      <c r="B3498" s="7" t="s">
        <v>519</v>
      </c>
      <c r="C3498" s="7">
        <v>0.75</v>
      </c>
      <c r="D3498" s="7">
        <v>0.75</v>
      </c>
      <c r="E3498" s="7">
        <v>10.0</v>
      </c>
      <c r="F3498" s="7">
        <v>677599.365239143</v>
      </c>
      <c r="G3498" s="7">
        <v>677676.636603355</v>
      </c>
      <c r="H3498" s="7">
        <v>1.0</v>
      </c>
      <c r="I3498" s="15">
        <v>0.182679036222877</v>
      </c>
      <c r="J3498" s="15">
        <v>0.0623883479036989</v>
      </c>
      <c r="K3498" s="12">
        <f>AVERAGE(I3497:I3501)</f>
        <v>0.2645769073</v>
      </c>
      <c r="L3498" s="18">
        <v>8677.0</v>
      </c>
      <c r="M3498" s="14">
        <f>STDEV(L3497:L3501)</f>
        <v>47282.31214</v>
      </c>
      <c r="N3498" s="15" t="b">
        <f t="shared" si="1"/>
        <v>0</v>
      </c>
    </row>
    <row r="3499" hidden="1">
      <c r="A3499" s="7" t="s">
        <v>708</v>
      </c>
      <c r="B3499" s="7" t="s">
        <v>519</v>
      </c>
      <c r="C3499" s="7">
        <v>0.75</v>
      </c>
      <c r="D3499" s="7">
        <v>0.75</v>
      </c>
      <c r="E3499" s="7">
        <v>10.0</v>
      </c>
      <c r="F3499" s="7">
        <v>677599.365239143</v>
      </c>
      <c r="G3499" s="7">
        <v>677676.636603355</v>
      </c>
      <c r="H3499" s="7">
        <v>2.0</v>
      </c>
      <c r="I3499" s="15">
        <v>0.15694228580106</v>
      </c>
      <c r="J3499" s="15">
        <v>0.0846956924800275</v>
      </c>
      <c r="K3499" s="12">
        <f>AVERAGE(I3497:I3501)</f>
        <v>0.2645769073</v>
      </c>
      <c r="L3499" s="18">
        <v>5801.0</v>
      </c>
      <c r="M3499" s="14">
        <f>STDEV(L3497:L3501)</f>
        <v>47282.31214</v>
      </c>
      <c r="N3499" s="15" t="b">
        <f t="shared" si="1"/>
        <v>0</v>
      </c>
    </row>
    <row r="3500" hidden="1">
      <c r="A3500" s="7" t="s">
        <v>708</v>
      </c>
      <c r="B3500" s="7" t="s">
        <v>519</v>
      </c>
      <c r="C3500" s="7">
        <v>0.75</v>
      </c>
      <c r="D3500" s="7">
        <v>0.75</v>
      </c>
      <c r="E3500" s="7">
        <v>10.0</v>
      </c>
      <c r="F3500" s="7">
        <v>677599.365239143</v>
      </c>
      <c r="G3500" s="7">
        <v>677676.636603355</v>
      </c>
      <c r="H3500" s="7">
        <v>3.0</v>
      </c>
      <c r="I3500" s="15">
        <v>0.676194619865542</v>
      </c>
      <c r="J3500" s="15">
        <v>0.159529237455504</v>
      </c>
      <c r="K3500" s="12">
        <f>AVERAGE(I3497:I3501)</f>
        <v>0.2645769073</v>
      </c>
      <c r="L3500" s="18">
        <v>3037.0</v>
      </c>
      <c r="M3500" s="14">
        <f>STDEV(L3497:L3501)</f>
        <v>47282.31214</v>
      </c>
      <c r="N3500" s="15" t="b">
        <f t="shared" si="1"/>
        <v>0</v>
      </c>
    </row>
    <row r="3501" hidden="1">
      <c r="A3501" s="7" t="s">
        <v>708</v>
      </c>
      <c r="B3501" s="7" t="s">
        <v>519</v>
      </c>
      <c r="C3501" s="7">
        <v>0.75</v>
      </c>
      <c r="D3501" s="7">
        <v>0.75</v>
      </c>
      <c r="E3501" s="7">
        <v>10.0</v>
      </c>
      <c r="F3501" s="7">
        <v>677599.365239143</v>
      </c>
      <c r="G3501" s="7">
        <v>677676.636603355</v>
      </c>
      <c r="H3501" s="7">
        <v>4.0</v>
      </c>
      <c r="I3501" s="15">
        <v>0.420314593970811</v>
      </c>
      <c r="J3501" s="15">
        <v>0.0771245256194198</v>
      </c>
      <c r="K3501" s="12">
        <f>AVERAGE(I3497:I3501)</f>
        <v>0.2645769073</v>
      </c>
      <c r="L3501" s="18">
        <v>11431.0</v>
      </c>
      <c r="M3501" s="14">
        <f>STDEV(L3497:L3501)</f>
        <v>47282.31214</v>
      </c>
      <c r="N3501" s="15" t="b">
        <f t="shared" si="1"/>
        <v>0</v>
      </c>
    </row>
    <row r="3502" hidden="1">
      <c r="A3502" s="7" t="s">
        <v>709</v>
      </c>
      <c r="B3502" s="7" t="s">
        <v>519</v>
      </c>
      <c r="C3502" s="7">
        <v>0.75</v>
      </c>
      <c r="D3502" s="7">
        <v>1.0</v>
      </c>
      <c r="E3502" s="7">
        <v>1.0</v>
      </c>
      <c r="F3502" s="7">
        <v>665749.836199045</v>
      </c>
      <c r="G3502" s="7">
        <v>665827.701756954</v>
      </c>
      <c r="H3502" s="7">
        <v>0.0</v>
      </c>
      <c r="I3502" s="15">
        <v>0.854605484512904</v>
      </c>
      <c r="J3502" s="15">
        <v>0.0723293774436738</v>
      </c>
      <c r="K3502" s="12">
        <f>AVERAGE(I3502:I3506)</f>
        <v>0.4618795221</v>
      </c>
      <c r="L3502" s="18">
        <v>7200.0</v>
      </c>
      <c r="M3502" s="14">
        <f>STDEV(L3502:L3506)</f>
        <v>51697.78376</v>
      </c>
      <c r="N3502" s="15" t="b">
        <f t="shared" si="1"/>
        <v>0</v>
      </c>
    </row>
    <row r="3503" hidden="1">
      <c r="A3503" s="7" t="s">
        <v>709</v>
      </c>
      <c r="B3503" s="7" t="s">
        <v>519</v>
      </c>
      <c r="C3503" s="7">
        <v>0.75</v>
      </c>
      <c r="D3503" s="7">
        <v>1.0</v>
      </c>
      <c r="E3503" s="7">
        <v>1.0</v>
      </c>
      <c r="F3503" s="7">
        <v>665749.836199045</v>
      </c>
      <c r="G3503" s="7">
        <v>665827.701756954</v>
      </c>
      <c r="H3503" s="7">
        <v>1.0</v>
      </c>
      <c r="I3503" s="15">
        <v>0.336185741860378</v>
      </c>
      <c r="J3503" s="15">
        <v>0.135233772069259</v>
      </c>
      <c r="K3503" s="12">
        <f>AVERAGE(I3502:I3506)</f>
        <v>0.4618795221</v>
      </c>
      <c r="L3503" s="18">
        <v>4009.0</v>
      </c>
      <c r="M3503" s="14">
        <f>STDEV(L3502:L3506)</f>
        <v>51697.78376</v>
      </c>
      <c r="N3503" s="15" t="b">
        <f t="shared" si="1"/>
        <v>0</v>
      </c>
    </row>
    <row r="3504" hidden="1">
      <c r="A3504" s="7" t="s">
        <v>709</v>
      </c>
      <c r="B3504" s="7" t="s">
        <v>519</v>
      </c>
      <c r="C3504" s="7">
        <v>0.75</v>
      </c>
      <c r="D3504" s="7">
        <v>1.0</v>
      </c>
      <c r="E3504" s="7">
        <v>1.0</v>
      </c>
      <c r="F3504" s="7">
        <v>665749.836199045</v>
      </c>
      <c r="G3504" s="7">
        <v>665827.701756954</v>
      </c>
      <c r="H3504" s="7">
        <v>2.0</v>
      </c>
      <c r="I3504" s="15">
        <v>0.0656806321490287</v>
      </c>
      <c r="J3504" s="15">
        <v>0.0883982693787864</v>
      </c>
      <c r="K3504" s="12">
        <f>AVERAGE(I3502:I3506)</f>
        <v>0.4618795221</v>
      </c>
      <c r="L3504" s="18">
        <v>120783.0</v>
      </c>
      <c r="M3504" s="14">
        <f>STDEV(L3502:L3506)</f>
        <v>51697.78376</v>
      </c>
      <c r="N3504" s="15" t="b">
        <f t="shared" si="1"/>
        <v>0</v>
      </c>
    </row>
    <row r="3505" hidden="1">
      <c r="A3505" s="7" t="s">
        <v>709</v>
      </c>
      <c r="B3505" s="7" t="s">
        <v>519</v>
      </c>
      <c r="C3505" s="7">
        <v>0.75</v>
      </c>
      <c r="D3505" s="7">
        <v>1.0</v>
      </c>
      <c r="E3505" s="7">
        <v>1.0</v>
      </c>
      <c r="F3505" s="7">
        <v>665749.836199045</v>
      </c>
      <c r="G3505" s="7">
        <v>665827.701756954</v>
      </c>
      <c r="H3505" s="7">
        <v>3.0</v>
      </c>
      <c r="I3505" s="15">
        <v>0.175685127233654</v>
      </c>
      <c r="J3505" s="15">
        <v>0.0703144626551742</v>
      </c>
      <c r="K3505" s="12">
        <f>AVERAGE(I3502:I3506)</f>
        <v>0.4618795221</v>
      </c>
      <c r="L3505" s="18">
        <v>5771.0</v>
      </c>
      <c r="M3505" s="14">
        <f>STDEV(L3502:L3506)</f>
        <v>51697.78376</v>
      </c>
      <c r="N3505" s="15" t="b">
        <f t="shared" si="1"/>
        <v>0</v>
      </c>
    </row>
    <row r="3506" hidden="1">
      <c r="A3506" s="7" t="s">
        <v>709</v>
      </c>
      <c r="B3506" s="7" t="s">
        <v>519</v>
      </c>
      <c r="C3506" s="7">
        <v>0.75</v>
      </c>
      <c r="D3506" s="7">
        <v>1.0</v>
      </c>
      <c r="E3506" s="7">
        <v>1.0</v>
      </c>
      <c r="F3506" s="7">
        <v>665749.836199045</v>
      </c>
      <c r="G3506" s="7">
        <v>665827.701756954</v>
      </c>
      <c r="H3506" s="7">
        <v>4.0</v>
      </c>
      <c r="I3506" s="15">
        <v>0.877240624601882</v>
      </c>
      <c r="J3506" s="15">
        <v>0.0746234712742937</v>
      </c>
      <c r="K3506" s="12">
        <f>AVERAGE(I3502:I3506)</f>
        <v>0.4618795221</v>
      </c>
      <c r="L3506" s="18">
        <v>3913.0</v>
      </c>
      <c r="M3506" s="14">
        <f>STDEV(L3502:L3506)</f>
        <v>51697.78376</v>
      </c>
      <c r="N3506" s="15" t="b">
        <f t="shared" si="1"/>
        <v>0</v>
      </c>
    </row>
    <row r="3507" hidden="1">
      <c r="A3507" s="7" t="s">
        <v>710</v>
      </c>
      <c r="B3507" s="7" t="s">
        <v>519</v>
      </c>
      <c r="C3507" s="7">
        <v>0.75</v>
      </c>
      <c r="D3507" s="7">
        <v>1.0</v>
      </c>
      <c r="E3507" s="7">
        <v>2.0</v>
      </c>
      <c r="F3507" s="7">
        <v>748742.013345718</v>
      </c>
      <c r="G3507" s="7">
        <v>748799.574396133</v>
      </c>
      <c r="H3507" s="7">
        <v>0.0</v>
      </c>
      <c r="I3507" s="15">
        <v>0.0773706436255331</v>
      </c>
      <c r="J3507" s="15">
        <v>0.119150938281668</v>
      </c>
      <c r="K3507" s="12">
        <f>AVERAGE(I3507:I3511)</f>
        <v>0.2735010082</v>
      </c>
      <c r="L3507" s="18">
        <v>5266.0</v>
      </c>
      <c r="M3507" s="14">
        <f>STDEV(L3507:L3511)</f>
        <v>44028.93139</v>
      </c>
      <c r="N3507" s="15" t="b">
        <f t="shared" si="1"/>
        <v>0</v>
      </c>
    </row>
    <row r="3508" hidden="1">
      <c r="A3508" s="7" t="s">
        <v>710</v>
      </c>
      <c r="B3508" s="7" t="s">
        <v>519</v>
      </c>
      <c r="C3508" s="7">
        <v>0.75</v>
      </c>
      <c r="D3508" s="7">
        <v>1.0</v>
      </c>
      <c r="E3508" s="7">
        <v>2.0</v>
      </c>
      <c r="F3508" s="7">
        <v>748742.013345718</v>
      </c>
      <c r="G3508" s="7">
        <v>748799.574396133</v>
      </c>
      <c r="H3508" s="7">
        <v>1.0</v>
      </c>
      <c r="I3508" s="15">
        <v>0.339263508871429</v>
      </c>
      <c r="J3508" s="15">
        <v>0.0732314041737881</v>
      </c>
      <c r="K3508" s="12">
        <f>AVERAGE(I3507:I3511)</f>
        <v>0.2735010082</v>
      </c>
      <c r="L3508" s="18">
        <v>4012.0</v>
      </c>
      <c r="M3508" s="14">
        <f>STDEV(L3507:L3511)</f>
        <v>44028.93139</v>
      </c>
      <c r="N3508" s="15" t="b">
        <f t="shared" si="1"/>
        <v>0</v>
      </c>
    </row>
    <row r="3509" hidden="1">
      <c r="A3509" s="7" t="s">
        <v>710</v>
      </c>
      <c r="B3509" s="7" t="s">
        <v>519</v>
      </c>
      <c r="C3509" s="7">
        <v>0.75</v>
      </c>
      <c r="D3509" s="7">
        <v>1.0</v>
      </c>
      <c r="E3509" s="7">
        <v>2.0</v>
      </c>
      <c r="F3509" s="7">
        <v>748742.013345718</v>
      </c>
      <c r="G3509" s="7">
        <v>748799.574396133</v>
      </c>
      <c r="H3509" s="7">
        <v>2.0</v>
      </c>
      <c r="I3509" s="15">
        <v>0.0344529362417472</v>
      </c>
      <c r="J3509" s="15">
        <v>0.119821593125525</v>
      </c>
      <c r="K3509" s="12">
        <f>AVERAGE(I3507:I3511)</f>
        <v>0.2735010082</v>
      </c>
      <c r="L3509" s="18">
        <v>104869.0</v>
      </c>
      <c r="M3509" s="14">
        <f>STDEV(L3507:L3511)</f>
        <v>44028.93139</v>
      </c>
      <c r="N3509" s="15" t="b">
        <f t="shared" si="1"/>
        <v>0</v>
      </c>
    </row>
    <row r="3510" hidden="1">
      <c r="A3510" s="7" t="s">
        <v>710</v>
      </c>
      <c r="B3510" s="7" t="s">
        <v>519</v>
      </c>
      <c r="C3510" s="7">
        <v>0.75</v>
      </c>
      <c r="D3510" s="7">
        <v>1.0</v>
      </c>
      <c r="E3510" s="7">
        <v>2.0</v>
      </c>
      <c r="F3510" s="7">
        <v>748742.013345718</v>
      </c>
      <c r="G3510" s="7">
        <v>748799.574396133</v>
      </c>
      <c r="H3510" s="7">
        <v>3.0</v>
      </c>
      <c r="I3510" s="15">
        <v>0.491911434082681</v>
      </c>
      <c r="J3510" s="15">
        <v>0.13382457881202</v>
      </c>
      <c r="K3510" s="12">
        <f>AVERAGE(I3507:I3511)</f>
        <v>0.2735010082</v>
      </c>
      <c r="L3510" s="18">
        <v>567.0</v>
      </c>
      <c r="M3510" s="14">
        <f>STDEV(L3507:L3511)</f>
        <v>44028.93139</v>
      </c>
      <c r="N3510" s="15" t="b">
        <f t="shared" si="1"/>
        <v>0</v>
      </c>
    </row>
    <row r="3511" hidden="1">
      <c r="A3511" s="7" t="s">
        <v>710</v>
      </c>
      <c r="B3511" s="7" t="s">
        <v>519</v>
      </c>
      <c r="C3511" s="7">
        <v>0.75</v>
      </c>
      <c r="D3511" s="7">
        <v>1.0</v>
      </c>
      <c r="E3511" s="7">
        <v>2.0</v>
      </c>
      <c r="F3511" s="7">
        <v>748742.013345718</v>
      </c>
      <c r="G3511" s="7">
        <v>748799.574396133</v>
      </c>
      <c r="H3511" s="7">
        <v>4.0</v>
      </c>
      <c r="I3511" s="15">
        <v>0.424506518281845</v>
      </c>
      <c r="J3511" s="15">
        <v>0.109763746850396</v>
      </c>
      <c r="K3511" s="12">
        <f>AVERAGE(I3507:I3511)</f>
        <v>0.2735010082</v>
      </c>
      <c r="L3511" s="18">
        <v>26962.0</v>
      </c>
      <c r="M3511" s="14">
        <f>STDEV(L3507:L3511)</f>
        <v>44028.93139</v>
      </c>
      <c r="N3511" s="15" t="b">
        <f t="shared" si="1"/>
        <v>0</v>
      </c>
    </row>
    <row r="3512" hidden="1">
      <c r="A3512" s="7" t="s">
        <v>711</v>
      </c>
      <c r="B3512" s="7" t="s">
        <v>519</v>
      </c>
      <c r="C3512" s="7">
        <v>0.75</v>
      </c>
      <c r="D3512" s="7">
        <v>1.0</v>
      </c>
      <c r="E3512" s="7">
        <v>3.0</v>
      </c>
      <c r="F3512" s="7">
        <v>744211.859444141</v>
      </c>
      <c r="G3512" s="7">
        <v>744274.855061292</v>
      </c>
      <c r="H3512" s="7">
        <v>0.0</v>
      </c>
      <c r="I3512" s="15">
        <v>0.423786988778686</v>
      </c>
      <c r="J3512" s="15">
        <v>0.0444544843561829</v>
      </c>
      <c r="K3512" s="12">
        <f>AVERAGE(I3512:I3516)</f>
        <v>0.3673589997</v>
      </c>
      <c r="L3512" s="18">
        <v>12522.0</v>
      </c>
      <c r="M3512" s="14">
        <f>STDEV(L3512:L3516)</f>
        <v>50455.23019</v>
      </c>
      <c r="N3512" s="15" t="b">
        <f t="shared" si="1"/>
        <v>0</v>
      </c>
    </row>
    <row r="3513" hidden="1">
      <c r="A3513" s="7" t="s">
        <v>711</v>
      </c>
      <c r="B3513" s="7" t="s">
        <v>519</v>
      </c>
      <c r="C3513" s="7">
        <v>0.75</v>
      </c>
      <c r="D3513" s="7">
        <v>1.0</v>
      </c>
      <c r="E3513" s="7">
        <v>3.0</v>
      </c>
      <c r="F3513" s="7">
        <v>744211.859444141</v>
      </c>
      <c r="G3513" s="7">
        <v>744274.855061292</v>
      </c>
      <c r="H3513" s="7">
        <v>1.0</v>
      </c>
      <c r="I3513" s="15">
        <v>0.0740572343300458</v>
      </c>
      <c r="J3513" s="15">
        <v>0.0476772667203712</v>
      </c>
      <c r="K3513" s="12">
        <f>AVERAGE(I3512:I3516)</f>
        <v>0.3673589997</v>
      </c>
      <c r="L3513" s="18">
        <v>118276.0</v>
      </c>
      <c r="M3513" s="14">
        <f>STDEV(L3512:L3516)</f>
        <v>50455.23019</v>
      </c>
      <c r="N3513" s="15" t="b">
        <f t="shared" si="1"/>
        <v>0</v>
      </c>
    </row>
    <row r="3514" hidden="1">
      <c r="A3514" s="7" t="s">
        <v>711</v>
      </c>
      <c r="B3514" s="7" t="s">
        <v>519</v>
      </c>
      <c r="C3514" s="7">
        <v>0.75</v>
      </c>
      <c r="D3514" s="7">
        <v>1.0</v>
      </c>
      <c r="E3514" s="7">
        <v>3.0</v>
      </c>
      <c r="F3514" s="7">
        <v>744211.859444141</v>
      </c>
      <c r="G3514" s="7">
        <v>744274.855061292</v>
      </c>
      <c r="H3514" s="7">
        <v>2.0</v>
      </c>
      <c r="I3514" s="15">
        <v>0.358569133376893</v>
      </c>
      <c r="J3514" s="15">
        <v>0.0757247611503486</v>
      </c>
      <c r="K3514" s="12">
        <f>AVERAGE(I3512:I3516)</f>
        <v>0.3673589997</v>
      </c>
      <c r="L3514" s="18">
        <v>3990.0</v>
      </c>
      <c r="M3514" s="14">
        <f>STDEV(L3512:L3516)</f>
        <v>50455.23019</v>
      </c>
      <c r="N3514" s="15" t="b">
        <f t="shared" si="1"/>
        <v>0</v>
      </c>
    </row>
    <row r="3515" hidden="1">
      <c r="A3515" s="7" t="s">
        <v>711</v>
      </c>
      <c r="B3515" s="7" t="s">
        <v>519</v>
      </c>
      <c r="C3515" s="7">
        <v>0.75</v>
      </c>
      <c r="D3515" s="7">
        <v>1.0</v>
      </c>
      <c r="E3515" s="7">
        <v>3.0</v>
      </c>
      <c r="F3515" s="7">
        <v>744211.859444141</v>
      </c>
      <c r="G3515" s="7">
        <v>744274.855061292</v>
      </c>
      <c r="H3515" s="7">
        <v>3.0</v>
      </c>
      <c r="I3515" s="15">
        <v>0.805822244123516</v>
      </c>
      <c r="J3515" s="15">
        <v>0.142733853015311</v>
      </c>
      <c r="K3515" s="12">
        <f>AVERAGE(I3512:I3516)</f>
        <v>0.3673589997</v>
      </c>
      <c r="L3515" s="18">
        <v>1027.0</v>
      </c>
      <c r="M3515" s="14">
        <f>STDEV(L3512:L3516)</f>
        <v>50455.23019</v>
      </c>
      <c r="N3515" s="15" t="b">
        <f t="shared" si="1"/>
        <v>0</v>
      </c>
    </row>
    <row r="3516" hidden="1">
      <c r="A3516" s="7" t="s">
        <v>711</v>
      </c>
      <c r="B3516" s="7" t="s">
        <v>519</v>
      </c>
      <c r="C3516" s="7">
        <v>0.75</v>
      </c>
      <c r="D3516" s="7">
        <v>1.0</v>
      </c>
      <c r="E3516" s="7">
        <v>3.0</v>
      </c>
      <c r="F3516" s="7">
        <v>744211.859444141</v>
      </c>
      <c r="G3516" s="7">
        <v>744274.855061292</v>
      </c>
      <c r="H3516" s="7">
        <v>4.0</v>
      </c>
      <c r="I3516" s="15">
        <v>0.174559398103243</v>
      </c>
      <c r="J3516" s="15">
        <v>0.0637431141057063</v>
      </c>
      <c r="K3516" s="12">
        <f>AVERAGE(I3512:I3516)</f>
        <v>0.3673589997</v>
      </c>
      <c r="L3516" s="18">
        <v>5861.0</v>
      </c>
      <c r="M3516" s="14">
        <f>STDEV(L3512:L3516)</f>
        <v>50455.23019</v>
      </c>
      <c r="N3516" s="15" t="b">
        <f t="shared" si="1"/>
        <v>0</v>
      </c>
    </row>
    <row r="3517" hidden="1">
      <c r="A3517" s="7" t="s">
        <v>712</v>
      </c>
      <c r="B3517" s="7" t="s">
        <v>519</v>
      </c>
      <c r="C3517" s="7">
        <v>0.75</v>
      </c>
      <c r="D3517" s="7">
        <v>1.0</v>
      </c>
      <c r="E3517" s="7">
        <v>4.0</v>
      </c>
      <c r="F3517" s="7">
        <v>195362.284733533</v>
      </c>
      <c r="G3517" s="7">
        <v>195404.057067632</v>
      </c>
      <c r="H3517" s="7">
        <v>0.0</v>
      </c>
      <c r="I3517" s="15">
        <v>0.0418853752432612</v>
      </c>
      <c r="J3517" s="15">
        <v>0.0672020081877887</v>
      </c>
      <c r="K3517" s="12">
        <f>AVERAGE(I3517:I3521)</f>
        <v>0.2798911857</v>
      </c>
      <c r="L3517" s="18">
        <v>131707.0</v>
      </c>
      <c r="M3517" s="14">
        <f>STDEV(L3517:L3521)</f>
        <v>57823.46785</v>
      </c>
      <c r="N3517" s="15" t="b">
        <f t="shared" si="1"/>
        <v>0</v>
      </c>
    </row>
    <row r="3518" hidden="1">
      <c r="A3518" s="7" t="s">
        <v>712</v>
      </c>
      <c r="B3518" s="7" t="s">
        <v>519</v>
      </c>
      <c r="C3518" s="7">
        <v>0.75</v>
      </c>
      <c r="D3518" s="7">
        <v>1.0</v>
      </c>
      <c r="E3518" s="7">
        <v>4.0</v>
      </c>
      <c r="F3518" s="7">
        <v>195362.284733533</v>
      </c>
      <c r="G3518" s="7">
        <v>195404.057067632</v>
      </c>
      <c r="H3518" s="7">
        <v>1.0</v>
      </c>
      <c r="I3518" s="15">
        <v>0.074997047972268</v>
      </c>
      <c r="J3518" s="15">
        <v>0.078538338203925</v>
      </c>
      <c r="K3518" s="12">
        <f>AVERAGE(I3517:I3521)</f>
        <v>0.2798911857</v>
      </c>
      <c r="L3518" s="18">
        <v>1840.0</v>
      </c>
      <c r="M3518" s="14">
        <f>STDEV(L3517:L3521)</f>
        <v>57823.46785</v>
      </c>
      <c r="N3518" s="15" t="b">
        <f t="shared" si="1"/>
        <v>0</v>
      </c>
    </row>
    <row r="3519" hidden="1">
      <c r="A3519" s="7" t="s">
        <v>712</v>
      </c>
      <c r="B3519" s="7" t="s">
        <v>519</v>
      </c>
      <c r="C3519" s="7">
        <v>0.75</v>
      </c>
      <c r="D3519" s="7">
        <v>1.0</v>
      </c>
      <c r="E3519" s="7">
        <v>4.0</v>
      </c>
      <c r="F3519" s="7">
        <v>195362.284733533</v>
      </c>
      <c r="G3519" s="7">
        <v>195404.057067632</v>
      </c>
      <c r="H3519" s="7">
        <v>2.0</v>
      </c>
      <c r="I3519" s="15">
        <v>0.910047104978904</v>
      </c>
      <c r="J3519" s="15">
        <v>0.0530507556069544</v>
      </c>
      <c r="K3519" s="12">
        <f>AVERAGE(I3517:I3521)</f>
        <v>0.2798911857</v>
      </c>
      <c r="L3519" s="18">
        <v>377.0</v>
      </c>
      <c r="M3519" s="14">
        <f>STDEV(L3517:L3521)</f>
        <v>57823.46785</v>
      </c>
      <c r="N3519" s="15" t="b">
        <f t="shared" si="1"/>
        <v>0</v>
      </c>
    </row>
    <row r="3520" hidden="1">
      <c r="A3520" s="7" t="s">
        <v>712</v>
      </c>
      <c r="B3520" s="7" t="s">
        <v>519</v>
      </c>
      <c r="C3520" s="7">
        <v>0.75</v>
      </c>
      <c r="D3520" s="7">
        <v>1.0</v>
      </c>
      <c r="E3520" s="7">
        <v>4.0</v>
      </c>
      <c r="F3520" s="7">
        <v>195362.284733533</v>
      </c>
      <c r="G3520" s="7">
        <v>195404.057067632</v>
      </c>
      <c r="H3520" s="7">
        <v>3.0</v>
      </c>
      <c r="I3520" s="15">
        <v>0.211033386673284</v>
      </c>
      <c r="J3520" s="15">
        <v>0.0773852709435059</v>
      </c>
      <c r="K3520" s="12">
        <f>AVERAGE(I3517:I3521)</f>
        <v>0.2798911857</v>
      </c>
      <c r="L3520" s="18">
        <v>1836.0</v>
      </c>
      <c r="M3520" s="14">
        <f>STDEV(L3517:L3521)</f>
        <v>57823.46785</v>
      </c>
      <c r="N3520" s="15" t="b">
        <f t="shared" si="1"/>
        <v>0</v>
      </c>
    </row>
    <row r="3521" hidden="1">
      <c r="A3521" s="7" t="s">
        <v>712</v>
      </c>
      <c r="B3521" s="7" t="s">
        <v>519</v>
      </c>
      <c r="C3521" s="7">
        <v>0.75</v>
      </c>
      <c r="D3521" s="7">
        <v>1.0</v>
      </c>
      <c r="E3521" s="7">
        <v>4.0</v>
      </c>
      <c r="F3521" s="7">
        <v>195362.284733533</v>
      </c>
      <c r="G3521" s="7">
        <v>195404.057067632</v>
      </c>
      <c r="H3521" s="7">
        <v>4.0</v>
      </c>
      <c r="I3521" s="15">
        <v>0.161493013572772</v>
      </c>
      <c r="J3521" s="15">
        <v>0.0861487221876953</v>
      </c>
      <c r="K3521" s="12">
        <f>AVERAGE(I3517:I3521)</f>
        <v>0.2798911857</v>
      </c>
      <c r="L3521" s="18">
        <v>5916.0</v>
      </c>
      <c r="M3521" s="14">
        <f>STDEV(L3517:L3521)</f>
        <v>57823.46785</v>
      </c>
      <c r="N3521" s="15" t="b">
        <f t="shared" si="1"/>
        <v>0</v>
      </c>
    </row>
    <row r="3522" hidden="1">
      <c r="A3522" s="7" t="s">
        <v>713</v>
      </c>
      <c r="B3522" s="7" t="s">
        <v>519</v>
      </c>
      <c r="C3522" s="7">
        <v>0.75</v>
      </c>
      <c r="D3522" s="7">
        <v>1.0</v>
      </c>
      <c r="E3522" s="7">
        <v>5.0</v>
      </c>
      <c r="F3522" s="7">
        <v>224725.665579557</v>
      </c>
      <c r="G3522" s="7">
        <v>224767.51840043</v>
      </c>
      <c r="H3522" s="7">
        <v>0.0</v>
      </c>
      <c r="I3522" s="15">
        <v>0.0688286981578727</v>
      </c>
      <c r="J3522" s="15">
        <v>0.0886077696715212</v>
      </c>
      <c r="K3522" s="12">
        <f>AVERAGE(I3522:I3526)</f>
        <v>0.4566562071</v>
      </c>
      <c r="L3522" s="18">
        <v>119433.0</v>
      </c>
      <c r="M3522" s="14">
        <f>STDEV(L3522:L3526)</f>
        <v>50950.31098</v>
      </c>
      <c r="N3522" s="15" t="b">
        <f t="shared" si="1"/>
        <v>0</v>
      </c>
    </row>
    <row r="3523" hidden="1">
      <c r="A3523" s="7" t="s">
        <v>713</v>
      </c>
      <c r="B3523" s="7" t="s">
        <v>519</v>
      </c>
      <c r="C3523" s="7">
        <v>0.75</v>
      </c>
      <c r="D3523" s="7">
        <v>1.0</v>
      </c>
      <c r="E3523" s="7">
        <v>5.0</v>
      </c>
      <c r="F3523" s="7">
        <v>224725.665579557</v>
      </c>
      <c r="G3523" s="7">
        <v>224767.51840043</v>
      </c>
      <c r="H3523" s="7">
        <v>1.0</v>
      </c>
      <c r="I3523" s="15">
        <v>0.877658692042235</v>
      </c>
      <c r="J3523" s="15">
        <v>0.0720912423589955</v>
      </c>
      <c r="K3523" s="12">
        <f>AVERAGE(I3522:I3526)</f>
        <v>0.4566562071</v>
      </c>
      <c r="L3523" s="18">
        <v>3916.0</v>
      </c>
      <c r="M3523" s="14">
        <f>STDEV(L3522:L3526)</f>
        <v>50950.31098</v>
      </c>
      <c r="N3523" s="15" t="b">
        <f t="shared" si="1"/>
        <v>0</v>
      </c>
    </row>
    <row r="3524" hidden="1">
      <c r="A3524" s="7" t="s">
        <v>713</v>
      </c>
      <c r="B3524" s="7" t="s">
        <v>519</v>
      </c>
      <c r="C3524" s="7">
        <v>0.75</v>
      </c>
      <c r="D3524" s="7">
        <v>1.0</v>
      </c>
      <c r="E3524" s="7">
        <v>5.0</v>
      </c>
      <c r="F3524" s="7">
        <v>224725.665579557</v>
      </c>
      <c r="G3524" s="7">
        <v>224767.51840043</v>
      </c>
      <c r="H3524" s="7">
        <v>2.0</v>
      </c>
      <c r="I3524" s="15">
        <v>0.854657831640885</v>
      </c>
      <c r="J3524" s="15">
        <v>0.0718451262632201</v>
      </c>
      <c r="K3524" s="12">
        <f>AVERAGE(I3522:I3526)</f>
        <v>0.4566562071</v>
      </c>
      <c r="L3524" s="18">
        <v>7200.0</v>
      </c>
      <c r="M3524" s="14">
        <f>STDEV(L3522:L3526)</f>
        <v>50950.31098</v>
      </c>
      <c r="N3524" s="15" t="b">
        <f t="shared" si="1"/>
        <v>0</v>
      </c>
    </row>
    <row r="3525" hidden="1">
      <c r="A3525" s="7" t="s">
        <v>713</v>
      </c>
      <c r="B3525" s="7" t="s">
        <v>519</v>
      </c>
      <c r="C3525" s="7">
        <v>0.75</v>
      </c>
      <c r="D3525" s="7">
        <v>1.0</v>
      </c>
      <c r="E3525" s="7">
        <v>5.0</v>
      </c>
      <c r="F3525" s="7">
        <v>224725.665579557</v>
      </c>
      <c r="G3525" s="7">
        <v>224767.51840043</v>
      </c>
      <c r="H3525" s="7">
        <v>3.0</v>
      </c>
      <c r="I3525" s="15">
        <v>0.145132273534298</v>
      </c>
      <c r="J3525" s="15">
        <v>0.0632550020906134</v>
      </c>
      <c r="K3525" s="12">
        <f>AVERAGE(I3522:I3526)</f>
        <v>0.4566562071</v>
      </c>
      <c r="L3525" s="18">
        <v>7118.0</v>
      </c>
      <c r="M3525" s="14">
        <f>STDEV(L3522:L3526)</f>
        <v>50950.31098</v>
      </c>
      <c r="N3525" s="15" t="b">
        <f t="shared" si="1"/>
        <v>0</v>
      </c>
    </row>
    <row r="3526" hidden="1">
      <c r="A3526" s="7" t="s">
        <v>713</v>
      </c>
      <c r="B3526" s="7" t="s">
        <v>519</v>
      </c>
      <c r="C3526" s="7">
        <v>0.75</v>
      </c>
      <c r="D3526" s="7">
        <v>1.0</v>
      </c>
      <c r="E3526" s="7">
        <v>5.0</v>
      </c>
      <c r="F3526" s="7">
        <v>224725.665579557</v>
      </c>
      <c r="G3526" s="7">
        <v>224767.51840043</v>
      </c>
      <c r="H3526" s="7">
        <v>4.0</v>
      </c>
      <c r="I3526" s="15">
        <v>0.337003540280512</v>
      </c>
      <c r="J3526" s="15">
        <v>0.135474490080207</v>
      </c>
      <c r="K3526" s="12">
        <f>AVERAGE(I3522:I3526)</f>
        <v>0.4566562071</v>
      </c>
      <c r="L3526" s="18">
        <v>4009.0</v>
      </c>
      <c r="M3526" s="14">
        <f>STDEV(L3522:L3526)</f>
        <v>50950.31098</v>
      </c>
      <c r="N3526" s="15" t="b">
        <f t="shared" si="1"/>
        <v>0</v>
      </c>
    </row>
    <row r="3527" hidden="1">
      <c r="A3527" s="7" t="s">
        <v>714</v>
      </c>
      <c r="B3527" s="7" t="s">
        <v>519</v>
      </c>
      <c r="C3527" s="7">
        <v>0.75</v>
      </c>
      <c r="D3527" s="7">
        <v>1.0</v>
      </c>
      <c r="E3527" s="7">
        <v>6.0</v>
      </c>
      <c r="F3527" s="7">
        <v>559232.871399164</v>
      </c>
      <c r="G3527" s="7">
        <v>559333.713432312</v>
      </c>
      <c r="H3527" s="7">
        <v>0.0</v>
      </c>
      <c r="I3527" s="15">
        <v>0.0660923823509105</v>
      </c>
      <c r="J3527" s="15">
        <v>0.101092289583212</v>
      </c>
      <c r="K3527" s="12">
        <f>AVERAGE(I3527:I3531)</f>
        <v>0.434354638</v>
      </c>
      <c r="L3527" s="18">
        <v>123778.0</v>
      </c>
      <c r="M3527" s="14">
        <f>STDEV(L3527:L3531)</f>
        <v>53470.43288</v>
      </c>
      <c r="N3527" s="15" t="b">
        <f t="shared" si="1"/>
        <v>0</v>
      </c>
    </row>
    <row r="3528" hidden="1">
      <c r="A3528" s="7" t="s">
        <v>714</v>
      </c>
      <c r="B3528" s="7" t="s">
        <v>519</v>
      </c>
      <c r="C3528" s="7">
        <v>0.75</v>
      </c>
      <c r="D3528" s="7">
        <v>1.0</v>
      </c>
      <c r="E3528" s="7">
        <v>6.0</v>
      </c>
      <c r="F3528" s="7">
        <v>559232.871399164</v>
      </c>
      <c r="G3528" s="7">
        <v>559333.713432312</v>
      </c>
      <c r="H3528" s="7">
        <v>1.0</v>
      </c>
      <c r="I3528" s="15">
        <v>0.872060233944582</v>
      </c>
      <c r="J3528" s="15">
        <v>0.0786502495693408</v>
      </c>
      <c r="K3528" s="12">
        <f>AVERAGE(I3527:I3531)</f>
        <v>0.434354638</v>
      </c>
      <c r="L3528" s="18">
        <v>3953.0</v>
      </c>
      <c r="M3528" s="14">
        <f>STDEV(L3527:L3531)</f>
        <v>53470.43288</v>
      </c>
      <c r="N3528" s="15" t="b">
        <f t="shared" si="1"/>
        <v>0</v>
      </c>
    </row>
    <row r="3529" hidden="1">
      <c r="A3529" s="7" t="s">
        <v>714</v>
      </c>
      <c r="B3529" s="7" t="s">
        <v>519</v>
      </c>
      <c r="C3529" s="7">
        <v>0.75</v>
      </c>
      <c r="D3529" s="7">
        <v>1.0</v>
      </c>
      <c r="E3529" s="7">
        <v>6.0</v>
      </c>
      <c r="F3529" s="7">
        <v>559232.871399164</v>
      </c>
      <c r="G3529" s="7">
        <v>559333.713432312</v>
      </c>
      <c r="H3529" s="7">
        <v>2.0</v>
      </c>
      <c r="I3529" s="15">
        <v>0.25924135841921</v>
      </c>
      <c r="J3529" s="15">
        <v>0.0974756051209843</v>
      </c>
      <c r="K3529" s="12">
        <f>AVERAGE(I3527:I3531)</f>
        <v>0.434354638</v>
      </c>
      <c r="L3529" s="18">
        <v>4017.0</v>
      </c>
      <c r="M3529" s="14">
        <f>STDEV(L3527:L3531)</f>
        <v>53470.43288</v>
      </c>
      <c r="N3529" s="15" t="b">
        <f t="shared" si="1"/>
        <v>0</v>
      </c>
    </row>
    <row r="3530" hidden="1">
      <c r="A3530" s="7" t="s">
        <v>714</v>
      </c>
      <c r="B3530" s="7" t="s">
        <v>519</v>
      </c>
      <c r="C3530" s="7">
        <v>0.75</v>
      </c>
      <c r="D3530" s="7">
        <v>1.0</v>
      </c>
      <c r="E3530" s="7">
        <v>6.0</v>
      </c>
      <c r="F3530" s="7">
        <v>559232.871399164</v>
      </c>
      <c r="G3530" s="7">
        <v>559333.713432312</v>
      </c>
      <c r="H3530" s="7">
        <v>3.0</v>
      </c>
      <c r="I3530" s="15">
        <v>0.477879007067533</v>
      </c>
      <c r="J3530" s="15">
        <v>0.271584322067369</v>
      </c>
      <c r="K3530" s="12">
        <f>AVERAGE(I3527:I3531)</f>
        <v>0.434354638</v>
      </c>
      <c r="L3530" s="18">
        <v>9900.0</v>
      </c>
      <c r="M3530" s="14">
        <f>STDEV(L3527:L3531)</f>
        <v>53470.43288</v>
      </c>
      <c r="N3530" s="15" t="b">
        <f t="shared" si="1"/>
        <v>0</v>
      </c>
    </row>
    <row r="3531" hidden="1">
      <c r="A3531" s="7" t="s">
        <v>714</v>
      </c>
      <c r="B3531" s="7" t="s">
        <v>519</v>
      </c>
      <c r="C3531" s="7">
        <v>0.75</v>
      </c>
      <c r="D3531" s="7">
        <v>1.0</v>
      </c>
      <c r="E3531" s="7">
        <v>6.0</v>
      </c>
      <c r="F3531" s="7">
        <v>559232.871399164</v>
      </c>
      <c r="G3531" s="7">
        <v>559333.713432312</v>
      </c>
      <c r="H3531" s="7">
        <v>4.0</v>
      </c>
      <c r="I3531" s="15">
        <v>0.496500208401626</v>
      </c>
      <c r="J3531" s="15">
        <v>0.0805723164563277</v>
      </c>
      <c r="K3531" s="12">
        <f>AVERAGE(I3527:I3531)</f>
        <v>0.434354638</v>
      </c>
      <c r="L3531" s="18">
        <v>28.0</v>
      </c>
      <c r="M3531" s="14">
        <f>STDEV(L3527:L3531)</f>
        <v>53470.43288</v>
      </c>
      <c r="N3531" s="15" t="b">
        <f t="shared" si="1"/>
        <v>0</v>
      </c>
    </row>
    <row r="3532" hidden="1">
      <c r="A3532" s="7" t="s">
        <v>715</v>
      </c>
      <c r="B3532" s="7" t="s">
        <v>519</v>
      </c>
      <c r="C3532" s="7">
        <v>0.75</v>
      </c>
      <c r="D3532" s="7">
        <v>1.0</v>
      </c>
      <c r="E3532" s="7">
        <v>7.0</v>
      </c>
      <c r="F3532" s="7">
        <v>635364.206895828</v>
      </c>
      <c r="G3532" s="7">
        <v>635457.036026954</v>
      </c>
      <c r="H3532" s="7">
        <v>0.0</v>
      </c>
      <c r="I3532" s="15">
        <v>0.176238552841947</v>
      </c>
      <c r="J3532" s="15">
        <v>0.0703108472010662</v>
      </c>
      <c r="K3532" s="12">
        <f>AVERAGE(I3532:I3536)</f>
        <v>0.4619883739</v>
      </c>
      <c r="L3532" s="18">
        <v>5748.0</v>
      </c>
      <c r="M3532" s="14">
        <f>STDEV(L3532:L3536)</f>
        <v>51710.57676</v>
      </c>
      <c r="N3532" s="15" t="b">
        <f t="shared" si="1"/>
        <v>0</v>
      </c>
    </row>
    <row r="3533" hidden="1">
      <c r="A3533" s="7" t="s">
        <v>715</v>
      </c>
      <c r="B3533" s="7" t="s">
        <v>519</v>
      </c>
      <c r="C3533" s="7">
        <v>0.75</v>
      </c>
      <c r="D3533" s="7">
        <v>1.0</v>
      </c>
      <c r="E3533" s="7">
        <v>7.0</v>
      </c>
      <c r="F3533" s="7">
        <v>635364.206895828</v>
      </c>
      <c r="G3533" s="7">
        <v>635457.036026954</v>
      </c>
      <c r="H3533" s="7">
        <v>1.0</v>
      </c>
      <c r="I3533" s="15">
        <v>0.877241714281842</v>
      </c>
      <c r="J3533" s="15">
        <v>0.0746157934383174</v>
      </c>
      <c r="K3533" s="12">
        <f>AVERAGE(I3532:I3536)</f>
        <v>0.4619883739</v>
      </c>
      <c r="L3533" s="18">
        <v>3913.0</v>
      </c>
      <c r="M3533" s="14">
        <f>STDEV(L3532:L3536)</f>
        <v>51710.57676</v>
      </c>
      <c r="N3533" s="15" t="b">
        <f t="shared" si="1"/>
        <v>0</v>
      </c>
    </row>
    <row r="3534" hidden="1">
      <c r="A3534" s="7" t="s">
        <v>715</v>
      </c>
      <c r="B3534" s="7" t="s">
        <v>519</v>
      </c>
      <c r="C3534" s="7">
        <v>0.75</v>
      </c>
      <c r="D3534" s="7">
        <v>1.0</v>
      </c>
      <c r="E3534" s="7">
        <v>7.0</v>
      </c>
      <c r="F3534" s="7">
        <v>635364.206895828</v>
      </c>
      <c r="G3534" s="7">
        <v>635457.036026954</v>
      </c>
      <c r="H3534" s="7">
        <v>2.0</v>
      </c>
      <c r="I3534" s="15">
        <v>0.0656795938813657</v>
      </c>
      <c r="J3534" s="15">
        <v>0.0883984550702818</v>
      </c>
      <c r="K3534" s="12">
        <f>AVERAGE(I3532:I3536)</f>
        <v>0.4619883739</v>
      </c>
      <c r="L3534" s="18">
        <v>120806.0</v>
      </c>
      <c r="M3534" s="14">
        <f>STDEV(L3532:L3536)</f>
        <v>51710.57676</v>
      </c>
      <c r="N3534" s="15" t="b">
        <f t="shared" si="1"/>
        <v>0</v>
      </c>
    </row>
    <row r="3535" hidden="1">
      <c r="A3535" s="7" t="s">
        <v>715</v>
      </c>
      <c r="B3535" s="7" t="s">
        <v>519</v>
      </c>
      <c r="C3535" s="7">
        <v>0.75</v>
      </c>
      <c r="D3535" s="7">
        <v>1.0</v>
      </c>
      <c r="E3535" s="7">
        <v>7.0</v>
      </c>
      <c r="F3535" s="7">
        <v>635364.206895828</v>
      </c>
      <c r="G3535" s="7">
        <v>635457.036026954</v>
      </c>
      <c r="H3535" s="7">
        <v>3.0</v>
      </c>
      <c r="I3535" s="15">
        <v>0.854604455429305</v>
      </c>
      <c r="J3535" s="15">
        <v>0.0723372407285629</v>
      </c>
      <c r="K3535" s="12">
        <f>AVERAGE(I3532:I3536)</f>
        <v>0.4619883739</v>
      </c>
      <c r="L3535" s="18">
        <v>7200.0</v>
      </c>
      <c r="M3535" s="14">
        <f>STDEV(L3532:L3536)</f>
        <v>51710.57676</v>
      </c>
      <c r="N3535" s="15" t="b">
        <f t="shared" si="1"/>
        <v>0</v>
      </c>
    </row>
    <row r="3536" hidden="1">
      <c r="A3536" s="7" t="s">
        <v>715</v>
      </c>
      <c r="B3536" s="7" t="s">
        <v>519</v>
      </c>
      <c r="C3536" s="7">
        <v>0.75</v>
      </c>
      <c r="D3536" s="7">
        <v>1.0</v>
      </c>
      <c r="E3536" s="7">
        <v>7.0</v>
      </c>
      <c r="F3536" s="7">
        <v>635364.206895828</v>
      </c>
      <c r="G3536" s="7">
        <v>635457.036026954</v>
      </c>
      <c r="H3536" s="7">
        <v>4.0</v>
      </c>
      <c r="I3536" s="15">
        <v>0.336177553203081</v>
      </c>
      <c r="J3536" s="15">
        <v>0.135231553400411</v>
      </c>
      <c r="K3536" s="12">
        <f>AVERAGE(I3532:I3536)</f>
        <v>0.4619883739</v>
      </c>
      <c r="L3536" s="18">
        <v>4009.0</v>
      </c>
      <c r="M3536" s="14">
        <f>STDEV(L3532:L3536)</f>
        <v>51710.57676</v>
      </c>
      <c r="N3536" s="15" t="b">
        <f t="shared" si="1"/>
        <v>0</v>
      </c>
    </row>
    <row r="3537" hidden="1">
      <c r="A3537" s="7" t="s">
        <v>716</v>
      </c>
      <c r="B3537" s="7" t="s">
        <v>519</v>
      </c>
      <c r="C3537" s="7">
        <v>0.75</v>
      </c>
      <c r="D3537" s="7">
        <v>1.0</v>
      </c>
      <c r="E3537" s="7">
        <v>8.0</v>
      </c>
      <c r="F3537" s="7">
        <v>703507.497809886</v>
      </c>
      <c r="G3537" s="7">
        <v>703573.218670845</v>
      </c>
      <c r="H3537" s="7">
        <v>0.0</v>
      </c>
      <c r="I3537" s="15">
        <v>0.424105744683264</v>
      </c>
      <c r="J3537" s="15">
        <v>0.0436767749052616</v>
      </c>
      <c r="K3537" s="12">
        <f>AVERAGE(I3537:I3541)</f>
        <v>0.1946115619</v>
      </c>
      <c r="L3537" s="18">
        <v>12514.0</v>
      </c>
      <c r="M3537" s="14">
        <f>STDEV(L3537:L3541)</f>
        <v>50997.18151</v>
      </c>
      <c r="N3537" s="15" t="b">
        <f t="shared" si="1"/>
        <v>0</v>
      </c>
    </row>
    <row r="3538" hidden="1">
      <c r="A3538" s="7" t="s">
        <v>716</v>
      </c>
      <c r="B3538" s="7" t="s">
        <v>519</v>
      </c>
      <c r="C3538" s="7">
        <v>0.75</v>
      </c>
      <c r="D3538" s="7">
        <v>1.0</v>
      </c>
      <c r="E3538" s="7">
        <v>8.0</v>
      </c>
      <c r="F3538" s="7">
        <v>703507.497809886</v>
      </c>
      <c r="G3538" s="7">
        <v>703573.218670845</v>
      </c>
      <c r="H3538" s="7">
        <v>1.0</v>
      </c>
      <c r="I3538" s="15">
        <v>0.169801053239789</v>
      </c>
      <c r="J3538" s="15">
        <v>0.0660222198584588</v>
      </c>
      <c r="K3538" s="12">
        <f>AVERAGE(I3537:I3541)</f>
        <v>0.1946115619</v>
      </c>
      <c r="L3538" s="18">
        <v>5902.0</v>
      </c>
      <c r="M3538" s="14">
        <f>STDEV(L3537:L3541)</f>
        <v>50997.18151</v>
      </c>
      <c r="N3538" s="15" t="b">
        <f t="shared" si="1"/>
        <v>0</v>
      </c>
    </row>
    <row r="3539" hidden="1">
      <c r="A3539" s="7" t="s">
        <v>716</v>
      </c>
      <c r="B3539" s="7" t="s">
        <v>519</v>
      </c>
      <c r="C3539" s="7">
        <v>0.75</v>
      </c>
      <c r="D3539" s="7">
        <v>1.0</v>
      </c>
      <c r="E3539" s="7">
        <v>8.0</v>
      </c>
      <c r="F3539" s="7">
        <v>703507.497809886</v>
      </c>
      <c r="G3539" s="7">
        <v>703573.218670845</v>
      </c>
      <c r="H3539" s="7">
        <v>2.0</v>
      </c>
      <c r="I3539" s="15">
        <v>0.235368496735558</v>
      </c>
      <c r="J3539" s="15">
        <v>0.0750537360909027</v>
      </c>
      <c r="K3539" s="12">
        <f>AVERAGE(I3537:I3541)</f>
        <v>0.1946115619</v>
      </c>
      <c r="L3539" s="18">
        <v>1505.0</v>
      </c>
      <c r="M3539" s="14">
        <f>STDEV(L3537:L3541)</f>
        <v>50997.18151</v>
      </c>
      <c r="N3539" s="15" t="b">
        <f t="shared" si="1"/>
        <v>0</v>
      </c>
    </row>
    <row r="3540" hidden="1">
      <c r="A3540" s="7" t="s">
        <v>716</v>
      </c>
      <c r="B3540" s="7" t="s">
        <v>519</v>
      </c>
      <c r="C3540" s="7">
        <v>0.75</v>
      </c>
      <c r="D3540" s="7">
        <v>1.0</v>
      </c>
      <c r="E3540" s="7">
        <v>8.0</v>
      </c>
      <c r="F3540" s="7">
        <v>703507.497809886</v>
      </c>
      <c r="G3540" s="7">
        <v>703573.218670845</v>
      </c>
      <c r="H3540" s="7">
        <v>3.0</v>
      </c>
      <c r="I3540" s="15">
        <v>0.0576249198525483</v>
      </c>
      <c r="J3540" s="15">
        <v>0.0425045380721117</v>
      </c>
      <c r="K3540" s="12">
        <f>AVERAGE(I3537:I3541)</f>
        <v>0.1946115619</v>
      </c>
      <c r="L3540" s="18">
        <v>119236.0</v>
      </c>
      <c r="M3540" s="14">
        <f>STDEV(L3537:L3541)</f>
        <v>50997.18151</v>
      </c>
      <c r="N3540" s="15" t="b">
        <f t="shared" si="1"/>
        <v>0</v>
      </c>
    </row>
    <row r="3541" hidden="1">
      <c r="A3541" s="7" t="s">
        <v>716</v>
      </c>
      <c r="B3541" s="7" t="s">
        <v>519</v>
      </c>
      <c r="C3541" s="7">
        <v>0.75</v>
      </c>
      <c r="D3541" s="7">
        <v>1.0</v>
      </c>
      <c r="E3541" s="7">
        <v>8.0</v>
      </c>
      <c r="F3541" s="7">
        <v>703507.497809886</v>
      </c>
      <c r="G3541" s="7">
        <v>703573.218670845</v>
      </c>
      <c r="H3541" s="7">
        <v>4.0</v>
      </c>
      <c r="I3541" s="15">
        <v>0.0861575949415198</v>
      </c>
      <c r="J3541" s="15">
        <v>0.0553713075099513</v>
      </c>
      <c r="K3541" s="12">
        <f>AVERAGE(I3537:I3541)</f>
        <v>0.1946115619</v>
      </c>
      <c r="L3541" s="18">
        <v>2519.0</v>
      </c>
      <c r="M3541" s="14">
        <f>STDEV(L3537:L3541)</f>
        <v>50997.18151</v>
      </c>
      <c r="N3541" s="15" t="b">
        <f t="shared" si="1"/>
        <v>0</v>
      </c>
    </row>
    <row r="3542" hidden="1">
      <c r="A3542" s="7" t="s">
        <v>717</v>
      </c>
      <c r="B3542" s="7" t="s">
        <v>519</v>
      </c>
      <c r="C3542" s="7">
        <v>0.75</v>
      </c>
      <c r="D3542" s="7">
        <v>1.0</v>
      </c>
      <c r="E3542" s="7">
        <v>9.0</v>
      </c>
      <c r="F3542" s="7">
        <v>613995.932194232</v>
      </c>
      <c r="G3542" s="7">
        <v>614086.771057605</v>
      </c>
      <c r="H3542" s="7">
        <v>0.0</v>
      </c>
      <c r="I3542" s="15">
        <v>0.336177553203081</v>
      </c>
      <c r="J3542" s="15">
        <v>0.135231553400411</v>
      </c>
      <c r="K3542" s="12">
        <f>AVERAGE(I3542:I3546)</f>
        <v>0.4619883739</v>
      </c>
      <c r="L3542" s="18">
        <v>4009.0</v>
      </c>
      <c r="M3542" s="14">
        <f>STDEV(L3542:L3546)</f>
        <v>51710.57676</v>
      </c>
      <c r="N3542" s="15" t="b">
        <f t="shared" si="1"/>
        <v>0</v>
      </c>
    </row>
    <row r="3543" hidden="1">
      <c r="A3543" s="7" t="s">
        <v>717</v>
      </c>
      <c r="B3543" s="7" t="s">
        <v>519</v>
      </c>
      <c r="C3543" s="7">
        <v>0.75</v>
      </c>
      <c r="D3543" s="7">
        <v>1.0</v>
      </c>
      <c r="E3543" s="7">
        <v>9.0</v>
      </c>
      <c r="F3543" s="7">
        <v>613995.932194232</v>
      </c>
      <c r="G3543" s="7">
        <v>614086.771057605</v>
      </c>
      <c r="H3543" s="7">
        <v>1.0</v>
      </c>
      <c r="I3543" s="15">
        <v>0.854604455429305</v>
      </c>
      <c r="J3543" s="15">
        <v>0.0723372407285629</v>
      </c>
      <c r="K3543" s="12">
        <f>AVERAGE(I3542:I3546)</f>
        <v>0.4619883739</v>
      </c>
      <c r="L3543" s="18">
        <v>7200.0</v>
      </c>
      <c r="M3543" s="14">
        <f>STDEV(L3542:L3546)</f>
        <v>51710.57676</v>
      </c>
      <c r="N3543" s="15" t="b">
        <f t="shared" si="1"/>
        <v>0</v>
      </c>
    </row>
    <row r="3544" hidden="1">
      <c r="A3544" s="7" t="s">
        <v>717</v>
      </c>
      <c r="B3544" s="7" t="s">
        <v>519</v>
      </c>
      <c r="C3544" s="7">
        <v>0.75</v>
      </c>
      <c r="D3544" s="7">
        <v>1.0</v>
      </c>
      <c r="E3544" s="7">
        <v>9.0</v>
      </c>
      <c r="F3544" s="7">
        <v>613995.932194232</v>
      </c>
      <c r="G3544" s="7">
        <v>614086.771057605</v>
      </c>
      <c r="H3544" s="7">
        <v>2.0</v>
      </c>
      <c r="I3544" s="15">
        <v>0.877241714281842</v>
      </c>
      <c r="J3544" s="15">
        <v>0.0746157934383174</v>
      </c>
      <c r="K3544" s="12">
        <f>AVERAGE(I3542:I3546)</f>
        <v>0.4619883739</v>
      </c>
      <c r="L3544" s="18">
        <v>3913.0</v>
      </c>
      <c r="M3544" s="14">
        <f>STDEV(L3542:L3546)</f>
        <v>51710.57676</v>
      </c>
      <c r="N3544" s="15" t="b">
        <f t="shared" si="1"/>
        <v>0</v>
      </c>
    </row>
    <row r="3545" hidden="1">
      <c r="A3545" s="7" t="s">
        <v>717</v>
      </c>
      <c r="B3545" s="7" t="s">
        <v>519</v>
      </c>
      <c r="C3545" s="7">
        <v>0.75</v>
      </c>
      <c r="D3545" s="7">
        <v>1.0</v>
      </c>
      <c r="E3545" s="7">
        <v>9.0</v>
      </c>
      <c r="F3545" s="7">
        <v>613995.932194232</v>
      </c>
      <c r="G3545" s="7">
        <v>614086.771057605</v>
      </c>
      <c r="H3545" s="7">
        <v>3.0</v>
      </c>
      <c r="I3545" s="15">
        <v>0.176238552841947</v>
      </c>
      <c r="J3545" s="15">
        <v>0.0703108472010662</v>
      </c>
      <c r="K3545" s="12">
        <f>AVERAGE(I3542:I3546)</f>
        <v>0.4619883739</v>
      </c>
      <c r="L3545" s="18">
        <v>5748.0</v>
      </c>
      <c r="M3545" s="14">
        <f>STDEV(L3542:L3546)</f>
        <v>51710.57676</v>
      </c>
      <c r="N3545" s="15" t="b">
        <f t="shared" si="1"/>
        <v>0</v>
      </c>
    </row>
    <row r="3546" hidden="1">
      <c r="A3546" s="7" t="s">
        <v>717</v>
      </c>
      <c r="B3546" s="7" t="s">
        <v>519</v>
      </c>
      <c r="C3546" s="7">
        <v>0.75</v>
      </c>
      <c r="D3546" s="7">
        <v>1.0</v>
      </c>
      <c r="E3546" s="7">
        <v>9.0</v>
      </c>
      <c r="F3546" s="7">
        <v>613995.932194232</v>
      </c>
      <c r="G3546" s="7">
        <v>614086.771057605</v>
      </c>
      <c r="H3546" s="7">
        <v>4.0</v>
      </c>
      <c r="I3546" s="15">
        <v>0.0656795938813657</v>
      </c>
      <c r="J3546" s="15">
        <v>0.0883984550702818</v>
      </c>
      <c r="K3546" s="12">
        <f>AVERAGE(I3542:I3546)</f>
        <v>0.4619883739</v>
      </c>
      <c r="L3546" s="18">
        <v>120806.0</v>
      </c>
      <c r="M3546" s="14">
        <f>STDEV(L3542:L3546)</f>
        <v>51710.57676</v>
      </c>
      <c r="N3546" s="15" t="b">
        <f t="shared" si="1"/>
        <v>0</v>
      </c>
    </row>
    <row r="3547" hidden="1">
      <c r="A3547" s="7" t="s">
        <v>718</v>
      </c>
      <c r="B3547" s="7" t="s">
        <v>519</v>
      </c>
      <c r="C3547" s="7">
        <v>0.75</v>
      </c>
      <c r="D3547" s="7">
        <v>1.0</v>
      </c>
      <c r="E3547" s="7">
        <v>10.0</v>
      </c>
      <c r="F3547" s="7">
        <v>531510.176014423</v>
      </c>
      <c r="G3547" s="7">
        <v>531601.581300973</v>
      </c>
      <c r="H3547" s="7">
        <v>0.0</v>
      </c>
      <c r="I3547" s="15">
        <v>0.877241714281842</v>
      </c>
      <c r="J3547" s="15">
        <v>0.0746157934383174</v>
      </c>
      <c r="K3547" s="12">
        <f>AVERAGE(I3547:I3551)</f>
        <v>0.4619883739</v>
      </c>
      <c r="L3547" s="18">
        <v>3913.0</v>
      </c>
      <c r="M3547" s="14">
        <f>STDEV(L3547:L3551)</f>
        <v>51710.57676</v>
      </c>
      <c r="N3547" s="15" t="b">
        <f t="shared" si="1"/>
        <v>0</v>
      </c>
    </row>
    <row r="3548" hidden="1">
      <c r="A3548" s="7" t="s">
        <v>718</v>
      </c>
      <c r="B3548" s="7" t="s">
        <v>519</v>
      </c>
      <c r="C3548" s="7">
        <v>0.75</v>
      </c>
      <c r="D3548" s="7">
        <v>1.0</v>
      </c>
      <c r="E3548" s="7">
        <v>10.0</v>
      </c>
      <c r="F3548" s="7">
        <v>531510.176014423</v>
      </c>
      <c r="G3548" s="7">
        <v>531601.581300973</v>
      </c>
      <c r="H3548" s="7">
        <v>1.0</v>
      </c>
      <c r="I3548" s="15">
        <v>0.0656795938813657</v>
      </c>
      <c r="J3548" s="15">
        <v>0.0883984550702818</v>
      </c>
      <c r="K3548" s="12">
        <f>AVERAGE(I3547:I3551)</f>
        <v>0.4619883739</v>
      </c>
      <c r="L3548" s="18">
        <v>120806.0</v>
      </c>
      <c r="M3548" s="14">
        <f>STDEV(L3547:L3551)</f>
        <v>51710.57676</v>
      </c>
      <c r="N3548" s="15" t="b">
        <f t="shared" si="1"/>
        <v>0</v>
      </c>
    </row>
    <row r="3549" hidden="1">
      <c r="A3549" s="7" t="s">
        <v>718</v>
      </c>
      <c r="B3549" s="7" t="s">
        <v>519</v>
      </c>
      <c r="C3549" s="7">
        <v>0.75</v>
      </c>
      <c r="D3549" s="7">
        <v>1.0</v>
      </c>
      <c r="E3549" s="7">
        <v>10.0</v>
      </c>
      <c r="F3549" s="7">
        <v>531510.176014423</v>
      </c>
      <c r="G3549" s="7">
        <v>531601.581300973</v>
      </c>
      <c r="H3549" s="7">
        <v>2.0</v>
      </c>
      <c r="I3549" s="15">
        <v>0.176238552841947</v>
      </c>
      <c r="J3549" s="15">
        <v>0.0703108472010662</v>
      </c>
      <c r="K3549" s="12">
        <f>AVERAGE(I3547:I3551)</f>
        <v>0.4619883739</v>
      </c>
      <c r="L3549" s="18">
        <v>5748.0</v>
      </c>
      <c r="M3549" s="14">
        <f>STDEV(L3547:L3551)</f>
        <v>51710.57676</v>
      </c>
      <c r="N3549" s="15" t="b">
        <f t="shared" si="1"/>
        <v>0</v>
      </c>
    </row>
    <row r="3550" hidden="1">
      <c r="A3550" s="7" t="s">
        <v>718</v>
      </c>
      <c r="B3550" s="7" t="s">
        <v>519</v>
      </c>
      <c r="C3550" s="7">
        <v>0.75</v>
      </c>
      <c r="D3550" s="7">
        <v>1.0</v>
      </c>
      <c r="E3550" s="7">
        <v>10.0</v>
      </c>
      <c r="F3550" s="7">
        <v>531510.176014423</v>
      </c>
      <c r="G3550" s="7">
        <v>531601.581300973</v>
      </c>
      <c r="H3550" s="7">
        <v>3.0</v>
      </c>
      <c r="I3550" s="15">
        <v>0.854604455429305</v>
      </c>
      <c r="J3550" s="15">
        <v>0.0723372407285629</v>
      </c>
      <c r="K3550" s="12">
        <f>AVERAGE(I3547:I3551)</f>
        <v>0.4619883739</v>
      </c>
      <c r="L3550" s="18">
        <v>7200.0</v>
      </c>
      <c r="M3550" s="14">
        <f>STDEV(L3547:L3551)</f>
        <v>51710.57676</v>
      </c>
      <c r="N3550" s="15" t="b">
        <f t="shared" si="1"/>
        <v>0</v>
      </c>
    </row>
    <row r="3551" hidden="1">
      <c r="A3551" s="7" t="s">
        <v>718</v>
      </c>
      <c r="B3551" s="7" t="s">
        <v>519</v>
      </c>
      <c r="C3551" s="7">
        <v>0.75</v>
      </c>
      <c r="D3551" s="7">
        <v>1.0</v>
      </c>
      <c r="E3551" s="7">
        <v>10.0</v>
      </c>
      <c r="F3551" s="7">
        <v>531510.176014423</v>
      </c>
      <c r="G3551" s="7">
        <v>531601.581300973</v>
      </c>
      <c r="H3551" s="7">
        <v>4.0</v>
      </c>
      <c r="I3551" s="15">
        <v>0.336177553203081</v>
      </c>
      <c r="J3551" s="15">
        <v>0.135231553400411</v>
      </c>
      <c r="K3551" s="12">
        <f>AVERAGE(I3547:I3551)</f>
        <v>0.4619883739</v>
      </c>
      <c r="L3551" s="18">
        <v>4009.0</v>
      </c>
      <c r="M3551" s="14">
        <f>STDEV(L3547:L3551)</f>
        <v>51710.57676</v>
      </c>
      <c r="N3551" s="15" t="b">
        <f t="shared" si="1"/>
        <v>0</v>
      </c>
    </row>
    <row r="3552" hidden="1">
      <c r="A3552" s="7" t="s">
        <v>719</v>
      </c>
      <c r="B3552" s="7" t="s">
        <v>519</v>
      </c>
      <c r="C3552" s="7">
        <v>1.0</v>
      </c>
      <c r="D3552" s="7">
        <v>0.1</v>
      </c>
      <c r="E3552" s="7">
        <v>1.0</v>
      </c>
      <c r="F3552" s="7">
        <v>56180.3450665473</v>
      </c>
      <c r="G3552" s="7">
        <v>56350.8919816017</v>
      </c>
      <c r="H3552" s="7">
        <v>0.0</v>
      </c>
      <c r="I3552" s="15">
        <v>0.373137970856656</v>
      </c>
      <c r="J3552" s="15">
        <v>0.263798515746717</v>
      </c>
      <c r="K3552" s="12">
        <f>AVERAGE(I3552:I3556)</f>
        <v>0.4617180109</v>
      </c>
      <c r="L3552" s="18">
        <v>6687.0</v>
      </c>
      <c r="M3552" s="14">
        <f>STDEV(L3552:L3556)</f>
        <v>41669.02329</v>
      </c>
      <c r="N3552" s="15" t="b">
        <f t="shared" si="1"/>
        <v>0</v>
      </c>
    </row>
    <row r="3553" hidden="1">
      <c r="A3553" s="7" t="s">
        <v>719</v>
      </c>
      <c r="B3553" s="7" t="s">
        <v>519</v>
      </c>
      <c r="C3553" s="7">
        <v>1.0</v>
      </c>
      <c r="D3553" s="7">
        <v>0.1</v>
      </c>
      <c r="E3553" s="7">
        <v>1.0</v>
      </c>
      <c r="F3553" s="7">
        <v>56180.3450665473</v>
      </c>
      <c r="G3553" s="7">
        <v>56350.8919816017</v>
      </c>
      <c r="H3553" s="7">
        <v>1.0</v>
      </c>
      <c r="I3553" s="15">
        <v>0.782091053927157</v>
      </c>
      <c r="J3553" s="15">
        <v>0.129823346532747</v>
      </c>
      <c r="K3553" s="12">
        <f>AVERAGE(I3552:I3556)</f>
        <v>0.4617180109</v>
      </c>
      <c r="L3553" s="18">
        <v>4126.0</v>
      </c>
      <c r="M3553" s="14">
        <f>STDEV(L3552:L3556)</f>
        <v>41669.02329</v>
      </c>
      <c r="N3553" s="15" t="b">
        <f t="shared" si="1"/>
        <v>0</v>
      </c>
    </row>
    <row r="3554" hidden="1">
      <c r="A3554" s="7" t="s">
        <v>719</v>
      </c>
      <c r="B3554" s="7" t="s">
        <v>519</v>
      </c>
      <c r="C3554" s="7">
        <v>1.0</v>
      </c>
      <c r="D3554" s="7">
        <v>0.1</v>
      </c>
      <c r="E3554" s="7">
        <v>1.0</v>
      </c>
      <c r="F3554" s="7">
        <v>56180.3450665473</v>
      </c>
      <c r="G3554" s="7">
        <v>56350.8919816017</v>
      </c>
      <c r="H3554" s="7">
        <v>2.0</v>
      </c>
      <c r="I3554" s="15">
        <v>0.352336925274713</v>
      </c>
      <c r="J3554" s="15">
        <v>0.0943160323839521</v>
      </c>
      <c r="K3554" s="12">
        <f>AVERAGE(I3552:I3556)</f>
        <v>0.4617180109</v>
      </c>
      <c r="L3554" s="18">
        <v>25329.0</v>
      </c>
      <c r="M3554" s="14">
        <f>STDEV(L3552:L3556)</f>
        <v>41669.02329</v>
      </c>
      <c r="N3554" s="15" t="b">
        <f t="shared" si="1"/>
        <v>0</v>
      </c>
    </row>
    <row r="3555" hidden="1">
      <c r="A3555" s="7" t="s">
        <v>719</v>
      </c>
      <c r="B3555" s="7" t="s">
        <v>519</v>
      </c>
      <c r="C3555" s="7">
        <v>1.0</v>
      </c>
      <c r="D3555" s="7">
        <v>0.1</v>
      </c>
      <c r="E3555" s="7">
        <v>1.0</v>
      </c>
      <c r="F3555" s="7">
        <v>56180.3450665473</v>
      </c>
      <c r="G3555" s="7">
        <v>56350.8919816017</v>
      </c>
      <c r="H3555" s="7">
        <v>3.0</v>
      </c>
      <c r="I3555" s="15">
        <v>0.82692975662525</v>
      </c>
      <c r="J3555" s="15">
        <v>0.112203285870076</v>
      </c>
      <c r="K3555" s="12">
        <f>AVERAGE(I3552:I3556)</f>
        <v>0.4617180109</v>
      </c>
      <c r="L3555" s="18">
        <v>4354.0</v>
      </c>
      <c r="M3555" s="14">
        <f>STDEV(L3552:L3556)</f>
        <v>41669.02329</v>
      </c>
      <c r="N3555" s="15" t="b">
        <f t="shared" si="1"/>
        <v>0</v>
      </c>
    </row>
    <row r="3556" hidden="1">
      <c r="A3556" s="7" t="s">
        <v>719</v>
      </c>
      <c r="B3556" s="7" t="s">
        <v>519</v>
      </c>
      <c r="C3556" s="7">
        <v>1.0</v>
      </c>
      <c r="D3556" s="7">
        <v>0.1</v>
      </c>
      <c r="E3556" s="7">
        <v>1.0</v>
      </c>
      <c r="F3556" s="7">
        <v>56180.3450665473</v>
      </c>
      <c r="G3556" s="7">
        <v>56350.8919816017</v>
      </c>
      <c r="H3556" s="7">
        <v>4.0</v>
      </c>
      <c r="I3556" s="15">
        <v>-0.0259056522634658</v>
      </c>
      <c r="J3556" s="15">
        <v>0.215427024534278</v>
      </c>
      <c r="K3556" s="12">
        <f>AVERAGE(I3552:I3556)</f>
        <v>0.4617180109</v>
      </c>
      <c r="L3556" s="18">
        <v>101180.0</v>
      </c>
      <c r="M3556" s="14">
        <f>STDEV(L3552:L3556)</f>
        <v>41669.02329</v>
      </c>
      <c r="N3556" s="15" t="b">
        <f t="shared" si="1"/>
        <v>0</v>
      </c>
    </row>
    <row r="3557" hidden="1">
      <c r="A3557" s="7" t="s">
        <v>720</v>
      </c>
      <c r="B3557" s="24" t="s">
        <v>519</v>
      </c>
      <c r="C3557" s="24">
        <v>1.0</v>
      </c>
      <c r="D3557" s="24">
        <v>0.1</v>
      </c>
      <c r="E3557" s="24">
        <v>2.0</v>
      </c>
      <c r="F3557" s="7">
        <v>99582.4848048687</v>
      </c>
      <c r="G3557" s="7">
        <v>99748.3359143734</v>
      </c>
      <c r="H3557" s="7">
        <v>0.0</v>
      </c>
      <c r="I3557" s="15">
        <v>0.409783208308341</v>
      </c>
      <c r="J3557" s="15">
        <v>0.184109743719303</v>
      </c>
      <c r="K3557" s="12">
        <f>AVERAGE(I3557:I3561)</f>
        <v>0.5379852774</v>
      </c>
      <c r="L3557" s="18">
        <v>17016.0</v>
      </c>
      <c r="M3557" s="14">
        <f>STDEV(L3557:L3561)</f>
        <v>39024.37265</v>
      </c>
      <c r="N3557" s="15" t="b">
        <f t="shared" si="1"/>
        <v>0</v>
      </c>
    </row>
    <row r="3558" hidden="1">
      <c r="A3558" s="7" t="s">
        <v>720</v>
      </c>
      <c r="B3558" s="24" t="s">
        <v>519</v>
      </c>
      <c r="C3558" s="24">
        <v>1.0</v>
      </c>
      <c r="D3558" s="24">
        <v>0.1</v>
      </c>
      <c r="E3558" s="24">
        <v>2.0</v>
      </c>
      <c r="F3558" s="7">
        <v>99582.4848048687</v>
      </c>
      <c r="G3558" s="7">
        <v>99748.3359143734</v>
      </c>
      <c r="H3558" s="7">
        <v>1.0</v>
      </c>
      <c r="I3558" s="15">
        <v>0.791479542605091</v>
      </c>
      <c r="J3558" s="15">
        <v>0.114785780947012</v>
      </c>
      <c r="K3558" s="12">
        <f>AVERAGE(I3557:I3561)</f>
        <v>0.5379852774</v>
      </c>
      <c r="L3558" s="18">
        <v>10305.0</v>
      </c>
      <c r="M3558" s="14">
        <f>STDEV(L3557:L3561)</f>
        <v>39024.37265</v>
      </c>
      <c r="N3558" s="15" t="b">
        <f t="shared" si="1"/>
        <v>0</v>
      </c>
    </row>
    <row r="3559" hidden="1">
      <c r="A3559" s="7" t="s">
        <v>720</v>
      </c>
      <c r="B3559" s="24" t="s">
        <v>519</v>
      </c>
      <c r="C3559" s="24">
        <v>1.0</v>
      </c>
      <c r="D3559" s="24">
        <v>0.1</v>
      </c>
      <c r="E3559" s="24">
        <v>2.0</v>
      </c>
      <c r="F3559" s="7">
        <v>99582.4848048687</v>
      </c>
      <c r="G3559" s="7">
        <v>99748.3359143734</v>
      </c>
      <c r="H3559" s="7">
        <v>2.0</v>
      </c>
      <c r="I3559" s="15">
        <v>-0.0483816933966268</v>
      </c>
      <c r="J3559" s="15">
        <v>0.237471007319844</v>
      </c>
      <c r="K3559" s="12">
        <f>AVERAGE(I3557:I3561)</f>
        <v>0.5379852774</v>
      </c>
      <c r="L3559" s="18">
        <v>97385.0</v>
      </c>
      <c r="M3559" s="14">
        <f>STDEV(L3557:L3561)</f>
        <v>39024.37265</v>
      </c>
      <c r="N3559" s="15" t="b">
        <f t="shared" si="1"/>
        <v>0</v>
      </c>
    </row>
    <row r="3560" hidden="1">
      <c r="A3560" s="7" t="s">
        <v>720</v>
      </c>
      <c r="B3560" s="24" t="s">
        <v>519</v>
      </c>
      <c r="C3560" s="24">
        <v>1.0</v>
      </c>
      <c r="D3560" s="24">
        <v>0.1</v>
      </c>
      <c r="E3560" s="24">
        <v>2.0</v>
      </c>
      <c r="F3560" s="7">
        <v>99582.4848048687</v>
      </c>
      <c r="G3560" s="7">
        <v>99748.3359143734</v>
      </c>
      <c r="H3560" s="7">
        <v>3.0</v>
      </c>
      <c r="I3560" s="15">
        <v>0.627610642438189</v>
      </c>
      <c r="J3560" s="15">
        <v>0.24638715129657</v>
      </c>
      <c r="K3560" s="12">
        <f>AVERAGE(I3557:I3561)</f>
        <v>0.5379852774</v>
      </c>
      <c r="L3560" s="18">
        <v>14906.0</v>
      </c>
      <c r="M3560" s="14">
        <f>STDEV(L3557:L3561)</f>
        <v>39024.37265</v>
      </c>
      <c r="N3560" s="15" t="b">
        <f t="shared" si="1"/>
        <v>0</v>
      </c>
    </row>
    <row r="3561" hidden="1">
      <c r="A3561" s="7" t="s">
        <v>720</v>
      </c>
      <c r="B3561" s="24" t="s">
        <v>519</v>
      </c>
      <c r="C3561" s="24">
        <v>1.0</v>
      </c>
      <c r="D3561" s="24">
        <v>0.1</v>
      </c>
      <c r="E3561" s="24">
        <v>2.0</v>
      </c>
      <c r="F3561" s="7">
        <v>99582.4848048687</v>
      </c>
      <c r="G3561" s="7">
        <v>99748.3359143734</v>
      </c>
      <c r="H3561" s="7">
        <v>4.0</v>
      </c>
      <c r="I3561" s="15">
        <v>0.909434687163649</v>
      </c>
      <c r="J3561" s="15">
        <v>0.0475865685120382</v>
      </c>
      <c r="K3561" s="12">
        <f>AVERAGE(I3557:I3561)</f>
        <v>0.5379852774</v>
      </c>
      <c r="L3561" s="18">
        <v>2064.0</v>
      </c>
      <c r="M3561" s="14">
        <f>STDEV(L3557:L3561)</f>
        <v>39024.37265</v>
      </c>
      <c r="N3561" s="15" t="b">
        <f t="shared" si="1"/>
        <v>0</v>
      </c>
    </row>
    <row r="3562" hidden="1">
      <c r="A3562" s="7" t="s">
        <v>721</v>
      </c>
      <c r="B3562" s="7" t="s">
        <v>519</v>
      </c>
      <c r="C3562" s="7">
        <v>1.0</v>
      </c>
      <c r="D3562" s="7">
        <v>0.1</v>
      </c>
      <c r="E3562" s="7">
        <v>3.0</v>
      </c>
      <c r="F3562" s="7">
        <v>251245.270802497</v>
      </c>
      <c r="G3562" s="7">
        <v>251407.473361492</v>
      </c>
      <c r="H3562" s="7">
        <v>0.0</v>
      </c>
      <c r="I3562" s="15">
        <v>0.249959562121471</v>
      </c>
      <c r="J3562" s="15">
        <v>0.0728432313235404</v>
      </c>
      <c r="K3562" s="12">
        <f>AVERAGE(I3562:I3566)</f>
        <v>0.4560504744</v>
      </c>
      <c r="L3562" s="18">
        <v>33340.0</v>
      </c>
      <c r="M3562" s="14">
        <f>STDEV(L3562:L3566)</f>
        <v>37882.62894</v>
      </c>
      <c r="N3562" s="15" t="b">
        <f t="shared" si="1"/>
        <v>0</v>
      </c>
    </row>
    <row r="3563" hidden="1">
      <c r="A3563" s="7" t="s">
        <v>721</v>
      </c>
      <c r="B3563" s="7" t="s">
        <v>519</v>
      </c>
      <c r="C3563" s="7">
        <v>1.0</v>
      </c>
      <c r="D3563" s="7">
        <v>0.1</v>
      </c>
      <c r="E3563" s="7">
        <v>3.0</v>
      </c>
      <c r="F3563" s="7">
        <v>251245.270802497</v>
      </c>
      <c r="G3563" s="7">
        <v>251407.473361492</v>
      </c>
      <c r="H3563" s="7">
        <v>1.0</v>
      </c>
      <c r="I3563" s="15">
        <v>0.822222123010345</v>
      </c>
      <c r="J3563" s="15">
        <v>0.0839730805976612</v>
      </c>
      <c r="K3563" s="12">
        <f>AVERAGE(I3562:I3566)</f>
        <v>0.4560504744</v>
      </c>
      <c r="L3563" s="18">
        <v>9928.0</v>
      </c>
      <c r="M3563" s="14">
        <f>STDEV(L3562:L3566)</f>
        <v>37882.62894</v>
      </c>
      <c r="N3563" s="15" t="b">
        <f t="shared" si="1"/>
        <v>0</v>
      </c>
    </row>
    <row r="3564" hidden="1">
      <c r="A3564" s="7" t="s">
        <v>721</v>
      </c>
      <c r="B3564" s="7" t="s">
        <v>519</v>
      </c>
      <c r="C3564" s="7">
        <v>1.0</v>
      </c>
      <c r="D3564" s="7">
        <v>0.1</v>
      </c>
      <c r="E3564" s="7">
        <v>3.0</v>
      </c>
      <c r="F3564" s="7">
        <v>251245.270802497</v>
      </c>
      <c r="G3564" s="7">
        <v>251407.473361492</v>
      </c>
      <c r="H3564" s="7">
        <v>2.0</v>
      </c>
      <c r="I3564" s="15">
        <v>0.330021915005328</v>
      </c>
      <c r="J3564" s="15">
        <v>0.079285626326186</v>
      </c>
      <c r="K3564" s="12">
        <f>AVERAGE(I3562:I3566)</f>
        <v>0.4560504744</v>
      </c>
      <c r="L3564" s="18">
        <v>4017.0</v>
      </c>
      <c r="M3564" s="14">
        <f>STDEV(L3562:L3566)</f>
        <v>37882.62894</v>
      </c>
      <c r="N3564" s="15" t="b">
        <f t="shared" si="1"/>
        <v>0</v>
      </c>
    </row>
    <row r="3565" hidden="1">
      <c r="A3565" s="7" t="s">
        <v>721</v>
      </c>
      <c r="B3565" s="7" t="s">
        <v>519</v>
      </c>
      <c r="C3565" s="7">
        <v>1.0</v>
      </c>
      <c r="D3565" s="7">
        <v>0.1</v>
      </c>
      <c r="E3565" s="7">
        <v>3.0</v>
      </c>
      <c r="F3565" s="7">
        <v>251245.270802497</v>
      </c>
      <c r="G3565" s="7">
        <v>251407.473361492</v>
      </c>
      <c r="H3565" s="7">
        <v>3.0</v>
      </c>
      <c r="I3565" s="15">
        <v>-0.0313384613195308</v>
      </c>
      <c r="J3565" s="15">
        <v>0.186371526157413</v>
      </c>
      <c r="K3565" s="12">
        <f>AVERAGE(I3562:I3566)</f>
        <v>0.4560504744</v>
      </c>
      <c r="L3565" s="18">
        <v>92327.0</v>
      </c>
      <c r="M3565" s="14">
        <f>STDEV(L3562:L3566)</f>
        <v>37882.62894</v>
      </c>
      <c r="N3565" s="15" t="b">
        <f t="shared" si="1"/>
        <v>0</v>
      </c>
    </row>
    <row r="3566" hidden="1">
      <c r="A3566" s="7" t="s">
        <v>721</v>
      </c>
      <c r="B3566" s="7" t="s">
        <v>519</v>
      </c>
      <c r="C3566" s="7">
        <v>1.0</v>
      </c>
      <c r="D3566" s="7">
        <v>0.1</v>
      </c>
      <c r="E3566" s="7">
        <v>3.0</v>
      </c>
      <c r="F3566" s="7">
        <v>251245.270802497</v>
      </c>
      <c r="G3566" s="7">
        <v>251407.473361492</v>
      </c>
      <c r="H3566" s="7">
        <v>4.0</v>
      </c>
      <c r="I3566" s="15">
        <v>0.909387233346488</v>
      </c>
      <c r="J3566" s="15">
        <v>0.046065108632159</v>
      </c>
      <c r="K3566" s="12">
        <f>AVERAGE(I3562:I3566)</f>
        <v>0.4560504744</v>
      </c>
      <c r="L3566" s="18">
        <v>2064.0</v>
      </c>
      <c r="M3566" s="14">
        <f>STDEV(L3562:L3566)</f>
        <v>37882.62894</v>
      </c>
      <c r="N3566" s="15" t="b">
        <f t="shared" si="1"/>
        <v>0</v>
      </c>
    </row>
    <row r="3567" hidden="1">
      <c r="A3567" s="7" t="s">
        <v>722</v>
      </c>
      <c r="B3567" s="7" t="s">
        <v>519</v>
      </c>
      <c r="C3567" s="7">
        <v>1.0</v>
      </c>
      <c r="D3567" s="7">
        <v>0.1</v>
      </c>
      <c r="E3567" s="7">
        <v>4.0</v>
      </c>
      <c r="F3567" s="7">
        <v>44591.2474319934</v>
      </c>
      <c r="G3567" s="7">
        <v>44757.8758752346</v>
      </c>
      <c r="H3567" s="7">
        <v>0.0</v>
      </c>
      <c r="I3567" s="15">
        <v>0.641852179328433</v>
      </c>
      <c r="J3567" s="15">
        <v>0.228996048141472</v>
      </c>
      <c r="K3567" s="12">
        <f>AVERAGE(I3567:I3571)</f>
        <v>0.5727690403</v>
      </c>
      <c r="L3567" s="18">
        <v>13232.0</v>
      </c>
      <c r="M3567" s="14">
        <f>STDEV(L3567:L3571)</f>
        <v>45879.95492</v>
      </c>
      <c r="N3567" s="15" t="b">
        <f t="shared" si="1"/>
        <v>0</v>
      </c>
    </row>
    <row r="3568" hidden="1">
      <c r="A3568" s="7" t="s">
        <v>722</v>
      </c>
      <c r="B3568" s="7" t="s">
        <v>519</v>
      </c>
      <c r="C3568" s="7">
        <v>1.0</v>
      </c>
      <c r="D3568" s="7">
        <v>0.1</v>
      </c>
      <c r="E3568" s="7">
        <v>4.0</v>
      </c>
      <c r="F3568" s="7">
        <v>44591.2474319934</v>
      </c>
      <c r="G3568" s="7">
        <v>44757.8758752346</v>
      </c>
      <c r="H3568" s="7">
        <v>1.0</v>
      </c>
      <c r="I3568" s="15">
        <v>0.54783484406545</v>
      </c>
      <c r="J3568" s="15">
        <v>0.254682409627019</v>
      </c>
      <c r="K3568" s="12">
        <f>AVERAGE(I3567:I3571)</f>
        <v>0.5727690403</v>
      </c>
      <c r="L3568" s="18">
        <v>11097.0</v>
      </c>
      <c r="M3568" s="14">
        <f>STDEV(L3567:L3571)</f>
        <v>45879.95492</v>
      </c>
      <c r="N3568" s="15" t="b">
        <f t="shared" si="1"/>
        <v>0</v>
      </c>
    </row>
    <row r="3569" hidden="1">
      <c r="A3569" s="7" t="s">
        <v>722</v>
      </c>
      <c r="B3569" s="7" t="s">
        <v>519</v>
      </c>
      <c r="C3569" s="7">
        <v>1.0</v>
      </c>
      <c r="D3569" s="7">
        <v>0.1</v>
      </c>
      <c r="E3569" s="7">
        <v>4.0</v>
      </c>
      <c r="F3569" s="7">
        <v>44591.2474319934</v>
      </c>
      <c r="G3569" s="7">
        <v>44757.8758752346</v>
      </c>
      <c r="H3569" s="7">
        <v>2.0</v>
      </c>
      <c r="I3569" s="15">
        <v>0.841911349231554</v>
      </c>
      <c r="J3569" s="15">
        <v>0.102314985180197</v>
      </c>
      <c r="K3569" s="12">
        <f>AVERAGE(I3567:I3571)</f>
        <v>0.5727690403</v>
      </c>
      <c r="L3569" s="18">
        <v>3382.0</v>
      </c>
      <c r="M3569" s="14">
        <f>STDEV(L3567:L3571)</f>
        <v>45879.95492</v>
      </c>
      <c r="N3569" s="15" t="b">
        <f t="shared" si="1"/>
        <v>0</v>
      </c>
    </row>
    <row r="3570" hidden="1">
      <c r="A3570" s="7" t="s">
        <v>722</v>
      </c>
      <c r="B3570" s="7" t="s">
        <v>519</v>
      </c>
      <c r="C3570" s="7">
        <v>1.0</v>
      </c>
      <c r="D3570" s="7">
        <v>0.1</v>
      </c>
      <c r="E3570" s="7">
        <v>4.0</v>
      </c>
      <c r="F3570" s="7">
        <v>44591.2474319934</v>
      </c>
      <c r="G3570" s="7">
        <v>44757.8758752346</v>
      </c>
      <c r="H3570" s="7">
        <v>3.0</v>
      </c>
      <c r="I3570" s="15">
        <v>0.842198601540166</v>
      </c>
      <c r="J3570" s="15">
        <v>0.098577072947837</v>
      </c>
      <c r="K3570" s="12">
        <f>AVERAGE(I3567:I3571)</f>
        <v>0.5727690403</v>
      </c>
      <c r="L3570" s="18">
        <v>3923.0</v>
      </c>
      <c r="M3570" s="14">
        <f>STDEV(L3567:L3571)</f>
        <v>45879.95492</v>
      </c>
      <c r="N3570" s="15" t="b">
        <f t="shared" si="1"/>
        <v>0</v>
      </c>
    </row>
    <row r="3571" hidden="1">
      <c r="A3571" s="7" t="s">
        <v>722</v>
      </c>
      <c r="B3571" s="7" t="s">
        <v>519</v>
      </c>
      <c r="C3571" s="7">
        <v>1.0</v>
      </c>
      <c r="D3571" s="7">
        <v>0.1</v>
      </c>
      <c r="E3571" s="7">
        <v>4.0</v>
      </c>
      <c r="F3571" s="7">
        <v>44591.2474319934</v>
      </c>
      <c r="G3571" s="7">
        <v>44757.8758752346</v>
      </c>
      <c r="H3571" s="7">
        <v>4.0</v>
      </c>
      <c r="I3571" s="15">
        <v>-0.00995177255171159</v>
      </c>
      <c r="J3571" s="15">
        <v>0.233417227302409</v>
      </c>
      <c r="K3571" s="12">
        <f>AVERAGE(I3567:I3571)</f>
        <v>0.5727690403</v>
      </c>
      <c r="L3571" s="18">
        <v>110042.0</v>
      </c>
      <c r="M3571" s="14">
        <f>STDEV(L3567:L3571)</f>
        <v>45879.95492</v>
      </c>
      <c r="N3571" s="15" t="b">
        <f t="shared" si="1"/>
        <v>0</v>
      </c>
    </row>
    <row r="3572" hidden="1">
      <c r="A3572" s="7" t="s">
        <v>723</v>
      </c>
      <c r="B3572" s="7" t="s">
        <v>519</v>
      </c>
      <c r="C3572" s="7">
        <v>1.0</v>
      </c>
      <c r="D3572" s="7">
        <v>0.1</v>
      </c>
      <c r="E3572" s="7">
        <v>5.0</v>
      </c>
      <c r="F3572" s="7">
        <v>59637.8668351173</v>
      </c>
      <c r="G3572" s="7">
        <v>59789.1613202095</v>
      </c>
      <c r="H3572" s="7">
        <v>0.0</v>
      </c>
      <c r="I3572" s="15">
        <v>0.879993070267657</v>
      </c>
      <c r="J3572" s="15">
        <v>0.106934080797691</v>
      </c>
      <c r="K3572" s="12">
        <f>AVERAGE(I3572:I3576)</f>
        <v>0.4185684378</v>
      </c>
      <c r="L3572" s="18">
        <v>3197.0</v>
      </c>
      <c r="M3572" s="14">
        <f>STDEV(L3572:L3576)</f>
        <v>52196.30228</v>
      </c>
      <c r="N3572" s="15" t="b">
        <f t="shared" si="1"/>
        <v>0</v>
      </c>
    </row>
    <row r="3573" hidden="1">
      <c r="A3573" s="7" t="s">
        <v>723</v>
      </c>
      <c r="B3573" s="7" t="s">
        <v>519</v>
      </c>
      <c r="C3573" s="7">
        <v>1.0</v>
      </c>
      <c r="D3573" s="7">
        <v>0.1</v>
      </c>
      <c r="E3573" s="7">
        <v>5.0</v>
      </c>
      <c r="F3573" s="7">
        <v>59637.8668351173</v>
      </c>
      <c r="G3573" s="7">
        <v>59789.1613202095</v>
      </c>
      <c r="H3573" s="7">
        <v>1.0</v>
      </c>
      <c r="I3573" s="15">
        <v>0.241975313735182</v>
      </c>
      <c r="J3573" s="15">
        <v>0.0698616769380367</v>
      </c>
      <c r="K3573" s="12">
        <f>AVERAGE(I3572:I3576)</f>
        <v>0.4185684378</v>
      </c>
      <c r="L3573" s="18">
        <v>6075.0</v>
      </c>
      <c r="M3573" s="14">
        <f>STDEV(L3572:L3576)</f>
        <v>52196.30228</v>
      </c>
      <c r="N3573" s="15" t="b">
        <f t="shared" si="1"/>
        <v>0</v>
      </c>
    </row>
    <row r="3574" hidden="1">
      <c r="A3574" s="7" t="s">
        <v>723</v>
      </c>
      <c r="B3574" s="7" t="s">
        <v>519</v>
      </c>
      <c r="C3574" s="7">
        <v>1.0</v>
      </c>
      <c r="D3574" s="7">
        <v>0.1</v>
      </c>
      <c r="E3574" s="7">
        <v>5.0</v>
      </c>
      <c r="F3574" s="7">
        <v>59637.8668351173</v>
      </c>
      <c r="G3574" s="7">
        <v>59789.1613202095</v>
      </c>
      <c r="H3574" s="7">
        <v>2.0</v>
      </c>
      <c r="I3574" s="15">
        <v>0.774902731800785</v>
      </c>
      <c r="J3574" s="15">
        <v>0.155551836945781</v>
      </c>
      <c r="K3574" s="12">
        <f>AVERAGE(I3572:I3576)</f>
        <v>0.4185684378</v>
      </c>
      <c r="L3574" s="18">
        <v>4243.0</v>
      </c>
      <c r="M3574" s="14">
        <f>STDEV(L3572:L3576)</f>
        <v>52196.30228</v>
      </c>
      <c r="N3574" s="15" t="b">
        <f t="shared" si="1"/>
        <v>0</v>
      </c>
    </row>
    <row r="3575" hidden="1">
      <c r="A3575" s="7" t="s">
        <v>723</v>
      </c>
      <c r="B3575" s="7" t="s">
        <v>519</v>
      </c>
      <c r="C3575" s="7">
        <v>1.0</v>
      </c>
      <c r="D3575" s="7">
        <v>0.1</v>
      </c>
      <c r="E3575" s="7">
        <v>5.0</v>
      </c>
      <c r="F3575" s="7">
        <v>59637.8668351173</v>
      </c>
      <c r="G3575" s="7">
        <v>59789.1613202095</v>
      </c>
      <c r="H3575" s="7">
        <v>3.0</v>
      </c>
      <c r="I3575" s="15">
        <v>0.146843746638707</v>
      </c>
      <c r="J3575" s="15">
        <v>0.0628122077145324</v>
      </c>
      <c r="K3575" s="12">
        <f>AVERAGE(I3572:I3576)</f>
        <v>0.4185684378</v>
      </c>
      <c r="L3575" s="18">
        <v>6485.0</v>
      </c>
      <c r="M3575" s="14">
        <f>STDEV(L3572:L3576)</f>
        <v>52196.30228</v>
      </c>
      <c r="N3575" s="15" t="b">
        <f t="shared" si="1"/>
        <v>0</v>
      </c>
    </row>
    <row r="3576" hidden="1">
      <c r="A3576" s="7" t="s">
        <v>723</v>
      </c>
      <c r="B3576" s="7" t="s">
        <v>519</v>
      </c>
      <c r="C3576" s="7">
        <v>1.0</v>
      </c>
      <c r="D3576" s="7">
        <v>0.1</v>
      </c>
      <c r="E3576" s="7">
        <v>5.0</v>
      </c>
      <c r="F3576" s="7">
        <v>59637.8668351173</v>
      </c>
      <c r="G3576" s="7">
        <v>59789.1613202095</v>
      </c>
      <c r="H3576" s="7">
        <v>4.0</v>
      </c>
      <c r="I3576" s="15">
        <v>0.0491273263859026</v>
      </c>
      <c r="J3576" s="15">
        <v>0.155237393257821</v>
      </c>
      <c r="K3576" s="12">
        <f>AVERAGE(I3572:I3576)</f>
        <v>0.4185684378</v>
      </c>
      <c r="L3576" s="18">
        <v>121676.0</v>
      </c>
      <c r="M3576" s="14">
        <f>STDEV(L3572:L3576)</f>
        <v>52196.30228</v>
      </c>
      <c r="N3576" s="15" t="b">
        <f t="shared" si="1"/>
        <v>0</v>
      </c>
    </row>
    <row r="3577" hidden="1">
      <c r="A3577" s="7" t="s">
        <v>724</v>
      </c>
      <c r="B3577" s="7" t="s">
        <v>519</v>
      </c>
      <c r="C3577" s="7">
        <v>1.0</v>
      </c>
      <c r="D3577" s="7">
        <v>0.1</v>
      </c>
      <c r="E3577" s="7">
        <v>6.0</v>
      </c>
      <c r="F3577" s="7">
        <v>165471.470063686</v>
      </c>
      <c r="G3577" s="7">
        <v>165636.662342786</v>
      </c>
      <c r="H3577" s="7">
        <v>0.0</v>
      </c>
      <c r="I3577" s="15">
        <v>-0.0557392567282698</v>
      </c>
      <c r="J3577" s="15">
        <v>0.198663291390177</v>
      </c>
      <c r="K3577" s="12">
        <f>AVERAGE(I3577:I3581)</f>
        <v>0.3572515196</v>
      </c>
      <c r="L3577" s="18">
        <v>89211.0</v>
      </c>
      <c r="M3577" s="14">
        <f>STDEV(L3577:L3581)</f>
        <v>35107.71488</v>
      </c>
      <c r="N3577" s="15" t="b">
        <f t="shared" si="1"/>
        <v>0</v>
      </c>
    </row>
    <row r="3578" hidden="1">
      <c r="A3578" s="7" t="s">
        <v>724</v>
      </c>
      <c r="B3578" s="7" t="s">
        <v>519</v>
      </c>
      <c r="C3578" s="7">
        <v>1.0</v>
      </c>
      <c r="D3578" s="7">
        <v>0.1</v>
      </c>
      <c r="E3578" s="7">
        <v>6.0</v>
      </c>
      <c r="F3578" s="7">
        <v>165471.470063686</v>
      </c>
      <c r="G3578" s="7">
        <v>165636.662342786</v>
      </c>
      <c r="H3578" s="7">
        <v>1.0</v>
      </c>
      <c r="I3578" s="15">
        <v>0.219601035528065</v>
      </c>
      <c r="J3578" s="15">
        <v>0.060134304530529</v>
      </c>
      <c r="K3578" s="12">
        <f>AVERAGE(I3577:I3581)</f>
        <v>0.3572515196</v>
      </c>
      <c r="L3578" s="18">
        <v>5972.0</v>
      </c>
      <c r="M3578" s="14">
        <f>STDEV(L3577:L3581)</f>
        <v>35107.71488</v>
      </c>
      <c r="N3578" s="15" t="b">
        <f t="shared" si="1"/>
        <v>0</v>
      </c>
    </row>
    <row r="3579" hidden="1">
      <c r="A3579" s="7" t="s">
        <v>724</v>
      </c>
      <c r="B3579" s="7" t="s">
        <v>519</v>
      </c>
      <c r="C3579" s="7">
        <v>1.0</v>
      </c>
      <c r="D3579" s="7">
        <v>0.1</v>
      </c>
      <c r="E3579" s="7">
        <v>6.0</v>
      </c>
      <c r="F3579" s="7">
        <v>165471.470063686</v>
      </c>
      <c r="G3579" s="7">
        <v>165636.662342786</v>
      </c>
      <c r="H3579" s="7">
        <v>2.0</v>
      </c>
      <c r="I3579" s="15">
        <v>0.368423117391325</v>
      </c>
      <c r="J3579" s="15">
        <v>0.104484598021702</v>
      </c>
      <c r="K3579" s="12">
        <f>AVERAGE(I3577:I3581)</f>
        <v>0.3572515196</v>
      </c>
      <c r="L3579" s="18">
        <v>23665.0</v>
      </c>
      <c r="M3579" s="14">
        <f>STDEV(L3577:L3581)</f>
        <v>35107.71488</v>
      </c>
      <c r="N3579" s="15" t="b">
        <f t="shared" si="1"/>
        <v>0</v>
      </c>
    </row>
    <row r="3580" hidden="1">
      <c r="A3580" s="7" t="s">
        <v>724</v>
      </c>
      <c r="B3580" s="7" t="s">
        <v>519</v>
      </c>
      <c r="C3580" s="7">
        <v>1.0</v>
      </c>
      <c r="D3580" s="7">
        <v>0.1</v>
      </c>
      <c r="E3580" s="7">
        <v>6.0</v>
      </c>
      <c r="F3580" s="7">
        <v>165471.470063686</v>
      </c>
      <c r="G3580" s="7">
        <v>165636.662342786</v>
      </c>
      <c r="H3580" s="7">
        <v>3.0</v>
      </c>
      <c r="I3580" s="15">
        <v>0.83812748065962</v>
      </c>
      <c r="J3580" s="15">
        <v>0.122849341785899</v>
      </c>
      <c r="K3580" s="12">
        <f>AVERAGE(I3577:I3581)</f>
        <v>0.3572515196</v>
      </c>
      <c r="L3580" s="18">
        <v>3359.0</v>
      </c>
      <c r="M3580" s="14">
        <f>STDEV(L3577:L3581)</f>
        <v>35107.71488</v>
      </c>
      <c r="N3580" s="15" t="b">
        <f t="shared" si="1"/>
        <v>0</v>
      </c>
    </row>
    <row r="3581" hidden="1">
      <c r="A3581" s="7" t="s">
        <v>724</v>
      </c>
      <c r="B3581" s="7" t="s">
        <v>519</v>
      </c>
      <c r="C3581" s="7">
        <v>1.0</v>
      </c>
      <c r="D3581" s="7">
        <v>0.1</v>
      </c>
      <c r="E3581" s="7">
        <v>6.0</v>
      </c>
      <c r="F3581" s="7">
        <v>165471.470063686</v>
      </c>
      <c r="G3581" s="7">
        <v>165636.662342786</v>
      </c>
      <c r="H3581" s="7">
        <v>4.0</v>
      </c>
      <c r="I3581" s="15">
        <v>0.41584522113704</v>
      </c>
      <c r="J3581" s="15">
        <v>0.113436609548275</v>
      </c>
      <c r="K3581" s="12">
        <f>AVERAGE(I3577:I3581)</f>
        <v>0.3572515196</v>
      </c>
      <c r="L3581" s="18">
        <v>19469.0</v>
      </c>
      <c r="M3581" s="14">
        <f>STDEV(L3577:L3581)</f>
        <v>35107.71488</v>
      </c>
      <c r="N3581" s="15" t="b">
        <f t="shared" si="1"/>
        <v>0</v>
      </c>
    </row>
    <row r="3582" hidden="1">
      <c r="A3582" s="7" t="s">
        <v>725</v>
      </c>
      <c r="B3582" s="7" t="s">
        <v>519</v>
      </c>
      <c r="C3582" s="7">
        <v>1.0</v>
      </c>
      <c r="D3582" s="7">
        <v>0.1</v>
      </c>
      <c r="E3582" s="7">
        <v>7.0</v>
      </c>
      <c r="F3582" s="7">
        <v>55234.3398396968</v>
      </c>
      <c r="G3582" s="7">
        <v>55373.3530576229</v>
      </c>
      <c r="H3582" s="7">
        <v>0.0</v>
      </c>
      <c r="I3582" s="15">
        <v>0.550970990109991</v>
      </c>
      <c r="J3582" s="15">
        <v>0.248610423658757</v>
      </c>
      <c r="K3582" s="12">
        <f>AVERAGE(I3582:I3586)</f>
        <v>0.5129480205</v>
      </c>
      <c r="L3582" s="18">
        <v>11088.0</v>
      </c>
      <c r="M3582" s="14">
        <f>STDEV(L3582:L3586)</f>
        <v>40308.76012</v>
      </c>
      <c r="N3582" s="15" t="b">
        <f t="shared" si="1"/>
        <v>0</v>
      </c>
    </row>
    <row r="3583" hidden="1">
      <c r="A3583" s="7" t="s">
        <v>725</v>
      </c>
      <c r="B3583" s="7" t="s">
        <v>519</v>
      </c>
      <c r="C3583" s="7">
        <v>1.0</v>
      </c>
      <c r="D3583" s="7">
        <v>0.1</v>
      </c>
      <c r="E3583" s="7">
        <v>7.0</v>
      </c>
      <c r="F3583" s="7">
        <v>55234.3398396968</v>
      </c>
      <c r="G3583" s="7">
        <v>55373.3530576229</v>
      </c>
      <c r="H3583" s="7">
        <v>1.0</v>
      </c>
      <c r="I3583" s="15">
        <v>0.351017082990839</v>
      </c>
      <c r="J3583" s="15">
        <v>0.109628830391038</v>
      </c>
      <c r="K3583" s="12">
        <f>AVERAGE(I3582:I3586)</f>
        <v>0.5129480205</v>
      </c>
      <c r="L3583" s="18">
        <v>24463.0</v>
      </c>
      <c r="M3583" s="14">
        <f>STDEV(L3582:L3586)</f>
        <v>40308.76012</v>
      </c>
      <c r="N3583" s="15" t="b">
        <f t="shared" si="1"/>
        <v>0</v>
      </c>
    </row>
    <row r="3584" hidden="1">
      <c r="A3584" s="7" t="s">
        <v>725</v>
      </c>
      <c r="B3584" s="7" t="s">
        <v>519</v>
      </c>
      <c r="C3584" s="7">
        <v>1.0</v>
      </c>
      <c r="D3584" s="7">
        <v>0.1</v>
      </c>
      <c r="E3584" s="7">
        <v>7.0</v>
      </c>
      <c r="F3584" s="7">
        <v>55234.3398396968</v>
      </c>
      <c r="G3584" s="7">
        <v>55373.3530576229</v>
      </c>
      <c r="H3584" s="7">
        <v>2.0</v>
      </c>
      <c r="I3584" s="15">
        <v>0.842146005746275</v>
      </c>
      <c r="J3584" s="15">
        <v>0.100839540754747</v>
      </c>
      <c r="K3584" s="12">
        <f>AVERAGE(I3582:I3586)</f>
        <v>0.5129480205</v>
      </c>
      <c r="L3584" s="18">
        <v>3382.0</v>
      </c>
      <c r="M3584" s="14">
        <f>STDEV(L3582:L3586)</f>
        <v>40308.76012</v>
      </c>
      <c r="N3584" s="15" t="b">
        <f t="shared" si="1"/>
        <v>0</v>
      </c>
    </row>
    <row r="3585" hidden="1">
      <c r="A3585" s="7" t="s">
        <v>725</v>
      </c>
      <c r="B3585" s="7" t="s">
        <v>519</v>
      </c>
      <c r="C3585" s="7">
        <v>1.0</v>
      </c>
      <c r="D3585" s="7">
        <v>0.1</v>
      </c>
      <c r="E3585" s="7">
        <v>7.0</v>
      </c>
      <c r="F3585" s="7">
        <v>55234.3398396968</v>
      </c>
      <c r="G3585" s="7">
        <v>55373.3530576229</v>
      </c>
      <c r="H3585" s="7">
        <v>3.0</v>
      </c>
      <c r="I3585" s="15">
        <v>0.842372165426721</v>
      </c>
      <c r="J3585" s="15">
        <v>0.0972742880775386</v>
      </c>
      <c r="K3585" s="12">
        <f>AVERAGE(I3582:I3586)</f>
        <v>0.5129480205</v>
      </c>
      <c r="L3585" s="18">
        <v>3923.0</v>
      </c>
      <c r="M3585" s="14">
        <f>STDEV(L3582:L3586)</f>
        <v>40308.76012</v>
      </c>
      <c r="N3585" s="15" t="b">
        <f t="shared" si="1"/>
        <v>0</v>
      </c>
    </row>
    <row r="3586" hidden="1">
      <c r="A3586" s="7" t="s">
        <v>725</v>
      </c>
      <c r="B3586" s="7" t="s">
        <v>519</v>
      </c>
      <c r="C3586" s="7">
        <v>1.0</v>
      </c>
      <c r="D3586" s="7">
        <v>0.1</v>
      </c>
      <c r="E3586" s="7">
        <v>7.0</v>
      </c>
      <c r="F3586" s="7">
        <v>55234.3398396968</v>
      </c>
      <c r="G3586" s="7">
        <v>55373.3530576229</v>
      </c>
      <c r="H3586" s="7">
        <v>4.0</v>
      </c>
      <c r="I3586" s="15">
        <v>-0.0217661417000488</v>
      </c>
      <c r="J3586" s="15">
        <v>0.228851344438419</v>
      </c>
      <c r="K3586" s="12">
        <f>AVERAGE(I3582:I3586)</f>
        <v>0.5129480205</v>
      </c>
      <c r="L3586" s="18">
        <v>98820.0</v>
      </c>
      <c r="M3586" s="14">
        <f>STDEV(L3582:L3586)</f>
        <v>40308.76012</v>
      </c>
      <c r="N3586" s="15" t="b">
        <f t="shared" si="1"/>
        <v>0</v>
      </c>
    </row>
    <row r="3587" hidden="1">
      <c r="A3587" s="7" t="s">
        <v>726</v>
      </c>
      <c r="B3587" s="7" t="s">
        <v>519</v>
      </c>
      <c r="C3587" s="7">
        <v>1.0</v>
      </c>
      <c r="D3587" s="7">
        <v>0.1</v>
      </c>
      <c r="E3587" s="7">
        <v>8.0</v>
      </c>
      <c r="F3587" s="7">
        <v>99289.4249994754</v>
      </c>
      <c r="G3587" s="7">
        <v>99460.4794273376</v>
      </c>
      <c r="H3587" s="7">
        <v>0.0</v>
      </c>
      <c r="I3587" s="15">
        <v>0.468012103397684</v>
      </c>
      <c r="J3587" s="15">
        <v>0.156361618126407</v>
      </c>
      <c r="K3587" s="12">
        <f>AVERAGE(I3587:I3591)</f>
        <v>0.32273885</v>
      </c>
      <c r="L3587" s="18">
        <v>13646.0</v>
      </c>
      <c r="M3587" s="14">
        <f>STDEV(L3587:L3591)</f>
        <v>29399.60859</v>
      </c>
      <c r="N3587" s="15" t="b">
        <f t="shared" si="1"/>
        <v>0</v>
      </c>
    </row>
    <row r="3588" hidden="1">
      <c r="A3588" s="7" t="s">
        <v>726</v>
      </c>
      <c r="B3588" s="7" t="s">
        <v>519</v>
      </c>
      <c r="C3588" s="7">
        <v>1.0</v>
      </c>
      <c r="D3588" s="7">
        <v>0.1</v>
      </c>
      <c r="E3588" s="7">
        <v>8.0</v>
      </c>
      <c r="F3588" s="7">
        <v>99289.4249994754</v>
      </c>
      <c r="G3588" s="7">
        <v>99460.4794273376</v>
      </c>
      <c r="H3588" s="7">
        <v>1.0</v>
      </c>
      <c r="I3588" s="15">
        <v>0.836191593684189</v>
      </c>
      <c r="J3588" s="15">
        <v>0.122205501542542</v>
      </c>
      <c r="K3588" s="12">
        <f>AVERAGE(I3587:I3591)</f>
        <v>0.32273885</v>
      </c>
      <c r="L3588" s="18">
        <v>3359.0</v>
      </c>
      <c r="M3588" s="14">
        <f>STDEV(L3587:L3591)</f>
        <v>29399.60859</v>
      </c>
      <c r="N3588" s="15" t="b">
        <f t="shared" si="1"/>
        <v>0</v>
      </c>
    </row>
    <row r="3589" hidden="1">
      <c r="A3589" s="7" t="s">
        <v>726</v>
      </c>
      <c r="B3589" s="7" t="s">
        <v>519</v>
      </c>
      <c r="C3589" s="7">
        <v>1.0</v>
      </c>
      <c r="D3589" s="7">
        <v>0.1</v>
      </c>
      <c r="E3589" s="7">
        <v>8.0</v>
      </c>
      <c r="F3589" s="7">
        <v>99289.4249994754</v>
      </c>
      <c r="G3589" s="7">
        <v>99460.4794273376</v>
      </c>
      <c r="H3589" s="7">
        <v>2.0</v>
      </c>
      <c r="I3589" s="15">
        <v>0.0604438336731261</v>
      </c>
      <c r="J3589" s="15">
        <v>0.0607214241304516</v>
      </c>
      <c r="K3589" s="12">
        <f>AVERAGE(I3587:I3591)</f>
        <v>0.32273885</v>
      </c>
      <c r="L3589" s="18">
        <v>52271.0</v>
      </c>
      <c r="M3589" s="14">
        <f>STDEV(L3587:L3591)</f>
        <v>29399.60859</v>
      </c>
      <c r="N3589" s="15" t="b">
        <f t="shared" si="1"/>
        <v>0</v>
      </c>
    </row>
    <row r="3590" hidden="1">
      <c r="A3590" s="7" t="s">
        <v>726</v>
      </c>
      <c r="B3590" s="7" t="s">
        <v>519</v>
      </c>
      <c r="C3590" s="7">
        <v>1.0</v>
      </c>
      <c r="D3590" s="7">
        <v>0.1</v>
      </c>
      <c r="E3590" s="7">
        <v>8.0</v>
      </c>
      <c r="F3590" s="7">
        <v>99289.4249994754</v>
      </c>
      <c r="G3590" s="7">
        <v>99460.4794273376</v>
      </c>
      <c r="H3590" s="7">
        <v>3.0</v>
      </c>
      <c r="I3590" s="15">
        <v>0.01700675759568</v>
      </c>
      <c r="J3590" s="15">
        <v>0.272563089637962</v>
      </c>
      <c r="K3590" s="12">
        <f>AVERAGE(I3587:I3591)</f>
        <v>0.32273885</v>
      </c>
      <c r="L3590" s="18">
        <v>67193.0</v>
      </c>
      <c r="M3590" s="14">
        <f>STDEV(L3587:L3591)</f>
        <v>29399.60859</v>
      </c>
      <c r="N3590" s="15" t="b">
        <f t="shared" si="1"/>
        <v>0</v>
      </c>
    </row>
    <row r="3591" hidden="1">
      <c r="A3591" s="7" t="s">
        <v>726</v>
      </c>
      <c r="B3591" s="7" t="s">
        <v>519</v>
      </c>
      <c r="C3591" s="7">
        <v>1.0</v>
      </c>
      <c r="D3591" s="7">
        <v>0.1</v>
      </c>
      <c r="E3591" s="7">
        <v>8.0</v>
      </c>
      <c r="F3591" s="7">
        <v>99289.4249994754</v>
      </c>
      <c r="G3591" s="7">
        <v>99460.4794273376</v>
      </c>
      <c r="H3591" s="7">
        <v>4.0</v>
      </c>
      <c r="I3591" s="15">
        <v>0.232039961667811</v>
      </c>
      <c r="J3591" s="15">
        <v>0.0723731227828576</v>
      </c>
      <c r="K3591" s="12">
        <f>AVERAGE(I3587:I3591)</f>
        <v>0.32273885</v>
      </c>
      <c r="L3591" s="18">
        <v>5207.0</v>
      </c>
      <c r="M3591" s="14">
        <f>STDEV(L3587:L3591)</f>
        <v>29399.60859</v>
      </c>
      <c r="N3591" s="15" t="b">
        <f t="shared" si="1"/>
        <v>0</v>
      </c>
    </row>
    <row r="3592" hidden="1">
      <c r="A3592" s="7" t="s">
        <v>727</v>
      </c>
      <c r="B3592" s="7" t="s">
        <v>519</v>
      </c>
      <c r="C3592" s="7">
        <v>1.0</v>
      </c>
      <c r="D3592" s="7">
        <v>0.1</v>
      </c>
      <c r="E3592" s="7">
        <v>9.0</v>
      </c>
      <c r="F3592" s="7">
        <v>229727.000698089</v>
      </c>
      <c r="G3592" s="7">
        <v>229857.354870319</v>
      </c>
      <c r="H3592" s="7">
        <v>0.0</v>
      </c>
      <c r="I3592" s="15">
        <v>0.252093457577246</v>
      </c>
      <c r="J3592" s="15">
        <v>0.134187221487098</v>
      </c>
      <c r="K3592" s="12">
        <f>AVERAGE(I3592:I3596)</f>
        <v>0.4758672359</v>
      </c>
      <c r="L3592" s="18">
        <v>18282.0</v>
      </c>
      <c r="M3592" s="14">
        <f>STDEV(L3592:L3596)</f>
        <v>32979.18816</v>
      </c>
      <c r="N3592" s="15" t="b">
        <f t="shared" si="1"/>
        <v>0</v>
      </c>
    </row>
    <row r="3593" hidden="1">
      <c r="A3593" s="7" t="s">
        <v>727</v>
      </c>
      <c r="B3593" s="7" t="s">
        <v>519</v>
      </c>
      <c r="C3593" s="7">
        <v>1.0</v>
      </c>
      <c r="D3593" s="7">
        <v>0.1</v>
      </c>
      <c r="E3593" s="7">
        <v>9.0</v>
      </c>
      <c r="F3593" s="7">
        <v>229727.000698089</v>
      </c>
      <c r="G3593" s="7">
        <v>229857.354870319</v>
      </c>
      <c r="H3593" s="7">
        <v>1.0</v>
      </c>
      <c r="I3593" s="15">
        <v>0.630999151511845</v>
      </c>
      <c r="J3593" s="15">
        <v>0.249218581116186</v>
      </c>
      <c r="K3593" s="12">
        <f>AVERAGE(I3592:I3596)</f>
        <v>0.4758672359</v>
      </c>
      <c r="L3593" s="18">
        <v>13541.0</v>
      </c>
      <c r="M3593" s="14">
        <f>STDEV(L3592:L3596)</f>
        <v>32979.18816</v>
      </c>
      <c r="N3593" s="15" t="b">
        <f t="shared" si="1"/>
        <v>0</v>
      </c>
    </row>
    <row r="3594" hidden="1">
      <c r="A3594" s="7" t="s">
        <v>727</v>
      </c>
      <c r="B3594" s="7" t="s">
        <v>519</v>
      </c>
      <c r="C3594" s="7">
        <v>1.0</v>
      </c>
      <c r="D3594" s="7">
        <v>0.1</v>
      </c>
      <c r="E3594" s="7">
        <v>9.0</v>
      </c>
      <c r="F3594" s="7">
        <v>229727.000698089</v>
      </c>
      <c r="G3594" s="7">
        <v>229857.354870319</v>
      </c>
      <c r="H3594" s="7">
        <v>2.0</v>
      </c>
      <c r="I3594" s="15">
        <v>-0.097298490404078</v>
      </c>
      <c r="J3594" s="15">
        <v>0.276284083902086</v>
      </c>
      <c r="K3594" s="12">
        <f>AVERAGE(I3592:I3596)</f>
        <v>0.4758672359</v>
      </c>
      <c r="L3594" s="18">
        <v>87098.0</v>
      </c>
      <c r="M3594" s="14">
        <f>STDEV(L3592:L3596)</f>
        <v>32979.18816</v>
      </c>
      <c r="N3594" s="15" t="b">
        <f t="shared" si="1"/>
        <v>0</v>
      </c>
    </row>
    <row r="3595" hidden="1">
      <c r="A3595" s="7" t="s">
        <v>727</v>
      </c>
      <c r="B3595" s="7" t="s">
        <v>519</v>
      </c>
      <c r="C3595" s="7">
        <v>1.0</v>
      </c>
      <c r="D3595" s="7">
        <v>0.1</v>
      </c>
      <c r="E3595" s="7">
        <v>9.0</v>
      </c>
      <c r="F3595" s="7">
        <v>229727.000698089</v>
      </c>
      <c r="G3595" s="7">
        <v>229857.354870319</v>
      </c>
      <c r="H3595" s="7">
        <v>3.0</v>
      </c>
      <c r="I3595" s="15">
        <v>0.801233636146092</v>
      </c>
      <c r="J3595" s="15">
        <v>0.0991302195894818</v>
      </c>
      <c r="K3595" s="12">
        <f>AVERAGE(I3592:I3596)</f>
        <v>0.4758672359</v>
      </c>
      <c r="L3595" s="18">
        <v>12468.0</v>
      </c>
      <c r="M3595" s="14">
        <f>STDEV(L3592:L3596)</f>
        <v>32979.18816</v>
      </c>
      <c r="N3595" s="15" t="b">
        <f t="shared" si="1"/>
        <v>0</v>
      </c>
    </row>
    <row r="3596" hidden="1">
      <c r="A3596" s="7" t="s">
        <v>727</v>
      </c>
      <c r="B3596" s="7" t="s">
        <v>519</v>
      </c>
      <c r="C3596" s="7">
        <v>1.0</v>
      </c>
      <c r="D3596" s="7">
        <v>0.1</v>
      </c>
      <c r="E3596" s="7">
        <v>9.0</v>
      </c>
      <c r="F3596" s="7">
        <v>229727.000698089</v>
      </c>
      <c r="G3596" s="7">
        <v>229857.354870319</v>
      </c>
      <c r="H3596" s="7">
        <v>4.0</v>
      </c>
      <c r="I3596" s="15">
        <v>0.792308424906001</v>
      </c>
      <c r="J3596" s="15">
        <v>0.112900764198013</v>
      </c>
      <c r="K3596" s="12">
        <f>AVERAGE(I3592:I3596)</f>
        <v>0.4758672359</v>
      </c>
      <c r="L3596" s="18">
        <v>10287.0</v>
      </c>
      <c r="M3596" s="14">
        <f>STDEV(L3592:L3596)</f>
        <v>32979.18816</v>
      </c>
      <c r="N3596" s="15" t="b">
        <f t="shared" si="1"/>
        <v>0</v>
      </c>
    </row>
    <row r="3597" hidden="1">
      <c r="A3597" s="7" t="s">
        <v>728</v>
      </c>
      <c r="B3597" s="7" t="s">
        <v>519</v>
      </c>
      <c r="C3597" s="7">
        <v>1.0</v>
      </c>
      <c r="D3597" s="7">
        <v>0.1</v>
      </c>
      <c r="E3597" s="7">
        <v>10.0</v>
      </c>
      <c r="F3597" s="7">
        <v>90091.8692407608</v>
      </c>
      <c r="G3597" s="7">
        <v>90233.474442482</v>
      </c>
      <c r="H3597" s="7">
        <v>0.0</v>
      </c>
      <c r="I3597" s="15">
        <v>0.465692941649199</v>
      </c>
      <c r="J3597" s="15">
        <v>0.278572655070115</v>
      </c>
      <c r="K3597" s="12">
        <f>AVERAGE(I3597:I3601)</f>
        <v>0.4445593069</v>
      </c>
      <c r="L3597" s="18">
        <v>5297.0</v>
      </c>
      <c r="M3597" s="14">
        <f>STDEV(L3597:L3601)</f>
        <v>35766.22393</v>
      </c>
      <c r="N3597" s="15" t="b">
        <f t="shared" si="1"/>
        <v>0</v>
      </c>
    </row>
    <row r="3598" hidden="1">
      <c r="A3598" s="7" t="s">
        <v>728</v>
      </c>
      <c r="B3598" s="7" t="s">
        <v>519</v>
      </c>
      <c r="C3598" s="7">
        <v>1.0</v>
      </c>
      <c r="D3598" s="7">
        <v>0.1</v>
      </c>
      <c r="E3598" s="7">
        <v>10.0</v>
      </c>
      <c r="F3598" s="7">
        <v>90091.8692407608</v>
      </c>
      <c r="G3598" s="7">
        <v>90233.474442482</v>
      </c>
      <c r="H3598" s="7">
        <v>1.0</v>
      </c>
      <c r="I3598" s="15">
        <v>0.740736252115272</v>
      </c>
      <c r="J3598" s="15">
        <v>0.144856924967562</v>
      </c>
      <c r="K3598" s="12">
        <f>AVERAGE(I3597:I3601)</f>
        <v>0.4445593069</v>
      </c>
      <c r="L3598" s="18">
        <v>9003.0</v>
      </c>
      <c r="M3598" s="14">
        <f>STDEV(L3597:L3601)</f>
        <v>35766.22393</v>
      </c>
      <c r="N3598" s="15" t="b">
        <f t="shared" si="1"/>
        <v>0</v>
      </c>
    </row>
    <row r="3599" hidden="1">
      <c r="A3599" s="7" t="s">
        <v>728</v>
      </c>
      <c r="B3599" s="7" t="s">
        <v>519</v>
      </c>
      <c r="C3599" s="7">
        <v>1.0</v>
      </c>
      <c r="D3599" s="7">
        <v>0.1</v>
      </c>
      <c r="E3599" s="7">
        <v>10.0</v>
      </c>
      <c r="F3599" s="7">
        <v>90091.8692407608</v>
      </c>
      <c r="G3599" s="7">
        <v>90233.474442482</v>
      </c>
      <c r="H3599" s="7">
        <v>2.0</v>
      </c>
      <c r="I3599" s="15">
        <v>0.842205413059877</v>
      </c>
      <c r="J3599" s="15">
        <v>0.0974498121010213</v>
      </c>
      <c r="K3599" s="12">
        <f>AVERAGE(I3597:I3601)</f>
        <v>0.4445593069</v>
      </c>
      <c r="L3599" s="18">
        <v>3923.0</v>
      </c>
      <c r="M3599" s="14">
        <f>STDEV(L3597:L3601)</f>
        <v>35766.22393</v>
      </c>
      <c r="N3599" s="15" t="b">
        <f t="shared" si="1"/>
        <v>0</v>
      </c>
    </row>
    <row r="3600" hidden="1">
      <c r="A3600" s="7" t="s">
        <v>728</v>
      </c>
      <c r="B3600" s="7" t="s">
        <v>519</v>
      </c>
      <c r="C3600" s="7">
        <v>1.0</v>
      </c>
      <c r="D3600" s="7">
        <v>0.1</v>
      </c>
      <c r="E3600" s="7">
        <v>10.0</v>
      </c>
      <c r="F3600" s="7">
        <v>90091.8692407608</v>
      </c>
      <c r="G3600" s="7">
        <v>90233.474442482</v>
      </c>
      <c r="H3600" s="7">
        <v>3.0</v>
      </c>
      <c r="I3600" s="15">
        <v>0.235624295854159</v>
      </c>
      <c r="J3600" s="15">
        <v>0.0720091862268718</v>
      </c>
      <c r="K3600" s="12">
        <f>AVERAGE(I3597:I3601)</f>
        <v>0.4445593069</v>
      </c>
      <c r="L3600" s="18">
        <v>35397.0</v>
      </c>
      <c r="M3600" s="14">
        <f>STDEV(L3597:L3601)</f>
        <v>35766.22393</v>
      </c>
      <c r="N3600" s="15" t="b">
        <f t="shared" si="1"/>
        <v>0</v>
      </c>
    </row>
    <row r="3601" hidden="1">
      <c r="A3601" s="7" t="s">
        <v>728</v>
      </c>
      <c r="B3601" s="7" t="s">
        <v>519</v>
      </c>
      <c r="C3601" s="7">
        <v>1.0</v>
      </c>
      <c r="D3601" s="7">
        <v>0.1</v>
      </c>
      <c r="E3601" s="7">
        <v>10.0</v>
      </c>
      <c r="F3601" s="7">
        <v>90091.8692407608</v>
      </c>
      <c r="G3601" s="7">
        <v>90233.474442482</v>
      </c>
      <c r="H3601" s="7">
        <v>4.0</v>
      </c>
      <c r="I3601" s="15">
        <v>-0.0614623682341818</v>
      </c>
      <c r="J3601" s="15">
        <v>0.222095272878184</v>
      </c>
      <c r="K3601" s="12">
        <f>AVERAGE(I3597:I3601)</f>
        <v>0.4445593069</v>
      </c>
      <c r="L3601" s="18">
        <v>88056.0</v>
      </c>
      <c r="M3601" s="14">
        <f>STDEV(L3597:L3601)</f>
        <v>35766.22393</v>
      </c>
      <c r="N3601" s="15" t="b">
        <f t="shared" si="1"/>
        <v>0</v>
      </c>
    </row>
    <row r="3602" hidden="1">
      <c r="A3602" s="7" t="s">
        <v>729</v>
      </c>
      <c r="B3602" s="7" t="s">
        <v>519</v>
      </c>
      <c r="C3602" s="7">
        <v>1.0</v>
      </c>
      <c r="D3602" s="7">
        <v>0.25</v>
      </c>
      <c r="E3602" s="7">
        <v>1.0</v>
      </c>
      <c r="F3602" s="7">
        <v>168411.599263906</v>
      </c>
      <c r="G3602" s="7">
        <v>168578.332118988</v>
      </c>
      <c r="H3602" s="7">
        <v>0.0</v>
      </c>
      <c r="I3602" s="15">
        <v>0.818404087475468</v>
      </c>
      <c r="J3602" s="15">
        <v>0.0734547039169959</v>
      </c>
      <c r="K3602" s="12">
        <f>AVERAGE(I3602:I3606)</f>
        <v>0.4129434097</v>
      </c>
      <c r="L3602" s="18">
        <v>10395.0</v>
      </c>
      <c r="M3602" s="14">
        <f>STDEV(L3602:L3606)</f>
        <v>43162.71081</v>
      </c>
      <c r="N3602" s="15" t="b">
        <f t="shared" si="1"/>
        <v>0</v>
      </c>
    </row>
    <row r="3603" hidden="1">
      <c r="A3603" s="7" t="s">
        <v>729</v>
      </c>
      <c r="B3603" s="7" t="s">
        <v>519</v>
      </c>
      <c r="C3603" s="7">
        <v>1.0</v>
      </c>
      <c r="D3603" s="7">
        <v>0.25</v>
      </c>
      <c r="E3603" s="7">
        <v>1.0</v>
      </c>
      <c r="F3603" s="7">
        <v>168411.599263906</v>
      </c>
      <c r="G3603" s="7">
        <v>168578.332118988</v>
      </c>
      <c r="H3603" s="7">
        <v>1.0</v>
      </c>
      <c r="I3603" s="15">
        <v>0.811080656653979</v>
      </c>
      <c r="J3603" s="15">
        <v>0.100073626945965</v>
      </c>
      <c r="K3603" s="12">
        <f>AVERAGE(I3602:I3606)</f>
        <v>0.4129434097</v>
      </c>
      <c r="L3603" s="18">
        <v>9307.0</v>
      </c>
      <c r="M3603" s="14">
        <f>STDEV(L3602:L3606)</f>
        <v>43162.71081</v>
      </c>
      <c r="N3603" s="15" t="b">
        <f t="shared" si="1"/>
        <v>0</v>
      </c>
    </row>
    <row r="3604" hidden="1">
      <c r="A3604" s="7" t="s">
        <v>729</v>
      </c>
      <c r="B3604" s="7" t="s">
        <v>519</v>
      </c>
      <c r="C3604" s="7">
        <v>1.0</v>
      </c>
      <c r="D3604" s="7">
        <v>0.25</v>
      </c>
      <c r="E3604" s="7">
        <v>1.0</v>
      </c>
      <c r="F3604" s="7">
        <v>168411.599263906</v>
      </c>
      <c r="G3604" s="7">
        <v>168578.332118988</v>
      </c>
      <c r="H3604" s="7">
        <v>2.0</v>
      </c>
      <c r="I3604" s="15">
        <v>0.309785215493611</v>
      </c>
      <c r="J3604" s="15">
        <v>0.0791243901448306</v>
      </c>
      <c r="K3604" s="12">
        <f>AVERAGE(I3602:I3606)</f>
        <v>0.4129434097</v>
      </c>
      <c r="L3604" s="18">
        <v>4029.0</v>
      </c>
      <c r="M3604" s="14">
        <f>STDEV(L3602:L3606)</f>
        <v>43162.71081</v>
      </c>
      <c r="N3604" s="15" t="b">
        <f t="shared" si="1"/>
        <v>0</v>
      </c>
    </row>
    <row r="3605" hidden="1">
      <c r="A3605" s="7" t="s">
        <v>729</v>
      </c>
      <c r="B3605" s="7" t="s">
        <v>519</v>
      </c>
      <c r="C3605" s="7">
        <v>1.0</v>
      </c>
      <c r="D3605" s="7">
        <v>0.25</v>
      </c>
      <c r="E3605" s="7">
        <v>1.0</v>
      </c>
      <c r="F3605" s="7">
        <v>168411.599263906</v>
      </c>
      <c r="G3605" s="7">
        <v>168578.332118988</v>
      </c>
      <c r="H3605" s="7">
        <v>3.0</v>
      </c>
      <c r="I3605" s="15">
        <v>0.198524216192324</v>
      </c>
      <c r="J3605" s="15">
        <v>0.0737657493810761</v>
      </c>
      <c r="K3605" s="12">
        <f>AVERAGE(I3602:I3606)</f>
        <v>0.4129434097</v>
      </c>
      <c r="L3605" s="18">
        <v>12604.0</v>
      </c>
      <c r="M3605" s="14">
        <f>STDEV(L3602:L3606)</f>
        <v>43162.71081</v>
      </c>
      <c r="N3605" s="15" t="b">
        <f t="shared" si="1"/>
        <v>0</v>
      </c>
    </row>
    <row r="3606" hidden="1">
      <c r="A3606" s="7" t="s">
        <v>729</v>
      </c>
      <c r="B3606" s="7" t="s">
        <v>519</v>
      </c>
      <c r="C3606" s="7">
        <v>1.0</v>
      </c>
      <c r="D3606" s="7">
        <v>0.25</v>
      </c>
      <c r="E3606" s="7">
        <v>1.0</v>
      </c>
      <c r="F3606" s="7">
        <v>168411.599263906</v>
      </c>
      <c r="G3606" s="7">
        <v>168578.332118988</v>
      </c>
      <c r="H3606" s="7">
        <v>4.0</v>
      </c>
      <c r="I3606" s="15">
        <v>-0.0730771275005052</v>
      </c>
      <c r="J3606" s="15">
        <v>0.283350984515192</v>
      </c>
      <c r="K3606" s="12">
        <f>AVERAGE(I3602:I3606)</f>
        <v>0.4129434097</v>
      </c>
      <c r="L3606" s="18">
        <v>105341.0</v>
      </c>
      <c r="M3606" s="14">
        <f>STDEV(L3602:L3606)</f>
        <v>43162.71081</v>
      </c>
      <c r="N3606" s="15" t="b">
        <f t="shared" si="1"/>
        <v>0</v>
      </c>
    </row>
    <row r="3607" hidden="1">
      <c r="A3607" s="7" t="s">
        <v>730</v>
      </c>
      <c r="B3607" s="22" t="s">
        <v>519</v>
      </c>
      <c r="C3607" s="22">
        <v>1.0</v>
      </c>
      <c r="D3607" s="22">
        <v>0.25</v>
      </c>
      <c r="E3607" s="22">
        <v>2.0</v>
      </c>
      <c r="F3607" s="7">
        <v>94413.9364581108</v>
      </c>
      <c r="G3607" s="7">
        <v>94594.7937748432</v>
      </c>
      <c r="H3607" s="7">
        <v>0.0</v>
      </c>
      <c r="I3607" s="15">
        <v>0.865784492612535</v>
      </c>
      <c r="J3607" s="15">
        <v>0.0993559504669437</v>
      </c>
      <c r="K3607" s="12">
        <f>AVERAGE(I3607:I3611)</f>
        <v>0.5361541904</v>
      </c>
      <c r="L3607" s="18">
        <v>803.0</v>
      </c>
      <c r="M3607" s="14">
        <f>STDEV(L3607:L3611)</f>
        <v>50608.1726</v>
      </c>
      <c r="N3607" s="15" t="b">
        <f t="shared" si="1"/>
        <v>0</v>
      </c>
    </row>
    <row r="3608" hidden="1">
      <c r="A3608" s="7" t="s">
        <v>730</v>
      </c>
      <c r="B3608" s="22" t="s">
        <v>519</v>
      </c>
      <c r="C3608" s="22">
        <v>1.0</v>
      </c>
      <c r="D3608" s="22">
        <v>0.25</v>
      </c>
      <c r="E3608" s="22">
        <v>2.0</v>
      </c>
      <c r="F3608" s="7">
        <v>94413.9364581108</v>
      </c>
      <c r="G3608" s="7">
        <v>94594.7937748432</v>
      </c>
      <c r="H3608" s="7">
        <v>1.0</v>
      </c>
      <c r="I3608" s="15">
        <v>0.830148487373728</v>
      </c>
      <c r="J3608" s="15">
        <v>0.115754004284554</v>
      </c>
      <c r="K3608" s="12">
        <f>AVERAGE(I3607:I3611)</f>
        <v>0.5361541904</v>
      </c>
      <c r="L3608" s="18">
        <v>2970.0</v>
      </c>
      <c r="M3608" s="14">
        <f>STDEV(L3607:L3611)</f>
        <v>50608.1726</v>
      </c>
      <c r="N3608" s="15" t="b">
        <f t="shared" si="1"/>
        <v>0</v>
      </c>
    </row>
    <row r="3609" hidden="1">
      <c r="A3609" s="7" t="s">
        <v>730</v>
      </c>
      <c r="B3609" s="22" t="s">
        <v>519</v>
      </c>
      <c r="C3609" s="22">
        <v>1.0</v>
      </c>
      <c r="D3609" s="22">
        <v>0.25</v>
      </c>
      <c r="E3609" s="22">
        <v>2.0</v>
      </c>
      <c r="F3609" s="7">
        <v>94413.9364581108</v>
      </c>
      <c r="G3609" s="7">
        <v>94594.7937748432</v>
      </c>
      <c r="H3609" s="7">
        <v>2.0</v>
      </c>
      <c r="I3609" s="15">
        <v>-0.016594625557281</v>
      </c>
      <c r="J3609" s="15">
        <v>0.235993892031494</v>
      </c>
      <c r="K3609" s="12">
        <f>AVERAGE(I3607:I3611)</f>
        <v>0.5361541904</v>
      </c>
      <c r="L3609" s="18">
        <v>118484.0</v>
      </c>
      <c r="M3609" s="14">
        <f>STDEV(L3607:L3611)</f>
        <v>50608.1726</v>
      </c>
      <c r="N3609" s="15" t="b">
        <f t="shared" si="1"/>
        <v>0</v>
      </c>
    </row>
    <row r="3610" hidden="1">
      <c r="A3610" s="7" t="s">
        <v>730</v>
      </c>
      <c r="B3610" s="22" t="s">
        <v>519</v>
      </c>
      <c r="C3610" s="22">
        <v>1.0</v>
      </c>
      <c r="D3610" s="22">
        <v>0.25</v>
      </c>
      <c r="E3610" s="22">
        <v>2.0</v>
      </c>
      <c r="F3610" s="7">
        <v>94413.9364581108</v>
      </c>
      <c r="G3610" s="7">
        <v>94594.7937748432</v>
      </c>
      <c r="H3610" s="7">
        <v>3.0</v>
      </c>
      <c r="I3610" s="15">
        <v>0.594830923994726</v>
      </c>
      <c r="J3610" s="15">
        <v>0.247161202621993</v>
      </c>
      <c r="K3610" s="12">
        <f>AVERAGE(I3607:I3611)</f>
        <v>0.5361541904</v>
      </c>
      <c r="L3610" s="18">
        <v>13078.0</v>
      </c>
      <c r="M3610" s="14">
        <f>STDEV(L3607:L3611)</f>
        <v>50608.1726</v>
      </c>
      <c r="N3610" s="15" t="b">
        <f t="shared" si="1"/>
        <v>0</v>
      </c>
    </row>
    <row r="3611" hidden="1">
      <c r="A3611" s="7" t="s">
        <v>730</v>
      </c>
      <c r="B3611" s="22" t="s">
        <v>519</v>
      </c>
      <c r="C3611" s="22">
        <v>1.0</v>
      </c>
      <c r="D3611" s="22">
        <v>0.25</v>
      </c>
      <c r="E3611" s="22">
        <v>2.0</v>
      </c>
      <c r="F3611" s="7">
        <v>94413.9364581108</v>
      </c>
      <c r="G3611" s="7">
        <v>94594.7937748432</v>
      </c>
      <c r="H3611" s="7">
        <v>4.0</v>
      </c>
      <c r="I3611" s="15">
        <v>0.406601673362752</v>
      </c>
      <c r="J3611" s="15">
        <v>0.221136524162636</v>
      </c>
      <c r="K3611" s="12">
        <f>AVERAGE(I3607:I3611)</f>
        <v>0.5361541904</v>
      </c>
      <c r="L3611" s="18">
        <v>6341.0</v>
      </c>
      <c r="M3611" s="14">
        <f>STDEV(L3607:L3611)</f>
        <v>50608.1726</v>
      </c>
      <c r="N3611" s="15" t="b">
        <f t="shared" si="1"/>
        <v>0</v>
      </c>
    </row>
    <row r="3612" hidden="1">
      <c r="A3612" s="7" t="s">
        <v>731</v>
      </c>
      <c r="B3612" s="7" t="s">
        <v>519</v>
      </c>
      <c r="C3612" s="7">
        <v>1.0</v>
      </c>
      <c r="D3612" s="7">
        <v>0.25</v>
      </c>
      <c r="E3612" s="7">
        <v>3.0</v>
      </c>
      <c r="F3612" s="7">
        <v>117856.045608758</v>
      </c>
      <c r="G3612" s="7">
        <v>118029.369318962</v>
      </c>
      <c r="H3612" s="7">
        <v>0.0</v>
      </c>
      <c r="I3612" s="15">
        <v>0.277253962689527</v>
      </c>
      <c r="J3612" s="15">
        <v>0.0693840500408506</v>
      </c>
      <c r="K3612" s="12">
        <f>AVERAGE(I3612:I3616)</f>
        <v>0.4423861893</v>
      </c>
      <c r="L3612" s="18">
        <v>4748.0</v>
      </c>
      <c r="M3612" s="14">
        <f>STDEV(L3612:L3616)</f>
        <v>55965.38491</v>
      </c>
      <c r="N3612" s="15" t="b">
        <f t="shared" si="1"/>
        <v>0</v>
      </c>
    </row>
    <row r="3613" hidden="1">
      <c r="A3613" s="7" t="s">
        <v>731</v>
      </c>
      <c r="B3613" s="7" t="s">
        <v>519</v>
      </c>
      <c r="C3613" s="7">
        <v>1.0</v>
      </c>
      <c r="D3613" s="7">
        <v>0.25</v>
      </c>
      <c r="E3613" s="7">
        <v>3.0</v>
      </c>
      <c r="F3613" s="7">
        <v>117856.045608758</v>
      </c>
      <c r="G3613" s="7">
        <v>118029.369318962</v>
      </c>
      <c r="H3613" s="7">
        <v>1.0</v>
      </c>
      <c r="I3613" s="15">
        <v>0.0544650916493256</v>
      </c>
      <c r="J3613" s="15">
        <v>0.134320281828146</v>
      </c>
      <c r="K3613" s="12">
        <f>AVERAGE(I3612:I3616)</f>
        <v>0.4423861893</v>
      </c>
      <c r="L3613" s="18">
        <v>128382.0</v>
      </c>
      <c r="M3613" s="14">
        <f>STDEV(L3612:L3616)</f>
        <v>55965.38491</v>
      </c>
      <c r="N3613" s="15" t="b">
        <f t="shared" si="1"/>
        <v>0</v>
      </c>
    </row>
    <row r="3614" hidden="1">
      <c r="A3614" s="7" t="s">
        <v>731</v>
      </c>
      <c r="B3614" s="7" t="s">
        <v>519</v>
      </c>
      <c r="C3614" s="7">
        <v>1.0</v>
      </c>
      <c r="D3614" s="7">
        <v>0.25</v>
      </c>
      <c r="E3614" s="7">
        <v>3.0</v>
      </c>
      <c r="F3614" s="7">
        <v>117856.045608758</v>
      </c>
      <c r="G3614" s="7">
        <v>118029.369318962</v>
      </c>
      <c r="H3614" s="7">
        <v>2.0</v>
      </c>
      <c r="I3614" s="15">
        <v>0.174307786257258</v>
      </c>
      <c r="J3614" s="15">
        <v>0.0673930964913818</v>
      </c>
      <c r="K3614" s="12">
        <f>AVERAGE(I3612:I3616)</f>
        <v>0.4423861893</v>
      </c>
      <c r="L3614" s="18">
        <v>5841.0</v>
      </c>
      <c r="M3614" s="14">
        <f>STDEV(L3612:L3616)</f>
        <v>55965.38491</v>
      </c>
      <c r="N3614" s="15" t="b">
        <f t="shared" si="1"/>
        <v>0</v>
      </c>
    </row>
    <row r="3615" hidden="1">
      <c r="A3615" s="7" t="s">
        <v>731</v>
      </c>
      <c r="B3615" s="7" t="s">
        <v>519</v>
      </c>
      <c r="C3615" s="7">
        <v>1.0</v>
      </c>
      <c r="D3615" s="7">
        <v>0.25</v>
      </c>
      <c r="E3615" s="7">
        <v>3.0</v>
      </c>
      <c r="F3615" s="7">
        <v>117856.045608758</v>
      </c>
      <c r="G3615" s="7">
        <v>118029.369318962</v>
      </c>
      <c r="H3615" s="7">
        <v>3.0</v>
      </c>
      <c r="I3615" s="15">
        <v>0.868867032594164</v>
      </c>
      <c r="J3615" s="15">
        <v>0.10718539038337</v>
      </c>
      <c r="K3615" s="12">
        <f>AVERAGE(I3612:I3616)</f>
        <v>0.4423861893</v>
      </c>
      <c r="L3615" s="18">
        <v>779.0</v>
      </c>
      <c r="M3615" s="14">
        <f>STDEV(L3612:L3616)</f>
        <v>55965.38491</v>
      </c>
      <c r="N3615" s="15" t="b">
        <f t="shared" si="1"/>
        <v>0</v>
      </c>
    </row>
    <row r="3616" hidden="1">
      <c r="A3616" s="7" t="s">
        <v>731</v>
      </c>
      <c r="B3616" s="7" t="s">
        <v>519</v>
      </c>
      <c r="C3616" s="7">
        <v>1.0</v>
      </c>
      <c r="D3616" s="7">
        <v>0.25</v>
      </c>
      <c r="E3616" s="7">
        <v>3.0</v>
      </c>
      <c r="F3616" s="7">
        <v>117856.045608758</v>
      </c>
      <c r="G3616" s="7">
        <v>118029.369318962</v>
      </c>
      <c r="H3616" s="7">
        <v>4.0</v>
      </c>
      <c r="I3616" s="15">
        <v>0.83703707348659</v>
      </c>
      <c r="J3616" s="15">
        <v>0.120408561709929</v>
      </c>
      <c r="K3616" s="12">
        <f>AVERAGE(I3612:I3616)</f>
        <v>0.4423861893</v>
      </c>
      <c r="L3616" s="18">
        <v>1926.0</v>
      </c>
      <c r="M3616" s="14">
        <f>STDEV(L3612:L3616)</f>
        <v>55965.38491</v>
      </c>
      <c r="N3616" s="15" t="b">
        <f t="shared" si="1"/>
        <v>0</v>
      </c>
    </row>
    <row r="3617" hidden="1">
      <c r="A3617" s="7" t="s">
        <v>732</v>
      </c>
      <c r="B3617" s="7" t="s">
        <v>519</v>
      </c>
      <c r="C3617" s="7">
        <v>1.0</v>
      </c>
      <c r="D3617" s="7">
        <v>0.25</v>
      </c>
      <c r="E3617" s="7">
        <v>4.0</v>
      </c>
      <c r="F3617" s="7">
        <v>93585.8525185585</v>
      </c>
      <c r="G3617" s="7">
        <v>93764.9458305835</v>
      </c>
      <c r="H3617" s="7">
        <v>0.0</v>
      </c>
      <c r="I3617" s="15">
        <v>0.427143417346784</v>
      </c>
      <c r="J3617" s="15">
        <v>0.253114969589473</v>
      </c>
      <c r="K3617" s="12">
        <f>AVERAGE(I3617:I3621)</f>
        <v>0.5197187086</v>
      </c>
      <c r="L3617" s="18">
        <v>6236.0</v>
      </c>
      <c r="M3617" s="14">
        <f>STDEV(L3617:L3621)</f>
        <v>49490.65216</v>
      </c>
      <c r="N3617" s="15" t="b">
        <f t="shared" si="1"/>
        <v>0</v>
      </c>
    </row>
    <row r="3618" hidden="1">
      <c r="A3618" s="7" t="s">
        <v>732</v>
      </c>
      <c r="B3618" s="7" t="s">
        <v>519</v>
      </c>
      <c r="C3618" s="7">
        <v>1.0</v>
      </c>
      <c r="D3618" s="7">
        <v>0.25</v>
      </c>
      <c r="E3618" s="7">
        <v>4.0</v>
      </c>
      <c r="F3618" s="7">
        <v>93585.8525185585</v>
      </c>
      <c r="G3618" s="7">
        <v>93764.9458305835</v>
      </c>
      <c r="H3618" s="7">
        <v>1.0</v>
      </c>
      <c r="I3618" s="15">
        <v>0.87748357981497</v>
      </c>
      <c r="J3618" s="15">
        <v>0.0960132276534451</v>
      </c>
      <c r="K3618" s="12">
        <f>AVERAGE(I3617:I3621)</f>
        <v>0.5197187086</v>
      </c>
      <c r="L3618" s="18">
        <v>319.0</v>
      </c>
      <c r="M3618" s="14">
        <f>STDEV(L3617:L3621)</f>
        <v>49490.65216</v>
      </c>
      <c r="N3618" s="15" t="b">
        <f t="shared" si="1"/>
        <v>0</v>
      </c>
    </row>
    <row r="3619" hidden="1">
      <c r="A3619" s="7" t="s">
        <v>732</v>
      </c>
      <c r="B3619" s="7" t="s">
        <v>519</v>
      </c>
      <c r="C3619" s="7">
        <v>1.0</v>
      </c>
      <c r="D3619" s="7">
        <v>0.25</v>
      </c>
      <c r="E3619" s="7">
        <v>4.0</v>
      </c>
      <c r="F3619" s="7">
        <v>93585.8525185585</v>
      </c>
      <c r="G3619" s="7">
        <v>93764.9458305835</v>
      </c>
      <c r="H3619" s="7">
        <v>2.0</v>
      </c>
      <c r="I3619" s="15">
        <v>0.72400890297561</v>
      </c>
      <c r="J3619" s="15">
        <v>0.148377854328779</v>
      </c>
      <c r="K3619" s="12">
        <f>AVERAGE(I3617:I3621)</f>
        <v>0.5197187086</v>
      </c>
      <c r="L3619" s="18">
        <v>7892.0</v>
      </c>
      <c r="M3619" s="14">
        <f>STDEV(L3617:L3621)</f>
        <v>49490.65216</v>
      </c>
      <c r="N3619" s="15" t="b">
        <f t="shared" si="1"/>
        <v>0</v>
      </c>
    </row>
    <row r="3620" hidden="1">
      <c r="A3620" s="7" t="s">
        <v>732</v>
      </c>
      <c r="B3620" s="7" t="s">
        <v>519</v>
      </c>
      <c r="C3620" s="7">
        <v>1.0</v>
      </c>
      <c r="D3620" s="7">
        <v>0.25</v>
      </c>
      <c r="E3620" s="7">
        <v>4.0</v>
      </c>
      <c r="F3620" s="7">
        <v>93585.8525185585</v>
      </c>
      <c r="G3620" s="7">
        <v>93764.9458305835</v>
      </c>
      <c r="H3620" s="7">
        <v>3.0</v>
      </c>
      <c r="I3620" s="15">
        <v>0.590615827411018</v>
      </c>
      <c r="J3620" s="15">
        <v>0.247612161225964</v>
      </c>
      <c r="K3620" s="12">
        <f>AVERAGE(I3617:I3621)</f>
        <v>0.5197187086</v>
      </c>
      <c r="L3620" s="18">
        <v>10620.0</v>
      </c>
      <c r="M3620" s="14">
        <f>STDEV(L3617:L3621)</f>
        <v>49490.65216</v>
      </c>
      <c r="N3620" s="15" t="b">
        <f t="shared" si="1"/>
        <v>0</v>
      </c>
    </row>
    <row r="3621" hidden="1">
      <c r="A3621" s="7" t="s">
        <v>732</v>
      </c>
      <c r="B3621" s="7" t="s">
        <v>519</v>
      </c>
      <c r="C3621" s="7">
        <v>1.0</v>
      </c>
      <c r="D3621" s="7">
        <v>0.25</v>
      </c>
      <c r="E3621" s="7">
        <v>4.0</v>
      </c>
      <c r="F3621" s="7">
        <v>93585.8525185585</v>
      </c>
      <c r="G3621" s="7">
        <v>93764.9458305835</v>
      </c>
      <c r="H3621" s="7">
        <v>4.0</v>
      </c>
      <c r="I3621" s="15">
        <v>-0.0206581846969098</v>
      </c>
      <c r="J3621" s="15">
        <v>0.245146592495633</v>
      </c>
      <c r="K3621" s="12">
        <f>AVERAGE(I3617:I3621)</f>
        <v>0.5197187086</v>
      </c>
      <c r="L3621" s="18">
        <v>116609.0</v>
      </c>
      <c r="M3621" s="14">
        <f>STDEV(L3617:L3621)</f>
        <v>49490.65216</v>
      </c>
      <c r="N3621" s="15" t="b">
        <f t="shared" si="1"/>
        <v>0</v>
      </c>
    </row>
    <row r="3622" hidden="1">
      <c r="A3622" s="7" t="s">
        <v>733</v>
      </c>
      <c r="B3622" s="7" t="s">
        <v>519</v>
      </c>
      <c r="C3622" s="7">
        <v>1.0</v>
      </c>
      <c r="D3622" s="7">
        <v>0.25</v>
      </c>
      <c r="E3622" s="7">
        <v>5.0</v>
      </c>
      <c r="F3622" s="7">
        <v>161898.811224937</v>
      </c>
      <c r="G3622" s="7">
        <v>162067.026061773</v>
      </c>
      <c r="H3622" s="7">
        <v>0.0</v>
      </c>
      <c r="I3622" s="15">
        <v>-0.03515549436782</v>
      </c>
      <c r="J3622" s="15">
        <v>0.258228958316927</v>
      </c>
      <c r="K3622" s="12">
        <f>AVERAGE(I3622:I3626)</f>
        <v>0.4911222509</v>
      </c>
      <c r="L3622" s="18">
        <v>112818.0</v>
      </c>
      <c r="M3622" s="14">
        <f>STDEV(L3622:L3626)</f>
        <v>47365.16688</v>
      </c>
      <c r="N3622" s="15" t="b">
        <f t="shared" si="1"/>
        <v>0</v>
      </c>
    </row>
    <row r="3623" hidden="1">
      <c r="A3623" s="7" t="s">
        <v>733</v>
      </c>
      <c r="B3623" s="7" t="s">
        <v>519</v>
      </c>
      <c r="C3623" s="7">
        <v>1.0</v>
      </c>
      <c r="D3623" s="7">
        <v>0.25</v>
      </c>
      <c r="E3623" s="7">
        <v>5.0</v>
      </c>
      <c r="F3623" s="7">
        <v>161898.811224937</v>
      </c>
      <c r="G3623" s="7">
        <v>162067.026061773</v>
      </c>
      <c r="H3623" s="7">
        <v>1.0</v>
      </c>
      <c r="I3623" s="15">
        <v>0.819007456555581</v>
      </c>
      <c r="J3623" s="15">
        <v>0.0736882540394326</v>
      </c>
      <c r="K3623" s="12">
        <f>AVERAGE(I3622:I3626)</f>
        <v>0.4911222509</v>
      </c>
      <c r="L3623" s="18">
        <v>10395.0</v>
      </c>
      <c r="M3623" s="14">
        <f>STDEV(L3622:L3626)</f>
        <v>47365.16688</v>
      </c>
      <c r="N3623" s="15" t="b">
        <f t="shared" si="1"/>
        <v>0</v>
      </c>
    </row>
    <row r="3624" hidden="1">
      <c r="A3624" s="7" t="s">
        <v>733</v>
      </c>
      <c r="B3624" s="7" t="s">
        <v>519</v>
      </c>
      <c r="C3624" s="7">
        <v>1.0</v>
      </c>
      <c r="D3624" s="7">
        <v>0.25</v>
      </c>
      <c r="E3624" s="7">
        <v>5.0</v>
      </c>
      <c r="F3624" s="7">
        <v>161898.811224937</v>
      </c>
      <c r="G3624" s="7">
        <v>162067.026061773</v>
      </c>
      <c r="H3624" s="7">
        <v>2.0</v>
      </c>
      <c r="I3624" s="15">
        <v>0.903212563531126</v>
      </c>
      <c r="J3624" s="15">
        <v>0.129266971726037</v>
      </c>
      <c r="K3624" s="12">
        <f>AVERAGE(I3622:I3626)</f>
        <v>0.4911222509</v>
      </c>
      <c r="L3624" s="18">
        <v>1273.0</v>
      </c>
      <c r="M3624" s="14">
        <f>STDEV(L3622:L3626)</f>
        <v>47365.16688</v>
      </c>
      <c r="N3624" s="15" t="b">
        <f t="shared" si="1"/>
        <v>0</v>
      </c>
    </row>
    <row r="3625" hidden="1">
      <c r="A3625" s="7" t="s">
        <v>733</v>
      </c>
      <c r="B3625" s="7" t="s">
        <v>519</v>
      </c>
      <c r="C3625" s="7">
        <v>1.0</v>
      </c>
      <c r="D3625" s="7">
        <v>0.25</v>
      </c>
      <c r="E3625" s="7">
        <v>5.0</v>
      </c>
      <c r="F3625" s="7">
        <v>161898.811224937</v>
      </c>
      <c r="G3625" s="7">
        <v>162067.026061773</v>
      </c>
      <c r="H3625" s="7">
        <v>3.0</v>
      </c>
      <c r="I3625" s="15">
        <v>0.239632087380776</v>
      </c>
      <c r="J3625" s="15">
        <v>0.126178966479281</v>
      </c>
      <c r="K3625" s="12">
        <f>AVERAGE(I3622:I3626)</f>
        <v>0.4911222509</v>
      </c>
      <c r="L3625" s="18">
        <v>7385.0</v>
      </c>
      <c r="M3625" s="14">
        <f>STDEV(L3622:L3626)</f>
        <v>47365.16688</v>
      </c>
      <c r="N3625" s="15" t="b">
        <f t="shared" si="1"/>
        <v>0</v>
      </c>
    </row>
    <row r="3626" hidden="1">
      <c r="A3626" s="7" t="s">
        <v>733</v>
      </c>
      <c r="B3626" s="7" t="s">
        <v>519</v>
      </c>
      <c r="C3626" s="7">
        <v>1.0</v>
      </c>
      <c r="D3626" s="7">
        <v>0.25</v>
      </c>
      <c r="E3626" s="7">
        <v>5.0</v>
      </c>
      <c r="F3626" s="7">
        <v>161898.811224937</v>
      </c>
      <c r="G3626" s="7">
        <v>162067.026061773</v>
      </c>
      <c r="H3626" s="7">
        <v>4.0</v>
      </c>
      <c r="I3626" s="15">
        <v>0.528914641202617</v>
      </c>
      <c r="J3626" s="15">
        <v>0.238988889786943</v>
      </c>
      <c r="K3626" s="12">
        <f>AVERAGE(I3622:I3626)</f>
        <v>0.4911222509</v>
      </c>
      <c r="L3626" s="18">
        <v>9805.0</v>
      </c>
      <c r="M3626" s="14">
        <f>STDEV(L3622:L3626)</f>
        <v>47365.16688</v>
      </c>
      <c r="N3626" s="15" t="b">
        <f t="shared" si="1"/>
        <v>0</v>
      </c>
    </row>
    <row r="3627" hidden="1">
      <c r="A3627" s="7" t="s">
        <v>734</v>
      </c>
      <c r="B3627" s="7" t="s">
        <v>519</v>
      </c>
      <c r="C3627" s="7">
        <v>1.0</v>
      </c>
      <c r="D3627" s="7">
        <v>0.25</v>
      </c>
      <c r="E3627" s="7">
        <v>6.0</v>
      </c>
      <c r="F3627" s="7">
        <v>188579.83894062</v>
      </c>
      <c r="G3627" s="7">
        <v>188718.837514877</v>
      </c>
      <c r="H3627" s="7">
        <v>0.0</v>
      </c>
      <c r="I3627" s="15">
        <v>0.00869498309524558</v>
      </c>
      <c r="J3627" s="15">
        <v>0.203771028907926</v>
      </c>
      <c r="K3627" s="12">
        <f>AVERAGE(I3627:I3631)</f>
        <v>0.5507950741</v>
      </c>
      <c r="L3627" s="18">
        <v>119942.0</v>
      </c>
      <c r="M3627" s="14">
        <f>STDEV(L3627:L3631)</f>
        <v>51394.02468</v>
      </c>
      <c r="N3627" s="15" t="b">
        <f t="shared" si="1"/>
        <v>0</v>
      </c>
    </row>
    <row r="3628" hidden="1">
      <c r="A3628" s="7" t="s">
        <v>734</v>
      </c>
      <c r="B3628" s="7" t="s">
        <v>519</v>
      </c>
      <c r="C3628" s="7">
        <v>1.0</v>
      </c>
      <c r="D3628" s="7">
        <v>0.25</v>
      </c>
      <c r="E3628" s="7">
        <v>6.0</v>
      </c>
      <c r="F3628" s="7">
        <v>188579.83894062</v>
      </c>
      <c r="G3628" s="7">
        <v>188718.837514877</v>
      </c>
      <c r="H3628" s="7">
        <v>1.0</v>
      </c>
      <c r="I3628" s="15">
        <v>0.873909646508848</v>
      </c>
      <c r="J3628" s="15">
        <v>0.104409129095953</v>
      </c>
      <c r="K3628" s="12">
        <f>AVERAGE(I3627:I3631)</f>
        <v>0.5507950741</v>
      </c>
      <c r="L3628" s="18">
        <v>2738.0</v>
      </c>
      <c r="M3628" s="14">
        <f>STDEV(L3627:L3631)</f>
        <v>51394.02468</v>
      </c>
      <c r="N3628" s="15" t="b">
        <f t="shared" si="1"/>
        <v>0</v>
      </c>
    </row>
    <row r="3629" hidden="1">
      <c r="A3629" s="7" t="s">
        <v>734</v>
      </c>
      <c r="B3629" s="7" t="s">
        <v>519</v>
      </c>
      <c r="C3629" s="7">
        <v>1.0</v>
      </c>
      <c r="D3629" s="7">
        <v>0.25</v>
      </c>
      <c r="E3629" s="7">
        <v>6.0</v>
      </c>
      <c r="F3629" s="7">
        <v>188579.83894062</v>
      </c>
      <c r="G3629" s="7">
        <v>188718.837514877</v>
      </c>
      <c r="H3629" s="7">
        <v>2.0</v>
      </c>
      <c r="I3629" s="15">
        <v>0.613312915188742</v>
      </c>
      <c r="J3629" s="15">
        <v>0.239507520280367</v>
      </c>
      <c r="K3629" s="12">
        <f>AVERAGE(I3627:I3631)</f>
        <v>0.5507950741</v>
      </c>
      <c r="L3629" s="18">
        <v>12860.0</v>
      </c>
      <c r="M3629" s="14">
        <f>STDEV(L3627:L3631)</f>
        <v>51394.02468</v>
      </c>
      <c r="N3629" s="15" t="b">
        <f t="shared" si="1"/>
        <v>0</v>
      </c>
    </row>
    <row r="3630" hidden="1">
      <c r="A3630" s="7" t="s">
        <v>734</v>
      </c>
      <c r="B3630" s="7" t="s">
        <v>519</v>
      </c>
      <c r="C3630" s="7">
        <v>1.0</v>
      </c>
      <c r="D3630" s="7">
        <v>0.25</v>
      </c>
      <c r="E3630" s="7">
        <v>6.0</v>
      </c>
      <c r="F3630" s="7">
        <v>188579.83894062</v>
      </c>
      <c r="G3630" s="7">
        <v>188718.837514877</v>
      </c>
      <c r="H3630" s="7">
        <v>3.0</v>
      </c>
      <c r="I3630" s="15">
        <v>0.910027463977974</v>
      </c>
      <c r="J3630" s="15">
        <v>0.0434962151648573</v>
      </c>
      <c r="K3630" s="12">
        <f>AVERAGE(I3627:I3631)</f>
        <v>0.5507950741</v>
      </c>
      <c r="L3630" s="18">
        <v>2064.0</v>
      </c>
      <c r="M3630" s="14">
        <f>STDEV(L3627:L3631)</f>
        <v>51394.02468</v>
      </c>
      <c r="N3630" s="15" t="b">
        <f t="shared" si="1"/>
        <v>0</v>
      </c>
    </row>
    <row r="3631" hidden="1">
      <c r="A3631" s="7" t="s">
        <v>734</v>
      </c>
      <c r="B3631" s="7" t="s">
        <v>519</v>
      </c>
      <c r="C3631" s="7">
        <v>1.0</v>
      </c>
      <c r="D3631" s="7">
        <v>0.25</v>
      </c>
      <c r="E3631" s="7">
        <v>6.0</v>
      </c>
      <c r="F3631" s="7">
        <v>188579.83894062</v>
      </c>
      <c r="G3631" s="7">
        <v>188718.837514877</v>
      </c>
      <c r="H3631" s="7">
        <v>4.0</v>
      </c>
      <c r="I3631" s="15">
        <v>0.348030361639824</v>
      </c>
      <c r="J3631" s="15">
        <v>0.0865017387630603</v>
      </c>
      <c r="K3631" s="12">
        <f>AVERAGE(I3627:I3631)</f>
        <v>0.5507950741</v>
      </c>
      <c r="L3631" s="18">
        <v>4072.0</v>
      </c>
      <c r="M3631" s="14">
        <f>STDEV(L3627:L3631)</f>
        <v>51394.02468</v>
      </c>
      <c r="N3631" s="15" t="b">
        <f t="shared" si="1"/>
        <v>0</v>
      </c>
    </row>
    <row r="3632" hidden="1">
      <c r="A3632" s="7" t="s">
        <v>735</v>
      </c>
      <c r="B3632" s="7" t="s">
        <v>519</v>
      </c>
      <c r="C3632" s="7">
        <v>1.0</v>
      </c>
      <c r="D3632" s="7">
        <v>0.25</v>
      </c>
      <c r="E3632" s="7">
        <v>7.0</v>
      </c>
      <c r="F3632" s="7">
        <v>305972.765784502</v>
      </c>
      <c r="G3632" s="7">
        <v>306112.730515718</v>
      </c>
      <c r="H3632" s="7">
        <v>0.0</v>
      </c>
      <c r="I3632" s="15">
        <v>0.604238002844371</v>
      </c>
      <c r="J3632" s="15">
        <v>0.250378693425962</v>
      </c>
      <c r="K3632" s="12">
        <f>AVERAGE(I3632:I3636)</f>
        <v>0.5090252933</v>
      </c>
      <c r="L3632" s="18">
        <v>12951.0</v>
      </c>
      <c r="M3632" s="14">
        <f>STDEV(L3632:L3636)</f>
        <v>50191.65528</v>
      </c>
      <c r="N3632" s="15" t="b">
        <f t="shared" si="1"/>
        <v>0</v>
      </c>
    </row>
    <row r="3633" hidden="1">
      <c r="A3633" s="7" t="s">
        <v>735</v>
      </c>
      <c r="B3633" s="7" t="s">
        <v>519</v>
      </c>
      <c r="C3633" s="7">
        <v>1.0</v>
      </c>
      <c r="D3633" s="7">
        <v>0.25</v>
      </c>
      <c r="E3633" s="7">
        <v>7.0</v>
      </c>
      <c r="F3633" s="7">
        <v>305972.765784502</v>
      </c>
      <c r="G3633" s="7">
        <v>306112.730515718</v>
      </c>
      <c r="H3633" s="7">
        <v>1.0</v>
      </c>
      <c r="I3633" s="15">
        <v>0.865391066577629</v>
      </c>
      <c r="J3633" s="15">
        <v>0.100842937123506</v>
      </c>
      <c r="K3633" s="12">
        <f>AVERAGE(I3632:I3636)</f>
        <v>0.5090252933</v>
      </c>
      <c r="L3633" s="18">
        <v>803.0</v>
      </c>
      <c r="M3633" s="14">
        <f>STDEV(L3632:L3636)</f>
        <v>50191.65528</v>
      </c>
      <c r="N3633" s="15" t="b">
        <f t="shared" si="1"/>
        <v>0</v>
      </c>
    </row>
    <row r="3634" hidden="1">
      <c r="A3634" s="7" t="s">
        <v>735</v>
      </c>
      <c r="B3634" s="7" t="s">
        <v>519</v>
      </c>
      <c r="C3634" s="7">
        <v>1.0</v>
      </c>
      <c r="D3634" s="7">
        <v>0.25</v>
      </c>
      <c r="E3634" s="7">
        <v>7.0</v>
      </c>
      <c r="F3634" s="7">
        <v>305972.765784502</v>
      </c>
      <c r="G3634" s="7">
        <v>306112.730515718</v>
      </c>
      <c r="H3634" s="7">
        <v>2.0</v>
      </c>
      <c r="I3634" s="15">
        <v>-0.00746198477951977</v>
      </c>
      <c r="J3634" s="15">
        <v>0.225458385308249</v>
      </c>
      <c r="K3634" s="12">
        <f>AVERAGE(I3632:I3636)</f>
        <v>0.5090252933</v>
      </c>
      <c r="L3634" s="18">
        <v>117736.0</v>
      </c>
      <c r="M3634" s="14">
        <f>STDEV(L3632:L3636)</f>
        <v>50191.65528</v>
      </c>
      <c r="N3634" s="15" t="b">
        <f t="shared" si="1"/>
        <v>0</v>
      </c>
    </row>
    <row r="3635" hidden="1">
      <c r="A3635" s="7" t="s">
        <v>735</v>
      </c>
      <c r="B3635" s="7" t="s">
        <v>519</v>
      </c>
      <c r="C3635" s="7">
        <v>1.0</v>
      </c>
      <c r="D3635" s="7">
        <v>0.25</v>
      </c>
      <c r="E3635" s="7">
        <v>7.0</v>
      </c>
      <c r="F3635" s="7">
        <v>305972.765784502</v>
      </c>
      <c r="G3635" s="7">
        <v>306112.730515718</v>
      </c>
      <c r="H3635" s="7">
        <v>3.0</v>
      </c>
      <c r="I3635" s="15">
        <v>0.253618259589342</v>
      </c>
      <c r="J3635" s="15">
        <v>0.110755080713783</v>
      </c>
      <c r="K3635" s="12">
        <f>AVERAGE(I3632:I3636)</f>
        <v>0.5090252933</v>
      </c>
      <c r="L3635" s="18">
        <v>7239.0</v>
      </c>
      <c r="M3635" s="14">
        <f>STDEV(L3632:L3636)</f>
        <v>50191.65528</v>
      </c>
      <c r="N3635" s="15" t="b">
        <f t="shared" si="1"/>
        <v>0</v>
      </c>
    </row>
    <row r="3636" hidden="1">
      <c r="A3636" s="7" t="s">
        <v>735</v>
      </c>
      <c r="B3636" s="7" t="s">
        <v>519</v>
      </c>
      <c r="C3636" s="7">
        <v>1.0</v>
      </c>
      <c r="D3636" s="7">
        <v>0.25</v>
      </c>
      <c r="E3636" s="7">
        <v>7.0</v>
      </c>
      <c r="F3636" s="7">
        <v>305972.765784502</v>
      </c>
      <c r="G3636" s="7">
        <v>306112.730515718</v>
      </c>
      <c r="H3636" s="7">
        <v>4.0</v>
      </c>
      <c r="I3636" s="15">
        <v>0.829341122335148</v>
      </c>
      <c r="J3636" s="15">
        <v>0.123861464839612</v>
      </c>
      <c r="K3636" s="12">
        <f>AVERAGE(I3632:I3636)</f>
        <v>0.5090252933</v>
      </c>
      <c r="L3636" s="18">
        <v>2947.0</v>
      </c>
      <c r="M3636" s="14">
        <f>STDEV(L3632:L3636)</f>
        <v>50191.65528</v>
      </c>
      <c r="N3636" s="15" t="b">
        <f t="shared" si="1"/>
        <v>0</v>
      </c>
    </row>
    <row r="3637" hidden="1">
      <c r="A3637" s="7" t="s">
        <v>736</v>
      </c>
      <c r="B3637" s="24" t="s">
        <v>519</v>
      </c>
      <c r="C3637" s="24">
        <v>1.0</v>
      </c>
      <c r="D3637" s="24">
        <v>0.25</v>
      </c>
      <c r="E3637" s="24">
        <v>8.0</v>
      </c>
      <c r="F3637" s="7">
        <v>209134.720977783</v>
      </c>
      <c r="G3637" s="7">
        <v>209284.481357812</v>
      </c>
      <c r="H3637" s="7">
        <v>0.0</v>
      </c>
      <c r="I3637" s="15">
        <v>0.810827277774097</v>
      </c>
      <c r="J3637" s="15">
        <v>0.138015363825288</v>
      </c>
      <c r="K3637" s="12">
        <f>AVERAGE(I3637:I3641)</f>
        <v>0.4157696655</v>
      </c>
      <c r="L3637" s="18">
        <v>3742.0</v>
      </c>
      <c r="M3637" s="14">
        <f>STDEV(L3637:L3641)</f>
        <v>40437.53615</v>
      </c>
      <c r="N3637" s="15" t="b">
        <f t="shared" si="1"/>
        <v>0</v>
      </c>
    </row>
    <row r="3638" hidden="1">
      <c r="A3638" s="7" t="s">
        <v>736</v>
      </c>
      <c r="B3638" s="24" t="s">
        <v>519</v>
      </c>
      <c r="C3638" s="24">
        <v>1.0</v>
      </c>
      <c r="D3638" s="24">
        <v>0.25</v>
      </c>
      <c r="E3638" s="24">
        <v>8.0</v>
      </c>
      <c r="F3638" s="7">
        <v>209134.720977783</v>
      </c>
      <c r="G3638" s="7">
        <v>209284.481357812</v>
      </c>
      <c r="H3638" s="7">
        <v>1.0</v>
      </c>
      <c r="I3638" s="15">
        <v>0.828093730111132</v>
      </c>
      <c r="J3638" s="15">
        <v>0.12228661069803</v>
      </c>
      <c r="K3638" s="12">
        <f>AVERAGE(I3637:I3641)</f>
        <v>0.4157696655</v>
      </c>
      <c r="L3638" s="18">
        <v>2970.0</v>
      </c>
      <c r="M3638" s="14">
        <f>STDEV(L3637:L3641)</f>
        <v>40437.53615</v>
      </c>
      <c r="N3638" s="15" t="b">
        <f t="shared" si="1"/>
        <v>0</v>
      </c>
    </row>
    <row r="3639" hidden="1">
      <c r="A3639" s="7" t="s">
        <v>736</v>
      </c>
      <c r="B3639" s="24" t="s">
        <v>519</v>
      </c>
      <c r="C3639" s="24">
        <v>1.0</v>
      </c>
      <c r="D3639" s="24">
        <v>0.25</v>
      </c>
      <c r="E3639" s="24">
        <v>8.0</v>
      </c>
      <c r="F3639" s="7">
        <v>209134.720977783</v>
      </c>
      <c r="G3639" s="7">
        <v>209284.481357812</v>
      </c>
      <c r="H3639" s="7">
        <v>2.0</v>
      </c>
      <c r="I3639" s="15">
        <v>0.221591298370596</v>
      </c>
      <c r="J3639" s="15">
        <v>0.0698170425365039</v>
      </c>
      <c r="K3639" s="12">
        <f>AVERAGE(I3637:I3641)</f>
        <v>0.4157696655</v>
      </c>
      <c r="L3639" s="18">
        <v>30365.0</v>
      </c>
      <c r="M3639" s="14">
        <f>STDEV(L3637:L3641)</f>
        <v>40437.53615</v>
      </c>
      <c r="N3639" s="15" t="b">
        <f t="shared" si="1"/>
        <v>0</v>
      </c>
    </row>
    <row r="3640" hidden="1">
      <c r="A3640" s="7" t="s">
        <v>736</v>
      </c>
      <c r="B3640" s="24" t="s">
        <v>519</v>
      </c>
      <c r="C3640" s="24">
        <v>1.0</v>
      </c>
      <c r="D3640" s="24">
        <v>0.25</v>
      </c>
      <c r="E3640" s="24">
        <v>8.0</v>
      </c>
      <c r="F3640" s="7">
        <v>209134.720977783</v>
      </c>
      <c r="G3640" s="7">
        <v>209284.481357812</v>
      </c>
      <c r="H3640" s="7">
        <v>3.0</v>
      </c>
      <c r="I3640" s="15">
        <v>-0.072592265554673</v>
      </c>
      <c r="J3640" s="15">
        <v>0.227039962347847</v>
      </c>
      <c r="K3640" s="12">
        <f>AVERAGE(I3637:I3641)</f>
        <v>0.4157696655</v>
      </c>
      <c r="L3640" s="18">
        <v>97796.0</v>
      </c>
      <c r="M3640" s="14">
        <f>STDEV(L3637:L3641)</f>
        <v>40437.53615</v>
      </c>
      <c r="N3640" s="15" t="b">
        <f t="shared" si="1"/>
        <v>0</v>
      </c>
    </row>
    <row r="3641" hidden="1">
      <c r="A3641" s="7" t="s">
        <v>736</v>
      </c>
      <c r="B3641" s="24" t="s">
        <v>519</v>
      </c>
      <c r="C3641" s="24">
        <v>1.0</v>
      </c>
      <c r="D3641" s="24">
        <v>0.25</v>
      </c>
      <c r="E3641" s="24">
        <v>8.0</v>
      </c>
      <c r="F3641" s="7">
        <v>209134.720977783</v>
      </c>
      <c r="G3641" s="7">
        <v>209284.481357812</v>
      </c>
      <c r="H3641" s="7">
        <v>4.0</v>
      </c>
      <c r="I3641" s="15">
        <v>0.290928286839189</v>
      </c>
      <c r="J3641" s="15">
        <v>0.139950697245983</v>
      </c>
      <c r="K3641" s="12">
        <f>AVERAGE(I3637:I3641)</f>
        <v>0.4157696655</v>
      </c>
      <c r="L3641" s="18">
        <v>6803.0</v>
      </c>
      <c r="M3641" s="14">
        <f>STDEV(L3637:L3641)</f>
        <v>40437.53615</v>
      </c>
      <c r="N3641" s="15" t="b">
        <f t="shared" si="1"/>
        <v>0</v>
      </c>
    </row>
    <row r="3642" hidden="1">
      <c r="A3642" s="7" t="s">
        <v>737</v>
      </c>
      <c r="B3642" s="7" t="s">
        <v>519</v>
      </c>
      <c r="C3642" s="7">
        <v>1.0</v>
      </c>
      <c r="D3642" s="7">
        <v>0.25</v>
      </c>
      <c r="E3642" s="7">
        <v>9.0</v>
      </c>
      <c r="F3642" s="7">
        <v>227007.994139432</v>
      </c>
      <c r="G3642" s="7">
        <v>227151.882121086</v>
      </c>
      <c r="H3642" s="7">
        <v>0.0</v>
      </c>
      <c r="I3642" s="15">
        <v>0.58384730777357</v>
      </c>
      <c r="J3642" s="15">
        <v>0.244893516556199</v>
      </c>
      <c r="K3642" s="12">
        <f>AVERAGE(I3642:I3646)</f>
        <v>0.5508083405</v>
      </c>
      <c r="L3642" s="18">
        <v>12878.0</v>
      </c>
      <c r="M3642" s="14">
        <f>STDEV(L3642:L3646)</f>
        <v>46849.25719</v>
      </c>
      <c r="N3642" s="15" t="b">
        <f t="shared" si="1"/>
        <v>0</v>
      </c>
    </row>
    <row r="3643" hidden="1">
      <c r="A3643" s="7" t="s">
        <v>737</v>
      </c>
      <c r="B3643" s="7" t="s">
        <v>519</v>
      </c>
      <c r="C3643" s="7">
        <v>1.0</v>
      </c>
      <c r="D3643" s="7">
        <v>0.25</v>
      </c>
      <c r="E3643" s="7">
        <v>9.0</v>
      </c>
      <c r="F3643" s="7">
        <v>227007.994139432</v>
      </c>
      <c r="G3643" s="7">
        <v>227151.882121086</v>
      </c>
      <c r="H3643" s="7">
        <v>1.0</v>
      </c>
      <c r="I3643" s="15">
        <v>-0.0741488295130845</v>
      </c>
      <c r="J3643" s="15">
        <v>0.282991588277071</v>
      </c>
      <c r="K3643" s="12">
        <f>AVERAGE(I3642:I3646)</f>
        <v>0.5508083405</v>
      </c>
      <c r="L3643" s="18">
        <v>111661.0</v>
      </c>
      <c r="M3643" s="14">
        <f>STDEV(L3642:L3646)</f>
        <v>46849.25719</v>
      </c>
      <c r="N3643" s="15" t="b">
        <f t="shared" si="1"/>
        <v>0</v>
      </c>
    </row>
    <row r="3644" hidden="1">
      <c r="A3644" s="7" t="s">
        <v>737</v>
      </c>
      <c r="B3644" s="7" t="s">
        <v>519</v>
      </c>
      <c r="C3644" s="7">
        <v>1.0</v>
      </c>
      <c r="D3644" s="7">
        <v>0.25</v>
      </c>
      <c r="E3644" s="7">
        <v>9.0</v>
      </c>
      <c r="F3644" s="7">
        <v>227007.994139432</v>
      </c>
      <c r="G3644" s="7">
        <v>227151.882121086</v>
      </c>
      <c r="H3644" s="7">
        <v>2.0</v>
      </c>
      <c r="I3644" s="15">
        <v>0.814313927159096</v>
      </c>
      <c r="J3644" s="15">
        <v>0.121211730125403</v>
      </c>
      <c r="K3644" s="12">
        <f>AVERAGE(I3642:I3646)</f>
        <v>0.5508083405</v>
      </c>
      <c r="L3644" s="18">
        <v>3766.0</v>
      </c>
      <c r="M3644" s="14">
        <f>STDEV(L3642:L3646)</f>
        <v>46849.25719</v>
      </c>
      <c r="N3644" s="15" t="b">
        <f t="shared" si="1"/>
        <v>0</v>
      </c>
    </row>
    <row r="3645" hidden="1">
      <c r="A3645" s="7" t="s">
        <v>737</v>
      </c>
      <c r="B3645" s="7" t="s">
        <v>519</v>
      </c>
      <c r="C3645" s="7">
        <v>1.0</v>
      </c>
      <c r="D3645" s="7">
        <v>0.25</v>
      </c>
      <c r="E3645" s="7">
        <v>9.0</v>
      </c>
      <c r="F3645" s="7">
        <v>227007.994139432</v>
      </c>
      <c r="G3645" s="7">
        <v>227151.882121086</v>
      </c>
      <c r="H3645" s="7">
        <v>3.0</v>
      </c>
      <c r="I3645" s="15">
        <v>0.599693977625775</v>
      </c>
      <c r="J3645" s="15">
        <v>0.242637872525491</v>
      </c>
      <c r="K3645" s="12">
        <f>AVERAGE(I3642:I3646)</f>
        <v>0.5508083405</v>
      </c>
      <c r="L3645" s="18">
        <v>11988.0</v>
      </c>
      <c r="M3645" s="14">
        <f>STDEV(L3642:L3646)</f>
        <v>46849.25719</v>
      </c>
      <c r="N3645" s="15" t="b">
        <f t="shared" si="1"/>
        <v>0</v>
      </c>
    </row>
    <row r="3646" hidden="1">
      <c r="A3646" s="7" t="s">
        <v>737</v>
      </c>
      <c r="B3646" s="7" t="s">
        <v>519</v>
      </c>
      <c r="C3646" s="7">
        <v>1.0</v>
      </c>
      <c r="D3646" s="7">
        <v>0.25</v>
      </c>
      <c r="E3646" s="7">
        <v>9.0</v>
      </c>
      <c r="F3646" s="7">
        <v>227007.994139432</v>
      </c>
      <c r="G3646" s="7">
        <v>227151.882121086</v>
      </c>
      <c r="H3646" s="7">
        <v>4.0</v>
      </c>
      <c r="I3646" s="15">
        <v>0.830335319410017</v>
      </c>
      <c r="J3646" s="15">
        <v>0.0952599809805671</v>
      </c>
      <c r="K3646" s="12">
        <f>AVERAGE(I3642:I3646)</f>
        <v>0.5508083405</v>
      </c>
      <c r="L3646" s="18">
        <v>1383.0</v>
      </c>
      <c r="M3646" s="14">
        <f>STDEV(L3642:L3646)</f>
        <v>46849.25719</v>
      </c>
      <c r="N3646" s="15" t="b">
        <f t="shared" si="1"/>
        <v>0</v>
      </c>
    </row>
    <row r="3647" hidden="1">
      <c r="A3647" s="7" t="s">
        <v>738</v>
      </c>
      <c r="B3647" s="7" t="s">
        <v>519</v>
      </c>
      <c r="C3647" s="7">
        <v>1.0</v>
      </c>
      <c r="D3647" s="7">
        <v>0.25</v>
      </c>
      <c r="E3647" s="7">
        <v>10.0</v>
      </c>
      <c r="F3647" s="7">
        <v>92301.3446333408</v>
      </c>
      <c r="G3647" s="7">
        <v>92478.4529840946</v>
      </c>
      <c r="H3647" s="7">
        <v>0.0</v>
      </c>
      <c r="I3647" s="15">
        <v>0.869854068608496</v>
      </c>
      <c r="J3647" s="15">
        <v>0.0620967204433023</v>
      </c>
      <c r="K3647" s="12">
        <f>AVERAGE(I3647:I3651)</f>
        <v>0.5239963265</v>
      </c>
      <c r="L3647" s="18">
        <v>3526.0</v>
      </c>
      <c r="M3647" s="14">
        <f>STDEV(L3647:L3651)</f>
        <v>51967.4103</v>
      </c>
      <c r="N3647" s="15" t="b">
        <f t="shared" si="1"/>
        <v>0</v>
      </c>
    </row>
    <row r="3648" hidden="1">
      <c r="A3648" s="7" t="s">
        <v>738</v>
      </c>
      <c r="B3648" s="7" t="s">
        <v>519</v>
      </c>
      <c r="C3648" s="7">
        <v>1.0</v>
      </c>
      <c r="D3648" s="7">
        <v>0.25</v>
      </c>
      <c r="E3648" s="7">
        <v>10.0</v>
      </c>
      <c r="F3648" s="7">
        <v>92301.3446333408</v>
      </c>
      <c r="G3648" s="7">
        <v>92478.4529840946</v>
      </c>
      <c r="H3648" s="7">
        <v>1.0</v>
      </c>
      <c r="I3648" s="15">
        <v>-0.0168027460898317</v>
      </c>
      <c r="J3648" s="15">
        <v>0.239552781305223</v>
      </c>
      <c r="K3648" s="12">
        <f>AVERAGE(I3647:I3651)</f>
        <v>0.5239963265</v>
      </c>
      <c r="L3648" s="18">
        <v>121033.0</v>
      </c>
      <c r="M3648" s="14">
        <f>STDEV(L3647:L3651)</f>
        <v>51967.4103</v>
      </c>
      <c r="N3648" s="15" t="b">
        <f t="shared" si="1"/>
        <v>0</v>
      </c>
    </row>
    <row r="3649" hidden="1">
      <c r="A3649" s="7" t="s">
        <v>738</v>
      </c>
      <c r="B3649" s="7" t="s">
        <v>519</v>
      </c>
      <c r="C3649" s="7">
        <v>1.0</v>
      </c>
      <c r="D3649" s="7">
        <v>0.25</v>
      </c>
      <c r="E3649" s="7">
        <v>10.0</v>
      </c>
      <c r="F3649" s="7">
        <v>92301.3446333408</v>
      </c>
      <c r="G3649" s="7">
        <v>92478.4529840946</v>
      </c>
      <c r="H3649" s="7">
        <v>2.0</v>
      </c>
      <c r="I3649" s="15">
        <v>0.824477327506351</v>
      </c>
      <c r="J3649" s="15">
        <v>0.121246609877977</v>
      </c>
      <c r="K3649" s="12">
        <f>AVERAGE(I3647:I3651)</f>
        <v>0.5239963265</v>
      </c>
      <c r="L3649" s="18">
        <v>1383.0</v>
      </c>
      <c r="M3649" s="14">
        <f>STDEV(L3647:L3651)</f>
        <v>51967.4103</v>
      </c>
      <c r="N3649" s="15" t="b">
        <f t="shared" si="1"/>
        <v>0</v>
      </c>
    </row>
    <row r="3650" hidden="1">
      <c r="A3650" s="7" t="s">
        <v>738</v>
      </c>
      <c r="B3650" s="7" t="s">
        <v>519</v>
      </c>
      <c r="C3650" s="7">
        <v>1.0</v>
      </c>
      <c r="D3650" s="7">
        <v>0.25</v>
      </c>
      <c r="E3650" s="7">
        <v>10.0</v>
      </c>
      <c r="F3650" s="7">
        <v>92301.3446333408</v>
      </c>
      <c r="G3650" s="7">
        <v>92478.4529840946</v>
      </c>
      <c r="H3650" s="7">
        <v>3.0</v>
      </c>
      <c r="I3650" s="15">
        <v>0.626342327240266</v>
      </c>
      <c r="J3650" s="15">
        <v>0.236547326161598</v>
      </c>
      <c r="K3650" s="12">
        <f>AVERAGE(I3647:I3651)</f>
        <v>0.5239963265</v>
      </c>
      <c r="L3650" s="18">
        <v>11724.0</v>
      </c>
      <c r="M3650" s="14">
        <f>STDEV(L3647:L3651)</f>
        <v>51967.4103</v>
      </c>
      <c r="N3650" s="15" t="b">
        <f t="shared" si="1"/>
        <v>0</v>
      </c>
    </row>
    <row r="3651" hidden="1">
      <c r="A3651" s="7" t="s">
        <v>738</v>
      </c>
      <c r="B3651" s="7" t="s">
        <v>519</v>
      </c>
      <c r="C3651" s="7">
        <v>1.0</v>
      </c>
      <c r="D3651" s="7">
        <v>0.25</v>
      </c>
      <c r="E3651" s="7">
        <v>10.0</v>
      </c>
      <c r="F3651" s="7">
        <v>92301.3446333408</v>
      </c>
      <c r="G3651" s="7">
        <v>92478.4529840946</v>
      </c>
      <c r="H3651" s="7">
        <v>4.0</v>
      </c>
      <c r="I3651" s="15">
        <v>0.316110655439596</v>
      </c>
      <c r="J3651" s="15">
        <v>0.102345371317566</v>
      </c>
      <c r="K3651" s="12">
        <f>AVERAGE(I3647:I3651)</f>
        <v>0.5239963265</v>
      </c>
      <c r="L3651" s="18">
        <v>4010.0</v>
      </c>
      <c r="M3651" s="14">
        <f>STDEV(L3647:L3651)</f>
        <v>51967.4103</v>
      </c>
      <c r="N3651" s="15" t="b">
        <f t="shared" si="1"/>
        <v>0</v>
      </c>
    </row>
    <row r="3652" hidden="1">
      <c r="A3652" s="7" t="s">
        <v>739</v>
      </c>
      <c r="B3652" s="7" t="s">
        <v>519</v>
      </c>
      <c r="C3652" s="7">
        <v>1.0</v>
      </c>
      <c r="D3652" s="7">
        <v>0.5</v>
      </c>
      <c r="E3652" s="7">
        <v>1.0</v>
      </c>
      <c r="F3652" s="7">
        <v>514761.227178573</v>
      </c>
      <c r="G3652" s="7">
        <v>514847.712957382</v>
      </c>
      <c r="H3652" s="7">
        <v>0.0</v>
      </c>
      <c r="I3652" s="15">
        <v>0.794000021634278</v>
      </c>
      <c r="J3652" s="15">
        <v>0.104461591152107</v>
      </c>
      <c r="K3652" s="12">
        <f>AVERAGE(I3652:I3656)</f>
        <v>0.3059513489</v>
      </c>
      <c r="L3652" s="18">
        <v>5978.0</v>
      </c>
      <c r="M3652" s="14">
        <f>STDEV(L3652:L3656)</f>
        <v>43485.82323</v>
      </c>
      <c r="N3652" s="15" t="b">
        <f t="shared" si="1"/>
        <v>0</v>
      </c>
    </row>
    <row r="3653" hidden="1">
      <c r="A3653" s="7" t="s">
        <v>739</v>
      </c>
      <c r="B3653" s="7" t="s">
        <v>519</v>
      </c>
      <c r="C3653" s="7">
        <v>1.0</v>
      </c>
      <c r="D3653" s="7">
        <v>0.5</v>
      </c>
      <c r="E3653" s="7">
        <v>1.0</v>
      </c>
      <c r="F3653" s="7">
        <v>514761.227178573</v>
      </c>
      <c r="G3653" s="7">
        <v>514847.712957382</v>
      </c>
      <c r="H3653" s="7">
        <v>1.0</v>
      </c>
      <c r="I3653" s="15">
        <v>0.213474128491839</v>
      </c>
      <c r="J3653" s="15">
        <v>0.1022031530372</v>
      </c>
      <c r="K3653" s="12">
        <f>AVERAGE(I3652:I3656)</f>
        <v>0.3059513489</v>
      </c>
      <c r="L3653" s="18">
        <v>6448.0</v>
      </c>
      <c r="M3653" s="14">
        <f>STDEV(L3652:L3656)</f>
        <v>43485.82323</v>
      </c>
      <c r="N3653" s="15" t="b">
        <f t="shared" si="1"/>
        <v>0</v>
      </c>
    </row>
    <row r="3654" hidden="1">
      <c r="A3654" s="7" t="s">
        <v>739</v>
      </c>
      <c r="B3654" s="7" t="s">
        <v>519</v>
      </c>
      <c r="C3654" s="7">
        <v>1.0</v>
      </c>
      <c r="D3654" s="7">
        <v>0.5</v>
      </c>
      <c r="E3654" s="7">
        <v>1.0</v>
      </c>
      <c r="F3654" s="7">
        <v>514761.227178573</v>
      </c>
      <c r="G3654" s="7">
        <v>514847.712957382</v>
      </c>
      <c r="H3654" s="7">
        <v>2.0</v>
      </c>
      <c r="I3654" s="15">
        <v>0.305578825000706</v>
      </c>
      <c r="J3654" s="15">
        <v>0.0922464791665337</v>
      </c>
      <c r="K3654" s="12">
        <f>AVERAGE(I3652:I3656)</f>
        <v>0.3059513489</v>
      </c>
      <c r="L3654" s="18">
        <v>15258.0</v>
      </c>
      <c r="M3654" s="14">
        <f>STDEV(L3652:L3656)</f>
        <v>43485.82323</v>
      </c>
      <c r="N3654" s="15" t="b">
        <f t="shared" si="1"/>
        <v>0</v>
      </c>
    </row>
    <row r="3655" hidden="1">
      <c r="A3655" s="7" t="s">
        <v>739</v>
      </c>
      <c r="B3655" s="7" t="s">
        <v>519</v>
      </c>
      <c r="C3655" s="7">
        <v>1.0</v>
      </c>
      <c r="D3655" s="7">
        <v>0.5</v>
      </c>
      <c r="E3655" s="7">
        <v>1.0</v>
      </c>
      <c r="F3655" s="7">
        <v>514761.227178573</v>
      </c>
      <c r="G3655" s="7">
        <v>514847.712957382</v>
      </c>
      <c r="H3655" s="7">
        <v>3.0</v>
      </c>
      <c r="I3655" s="15">
        <v>-0.168849863687475</v>
      </c>
      <c r="J3655" s="15">
        <v>0.260041289022393</v>
      </c>
      <c r="K3655" s="12">
        <f>AVERAGE(I3652:I3656)</f>
        <v>0.3059513489</v>
      </c>
      <c r="L3655" s="18">
        <v>105839.0</v>
      </c>
      <c r="M3655" s="14">
        <f>STDEV(L3652:L3656)</f>
        <v>43485.82323</v>
      </c>
      <c r="N3655" s="15" t="b">
        <f t="shared" si="1"/>
        <v>0</v>
      </c>
    </row>
    <row r="3656" hidden="1">
      <c r="A3656" s="7" t="s">
        <v>739</v>
      </c>
      <c r="B3656" s="7" t="s">
        <v>519</v>
      </c>
      <c r="C3656" s="7">
        <v>1.0</v>
      </c>
      <c r="D3656" s="7">
        <v>0.5</v>
      </c>
      <c r="E3656" s="7">
        <v>1.0</v>
      </c>
      <c r="F3656" s="7">
        <v>514761.227178573</v>
      </c>
      <c r="G3656" s="7">
        <v>514847.712957382</v>
      </c>
      <c r="H3656" s="7">
        <v>4.0</v>
      </c>
      <c r="I3656" s="15">
        <v>0.385553633265386</v>
      </c>
      <c r="J3656" s="15">
        <v>0.132465951470868</v>
      </c>
      <c r="K3656" s="12">
        <f>AVERAGE(I3652:I3656)</f>
        <v>0.3059513489</v>
      </c>
      <c r="L3656" s="18">
        <v>8153.0</v>
      </c>
      <c r="M3656" s="14">
        <f>STDEV(L3652:L3656)</f>
        <v>43485.82323</v>
      </c>
      <c r="N3656" s="15" t="b">
        <f t="shared" si="1"/>
        <v>0</v>
      </c>
    </row>
    <row r="3657" hidden="1">
      <c r="A3657" s="7" t="s">
        <v>740</v>
      </c>
      <c r="B3657" s="7" t="s">
        <v>519</v>
      </c>
      <c r="C3657" s="7">
        <v>1.0</v>
      </c>
      <c r="D3657" s="7">
        <v>0.5</v>
      </c>
      <c r="E3657" s="7">
        <v>2.0</v>
      </c>
      <c r="F3657" s="7">
        <v>669645.177972078</v>
      </c>
      <c r="G3657" s="7">
        <v>669713.108543634</v>
      </c>
      <c r="H3657" s="7">
        <v>0.0</v>
      </c>
      <c r="I3657" s="15">
        <v>0.36362968748447</v>
      </c>
      <c r="J3657" s="15">
        <v>0.0503875008993665</v>
      </c>
      <c r="K3657" s="12">
        <f>AVERAGE(I3657:I3661)</f>
        <v>0.3142509694</v>
      </c>
      <c r="L3657" s="18">
        <v>13563.0</v>
      </c>
      <c r="M3657" s="14">
        <f>STDEV(L3657:L3661)</f>
        <v>45812.21837</v>
      </c>
      <c r="N3657" s="15" t="b">
        <f t="shared" si="1"/>
        <v>0</v>
      </c>
    </row>
    <row r="3658" hidden="1">
      <c r="A3658" s="7" t="s">
        <v>740</v>
      </c>
      <c r="B3658" s="7" t="s">
        <v>519</v>
      </c>
      <c r="C3658" s="7">
        <v>1.0</v>
      </c>
      <c r="D3658" s="7">
        <v>0.5</v>
      </c>
      <c r="E3658" s="7">
        <v>2.0</v>
      </c>
      <c r="F3658" s="7">
        <v>669645.177972078</v>
      </c>
      <c r="G3658" s="7">
        <v>669713.108543634</v>
      </c>
      <c r="H3658" s="7">
        <v>1.0</v>
      </c>
      <c r="I3658" s="15">
        <v>-0.124821263435226</v>
      </c>
      <c r="J3658" s="15">
        <v>0.255020041106051</v>
      </c>
      <c r="K3658" s="12">
        <f>AVERAGE(I3657:I3661)</f>
        <v>0.3142509694</v>
      </c>
      <c r="L3658" s="18">
        <v>109993.0</v>
      </c>
      <c r="M3658" s="14">
        <f>STDEV(L3657:L3661)</f>
        <v>45812.21837</v>
      </c>
      <c r="N3658" s="15" t="b">
        <f t="shared" si="1"/>
        <v>0</v>
      </c>
    </row>
    <row r="3659" hidden="1">
      <c r="A3659" s="7" t="s">
        <v>740</v>
      </c>
      <c r="B3659" s="7" t="s">
        <v>519</v>
      </c>
      <c r="C3659" s="7">
        <v>1.0</v>
      </c>
      <c r="D3659" s="7">
        <v>0.5</v>
      </c>
      <c r="E3659" s="7">
        <v>2.0</v>
      </c>
      <c r="F3659" s="7">
        <v>669645.177972078</v>
      </c>
      <c r="G3659" s="7">
        <v>669713.108543634</v>
      </c>
      <c r="H3659" s="7">
        <v>2.0</v>
      </c>
      <c r="I3659" s="15">
        <v>0.784320410740109</v>
      </c>
      <c r="J3659" s="15">
        <v>0.149415177362512</v>
      </c>
      <c r="K3659" s="12">
        <f>AVERAGE(I3657:I3661)</f>
        <v>0.3142509694</v>
      </c>
      <c r="L3659" s="18">
        <v>2618.0</v>
      </c>
      <c r="M3659" s="14">
        <f>STDEV(L3657:L3661)</f>
        <v>45812.21837</v>
      </c>
      <c r="N3659" s="15" t="b">
        <f t="shared" si="1"/>
        <v>0</v>
      </c>
    </row>
    <row r="3660" hidden="1">
      <c r="A3660" s="7" t="s">
        <v>740</v>
      </c>
      <c r="B3660" s="7" t="s">
        <v>519</v>
      </c>
      <c r="C3660" s="7">
        <v>1.0</v>
      </c>
      <c r="D3660" s="7">
        <v>0.5</v>
      </c>
      <c r="E3660" s="7">
        <v>2.0</v>
      </c>
      <c r="F3660" s="7">
        <v>669645.177972078</v>
      </c>
      <c r="G3660" s="7">
        <v>669713.108543634</v>
      </c>
      <c r="H3660" s="7">
        <v>3.0</v>
      </c>
      <c r="I3660" s="15">
        <v>0.10090214841489</v>
      </c>
      <c r="J3660" s="15">
        <v>0.0524861731883863</v>
      </c>
      <c r="K3660" s="12">
        <f>AVERAGE(I3657:I3661)</f>
        <v>0.3142509694</v>
      </c>
      <c r="L3660" s="18">
        <v>7874.0</v>
      </c>
      <c r="M3660" s="14">
        <f>STDEV(L3657:L3661)</f>
        <v>45812.21837</v>
      </c>
      <c r="N3660" s="15" t="b">
        <f t="shared" si="1"/>
        <v>0</v>
      </c>
    </row>
    <row r="3661" hidden="1">
      <c r="A3661" s="7" t="s">
        <v>740</v>
      </c>
      <c r="B3661" s="7" t="s">
        <v>519</v>
      </c>
      <c r="C3661" s="7">
        <v>1.0</v>
      </c>
      <c r="D3661" s="7">
        <v>0.5</v>
      </c>
      <c r="E3661" s="7">
        <v>2.0</v>
      </c>
      <c r="F3661" s="7">
        <v>669645.177972078</v>
      </c>
      <c r="G3661" s="7">
        <v>669713.108543634</v>
      </c>
      <c r="H3661" s="7">
        <v>4.0</v>
      </c>
      <c r="I3661" s="15">
        <v>0.44722386377454</v>
      </c>
      <c r="J3661" s="15">
        <v>0.220759083272267</v>
      </c>
      <c r="K3661" s="12">
        <f>AVERAGE(I3657:I3661)</f>
        <v>0.3142509694</v>
      </c>
      <c r="L3661" s="18">
        <v>7628.0</v>
      </c>
      <c r="M3661" s="14">
        <f>STDEV(L3657:L3661)</f>
        <v>45812.21837</v>
      </c>
      <c r="N3661" s="15" t="b">
        <f t="shared" si="1"/>
        <v>0</v>
      </c>
    </row>
    <row r="3662" hidden="1">
      <c r="A3662" s="7" t="s">
        <v>741</v>
      </c>
      <c r="B3662" s="7" t="s">
        <v>519</v>
      </c>
      <c r="C3662" s="7">
        <v>1.0</v>
      </c>
      <c r="D3662" s="7">
        <v>0.5</v>
      </c>
      <c r="E3662" s="7">
        <v>4.0</v>
      </c>
      <c r="F3662" s="7">
        <v>388054.452044248</v>
      </c>
      <c r="G3662" s="7">
        <v>388150.399326801</v>
      </c>
      <c r="H3662" s="7">
        <v>0.0</v>
      </c>
      <c r="I3662" s="15">
        <v>0.410580303781119</v>
      </c>
      <c r="J3662" s="15">
        <v>0.0385216285208883</v>
      </c>
      <c r="K3662" s="12">
        <f>AVERAGE(I3662:I3666)</f>
        <v>0.3167478642</v>
      </c>
      <c r="L3662" s="18">
        <v>33094.0</v>
      </c>
      <c r="M3662" s="14">
        <f>STDEV(L3662:L3666)</f>
        <v>31076.81409</v>
      </c>
      <c r="N3662" s="15" t="b">
        <f t="shared" si="1"/>
        <v>0</v>
      </c>
    </row>
    <row r="3663" hidden="1">
      <c r="A3663" s="7" t="s">
        <v>741</v>
      </c>
      <c r="B3663" s="7" t="s">
        <v>519</v>
      </c>
      <c r="C3663" s="7">
        <v>1.0</v>
      </c>
      <c r="D3663" s="7">
        <v>0.5</v>
      </c>
      <c r="E3663" s="7">
        <v>4.0</v>
      </c>
      <c r="F3663" s="7">
        <v>388054.452044248</v>
      </c>
      <c r="G3663" s="7">
        <v>388150.399326801</v>
      </c>
      <c r="H3663" s="7">
        <v>1.0</v>
      </c>
      <c r="I3663" s="15">
        <v>0.0268086715760946</v>
      </c>
      <c r="J3663" s="15">
        <v>0.0878843218427295</v>
      </c>
      <c r="K3663" s="12">
        <f>AVERAGE(I3662:I3666)</f>
        <v>0.3167478642</v>
      </c>
      <c r="L3663" s="18">
        <v>80401.0</v>
      </c>
      <c r="M3663" s="14">
        <f>STDEV(L3662:L3666)</f>
        <v>31076.81409</v>
      </c>
      <c r="N3663" s="15" t="b">
        <f t="shared" si="1"/>
        <v>0</v>
      </c>
    </row>
    <row r="3664" hidden="1">
      <c r="A3664" s="7" t="s">
        <v>741</v>
      </c>
      <c r="B3664" s="7" t="s">
        <v>519</v>
      </c>
      <c r="C3664" s="7">
        <v>1.0</v>
      </c>
      <c r="D3664" s="7">
        <v>0.5</v>
      </c>
      <c r="E3664" s="7">
        <v>4.0</v>
      </c>
      <c r="F3664" s="7">
        <v>388054.452044248</v>
      </c>
      <c r="G3664" s="7">
        <v>388150.399326801</v>
      </c>
      <c r="H3664" s="7">
        <v>2.0</v>
      </c>
      <c r="I3664" s="15">
        <v>0.127111196218773</v>
      </c>
      <c r="J3664" s="15">
        <v>0.0865369531101498</v>
      </c>
      <c r="K3664" s="12">
        <f>AVERAGE(I3662:I3666)</f>
        <v>0.3167478642</v>
      </c>
      <c r="L3664" s="18">
        <v>6416.0</v>
      </c>
      <c r="M3664" s="14">
        <f>STDEV(L3662:L3666)</f>
        <v>31076.81409</v>
      </c>
      <c r="N3664" s="15" t="b">
        <f t="shared" si="1"/>
        <v>0</v>
      </c>
    </row>
    <row r="3665" hidden="1">
      <c r="A3665" s="7" t="s">
        <v>741</v>
      </c>
      <c r="B3665" s="7" t="s">
        <v>519</v>
      </c>
      <c r="C3665" s="7">
        <v>1.0</v>
      </c>
      <c r="D3665" s="7">
        <v>0.5</v>
      </c>
      <c r="E3665" s="7">
        <v>4.0</v>
      </c>
      <c r="F3665" s="7">
        <v>388054.452044248</v>
      </c>
      <c r="G3665" s="7">
        <v>388150.399326801</v>
      </c>
      <c r="H3665" s="7">
        <v>3.0</v>
      </c>
      <c r="I3665" s="15">
        <v>0.804894037517507</v>
      </c>
      <c r="J3665" s="15">
        <v>0.08464245696138</v>
      </c>
      <c r="K3665" s="12">
        <f>AVERAGE(I3662:I3666)</f>
        <v>0.3167478642</v>
      </c>
      <c r="L3665" s="18">
        <v>15351.0</v>
      </c>
      <c r="M3665" s="14">
        <f>STDEV(L3662:L3666)</f>
        <v>31076.81409</v>
      </c>
      <c r="N3665" s="15" t="b">
        <f t="shared" si="1"/>
        <v>0</v>
      </c>
    </row>
    <row r="3666" hidden="1">
      <c r="A3666" s="7" t="s">
        <v>741</v>
      </c>
      <c r="B3666" s="7" t="s">
        <v>519</v>
      </c>
      <c r="C3666" s="7">
        <v>1.0</v>
      </c>
      <c r="D3666" s="7">
        <v>0.5</v>
      </c>
      <c r="E3666" s="7">
        <v>4.0</v>
      </c>
      <c r="F3666" s="7">
        <v>388054.452044248</v>
      </c>
      <c r="G3666" s="7">
        <v>388150.399326801</v>
      </c>
      <c r="H3666" s="7">
        <v>4.0</v>
      </c>
      <c r="I3666" s="15">
        <v>0.214345111900121</v>
      </c>
      <c r="J3666" s="15">
        <v>0.0973683848567525</v>
      </c>
      <c r="K3666" s="12">
        <f>AVERAGE(I3662:I3666)</f>
        <v>0.3167478642</v>
      </c>
      <c r="L3666" s="18">
        <v>6414.0</v>
      </c>
      <c r="M3666" s="14">
        <f>STDEV(L3662:L3666)</f>
        <v>31076.81409</v>
      </c>
      <c r="N3666" s="15" t="b">
        <f t="shared" si="1"/>
        <v>0</v>
      </c>
    </row>
    <row r="3667" hidden="1">
      <c r="A3667" s="7" t="s">
        <v>742</v>
      </c>
      <c r="B3667" s="7" t="s">
        <v>519</v>
      </c>
      <c r="C3667" s="7">
        <v>1.0</v>
      </c>
      <c r="D3667" s="7">
        <v>0.5</v>
      </c>
      <c r="E3667" s="7">
        <v>5.0</v>
      </c>
      <c r="F3667" s="7">
        <v>230730.781379699</v>
      </c>
      <c r="G3667" s="7">
        <v>230840.428617954</v>
      </c>
      <c r="H3667" s="7">
        <v>0.0</v>
      </c>
      <c r="I3667" s="15">
        <v>0.504639565913481</v>
      </c>
      <c r="J3667" s="15">
        <v>0.254917195378789</v>
      </c>
      <c r="K3667" s="12">
        <f>AVERAGE(I3667:I3671)</f>
        <v>0.4492170819</v>
      </c>
      <c r="L3667" s="18">
        <v>9860.0</v>
      </c>
      <c r="M3667" s="14">
        <f>STDEV(L3667:L3671)</f>
        <v>51562.83744</v>
      </c>
      <c r="N3667" s="15" t="b">
        <f t="shared" si="1"/>
        <v>0</v>
      </c>
    </row>
    <row r="3668" hidden="1">
      <c r="A3668" s="7" t="s">
        <v>742</v>
      </c>
      <c r="B3668" s="7" t="s">
        <v>519</v>
      </c>
      <c r="C3668" s="7">
        <v>1.0</v>
      </c>
      <c r="D3668" s="7">
        <v>0.5</v>
      </c>
      <c r="E3668" s="7">
        <v>5.0</v>
      </c>
      <c r="F3668" s="7">
        <v>230730.781379699</v>
      </c>
      <c r="G3668" s="7">
        <v>230840.428617954</v>
      </c>
      <c r="H3668" s="7">
        <v>1.0</v>
      </c>
      <c r="I3668" s="15">
        <v>0.803978692756421</v>
      </c>
      <c r="J3668" s="15">
        <v>0.143721942389495</v>
      </c>
      <c r="K3668" s="12">
        <f>AVERAGE(I3667:I3671)</f>
        <v>0.4492170819</v>
      </c>
      <c r="L3668" s="18">
        <v>2694.0</v>
      </c>
      <c r="M3668" s="14">
        <f>STDEV(L3667:L3671)</f>
        <v>51562.83744</v>
      </c>
      <c r="N3668" s="15" t="b">
        <f t="shared" si="1"/>
        <v>0</v>
      </c>
    </row>
    <row r="3669" hidden="1">
      <c r="A3669" s="7" t="s">
        <v>742</v>
      </c>
      <c r="B3669" s="7" t="s">
        <v>519</v>
      </c>
      <c r="C3669" s="7">
        <v>1.0</v>
      </c>
      <c r="D3669" s="7">
        <v>0.5</v>
      </c>
      <c r="E3669" s="7">
        <v>5.0</v>
      </c>
      <c r="F3669" s="7">
        <v>230730.781379699</v>
      </c>
      <c r="G3669" s="7">
        <v>230840.428617954</v>
      </c>
      <c r="H3669" s="7">
        <v>2.0</v>
      </c>
      <c r="I3669" s="15">
        <v>-0.0680874155685373</v>
      </c>
      <c r="J3669" s="15">
        <v>0.289910565777571</v>
      </c>
      <c r="K3669" s="12">
        <f>AVERAGE(I3667:I3671)</f>
        <v>0.4492170819</v>
      </c>
      <c r="L3669" s="18">
        <v>120420.0</v>
      </c>
      <c r="M3669" s="14">
        <f>STDEV(L3667:L3671)</f>
        <v>51562.83744</v>
      </c>
      <c r="N3669" s="15" t="b">
        <f t="shared" si="1"/>
        <v>0</v>
      </c>
    </row>
    <row r="3670" hidden="1">
      <c r="A3670" s="7" t="s">
        <v>742</v>
      </c>
      <c r="B3670" s="7" t="s">
        <v>519</v>
      </c>
      <c r="C3670" s="7">
        <v>1.0</v>
      </c>
      <c r="D3670" s="7">
        <v>0.5</v>
      </c>
      <c r="E3670" s="7">
        <v>5.0</v>
      </c>
      <c r="F3670" s="7">
        <v>230730.781379699</v>
      </c>
      <c r="G3670" s="7">
        <v>230840.428617954</v>
      </c>
      <c r="H3670" s="7">
        <v>3.0</v>
      </c>
      <c r="I3670" s="15">
        <v>0.781343326584106</v>
      </c>
      <c r="J3670" s="15">
        <v>0.16128151273154</v>
      </c>
      <c r="K3670" s="12">
        <f>AVERAGE(I3667:I3671)</f>
        <v>0.4492170819</v>
      </c>
      <c r="L3670" s="18">
        <v>2618.0</v>
      </c>
      <c r="M3670" s="14">
        <f>STDEV(L3667:L3671)</f>
        <v>51562.83744</v>
      </c>
      <c r="N3670" s="15" t="b">
        <f t="shared" si="1"/>
        <v>0</v>
      </c>
    </row>
    <row r="3671" hidden="1">
      <c r="A3671" s="7" t="s">
        <v>742</v>
      </c>
      <c r="B3671" s="7" t="s">
        <v>519</v>
      </c>
      <c r="C3671" s="7">
        <v>1.0</v>
      </c>
      <c r="D3671" s="7">
        <v>0.5</v>
      </c>
      <c r="E3671" s="7">
        <v>5.0</v>
      </c>
      <c r="F3671" s="7">
        <v>230730.781379699</v>
      </c>
      <c r="G3671" s="7">
        <v>230840.428617954</v>
      </c>
      <c r="H3671" s="7">
        <v>4.0</v>
      </c>
      <c r="I3671" s="15">
        <v>0.224211239601583</v>
      </c>
      <c r="J3671" s="15">
        <v>0.0746509565261476</v>
      </c>
      <c r="K3671" s="12">
        <f>AVERAGE(I3667:I3671)</f>
        <v>0.4492170819</v>
      </c>
      <c r="L3671" s="18">
        <v>6084.0</v>
      </c>
      <c r="M3671" s="14">
        <f>STDEV(L3667:L3671)</f>
        <v>51562.83744</v>
      </c>
      <c r="N3671" s="15" t="b">
        <f t="shared" si="1"/>
        <v>0</v>
      </c>
    </row>
    <row r="3672" hidden="1">
      <c r="A3672" s="7" t="s">
        <v>743</v>
      </c>
      <c r="B3672" s="7" t="s">
        <v>519</v>
      </c>
      <c r="C3672" s="7">
        <v>1.0</v>
      </c>
      <c r="D3672" s="7">
        <v>0.5</v>
      </c>
      <c r="E3672" s="7">
        <v>7.0</v>
      </c>
      <c r="F3672" s="7">
        <v>106235.151266098</v>
      </c>
      <c r="G3672" s="7">
        <v>106292.843086004</v>
      </c>
      <c r="H3672" s="7">
        <v>0.0</v>
      </c>
      <c r="I3672" s="15">
        <v>0.710209508995694</v>
      </c>
      <c r="J3672" s="15">
        <v>0.171674585493145</v>
      </c>
      <c r="K3672" s="12">
        <f>AVERAGE(I3672:I3676)</f>
        <v>0.2790261036</v>
      </c>
      <c r="L3672" s="18">
        <v>2803.0</v>
      </c>
      <c r="M3672" s="14">
        <f>STDEV(L3672:L3676)</f>
        <v>33054.18313</v>
      </c>
      <c r="N3672" s="15" t="b">
        <f t="shared" si="1"/>
        <v>0</v>
      </c>
    </row>
    <row r="3673" hidden="1">
      <c r="A3673" s="7" t="s">
        <v>743</v>
      </c>
      <c r="B3673" s="7" t="s">
        <v>519</v>
      </c>
      <c r="C3673" s="7">
        <v>1.0</v>
      </c>
      <c r="D3673" s="7">
        <v>0.5</v>
      </c>
      <c r="E3673" s="7">
        <v>7.0</v>
      </c>
      <c r="F3673" s="7">
        <v>106235.151266098</v>
      </c>
      <c r="G3673" s="7">
        <v>106292.843086004</v>
      </c>
      <c r="H3673" s="7">
        <v>1.0</v>
      </c>
      <c r="I3673" s="15">
        <v>2.48137858121377E-4</v>
      </c>
      <c r="J3673" s="15">
        <v>0.185276906513151</v>
      </c>
      <c r="K3673" s="12">
        <f>AVERAGE(I3672:I3676)</f>
        <v>0.2790261036</v>
      </c>
      <c r="L3673" s="18">
        <v>68664.0</v>
      </c>
      <c r="M3673" s="14">
        <f>STDEV(L3672:L3676)</f>
        <v>33054.18313</v>
      </c>
      <c r="N3673" s="15" t="b">
        <f t="shared" si="1"/>
        <v>0</v>
      </c>
    </row>
    <row r="3674" hidden="1">
      <c r="A3674" s="7" t="s">
        <v>743</v>
      </c>
      <c r="B3674" s="7" t="s">
        <v>519</v>
      </c>
      <c r="C3674" s="7">
        <v>1.0</v>
      </c>
      <c r="D3674" s="7">
        <v>0.5</v>
      </c>
      <c r="E3674" s="7">
        <v>7.0</v>
      </c>
      <c r="F3674" s="7">
        <v>106235.151266098</v>
      </c>
      <c r="G3674" s="7">
        <v>106292.843086004</v>
      </c>
      <c r="H3674" s="7">
        <v>2.0</v>
      </c>
      <c r="I3674" s="15">
        <v>0.217126757605389</v>
      </c>
      <c r="J3674" s="15">
        <v>0.0500039275045693</v>
      </c>
      <c r="K3674" s="12">
        <f>AVERAGE(I3672:I3676)</f>
        <v>0.2790261036</v>
      </c>
      <c r="L3674" s="18">
        <v>60071.0</v>
      </c>
      <c r="M3674" s="14">
        <f>STDEV(L3672:L3676)</f>
        <v>33054.18313</v>
      </c>
      <c r="N3674" s="15" t="b">
        <f t="shared" si="1"/>
        <v>0</v>
      </c>
    </row>
    <row r="3675" hidden="1">
      <c r="A3675" s="7" t="s">
        <v>743</v>
      </c>
      <c r="B3675" s="7" t="s">
        <v>519</v>
      </c>
      <c r="C3675" s="7">
        <v>1.0</v>
      </c>
      <c r="D3675" s="7">
        <v>0.5</v>
      </c>
      <c r="E3675" s="7">
        <v>7.0</v>
      </c>
      <c r="F3675" s="7">
        <v>106235.151266098</v>
      </c>
      <c r="G3675" s="7">
        <v>106292.843086004</v>
      </c>
      <c r="H3675" s="7">
        <v>3.0</v>
      </c>
      <c r="I3675" s="15">
        <v>0.350859012696633</v>
      </c>
      <c r="J3675" s="15">
        <v>0.0729932235260519</v>
      </c>
      <c r="K3675" s="12">
        <f>AVERAGE(I3672:I3676)</f>
        <v>0.2790261036</v>
      </c>
      <c r="L3675" s="18">
        <v>4016.0</v>
      </c>
      <c r="M3675" s="14">
        <f>STDEV(L3672:L3676)</f>
        <v>33054.18313</v>
      </c>
      <c r="N3675" s="15" t="b">
        <f t="shared" si="1"/>
        <v>0</v>
      </c>
    </row>
    <row r="3676" hidden="1">
      <c r="A3676" s="7" t="s">
        <v>743</v>
      </c>
      <c r="B3676" s="7" t="s">
        <v>519</v>
      </c>
      <c r="C3676" s="7">
        <v>1.0</v>
      </c>
      <c r="D3676" s="7">
        <v>0.5</v>
      </c>
      <c r="E3676" s="7">
        <v>7.0</v>
      </c>
      <c r="F3676" s="7">
        <v>106235.151266098</v>
      </c>
      <c r="G3676" s="7">
        <v>106292.843086004</v>
      </c>
      <c r="H3676" s="7">
        <v>4.0</v>
      </c>
      <c r="I3676" s="15">
        <v>0.116687100855675</v>
      </c>
      <c r="J3676" s="15">
        <v>0.0445474184386025</v>
      </c>
      <c r="K3676" s="12">
        <f>AVERAGE(I3672:I3676)</f>
        <v>0.2790261036</v>
      </c>
      <c r="L3676" s="18">
        <v>6122.0</v>
      </c>
      <c r="M3676" s="14">
        <f>STDEV(L3672:L3676)</f>
        <v>33054.18313</v>
      </c>
      <c r="N3676" s="15" t="b">
        <f t="shared" si="1"/>
        <v>0</v>
      </c>
    </row>
    <row r="3677" hidden="1">
      <c r="A3677" s="7" t="s">
        <v>744</v>
      </c>
      <c r="B3677" s="7" t="s">
        <v>519</v>
      </c>
      <c r="C3677" s="7">
        <v>1.0</v>
      </c>
      <c r="D3677" s="7">
        <v>0.5</v>
      </c>
      <c r="E3677" s="7">
        <v>8.0</v>
      </c>
      <c r="F3677" s="7">
        <v>175243.765706539</v>
      </c>
      <c r="G3677" s="7">
        <v>175293.699448585</v>
      </c>
      <c r="H3677" s="7">
        <v>0.0</v>
      </c>
      <c r="I3677" s="15">
        <v>0.417009156927239</v>
      </c>
      <c r="J3677" s="15">
        <v>0.0397501903584404</v>
      </c>
      <c r="K3677" s="12">
        <f>AVERAGE(I3677:I3681)</f>
        <v>0.3023379136</v>
      </c>
      <c r="L3677" s="18">
        <v>33186.0</v>
      </c>
      <c r="M3677" s="14">
        <f>STDEV(L3677:L3681)</f>
        <v>38136.85783</v>
      </c>
      <c r="N3677" s="15" t="b">
        <f t="shared" si="1"/>
        <v>0</v>
      </c>
    </row>
    <row r="3678" hidden="1">
      <c r="A3678" s="7" t="s">
        <v>744</v>
      </c>
      <c r="B3678" s="7" t="s">
        <v>519</v>
      </c>
      <c r="C3678" s="7">
        <v>1.0</v>
      </c>
      <c r="D3678" s="7">
        <v>0.5</v>
      </c>
      <c r="E3678" s="7">
        <v>8.0</v>
      </c>
      <c r="F3678" s="7">
        <v>175243.765706539</v>
      </c>
      <c r="G3678" s="7">
        <v>175293.699448585</v>
      </c>
      <c r="H3678" s="7">
        <v>1.0</v>
      </c>
      <c r="I3678" s="15">
        <v>0.125000952373978</v>
      </c>
      <c r="J3678" s="15">
        <v>0.0717654487746392</v>
      </c>
      <c r="K3678" s="12">
        <f>AVERAGE(I3677:I3681)</f>
        <v>0.3023379136</v>
      </c>
      <c r="L3678" s="18">
        <v>6118.0</v>
      </c>
      <c r="M3678" s="14">
        <f>STDEV(L3677:L3681)</f>
        <v>38136.85783</v>
      </c>
      <c r="N3678" s="15" t="b">
        <f t="shared" si="1"/>
        <v>0</v>
      </c>
    </row>
    <row r="3679" hidden="1">
      <c r="A3679" s="7" t="s">
        <v>744</v>
      </c>
      <c r="B3679" s="7" t="s">
        <v>519</v>
      </c>
      <c r="C3679" s="7">
        <v>1.0</v>
      </c>
      <c r="D3679" s="7">
        <v>0.5</v>
      </c>
      <c r="E3679" s="7">
        <v>8.0</v>
      </c>
      <c r="F3679" s="7">
        <v>175243.765706539</v>
      </c>
      <c r="G3679" s="7">
        <v>175293.699448585</v>
      </c>
      <c r="H3679" s="7">
        <v>2.0</v>
      </c>
      <c r="I3679" s="15">
        <v>0.162097789277354</v>
      </c>
      <c r="J3679" s="15">
        <v>0.0509120705675168</v>
      </c>
      <c r="K3679" s="12">
        <f>AVERAGE(I3677:I3681)</f>
        <v>0.3023379136</v>
      </c>
      <c r="L3679" s="18">
        <v>7356.0</v>
      </c>
      <c r="M3679" s="14">
        <f>STDEV(L3677:L3681)</f>
        <v>38136.85783</v>
      </c>
      <c r="N3679" s="15" t="b">
        <f t="shared" si="1"/>
        <v>0</v>
      </c>
    </row>
    <row r="3680" hidden="1">
      <c r="A3680" s="7" t="s">
        <v>744</v>
      </c>
      <c r="B3680" s="7" t="s">
        <v>519</v>
      </c>
      <c r="C3680" s="7">
        <v>1.0</v>
      </c>
      <c r="D3680" s="7">
        <v>0.5</v>
      </c>
      <c r="E3680" s="7">
        <v>8.0</v>
      </c>
      <c r="F3680" s="7">
        <v>175243.765706539</v>
      </c>
      <c r="G3680" s="7">
        <v>175293.699448585</v>
      </c>
      <c r="H3680" s="7">
        <v>3.0</v>
      </c>
      <c r="I3680" s="15">
        <v>0.00627888201662256</v>
      </c>
      <c r="J3680" s="15">
        <v>0.179497017086417</v>
      </c>
      <c r="K3680" s="12">
        <f>AVERAGE(I3677:I3681)</f>
        <v>0.3023379136</v>
      </c>
      <c r="L3680" s="18">
        <v>92924.0</v>
      </c>
      <c r="M3680" s="14">
        <f>STDEV(L3677:L3681)</f>
        <v>38136.85783</v>
      </c>
      <c r="N3680" s="15" t="b">
        <f t="shared" si="1"/>
        <v>0</v>
      </c>
    </row>
    <row r="3681" hidden="1">
      <c r="A3681" s="7" t="s">
        <v>744</v>
      </c>
      <c r="B3681" s="7" t="s">
        <v>519</v>
      </c>
      <c r="C3681" s="7">
        <v>1.0</v>
      </c>
      <c r="D3681" s="7">
        <v>0.5</v>
      </c>
      <c r="E3681" s="7">
        <v>8.0</v>
      </c>
      <c r="F3681" s="7">
        <v>175243.765706539</v>
      </c>
      <c r="G3681" s="7">
        <v>175293.699448585</v>
      </c>
      <c r="H3681" s="7">
        <v>4.0</v>
      </c>
      <c r="I3681" s="15">
        <v>0.801302787378942</v>
      </c>
      <c r="J3681" s="15">
        <v>0.141788055013565</v>
      </c>
      <c r="K3681" s="12">
        <f>AVERAGE(I3677:I3681)</f>
        <v>0.3023379136</v>
      </c>
      <c r="L3681" s="18">
        <v>2092.0</v>
      </c>
      <c r="M3681" s="14">
        <f>STDEV(L3677:L3681)</f>
        <v>38136.85783</v>
      </c>
      <c r="N3681" s="15" t="b">
        <f t="shared" si="1"/>
        <v>0</v>
      </c>
    </row>
    <row r="3682" hidden="1">
      <c r="A3682" s="7" t="s">
        <v>745</v>
      </c>
      <c r="B3682" s="7" t="s">
        <v>519</v>
      </c>
      <c r="C3682" s="7">
        <v>1.0</v>
      </c>
      <c r="D3682" s="7">
        <v>0.5</v>
      </c>
      <c r="E3682" s="7">
        <v>9.0</v>
      </c>
      <c r="F3682" s="7">
        <v>289196.653241395</v>
      </c>
      <c r="G3682" s="7">
        <v>289347.398448705</v>
      </c>
      <c r="H3682" s="7">
        <v>0.0</v>
      </c>
      <c r="I3682" s="15">
        <v>-0.0629646047480995</v>
      </c>
      <c r="J3682" s="15">
        <v>0.286850045744738</v>
      </c>
      <c r="K3682" s="12">
        <f>AVERAGE(I3682:I3686)</f>
        <v>0.4753172341</v>
      </c>
      <c r="L3682" s="18">
        <v>123687.0</v>
      </c>
      <c r="M3682" s="14">
        <f>STDEV(L3682:L3686)</f>
        <v>53360.76631</v>
      </c>
      <c r="N3682" s="15" t="b">
        <f t="shared" si="1"/>
        <v>0</v>
      </c>
    </row>
    <row r="3683" hidden="1">
      <c r="A3683" s="7" t="s">
        <v>745</v>
      </c>
      <c r="B3683" s="7" t="s">
        <v>519</v>
      </c>
      <c r="C3683" s="7">
        <v>1.0</v>
      </c>
      <c r="D3683" s="7">
        <v>0.5</v>
      </c>
      <c r="E3683" s="7">
        <v>9.0</v>
      </c>
      <c r="F3683" s="7">
        <v>289196.653241395</v>
      </c>
      <c r="G3683" s="7">
        <v>289347.398448705</v>
      </c>
      <c r="H3683" s="7">
        <v>1.0</v>
      </c>
      <c r="I3683" s="15">
        <v>0.861345966162648</v>
      </c>
      <c r="J3683" s="15">
        <v>0.0733170434280927</v>
      </c>
      <c r="K3683" s="12">
        <f>AVERAGE(I3682:I3686)</f>
        <v>0.4753172341</v>
      </c>
      <c r="L3683" s="18">
        <v>2440.0</v>
      </c>
      <c r="M3683" s="14">
        <f>STDEV(L3682:L3686)</f>
        <v>53360.76631</v>
      </c>
      <c r="N3683" s="15" t="b">
        <f t="shared" si="1"/>
        <v>0</v>
      </c>
    </row>
    <row r="3684" hidden="1">
      <c r="A3684" s="7" t="s">
        <v>745</v>
      </c>
      <c r="B3684" s="7" t="s">
        <v>519</v>
      </c>
      <c r="C3684" s="7">
        <v>1.0</v>
      </c>
      <c r="D3684" s="7">
        <v>0.5</v>
      </c>
      <c r="E3684" s="7">
        <v>9.0</v>
      </c>
      <c r="F3684" s="7">
        <v>289196.653241395</v>
      </c>
      <c r="G3684" s="7">
        <v>289347.398448705</v>
      </c>
      <c r="H3684" s="7">
        <v>2.0</v>
      </c>
      <c r="I3684" s="15">
        <v>0.710793345610203</v>
      </c>
      <c r="J3684" s="15">
        <v>0.155073017636154</v>
      </c>
      <c r="K3684" s="12">
        <f>AVERAGE(I3682:I3686)</f>
        <v>0.4753172341</v>
      </c>
      <c r="L3684" s="18">
        <v>2847.0</v>
      </c>
      <c r="M3684" s="14">
        <f>STDEV(L3682:L3686)</f>
        <v>53360.76631</v>
      </c>
      <c r="N3684" s="15" t="b">
        <f t="shared" si="1"/>
        <v>0</v>
      </c>
    </row>
    <row r="3685" hidden="1">
      <c r="A3685" s="7" t="s">
        <v>745</v>
      </c>
      <c r="B3685" s="7" t="s">
        <v>519</v>
      </c>
      <c r="C3685" s="7">
        <v>1.0</v>
      </c>
      <c r="D3685" s="7">
        <v>0.5</v>
      </c>
      <c r="E3685" s="7">
        <v>9.0</v>
      </c>
      <c r="F3685" s="7">
        <v>289196.653241395</v>
      </c>
      <c r="G3685" s="7">
        <v>289347.398448705</v>
      </c>
      <c r="H3685" s="7">
        <v>3.0</v>
      </c>
      <c r="I3685" s="15">
        <v>0.312335024123857</v>
      </c>
      <c r="J3685" s="15">
        <v>0.111100454535541</v>
      </c>
      <c r="K3685" s="12">
        <f>AVERAGE(I3682:I3686)</f>
        <v>0.4753172341</v>
      </c>
      <c r="L3685" s="18">
        <v>4038.0</v>
      </c>
      <c r="M3685" s="14">
        <f>STDEV(L3682:L3686)</f>
        <v>53360.76631</v>
      </c>
      <c r="N3685" s="15" t="b">
        <f t="shared" si="1"/>
        <v>0</v>
      </c>
    </row>
    <row r="3686" hidden="1">
      <c r="A3686" s="7" t="s">
        <v>745</v>
      </c>
      <c r="B3686" s="7" t="s">
        <v>519</v>
      </c>
      <c r="C3686" s="7">
        <v>1.0</v>
      </c>
      <c r="D3686" s="7">
        <v>0.5</v>
      </c>
      <c r="E3686" s="7">
        <v>9.0</v>
      </c>
      <c r="F3686" s="7">
        <v>289196.653241395</v>
      </c>
      <c r="G3686" s="7">
        <v>289347.398448705</v>
      </c>
      <c r="H3686" s="7">
        <v>4.0</v>
      </c>
      <c r="I3686" s="15">
        <v>0.55507643927933</v>
      </c>
      <c r="J3686" s="15">
        <v>0.245313744364481</v>
      </c>
      <c r="K3686" s="12">
        <f>AVERAGE(I3682:I3686)</f>
        <v>0.4753172341</v>
      </c>
      <c r="L3686" s="18">
        <v>8664.0</v>
      </c>
      <c r="M3686" s="14">
        <f>STDEV(L3682:L3686)</f>
        <v>53360.76631</v>
      </c>
      <c r="N3686" s="15" t="b">
        <f t="shared" si="1"/>
        <v>0</v>
      </c>
    </row>
    <row r="3687" hidden="1">
      <c r="A3687" s="7" t="s">
        <v>746</v>
      </c>
      <c r="B3687" s="7" t="s">
        <v>519</v>
      </c>
      <c r="C3687" s="7">
        <v>1.0</v>
      </c>
      <c r="D3687" s="7">
        <v>0.5</v>
      </c>
      <c r="E3687" s="7">
        <v>10.0</v>
      </c>
      <c r="F3687" s="7">
        <v>96285.4446823597</v>
      </c>
      <c r="G3687" s="7">
        <v>96338.3624222278</v>
      </c>
      <c r="H3687" s="7">
        <v>0.0</v>
      </c>
      <c r="I3687" s="15">
        <v>0.806791589032534</v>
      </c>
      <c r="J3687" s="15">
        <v>0.0830062904668117</v>
      </c>
      <c r="K3687" s="12">
        <f>AVERAGE(I3687:I3691)</f>
        <v>0.3933041141</v>
      </c>
      <c r="L3687" s="18">
        <v>15328.0</v>
      </c>
      <c r="M3687" s="14">
        <f>STDEV(L3687:L3691)</f>
        <v>41333.249</v>
      </c>
      <c r="N3687" s="15" t="b">
        <f t="shared" si="1"/>
        <v>0</v>
      </c>
    </row>
    <row r="3688" hidden="1">
      <c r="A3688" s="7" t="s">
        <v>746</v>
      </c>
      <c r="B3688" s="7" t="s">
        <v>519</v>
      </c>
      <c r="C3688" s="7">
        <v>1.0</v>
      </c>
      <c r="D3688" s="7">
        <v>0.5</v>
      </c>
      <c r="E3688" s="7">
        <v>10.0</v>
      </c>
      <c r="F3688" s="7">
        <v>96285.4446823597</v>
      </c>
      <c r="G3688" s="7">
        <v>96338.3624222278</v>
      </c>
      <c r="H3688" s="7">
        <v>1.0</v>
      </c>
      <c r="I3688" s="15">
        <v>0.768662686619859</v>
      </c>
      <c r="J3688" s="15">
        <v>0.116645918798043</v>
      </c>
      <c r="K3688" s="12">
        <f>AVERAGE(I3687:I3691)</f>
        <v>0.3933041141</v>
      </c>
      <c r="L3688" s="18">
        <v>12640.0</v>
      </c>
      <c r="M3688" s="14">
        <f>STDEV(L3687:L3691)</f>
        <v>41333.249</v>
      </c>
      <c r="N3688" s="15" t="b">
        <f t="shared" si="1"/>
        <v>0</v>
      </c>
    </row>
    <row r="3689" hidden="1">
      <c r="A3689" s="7" t="s">
        <v>746</v>
      </c>
      <c r="B3689" s="7" t="s">
        <v>519</v>
      </c>
      <c r="C3689" s="7">
        <v>1.0</v>
      </c>
      <c r="D3689" s="7">
        <v>0.5</v>
      </c>
      <c r="E3689" s="7">
        <v>10.0</v>
      </c>
      <c r="F3689" s="7">
        <v>96285.4446823597</v>
      </c>
      <c r="G3689" s="7">
        <v>96338.3624222278</v>
      </c>
      <c r="H3689" s="7">
        <v>2.0</v>
      </c>
      <c r="I3689" s="15">
        <v>0.223617511305316</v>
      </c>
      <c r="J3689" s="15">
        <v>0.107445474068474</v>
      </c>
      <c r="K3689" s="12">
        <f>AVERAGE(I3687:I3691)</f>
        <v>0.3933041141</v>
      </c>
      <c r="L3689" s="18">
        <v>6410.0</v>
      </c>
      <c r="M3689" s="14">
        <f>STDEV(L3687:L3691)</f>
        <v>41333.249</v>
      </c>
      <c r="N3689" s="15" t="b">
        <f t="shared" si="1"/>
        <v>0</v>
      </c>
    </row>
    <row r="3690" hidden="1">
      <c r="A3690" s="7" t="s">
        <v>746</v>
      </c>
      <c r="B3690" s="7" t="s">
        <v>519</v>
      </c>
      <c r="C3690" s="7">
        <v>1.0</v>
      </c>
      <c r="D3690" s="7">
        <v>0.5</v>
      </c>
      <c r="E3690" s="7">
        <v>10.0</v>
      </c>
      <c r="F3690" s="7">
        <v>96285.4446823597</v>
      </c>
      <c r="G3690" s="7">
        <v>96338.3624222278</v>
      </c>
      <c r="H3690" s="7">
        <v>3.0</v>
      </c>
      <c r="I3690" s="15">
        <v>0.11230869077941</v>
      </c>
      <c r="J3690" s="15">
        <v>0.12870121733204</v>
      </c>
      <c r="K3690" s="12">
        <f>AVERAGE(I3687:I3691)</f>
        <v>0.3933041141</v>
      </c>
      <c r="L3690" s="18">
        <v>5400.0</v>
      </c>
      <c r="M3690" s="14">
        <f>STDEV(L3687:L3691)</f>
        <v>41333.249</v>
      </c>
      <c r="N3690" s="15" t="b">
        <f t="shared" si="1"/>
        <v>0</v>
      </c>
    </row>
    <row r="3691" hidden="1">
      <c r="A3691" s="7" t="s">
        <v>746</v>
      </c>
      <c r="B3691" s="7" t="s">
        <v>519</v>
      </c>
      <c r="C3691" s="7">
        <v>1.0</v>
      </c>
      <c r="D3691" s="7">
        <v>0.5</v>
      </c>
      <c r="E3691" s="7">
        <v>10.0</v>
      </c>
      <c r="F3691" s="7">
        <v>96285.4446823597</v>
      </c>
      <c r="G3691" s="7">
        <v>96338.3624222278</v>
      </c>
      <c r="H3691" s="7">
        <v>4.0</v>
      </c>
      <c r="I3691" s="15">
        <v>0.0551400925400609</v>
      </c>
      <c r="J3691" s="15">
        <v>0.0872995923282074</v>
      </c>
      <c r="K3691" s="12">
        <f>AVERAGE(I3687:I3691)</f>
        <v>0.3933041141</v>
      </c>
      <c r="L3691" s="18">
        <v>101898.0</v>
      </c>
      <c r="M3691" s="14">
        <f>STDEV(L3687:L3691)</f>
        <v>41333.249</v>
      </c>
      <c r="N3691" s="15" t="b">
        <f t="shared" si="1"/>
        <v>0</v>
      </c>
    </row>
    <row r="3692" hidden="1">
      <c r="A3692" s="7" t="s">
        <v>747</v>
      </c>
      <c r="B3692" s="7" t="s">
        <v>519</v>
      </c>
      <c r="C3692" s="7">
        <v>1.0</v>
      </c>
      <c r="D3692" s="7">
        <v>0.75</v>
      </c>
      <c r="E3692" s="7">
        <v>1.0</v>
      </c>
      <c r="F3692" s="7">
        <v>353705.79116559</v>
      </c>
      <c r="G3692" s="7">
        <v>353731.565550804</v>
      </c>
      <c r="H3692" s="7">
        <v>0.0</v>
      </c>
      <c r="I3692" s="15">
        <v>0.58201300708607</v>
      </c>
      <c r="J3692" s="15">
        <v>0.154390776840903</v>
      </c>
      <c r="K3692" s="12">
        <f>AVERAGE(I3692:I3696)</f>
        <v>0.3225621606</v>
      </c>
      <c r="L3692" s="18">
        <v>3319.0</v>
      </c>
      <c r="M3692" s="14">
        <f>STDEV(L3692:L3696)</f>
        <v>52655.60532</v>
      </c>
      <c r="N3692" s="15" t="b">
        <f t="shared" si="1"/>
        <v>0</v>
      </c>
    </row>
    <row r="3693" hidden="1">
      <c r="A3693" s="7" t="s">
        <v>747</v>
      </c>
      <c r="B3693" s="7" t="s">
        <v>519</v>
      </c>
      <c r="C3693" s="7">
        <v>1.0</v>
      </c>
      <c r="D3693" s="7">
        <v>0.75</v>
      </c>
      <c r="E3693" s="7">
        <v>1.0</v>
      </c>
      <c r="F3693" s="7">
        <v>353705.79116559</v>
      </c>
      <c r="G3693" s="7">
        <v>353731.565550804</v>
      </c>
      <c r="H3693" s="7">
        <v>1.0</v>
      </c>
      <c r="I3693" s="15">
        <v>0.744759984001076</v>
      </c>
      <c r="J3693" s="15">
        <v>0.149343047629167</v>
      </c>
      <c r="K3693" s="12">
        <f>AVERAGE(I3692:I3696)</f>
        <v>0.3225621606</v>
      </c>
      <c r="L3693" s="18">
        <v>3141.0</v>
      </c>
      <c r="M3693" s="14">
        <f>STDEV(L3692:L3696)</f>
        <v>52655.60532</v>
      </c>
      <c r="N3693" s="15" t="b">
        <f t="shared" si="1"/>
        <v>0</v>
      </c>
    </row>
    <row r="3694" hidden="1">
      <c r="A3694" s="7" t="s">
        <v>747</v>
      </c>
      <c r="B3694" s="7" t="s">
        <v>519</v>
      </c>
      <c r="C3694" s="7">
        <v>1.0</v>
      </c>
      <c r="D3694" s="7">
        <v>0.75</v>
      </c>
      <c r="E3694" s="7">
        <v>1.0</v>
      </c>
      <c r="F3694" s="7">
        <v>353705.79116559</v>
      </c>
      <c r="G3694" s="7">
        <v>353731.565550804</v>
      </c>
      <c r="H3694" s="7">
        <v>2.0</v>
      </c>
      <c r="I3694" s="15">
        <v>0.15716982081164</v>
      </c>
      <c r="J3694" s="15">
        <v>0.084874367193403</v>
      </c>
      <c r="K3694" s="12">
        <f>AVERAGE(I3692:I3696)</f>
        <v>0.3225621606</v>
      </c>
      <c r="L3694" s="18">
        <v>8714.0</v>
      </c>
      <c r="M3694" s="14">
        <f>STDEV(L3692:L3696)</f>
        <v>52655.60532</v>
      </c>
      <c r="N3694" s="15" t="b">
        <f t="shared" si="1"/>
        <v>0</v>
      </c>
    </row>
    <row r="3695" hidden="1">
      <c r="A3695" s="7" t="s">
        <v>747</v>
      </c>
      <c r="B3695" s="7" t="s">
        <v>519</v>
      </c>
      <c r="C3695" s="7">
        <v>1.0</v>
      </c>
      <c r="D3695" s="7">
        <v>0.75</v>
      </c>
      <c r="E3695" s="7">
        <v>1.0</v>
      </c>
      <c r="F3695" s="7">
        <v>353705.79116559</v>
      </c>
      <c r="G3695" s="7">
        <v>353731.565550804</v>
      </c>
      <c r="H3695" s="7">
        <v>3.0</v>
      </c>
      <c r="I3695" s="15">
        <v>-0.190078965619857</v>
      </c>
      <c r="J3695" s="15">
        <v>0.291457311302523</v>
      </c>
      <c r="K3695" s="12">
        <f>AVERAGE(I3692:I3696)</f>
        <v>0.3225621606</v>
      </c>
      <c r="L3695" s="18">
        <v>122440.0</v>
      </c>
      <c r="M3695" s="14">
        <f>STDEV(L3692:L3696)</f>
        <v>52655.60532</v>
      </c>
      <c r="N3695" s="15" t="b">
        <f t="shared" si="1"/>
        <v>0</v>
      </c>
    </row>
    <row r="3696" hidden="1">
      <c r="A3696" s="7" t="s">
        <v>747</v>
      </c>
      <c r="B3696" s="7" t="s">
        <v>519</v>
      </c>
      <c r="C3696" s="7">
        <v>1.0</v>
      </c>
      <c r="D3696" s="7">
        <v>0.75</v>
      </c>
      <c r="E3696" s="7">
        <v>1.0</v>
      </c>
      <c r="F3696" s="7">
        <v>353705.79116559</v>
      </c>
      <c r="G3696" s="7">
        <v>353731.565550804</v>
      </c>
      <c r="H3696" s="7">
        <v>4.0</v>
      </c>
      <c r="I3696" s="15">
        <v>0.318946956869422</v>
      </c>
      <c r="J3696" s="15">
        <v>0.0681456658801242</v>
      </c>
      <c r="K3696" s="12">
        <f>AVERAGE(I3692:I3696)</f>
        <v>0.3225621606</v>
      </c>
      <c r="L3696" s="18">
        <v>4062.0</v>
      </c>
      <c r="M3696" s="14">
        <f>STDEV(L3692:L3696)</f>
        <v>52655.60532</v>
      </c>
      <c r="N3696" s="15" t="b">
        <f t="shared" si="1"/>
        <v>0</v>
      </c>
    </row>
    <row r="3697" hidden="1">
      <c r="A3697" s="7" t="s">
        <v>748</v>
      </c>
      <c r="B3697" s="7" t="s">
        <v>519</v>
      </c>
      <c r="C3697" s="7">
        <v>1.0</v>
      </c>
      <c r="D3697" s="7">
        <v>0.75</v>
      </c>
      <c r="E3697" s="7">
        <v>2.0</v>
      </c>
      <c r="F3697" s="7">
        <v>772870.312834739</v>
      </c>
      <c r="G3697" s="7">
        <v>772927.712479114</v>
      </c>
      <c r="H3697" s="7">
        <v>0.0</v>
      </c>
      <c r="I3697" s="15">
        <v>0.221198794322555</v>
      </c>
      <c r="J3697" s="15">
        <v>0.122340175878642</v>
      </c>
      <c r="K3697" s="12">
        <f>AVERAGE(I3697:I3701)</f>
        <v>0.3398074107</v>
      </c>
      <c r="L3697" s="18">
        <v>6961.0</v>
      </c>
      <c r="M3697" s="14">
        <f>STDEV(L3697:L3701)</f>
        <v>46750.30697</v>
      </c>
      <c r="N3697" s="15" t="b">
        <f t="shared" si="1"/>
        <v>0</v>
      </c>
    </row>
    <row r="3698" hidden="1">
      <c r="A3698" s="7" t="s">
        <v>748</v>
      </c>
      <c r="B3698" s="7" t="s">
        <v>519</v>
      </c>
      <c r="C3698" s="7">
        <v>1.0</v>
      </c>
      <c r="D3698" s="7">
        <v>0.75</v>
      </c>
      <c r="E3698" s="7">
        <v>2.0</v>
      </c>
      <c r="F3698" s="7">
        <v>772870.312834739</v>
      </c>
      <c r="G3698" s="7">
        <v>772927.712479114</v>
      </c>
      <c r="H3698" s="7">
        <v>1.0</v>
      </c>
      <c r="I3698" s="15">
        <v>0.096604363559933</v>
      </c>
      <c r="J3698" s="15">
        <v>0.108558604446556</v>
      </c>
      <c r="K3698" s="12">
        <f>AVERAGE(I3697:I3701)</f>
        <v>0.3398074107</v>
      </c>
      <c r="L3698" s="18">
        <v>5139.0</v>
      </c>
      <c r="M3698" s="14">
        <f>STDEV(L3697:L3701)</f>
        <v>46750.30697</v>
      </c>
      <c r="N3698" s="15" t="b">
        <f t="shared" si="1"/>
        <v>0</v>
      </c>
    </row>
    <row r="3699" hidden="1">
      <c r="A3699" s="7" t="s">
        <v>748</v>
      </c>
      <c r="B3699" s="7" t="s">
        <v>519</v>
      </c>
      <c r="C3699" s="7">
        <v>1.0</v>
      </c>
      <c r="D3699" s="7">
        <v>0.75</v>
      </c>
      <c r="E3699" s="7">
        <v>2.0</v>
      </c>
      <c r="F3699" s="7">
        <v>772870.312834739</v>
      </c>
      <c r="G3699" s="7">
        <v>772927.712479114</v>
      </c>
      <c r="H3699" s="7">
        <v>2.0</v>
      </c>
      <c r="I3699" s="15">
        <v>-0.0796802255895089</v>
      </c>
      <c r="J3699" s="15">
        <v>0.235605587921216</v>
      </c>
      <c r="K3699" s="12">
        <f>AVERAGE(I3697:I3701)</f>
        <v>0.3398074107</v>
      </c>
      <c r="L3699" s="18">
        <v>111544.0</v>
      </c>
      <c r="M3699" s="14">
        <f>STDEV(L3697:L3701)</f>
        <v>46750.30697</v>
      </c>
      <c r="N3699" s="15" t="b">
        <f t="shared" si="1"/>
        <v>0</v>
      </c>
    </row>
    <row r="3700" hidden="1">
      <c r="A3700" s="7" t="s">
        <v>748</v>
      </c>
      <c r="B3700" s="7" t="s">
        <v>519</v>
      </c>
      <c r="C3700" s="7">
        <v>1.0</v>
      </c>
      <c r="D3700" s="7">
        <v>0.75</v>
      </c>
      <c r="E3700" s="7">
        <v>2.0</v>
      </c>
      <c r="F3700" s="7">
        <v>772870.312834739</v>
      </c>
      <c r="G3700" s="7">
        <v>772927.712479114</v>
      </c>
      <c r="H3700" s="7">
        <v>3.0</v>
      </c>
      <c r="I3700" s="15">
        <v>0.654871616526789</v>
      </c>
      <c r="J3700" s="15">
        <v>0.154810254984391</v>
      </c>
      <c r="K3700" s="12">
        <f>AVERAGE(I3697:I3701)</f>
        <v>0.3398074107</v>
      </c>
      <c r="L3700" s="18">
        <v>2800.0</v>
      </c>
      <c r="M3700" s="14">
        <f>STDEV(L3697:L3701)</f>
        <v>46750.30697</v>
      </c>
      <c r="N3700" s="15" t="b">
        <f t="shared" si="1"/>
        <v>0</v>
      </c>
    </row>
    <row r="3701" hidden="1">
      <c r="A3701" s="7" t="s">
        <v>748</v>
      </c>
      <c r="B3701" s="7" t="s">
        <v>519</v>
      </c>
      <c r="C3701" s="7">
        <v>1.0</v>
      </c>
      <c r="D3701" s="7">
        <v>0.75</v>
      </c>
      <c r="E3701" s="7">
        <v>2.0</v>
      </c>
      <c r="F3701" s="7">
        <v>772870.312834739</v>
      </c>
      <c r="G3701" s="7">
        <v>772927.712479114</v>
      </c>
      <c r="H3701" s="7">
        <v>4.0</v>
      </c>
      <c r="I3701" s="15">
        <v>0.806042504766596</v>
      </c>
      <c r="J3701" s="15">
        <v>0.115401605595348</v>
      </c>
      <c r="K3701" s="12">
        <f>AVERAGE(I3697:I3701)</f>
        <v>0.3398074107</v>
      </c>
      <c r="L3701" s="18">
        <v>15232.0</v>
      </c>
      <c r="M3701" s="14">
        <f>STDEV(L3697:L3701)</f>
        <v>46750.30697</v>
      </c>
      <c r="N3701" s="15" t="b">
        <f t="shared" si="1"/>
        <v>0</v>
      </c>
    </row>
    <row r="3702" hidden="1">
      <c r="A3702" s="7" t="s">
        <v>749</v>
      </c>
      <c r="B3702" s="7" t="s">
        <v>519</v>
      </c>
      <c r="C3702" s="7">
        <v>1.0</v>
      </c>
      <c r="D3702" s="7">
        <v>0.75</v>
      </c>
      <c r="E3702" s="7">
        <v>3.0</v>
      </c>
      <c r="F3702" s="7">
        <v>174310.001977205</v>
      </c>
      <c r="G3702" s="7">
        <v>174362.006904602</v>
      </c>
      <c r="H3702" s="7">
        <v>0.0</v>
      </c>
      <c r="I3702" s="15">
        <v>0.0573638253868597</v>
      </c>
      <c r="J3702" s="15">
        <v>0.109458244085968</v>
      </c>
      <c r="K3702" s="12">
        <f>AVERAGE(I3702:I3706)</f>
        <v>0.4032918581</v>
      </c>
      <c r="L3702" s="18">
        <v>129318.0</v>
      </c>
      <c r="M3702" s="14">
        <f>STDEV(L3702:L3706)</f>
        <v>56480.23486</v>
      </c>
      <c r="N3702" s="15" t="b">
        <f t="shared" si="1"/>
        <v>0</v>
      </c>
    </row>
    <row r="3703" hidden="1">
      <c r="A3703" s="7" t="s">
        <v>749</v>
      </c>
      <c r="B3703" s="7" t="s">
        <v>519</v>
      </c>
      <c r="C3703" s="7">
        <v>1.0</v>
      </c>
      <c r="D3703" s="7">
        <v>0.75</v>
      </c>
      <c r="E3703" s="7">
        <v>3.0</v>
      </c>
      <c r="F3703" s="7">
        <v>174310.001977205</v>
      </c>
      <c r="G3703" s="7">
        <v>174362.006904602</v>
      </c>
      <c r="H3703" s="7">
        <v>1.0</v>
      </c>
      <c r="I3703" s="15">
        <v>0.322496256655096</v>
      </c>
      <c r="J3703" s="15">
        <v>0.0651573147082486</v>
      </c>
      <c r="K3703" s="12">
        <f>AVERAGE(I3702:I3706)</f>
        <v>0.4032918581</v>
      </c>
      <c r="L3703" s="18">
        <v>3654.0</v>
      </c>
      <c r="M3703" s="14">
        <f>STDEV(L3702:L3706)</f>
        <v>56480.23486</v>
      </c>
      <c r="N3703" s="15" t="b">
        <f t="shared" si="1"/>
        <v>0</v>
      </c>
    </row>
    <row r="3704" hidden="1">
      <c r="A3704" s="7" t="s">
        <v>749</v>
      </c>
      <c r="B3704" s="7" t="s">
        <v>519</v>
      </c>
      <c r="C3704" s="7">
        <v>1.0</v>
      </c>
      <c r="D3704" s="7">
        <v>0.75</v>
      </c>
      <c r="E3704" s="7">
        <v>3.0</v>
      </c>
      <c r="F3704" s="7">
        <v>174310.001977205</v>
      </c>
      <c r="G3704" s="7">
        <v>174362.006904602</v>
      </c>
      <c r="H3704" s="7">
        <v>2.0</v>
      </c>
      <c r="I3704" s="15">
        <v>0.174273341342352</v>
      </c>
      <c r="J3704" s="15">
        <v>0.0839440984870383</v>
      </c>
      <c r="K3704" s="12">
        <f>AVERAGE(I3702:I3706)</f>
        <v>0.4032918581</v>
      </c>
      <c r="L3704" s="18">
        <v>5737.0</v>
      </c>
      <c r="M3704" s="14">
        <f>STDEV(L3702:L3706)</f>
        <v>56480.23486</v>
      </c>
      <c r="N3704" s="15" t="b">
        <f t="shared" si="1"/>
        <v>0</v>
      </c>
    </row>
    <row r="3705" hidden="1">
      <c r="A3705" s="7" t="s">
        <v>749</v>
      </c>
      <c r="B3705" s="7" t="s">
        <v>519</v>
      </c>
      <c r="C3705" s="7">
        <v>1.0</v>
      </c>
      <c r="D3705" s="7">
        <v>0.75</v>
      </c>
      <c r="E3705" s="7">
        <v>3.0</v>
      </c>
      <c r="F3705" s="7">
        <v>174310.001977205</v>
      </c>
      <c r="G3705" s="7">
        <v>174362.006904602</v>
      </c>
      <c r="H3705" s="7">
        <v>3.0</v>
      </c>
      <c r="I3705" s="15">
        <v>0.910126613935892</v>
      </c>
      <c r="J3705" s="15">
        <v>0.0434721414978117</v>
      </c>
      <c r="K3705" s="12">
        <f>AVERAGE(I3702:I3706)</f>
        <v>0.4032918581</v>
      </c>
      <c r="L3705" s="18">
        <v>2064.0</v>
      </c>
      <c r="M3705" s="14">
        <f>STDEV(L3702:L3706)</f>
        <v>56480.23486</v>
      </c>
      <c r="N3705" s="15" t="b">
        <f t="shared" si="1"/>
        <v>0</v>
      </c>
    </row>
    <row r="3706" hidden="1">
      <c r="A3706" s="7" t="s">
        <v>749</v>
      </c>
      <c r="B3706" s="7" t="s">
        <v>519</v>
      </c>
      <c r="C3706" s="7">
        <v>1.0</v>
      </c>
      <c r="D3706" s="7">
        <v>0.75</v>
      </c>
      <c r="E3706" s="7">
        <v>3.0</v>
      </c>
      <c r="F3706" s="7">
        <v>174310.001977205</v>
      </c>
      <c r="G3706" s="7">
        <v>174362.006904602</v>
      </c>
      <c r="H3706" s="7">
        <v>4.0</v>
      </c>
      <c r="I3706" s="15">
        <v>0.55219925330764</v>
      </c>
      <c r="J3706" s="15">
        <v>0.132699336782296</v>
      </c>
      <c r="K3706" s="12">
        <f>AVERAGE(I3702:I3706)</f>
        <v>0.4032918581</v>
      </c>
      <c r="L3706" s="18">
        <v>903.0</v>
      </c>
      <c r="M3706" s="14">
        <f>STDEV(L3702:L3706)</f>
        <v>56480.23486</v>
      </c>
      <c r="N3706" s="15" t="b">
        <f t="shared" si="1"/>
        <v>0</v>
      </c>
    </row>
    <row r="3707" hidden="1">
      <c r="A3707" s="7" t="s">
        <v>750</v>
      </c>
      <c r="B3707" s="7" t="s">
        <v>519</v>
      </c>
      <c r="C3707" s="7">
        <v>1.0</v>
      </c>
      <c r="D3707" s="7">
        <v>0.75</v>
      </c>
      <c r="E3707" s="7">
        <v>4.0</v>
      </c>
      <c r="F3707" s="7">
        <v>656809.232566356</v>
      </c>
      <c r="G3707" s="7">
        <v>656893.701486349</v>
      </c>
      <c r="H3707" s="7">
        <v>0.0</v>
      </c>
      <c r="I3707" s="15">
        <v>0.0455090898353652</v>
      </c>
      <c r="J3707" s="15">
        <v>0.0814716800527982</v>
      </c>
      <c r="K3707" s="12">
        <f>AVERAGE(I3707:I3711)</f>
        <v>0.352259695</v>
      </c>
      <c r="L3707" s="18">
        <v>115657.0</v>
      </c>
      <c r="M3707" s="14">
        <f>STDEV(L3707:L3711)</f>
        <v>49080.82925</v>
      </c>
      <c r="N3707" s="15" t="b">
        <f t="shared" si="1"/>
        <v>0</v>
      </c>
    </row>
    <row r="3708" hidden="1">
      <c r="A3708" s="7" t="s">
        <v>750</v>
      </c>
      <c r="B3708" s="7" t="s">
        <v>519</v>
      </c>
      <c r="C3708" s="7">
        <v>1.0</v>
      </c>
      <c r="D3708" s="7">
        <v>0.75</v>
      </c>
      <c r="E3708" s="7">
        <v>4.0</v>
      </c>
      <c r="F3708" s="7">
        <v>656809.232566356</v>
      </c>
      <c r="G3708" s="7">
        <v>656893.701486349</v>
      </c>
      <c r="H3708" s="7">
        <v>1.0</v>
      </c>
      <c r="I3708" s="15">
        <v>0.808049902378035</v>
      </c>
      <c r="J3708" s="15">
        <v>0.0838908737590325</v>
      </c>
      <c r="K3708" s="12">
        <f>AVERAGE(I3707:I3711)</f>
        <v>0.352259695</v>
      </c>
      <c r="L3708" s="18">
        <v>15334.0</v>
      </c>
      <c r="M3708" s="14">
        <f>STDEV(L3707:L3711)</f>
        <v>49080.82925</v>
      </c>
      <c r="N3708" s="15" t="b">
        <f t="shared" si="1"/>
        <v>0</v>
      </c>
    </row>
    <row r="3709" hidden="1">
      <c r="A3709" s="7" t="s">
        <v>750</v>
      </c>
      <c r="B3709" s="7" t="s">
        <v>519</v>
      </c>
      <c r="C3709" s="7">
        <v>1.0</v>
      </c>
      <c r="D3709" s="7">
        <v>0.75</v>
      </c>
      <c r="E3709" s="7">
        <v>4.0</v>
      </c>
      <c r="F3709" s="7">
        <v>656809.232566356</v>
      </c>
      <c r="G3709" s="7">
        <v>656893.701486349</v>
      </c>
      <c r="H3709" s="7">
        <v>2.0</v>
      </c>
      <c r="I3709" s="15">
        <v>0.239114297307896</v>
      </c>
      <c r="J3709" s="15">
        <v>0.0949368497317454</v>
      </c>
      <c r="K3709" s="12">
        <f>AVERAGE(I3707:I3711)</f>
        <v>0.352259695</v>
      </c>
      <c r="L3709" s="18">
        <v>3602.0</v>
      </c>
      <c r="M3709" s="14">
        <f>STDEV(L3707:L3711)</f>
        <v>49080.82925</v>
      </c>
      <c r="N3709" s="15" t="b">
        <f t="shared" si="1"/>
        <v>0</v>
      </c>
    </row>
    <row r="3710" hidden="1">
      <c r="A3710" s="7" t="s">
        <v>750</v>
      </c>
      <c r="B3710" s="7" t="s">
        <v>519</v>
      </c>
      <c r="C3710" s="7">
        <v>1.0</v>
      </c>
      <c r="D3710" s="7">
        <v>0.75</v>
      </c>
      <c r="E3710" s="7">
        <v>4.0</v>
      </c>
      <c r="F3710" s="7">
        <v>656809.232566356</v>
      </c>
      <c r="G3710" s="7">
        <v>656893.701486349</v>
      </c>
      <c r="H3710" s="7">
        <v>3.0</v>
      </c>
      <c r="I3710" s="15">
        <v>0.338804395231112</v>
      </c>
      <c r="J3710" s="15">
        <v>0.090095027664591</v>
      </c>
      <c r="K3710" s="12">
        <f>AVERAGE(I3707:I3711)</f>
        <v>0.352259695</v>
      </c>
      <c r="L3710" s="18">
        <v>3987.0</v>
      </c>
      <c r="M3710" s="14">
        <f>STDEV(L3707:L3711)</f>
        <v>49080.82925</v>
      </c>
      <c r="N3710" s="15" t="b">
        <f t="shared" si="1"/>
        <v>0</v>
      </c>
    </row>
    <row r="3711" hidden="1">
      <c r="A3711" s="7" t="s">
        <v>750</v>
      </c>
      <c r="B3711" s="7" t="s">
        <v>519</v>
      </c>
      <c r="C3711" s="7">
        <v>1.0</v>
      </c>
      <c r="D3711" s="7">
        <v>0.75</v>
      </c>
      <c r="E3711" s="7">
        <v>4.0</v>
      </c>
      <c r="F3711" s="7">
        <v>656809.232566356</v>
      </c>
      <c r="G3711" s="7">
        <v>656893.701486349</v>
      </c>
      <c r="H3711" s="7">
        <v>4.0</v>
      </c>
      <c r="I3711" s="15">
        <v>0.329820790236761</v>
      </c>
      <c r="J3711" s="15">
        <v>0.0826567908432301</v>
      </c>
      <c r="K3711" s="12">
        <f>AVERAGE(I3707:I3711)</f>
        <v>0.352259695</v>
      </c>
      <c r="L3711" s="18">
        <v>3096.0</v>
      </c>
      <c r="M3711" s="14">
        <f>STDEV(L3707:L3711)</f>
        <v>49080.82925</v>
      </c>
      <c r="N3711" s="15" t="b">
        <f t="shared" si="1"/>
        <v>0</v>
      </c>
    </row>
    <row r="3712" hidden="1">
      <c r="A3712" s="7" t="s">
        <v>751</v>
      </c>
      <c r="B3712" s="7" t="s">
        <v>519</v>
      </c>
      <c r="C3712" s="7">
        <v>1.0</v>
      </c>
      <c r="D3712" s="7">
        <v>0.75</v>
      </c>
      <c r="E3712" s="7">
        <v>5.0</v>
      </c>
      <c r="F3712" s="7">
        <v>246335.196588754</v>
      </c>
      <c r="G3712" s="7">
        <v>246374.893662929</v>
      </c>
      <c r="H3712" s="7">
        <v>0.0</v>
      </c>
      <c r="I3712" s="15">
        <v>0.0563619734081531</v>
      </c>
      <c r="J3712" s="15">
        <v>0.0535994270999584</v>
      </c>
      <c r="K3712" s="12">
        <f>AVERAGE(I3712:I3716)</f>
        <v>0.4082909033</v>
      </c>
      <c r="L3712" s="18">
        <v>104384.0</v>
      </c>
      <c r="M3712" s="14">
        <f>STDEV(L3712:L3716)</f>
        <v>42758.0685</v>
      </c>
      <c r="N3712" s="15" t="b">
        <f t="shared" si="1"/>
        <v>0</v>
      </c>
    </row>
    <row r="3713" hidden="1">
      <c r="A3713" s="7" t="s">
        <v>751</v>
      </c>
      <c r="B3713" s="7" t="s">
        <v>519</v>
      </c>
      <c r="C3713" s="7">
        <v>1.0</v>
      </c>
      <c r="D3713" s="7">
        <v>0.75</v>
      </c>
      <c r="E3713" s="7">
        <v>5.0</v>
      </c>
      <c r="F3713" s="7">
        <v>246335.196588754</v>
      </c>
      <c r="G3713" s="7">
        <v>246374.893662929</v>
      </c>
      <c r="H3713" s="7">
        <v>1.0</v>
      </c>
      <c r="I3713" s="15">
        <v>0.814728627900422</v>
      </c>
      <c r="J3713" s="15">
        <v>0.0872175209471696</v>
      </c>
      <c r="K3713" s="12">
        <f>AVERAGE(I3712:I3716)</f>
        <v>0.4082909033</v>
      </c>
      <c r="L3713" s="18">
        <v>14947.0</v>
      </c>
      <c r="M3713" s="14">
        <f>STDEV(L3712:L3716)</f>
        <v>42758.0685</v>
      </c>
      <c r="N3713" s="15" t="b">
        <f t="shared" si="1"/>
        <v>0</v>
      </c>
    </row>
    <row r="3714" hidden="1">
      <c r="A3714" s="7" t="s">
        <v>751</v>
      </c>
      <c r="B3714" s="7" t="s">
        <v>519</v>
      </c>
      <c r="C3714" s="7">
        <v>1.0</v>
      </c>
      <c r="D3714" s="7">
        <v>0.75</v>
      </c>
      <c r="E3714" s="7">
        <v>5.0</v>
      </c>
      <c r="F3714" s="7">
        <v>246335.196588754</v>
      </c>
      <c r="G3714" s="7">
        <v>246374.893662929</v>
      </c>
      <c r="H3714" s="7">
        <v>2.0</v>
      </c>
      <c r="I3714" s="15">
        <v>0.763873486934431</v>
      </c>
      <c r="J3714" s="15">
        <v>0.131776274138736</v>
      </c>
      <c r="K3714" s="12">
        <f>AVERAGE(I3712:I3716)</f>
        <v>0.4082909033</v>
      </c>
      <c r="L3714" s="18">
        <v>12617.0</v>
      </c>
      <c r="M3714" s="14">
        <f>STDEV(L3712:L3716)</f>
        <v>42758.0685</v>
      </c>
      <c r="N3714" s="15" t="b">
        <f t="shared" si="1"/>
        <v>0</v>
      </c>
    </row>
    <row r="3715" hidden="1">
      <c r="A3715" s="7" t="s">
        <v>751</v>
      </c>
      <c r="B3715" s="7" t="s">
        <v>519</v>
      </c>
      <c r="C3715" s="7">
        <v>1.0</v>
      </c>
      <c r="D3715" s="7">
        <v>0.75</v>
      </c>
      <c r="E3715" s="7">
        <v>5.0</v>
      </c>
      <c r="F3715" s="7">
        <v>246335.196588754</v>
      </c>
      <c r="G3715" s="7">
        <v>246374.893662929</v>
      </c>
      <c r="H3715" s="7">
        <v>3.0</v>
      </c>
      <c r="I3715" s="15">
        <v>0.0806930017935525</v>
      </c>
      <c r="J3715" s="15">
        <v>0.119667779301114</v>
      </c>
      <c r="K3715" s="12">
        <f>AVERAGE(I3712:I3716)</f>
        <v>0.4082909033</v>
      </c>
      <c r="L3715" s="18">
        <v>5727.0</v>
      </c>
      <c r="M3715" s="14">
        <f>STDEV(L3712:L3716)</f>
        <v>42758.0685</v>
      </c>
      <c r="N3715" s="15" t="b">
        <f t="shared" si="1"/>
        <v>0</v>
      </c>
    </row>
    <row r="3716" hidden="1">
      <c r="A3716" s="7" t="s">
        <v>751</v>
      </c>
      <c r="B3716" s="7" t="s">
        <v>519</v>
      </c>
      <c r="C3716" s="7">
        <v>1.0</v>
      </c>
      <c r="D3716" s="7">
        <v>0.75</v>
      </c>
      <c r="E3716" s="7">
        <v>5.0</v>
      </c>
      <c r="F3716" s="7">
        <v>246335.196588754</v>
      </c>
      <c r="G3716" s="7">
        <v>246374.893662929</v>
      </c>
      <c r="H3716" s="7">
        <v>4.0</v>
      </c>
      <c r="I3716" s="15">
        <v>0.325797426580274</v>
      </c>
      <c r="J3716" s="15">
        <v>0.0776216620076478</v>
      </c>
      <c r="K3716" s="12">
        <f>AVERAGE(I3712:I3716)</f>
        <v>0.4082909033</v>
      </c>
      <c r="L3716" s="18">
        <v>4001.0</v>
      </c>
      <c r="M3716" s="14">
        <f>STDEV(L3712:L3716)</f>
        <v>42758.0685</v>
      </c>
      <c r="N3716" s="15" t="b">
        <f t="shared" si="1"/>
        <v>0</v>
      </c>
    </row>
    <row r="3717" hidden="1">
      <c r="A3717" s="7" t="s">
        <v>752</v>
      </c>
      <c r="B3717" s="7" t="s">
        <v>519</v>
      </c>
      <c r="C3717" s="7">
        <v>1.0</v>
      </c>
      <c r="D3717" s="7">
        <v>0.75</v>
      </c>
      <c r="E3717" s="7">
        <v>6.0</v>
      </c>
      <c r="F3717" s="7">
        <v>247593.719816446</v>
      </c>
      <c r="G3717" s="7">
        <v>247632.476677417</v>
      </c>
      <c r="H3717" s="7">
        <v>0.0</v>
      </c>
      <c r="I3717" s="15">
        <v>0.017486419866237</v>
      </c>
      <c r="J3717" s="15">
        <v>0.184768604135538</v>
      </c>
      <c r="K3717" s="12">
        <f>AVERAGE(I3717:I3721)</f>
        <v>0.4349336488</v>
      </c>
      <c r="L3717" s="18">
        <v>112899.0</v>
      </c>
      <c r="M3717" s="14">
        <f>STDEV(L3717:L3721)</f>
        <v>47728.86592</v>
      </c>
      <c r="N3717" s="15" t="b">
        <f t="shared" si="1"/>
        <v>0</v>
      </c>
    </row>
    <row r="3718" hidden="1">
      <c r="A3718" s="7" t="s">
        <v>752</v>
      </c>
      <c r="B3718" s="7" t="s">
        <v>519</v>
      </c>
      <c r="C3718" s="7">
        <v>1.0</v>
      </c>
      <c r="D3718" s="7">
        <v>0.75</v>
      </c>
      <c r="E3718" s="7">
        <v>6.0</v>
      </c>
      <c r="F3718" s="7">
        <v>247593.719816446</v>
      </c>
      <c r="G3718" s="7">
        <v>247632.476677417</v>
      </c>
      <c r="H3718" s="7">
        <v>1.0</v>
      </c>
      <c r="I3718" s="15">
        <v>0.837469306086964</v>
      </c>
      <c r="J3718" s="15">
        <v>0.12705845995031</v>
      </c>
      <c r="K3718" s="12">
        <f>AVERAGE(I3717:I3721)</f>
        <v>0.4349336488</v>
      </c>
      <c r="L3718" s="18">
        <v>839.0</v>
      </c>
      <c r="M3718" s="14">
        <f>STDEV(L3717:L3721)</f>
        <v>47728.86592</v>
      </c>
      <c r="N3718" s="15" t="b">
        <f t="shared" si="1"/>
        <v>0</v>
      </c>
    </row>
    <row r="3719" hidden="1">
      <c r="A3719" s="7" t="s">
        <v>752</v>
      </c>
      <c r="B3719" s="7" t="s">
        <v>519</v>
      </c>
      <c r="C3719" s="7">
        <v>1.0</v>
      </c>
      <c r="D3719" s="7">
        <v>0.75</v>
      </c>
      <c r="E3719" s="7">
        <v>6.0</v>
      </c>
      <c r="F3719" s="7">
        <v>247593.719816446</v>
      </c>
      <c r="G3719" s="7">
        <v>247632.476677417</v>
      </c>
      <c r="H3719" s="7">
        <v>2.0</v>
      </c>
      <c r="I3719" s="15">
        <v>0.169869288916481</v>
      </c>
      <c r="J3719" s="15">
        <v>0.0778450045744358</v>
      </c>
      <c r="K3719" s="12">
        <f>AVERAGE(I3717:I3721)</f>
        <v>0.4349336488</v>
      </c>
      <c r="L3719" s="18">
        <v>5729.0</v>
      </c>
      <c r="M3719" s="14">
        <f>STDEV(L3717:L3721)</f>
        <v>47728.86592</v>
      </c>
      <c r="N3719" s="15" t="b">
        <f t="shared" si="1"/>
        <v>0</v>
      </c>
    </row>
    <row r="3720" hidden="1">
      <c r="A3720" s="7" t="s">
        <v>752</v>
      </c>
      <c r="B3720" s="7" t="s">
        <v>519</v>
      </c>
      <c r="C3720" s="7">
        <v>1.0</v>
      </c>
      <c r="D3720" s="7">
        <v>0.75</v>
      </c>
      <c r="E3720" s="7">
        <v>6.0</v>
      </c>
      <c r="F3720" s="7">
        <v>247593.719816446</v>
      </c>
      <c r="G3720" s="7">
        <v>247632.476677417</v>
      </c>
      <c r="H3720" s="7">
        <v>3.0</v>
      </c>
      <c r="I3720" s="15">
        <v>0.331319029905979</v>
      </c>
      <c r="J3720" s="15">
        <v>0.116147344831911</v>
      </c>
      <c r="K3720" s="12">
        <f>AVERAGE(I3717:I3721)</f>
        <v>0.4349336488</v>
      </c>
      <c r="L3720" s="18">
        <v>4024.0</v>
      </c>
      <c r="M3720" s="14">
        <f>STDEV(L3717:L3721)</f>
        <v>47728.86592</v>
      </c>
      <c r="N3720" s="15" t="b">
        <f t="shared" si="1"/>
        <v>0</v>
      </c>
    </row>
    <row r="3721" hidden="1">
      <c r="A3721" s="7" t="s">
        <v>752</v>
      </c>
      <c r="B3721" s="7" t="s">
        <v>519</v>
      </c>
      <c r="C3721" s="7">
        <v>1.0</v>
      </c>
      <c r="D3721" s="7">
        <v>0.75</v>
      </c>
      <c r="E3721" s="7">
        <v>6.0</v>
      </c>
      <c r="F3721" s="7">
        <v>247593.719816446</v>
      </c>
      <c r="G3721" s="7">
        <v>247632.476677417</v>
      </c>
      <c r="H3721" s="7">
        <v>4.0</v>
      </c>
      <c r="I3721" s="15">
        <v>0.818524199105853</v>
      </c>
      <c r="J3721" s="15">
        <v>0.0632866790944078</v>
      </c>
      <c r="K3721" s="12">
        <f>AVERAGE(I3717:I3721)</f>
        <v>0.4349336488</v>
      </c>
      <c r="L3721" s="18">
        <v>18185.0</v>
      </c>
      <c r="M3721" s="14">
        <f>STDEV(L3717:L3721)</f>
        <v>47728.86592</v>
      </c>
      <c r="N3721" s="15" t="b">
        <f t="shared" si="1"/>
        <v>0</v>
      </c>
    </row>
    <row r="3722" hidden="1">
      <c r="A3722" s="7" t="s">
        <v>753</v>
      </c>
      <c r="B3722" s="7" t="s">
        <v>519</v>
      </c>
      <c r="C3722" s="7">
        <v>1.0</v>
      </c>
      <c r="D3722" s="7">
        <v>0.75</v>
      </c>
      <c r="E3722" s="7">
        <v>7.0</v>
      </c>
      <c r="F3722" s="7">
        <v>261843.534708738</v>
      </c>
      <c r="G3722" s="7">
        <v>261875.599467515</v>
      </c>
      <c r="H3722" s="7">
        <v>0.0</v>
      </c>
      <c r="I3722" s="15">
        <v>0.332360809400901</v>
      </c>
      <c r="J3722" s="15">
        <v>0.0747653846071429</v>
      </c>
      <c r="K3722" s="12">
        <f>AVERAGE(I3722:I3726)</f>
        <v>0.3351755741</v>
      </c>
      <c r="L3722" s="18">
        <v>3087.0</v>
      </c>
      <c r="M3722" s="14">
        <f>STDEV(L3722:L3726)</f>
        <v>48338.92252</v>
      </c>
      <c r="N3722" s="15" t="b">
        <f t="shared" si="1"/>
        <v>0</v>
      </c>
    </row>
    <row r="3723" hidden="1">
      <c r="A3723" s="7" t="s">
        <v>753</v>
      </c>
      <c r="B3723" s="7" t="s">
        <v>519</v>
      </c>
      <c r="C3723" s="7">
        <v>1.0</v>
      </c>
      <c r="D3723" s="7">
        <v>0.75</v>
      </c>
      <c r="E3723" s="7">
        <v>7.0</v>
      </c>
      <c r="F3723" s="7">
        <v>261843.534708738</v>
      </c>
      <c r="G3723" s="7">
        <v>261875.599467515</v>
      </c>
      <c r="H3723" s="7">
        <v>1.0</v>
      </c>
      <c r="I3723" s="15">
        <v>0.306550951643868</v>
      </c>
      <c r="J3723" s="15">
        <v>0.121197988141511</v>
      </c>
      <c r="K3723" s="12">
        <f>AVERAGE(I3722:I3726)</f>
        <v>0.3351755741</v>
      </c>
      <c r="L3723" s="18">
        <v>2842.0</v>
      </c>
      <c r="M3723" s="14">
        <f>STDEV(L3722:L3726)</f>
        <v>48338.92252</v>
      </c>
      <c r="N3723" s="15" t="b">
        <f t="shared" si="1"/>
        <v>0</v>
      </c>
    </row>
    <row r="3724" hidden="1">
      <c r="A3724" s="7" t="s">
        <v>753</v>
      </c>
      <c r="B3724" s="7" t="s">
        <v>519</v>
      </c>
      <c r="C3724" s="7">
        <v>1.0</v>
      </c>
      <c r="D3724" s="7">
        <v>0.75</v>
      </c>
      <c r="E3724" s="7">
        <v>7.0</v>
      </c>
      <c r="F3724" s="7">
        <v>261843.534708738</v>
      </c>
      <c r="G3724" s="7">
        <v>261875.599467515</v>
      </c>
      <c r="H3724" s="7">
        <v>2.0</v>
      </c>
      <c r="I3724" s="15">
        <v>0.814319663000288</v>
      </c>
      <c r="J3724" s="15">
        <v>0.084804299875889</v>
      </c>
      <c r="K3724" s="12">
        <f>AVERAGE(I3722:I3726)</f>
        <v>0.3351755741</v>
      </c>
      <c r="L3724" s="18">
        <v>15115.0</v>
      </c>
      <c r="M3724" s="14">
        <f>STDEV(L3722:L3726)</f>
        <v>48338.92252</v>
      </c>
      <c r="N3724" s="15" t="b">
        <f t="shared" si="1"/>
        <v>0</v>
      </c>
    </row>
    <row r="3725" hidden="1">
      <c r="A3725" s="7" t="s">
        <v>753</v>
      </c>
      <c r="B3725" s="7" t="s">
        <v>519</v>
      </c>
      <c r="C3725" s="7">
        <v>1.0</v>
      </c>
      <c r="D3725" s="7">
        <v>0.75</v>
      </c>
      <c r="E3725" s="7">
        <v>7.0</v>
      </c>
      <c r="F3725" s="7">
        <v>261843.534708738</v>
      </c>
      <c r="G3725" s="7">
        <v>261875.599467515</v>
      </c>
      <c r="H3725" s="7">
        <v>3.0</v>
      </c>
      <c r="I3725" s="15">
        <v>0.00767871029095496</v>
      </c>
      <c r="J3725" s="15">
        <v>0.102089681900531</v>
      </c>
      <c r="K3725" s="12">
        <f>AVERAGE(I3722:I3726)</f>
        <v>0.3351755741</v>
      </c>
      <c r="L3725" s="18">
        <v>114348.0</v>
      </c>
      <c r="M3725" s="14">
        <f>STDEV(L3722:L3726)</f>
        <v>48338.92252</v>
      </c>
      <c r="N3725" s="15" t="b">
        <f t="shared" si="1"/>
        <v>0</v>
      </c>
    </row>
    <row r="3726" hidden="1">
      <c r="A3726" s="7" t="s">
        <v>753</v>
      </c>
      <c r="B3726" s="7" t="s">
        <v>519</v>
      </c>
      <c r="C3726" s="7">
        <v>1.0</v>
      </c>
      <c r="D3726" s="7">
        <v>0.75</v>
      </c>
      <c r="E3726" s="7">
        <v>7.0</v>
      </c>
      <c r="F3726" s="7">
        <v>261843.534708738</v>
      </c>
      <c r="G3726" s="7">
        <v>261875.599467515</v>
      </c>
      <c r="H3726" s="7">
        <v>4.0</v>
      </c>
      <c r="I3726" s="15">
        <v>0.214967736106404</v>
      </c>
      <c r="J3726" s="15">
        <v>0.0922591585198251</v>
      </c>
      <c r="K3726" s="12">
        <f>AVERAGE(I3722:I3726)</f>
        <v>0.3351755741</v>
      </c>
      <c r="L3726" s="18">
        <v>6284.0</v>
      </c>
      <c r="M3726" s="14">
        <f>STDEV(L3722:L3726)</f>
        <v>48338.92252</v>
      </c>
      <c r="N3726" s="15" t="b">
        <f t="shared" si="1"/>
        <v>0</v>
      </c>
    </row>
    <row r="3727" hidden="1">
      <c r="A3727" s="7" t="s">
        <v>754</v>
      </c>
      <c r="B3727" s="7" t="s">
        <v>519</v>
      </c>
      <c r="C3727" s="7">
        <v>1.0</v>
      </c>
      <c r="D3727" s="7">
        <v>0.75</v>
      </c>
      <c r="E3727" s="7">
        <v>8.0</v>
      </c>
      <c r="F3727" s="7">
        <v>298972.370560646</v>
      </c>
      <c r="G3727" s="7">
        <v>299001.717480182</v>
      </c>
      <c r="H3727" s="7">
        <v>0.0</v>
      </c>
      <c r="I3727" s="15">
        <v>0.718067638822908</v>
      </c>
      <c r="J3727" s="15">
        <v>0.154017488737167</v>
      </c>
      <c r="K3727" s="12">
        <f>AVERAGE(I3727:I3731)</f>
        <v>0.3226181255</v>
      </c>
      <c r="L3727" s="18">
        <v>3370.0</v>
      </c>
      <c r="M3727" s="14">
        <f>STDEV(L3727:L3731)</f>
        <v>52420.10932</v>
      </c>
      <c r="N3727" s="15" t="b">
        <f t="shared" si="1"/>
        <v>0</v>
      </c>
    </row>
    <row r="3728" hidden="1">
      <c r="A3728" s="7" t="s">
        <v>754</v>
      </c>
      <c r="B3728" s="7" t="s">
        <v>519</v>
      </c>
      <c r="C3728" s="7">
        <v>1.0</v>
      </c>
      <c r="D3728" s="7">
        <v>0.75</v>
      </c>
      <c r="E3728" s="7">
        <v>8.0</v>
      </c>
      <c r="F3728" s="7">
        <v>298972.370560646</v>
      </c>
      <c r="G3728" s="7">
        <v>299001.717480182</v>
      </c>
      <c r="H3728" s="7">
        <v>1.0</v>
      </c>
      <c r="I3728" s="15">
        <v>-0.161543450824712</v>
      </c>
      <c r="J3728" s="15">
        <v>0.287645017425842</v>
      </c>
      <c r="K3728" s="12">
        <f>AVERAGE(I3727:I3731)</f>
        <v>0.3226181255</v>
      </c>
      <c r="L3728" s="18">
        <v>121971.0</v>
      </c>
      <c r="M3728" s="14">
        <f>STDEV(L3727:L3731)</f>
        <v>52420.10932</v>
      </c>
      <c r="N3728" s="15" t="b">
        <f t="shared" si="1"/>
        <v>0</v>
      </c>
    </row>
    <row r="3729" hidden="1">
      <c r="A3729" s="7" t="s">
        <v>754</v>
      </c>
      <c r="B3729" s="7" t="s">
        <v>519</v>
      </c>
      <c r="C3729" s="7">
        <v>1.0</v>
      </c>
      <c r="D3729" s="7">
        <v>0.75</v>
      </c>
      <c r="E3729" s="7">
        <v>8.0</v>
      </c>
      <c r="F3729" s="7">
        <v>298972.370560646</v>
      </c>
      <c r="G3729" s="7">
        <v>299001.717480182</v>
      </c>
      <c r="H3729" s="7">
        <v>2.0</v>
      </c>
      <c r="I3729" s="15">
        <v>0.128710725334176</v>
      </c>
      <c r="J3729" s="15">
        <v>0.0628615080088823</v>
      </c>
      <c r="K3729" s="12">
        <f>AVERAGE(I3727:I3731)</f>
        <v>0.3226181255</v>
      </c>
      <c r="L3729" s="18">
        <v>6680.0</v>
      </c>
      <c r="M3729" s="14">
        <f>STDEV(L3727:L3731)</f>
        <v>52420.10932</v>
      </c>
      <c r="N3729" s="15" t="b">
        <f t="shared" si="1"/>
        <v>0</v>
      </c>
    </row>
    <row r="3730" hidden="1">
      <c r="A3730" s="7" t="s">
        <v>754</v>
      </c>
      <c r="B3730" s="7" t="s">
        <v>519</v>
      </c>
      <c r="C3730" s="7">
        <v>1.0</v>
      </c>
      <c r="D3730" s="7">
        <v>0.75</v>
      </c>
      <c r="E3730" s="7">
        <v>8.0</v>
      </c>
      <c r="F3730" s="7">
        <v>298972.370560646</v>
      </c>
      <c r="G3730" s="7">
        <v>299001.717480182</v>
      </c>
      <c r="H3730" s="7">
        <v>3.0</v>
      </c>
      <c r="I3730" s="15">
        <v>0.186940011724289</v>
      </c>
      <c r="J3730" s="15">
        <v>0.0725169412176088</v>
      </c>
      <c r="K3730" s="12">
        <f>AVERAGE(I3727:I3731)</f>
        <v>0.3226181255</v>
      </c>
      <c r="L3730" s="18">
        <v>8459.0</v>
      </c>
      <c r="M3730" s="14">
        <f>STDEV(L3727:L3731)</f>
        <v>52420.10932</v>
      </c>
      <c r="N3730" s="15" t="b">
        <f t="shared" si="1"/>
        <v>0</v>
      </c>
    </row>
    <row r="3731" hidden="1">
      <c r="A3731" s="7" t="s">
        <v>754</v>
      </c>
      <c r="B3731" s="7" t="s">
        <v>519</v>
      </c>
      <c r="C3731" s="7">
        <v>1.0</v>
      </c>
      <c r="D3731" s="7">
        <v>0.75</v>
      </c>
      <c r="E3731" s="7">
        <v>8.0</v>
      </c>
      <c r="F3731" s="7">
        <v>298972.370560646</v>
      </c>
      <c r="G3731" s="7">
        <v>299001.717480182</v>
      </c>
      <c r="H3731" s="7">
        <v>4.0</v>
      </c>
      <c r="I3731" s="15">
        <v>0.740915702476188</v>
      </c>
      <c r="J3731" s="15">
        <v>0.150204897572973</v>
      </c>
      <c r="K3731" s="12">
        <f>AVERAGE(I3727:I3731)</f>
        <v>0.3226181255</v>
      </c>
      <c r="L3731" s="18">
        <v>1196.0</v>
      </c>
      <c r="M3731" s="14">
        <f>STDEV(L3727:L3731)</f>
        <v>52420.10932</v>
      </c>
      <c r="N3731" s="15" t="b">
        <f t="shared" si="1"/>
        <v>0</v>
      </c>
    </row>
    <row r="3732" hidden="1">
      <c r="A3732" s="7" t="s">
        <v>755</v>
      </c>
      <c r="B3732" s="7" t="s">
        <v>519</v>
      </c>
      <c r="C3732" s="7">
        <v>1.0</v>
      </c>
      <c r="D3732" s="7">
        <v>0.75</v>
      </c>
      <c r="E3732" s="7">
        <v>9.0</v>
      </c>
      <c r="F3732" s="7">
        <v>692546.342361927</v>
      </c>
      <c r="G3732" s="7">
        <v>692617.945101022</v>
      </c>
      <c r="H3732" s="7">
        <v>0.0</v>
      </c>
      <c r="I3732" s="15">
        <v>0.0343415929455048</v>
      </c>
      <c r="J3732" s="15">
        <v>0.152897583602746</v>
      </c>
      <c r="K3732" s="12">
        <f>AVERAGE(I3732:I3736)</f>
        <v>0.3671601493</v>
      </c>
      <c r="L3732" s="18">
        <v>118724.0</v>
      </c>
      <c r="M3732" s="14">
        <f>STDEV(L3732:L3736)</f>
        <v>50699.74656</v>
      </c>
      <c r="N3732" s="15" t="b">
        <f t="shared" si="1"/>
        <v>0</v>
      </c>
    </row>
    <row r="3733" hidden="1">
      <c r="A3733" s="7" t="s">
        <v>755</v>
      </c>
      <c r="B3733" s="7" t="s">
        <v>519</v>
      </c>
      <c r="C3733" s="7">
        <v>1.0</v>
      </c>
      <c r="D3733" s="7">
        <v>0.75</v>
      </c>
      <c r="E3733" s="7">
        <v>9.0</v>
      </c>
      <c r="F3733" s="7">
        <v>692546.342361927</v>
      </c>
      <c r="G3733" s="7">
        <v>692617.945101022</v>
      </c>
      <c r="H3733" s="7">
        <v>1.0</v>
      </c>
      <c r="I3733" s="15">
        <v>0.588167805791176</v>
      </c>
      <c r="J3733" s="15">
        <v>0.171124454272822</v>
      </c>
      <c r="K3733" s="12">
        <f>AVERAGE(I3732:I3736)</f>
        <v>0.3671601493</v>
      </c>
      <c r="L3733" s="18">
        <v>1458.0</v>
      </c>
      <c r="M3733" s="14">
        <f>STDEV(L3732:L3736)</f>
        <v>50699.74656</v>
      </c>
      <c r="N3733" s="15" t="b">
        <f t="shared" si="1"/>
        <v>0</v>
      </c>
    </row>
    <row r="3734" hidden="1">
      <c r="A3734" s="7" t="s">
        <v>755</v>
      </c>
      <c r="B3734" s="7" t="s">
        <v>519</v>
      </c>
      <c r="C3734" s="7">
        <v>1.0</v>
      </c>
      <c r="D3734" s="7">
        <v>0.75</v>
      </c>
      <c r="E3734" s="7">
        <v>9.0</v>
      </c>
      <c r="F3734" s="7">
        <v>692546.342361927</v>
      </c>
      <c r="G3734" s="7">
        <v>692617.945101022</v>
      </c>
      <c r="H3734" s="7">
        <v>2.0</v>
      </c>
      <c r="I3734" s="15">
        <v>0.353530337355102</v>
      </c>
      <c r="J3734" s="15">
        <v>0.0907346000823819</v>
      </c>
      <c r="K3734" s="12">
        <f>AVERAGE(I3732:I3736)</f>
        <v>0.3671601493</v>
      </c>
      <c r="L3734" s="18">
        <v>3998.0</v>
      </c>
      <c r="M3734" s="14">
        <f>STDEV(L3732:L3736)</f>
        <v>50699.74656</v>
      </c>
      <c r="N3734" s="15" t="b">
        <f t="shared" si="1"/>
        <v>0</v>
      </c>
    </row>
    <row r="3735" hidden="1">
      <c r="A3735" s="7" t="s">
        <v>755</v>
      </c>
      <c r="B3735" s="7" t="s">
        <v>519</v>
      </c>
      <c r="C3735" s="7">
        <v>1.0</v>
      </c>
      <c r="D3735" s="7">
        <v>0.75</v>
      </c>
      <c r="E3735" s="7">
        <v>9.0</v>
      </c>
      <c r="F3735" s="7">
        <v>692546.342361927</v>
      </c>
      <c r="G3735" s="7">
        <v>692617.945101022</v>
      </c>
      <c r="H3735" s="7">
        <v>3.0</v>
      </c>
      <c r="I3735" s="15">
        <v>0.769157660642685</v>
      </c>
      <c r="J3735" s="15">
        <v>0.112624391013241</v>
      </c>
      <c r="K3735" s="12">
        <f>AVERAGE(I3732:I3736)</f>
        <v>0.3671601493</v>
      </c>
      <c r="L3735" s="18">
        <v>12603.0</v>
      </c>
      <c r="M3735" s="14">
        <f>STDEV(L3732:L3736)</f>
        <v>50699.74656</v>
      </c>
      <c r="N3735" s="15" t="b">
        <f t="shared" si="1"/>
        <v>0</v>
      </c>
    </row>
    <row r="3736" hidden="1">
      <c r="A3736" s="7" t="s">
        <v>755</v>
      </c>
      <c r="B3736" s="7" t="s">
        <v>519</v>
      </c>
      <c r="C3736" s="7">
        <v>1.0</v>
      </c>
      <c r="D3736" s="7">
        <v>0.75</v>
      </c>
      <c r="E3736" s="7">
        <v>9.0</v>
      </c>
      <c r="F3736" s="7">
        <v>692546.342361927</v>
      </c>
      <c r="G3736" s="7">
        <v>692617.945101022</v>
      </c>
      <c r="H3736" s="7">
        <v>4.0</v>
      </c>
      <c r="I3736" s="15">
        <v>0.0906033496142807</v>
      </c>
      <c r="J3736" s="15">
        <v>0.103055941534861</v>
      </c>
      <c r="K3736" s="12">
        <f>AVERAGE(I3732:I3736)</f>
        <v>0.3671601493</v>
      </c>
      <c r="L3736" s="18">
        <v>4893.0</v>
      </c>
      <c r="M3736" s="14">
        <f>STDEV(L3732:L3736)</f>
        <v>50699.74656</v>
      </c>
      <c r="N3736" s="15" t="b">
        <f t="shared" si="1"/>
        <v>0</v>
      </c>
    </row>
    <row r="3737" hidden="1">
      <c r="A3737" s="7" t="s">
        <v>756</v>
      </c>
      <c r="B3737" s="7" t="s">
        <v>519</v>
      </c>
      <c r="C3737" s="7">
        <v>1.0</v>
      </c>
      <c r="D3737" s="7">
        <v>0.75</v>
      </c>
      <c r="E3737" s="7">
        <v>10.0</v>
      </c>
      <c r="F3737" s="7">
        <v>565365.784604072</v>
      </c>
      <c r="G3737" s="7">
        <v>565451.295764923</v>
      </c>
      <c r="H3737" s="7">
        <v>0.0</v>
      </c>
      <c r="I3737" s="15">
        <v>0.334669880292956</v>
      </c>
      <c r="J3737" s="15">
        <v>0.064027130258556</v>
      </c>
      <c r="K3737" s="12">
        <f>AVERAGE(I3737:I3741)</f>
        <v>0.3672742766</v>
      </c>
      <c r="L3737" s="18">
        <v>3991.0</v>
      </c>
      <c r="M3737" s="14">
        <f>STDEV(L3737:L3741)</f>
        <v>49621.91717</v>
      </c>
      <c r="N3737" s="15" t="b">
        <f t="shared" si="1"/>
        <v>0</v>
      </c>
    </row>
    <row r="3738" hidden="1">
      <c r="A3738" s="7" t="s">
        <v>756</v>
      </c>
      <c r="B3738" s="7" t="s">
        <v>519</v>
      </c>
      <c r="C3738" s="7">
        <v>1.0</v>
      </c>
      <c r="D3738" s="7">
        <v>0.75</v>
      </c>
      <c r="E3738" s="7">
        <v>10.0</v>
      </c>
      <c r="F3738" s="7">
        <v>565365.784604072</v>
      </c>
      <c r="G3738" s="7">
        <v>565451.295764923</v>
      </c>
      <c r="H3738" s="7">
        <v>1.0</v>
      </c>
      <c r="I3738" s="15">
        <v>0.333039978214662</v>
      </c>
      <c r="J3738" s="15">
        <v>0.078242888526861</v>
      </c>
      <c r="K3738" s="12">
        <f>AVERAGE(I3737:I3741)</f>
        <v>0.3672742766</v>
      </c>
      <c r="L3738" s="18">
        <v>3109.0</v>
      </c>
      <c r="M3738" s="14">
        <f>STDEV(L3737:L3741)</f>
        <v>49621.91717</v>
      </c>
      <c r="N3738" s="15" t="b">
        <f t="shared" si="1"/>
        <v>0</v>
      </c>
    </row>
    <row r="3739" hidden="1">
      <c r="A3739" s="7" t="s">
        <v>756</v>
      </c>
      <c r="B3739" s="7" t="s">
        <v>519</v>
      </c>
      <c r="C3739" s="7">
        <v>1.0</v>
      </c>
      <c r="D3739" s="7">
        <v>0.75</v>
      </c>
      <c r="E3739" s="7">
        <v>10.0</v>
      </c>
      <c r="F3739" s="7">
        <v>565365.784604072</v>
      </c>
      <c r="G3739" s="7">
        <v>565451.295764923</v>
      </c>
      <c r="H3739" s="7">
        <v>2.0</v>
      </c>
      <c r="I3739" s="15">
        <v>0.0448609944101586</v>
      </c>
      <c r="J3739" s="15">
        <v>0.0447693369393319</v>
      </c>
      <c r="K3739" s="12">
        <f>AVERAGE(I3737:I3741)</f>
        <v>0.3672742766</v>
      </c>
      <c r="L3739" s="18">
        <v>116628.0</v>
      </c>
      <c r="M3739" s="14">
        <f>STDEV(L3737:L3741)</f>
        <v>49621.91717</v>
      </c>
      <c r="N3739" s="15" t="b">
        <f t="shared" si="1"/>
        <v>0</v>
      </c>
    </row>
    <row r="3740" hidden="1">
      <c r="A3740" s="7" t="s">
        <v>756</v>
      </c>
      <c r="B3740" s="7" t="s">
        <v>519</v>
      </c>
      <c r="C3740" s="7">
        <v>1.0</v>
      </c>
      <c r="D3740" s="7">
        <v>0.75</v>
      </c>
      <c r="E3740" s="7">
        <v>10.0</v>
      </c>
      <c r="F3740" s="7">
        <v>565365.784604072</v>
      </c>
      <c r="G3740" s="7">
        <v>565451.295764923</v>
      </c>
      <c r="H3740" s="7">
        <v>3.0</v>
      </c>
      <c r="I3740" s="15">
        <v>0.815029919941407</v>
      </c>
      <c r="J3740" s="15">
        <v>0.0839993859953904</v>
      </c>
      <c r="K3740" s="12">
        <f>AVERAGE(I3737:I3741)</f>
        <v>0.3672742766</v>
      </c>
      <c r="L3740" s="18">
        <v>15098.0</v>
      </c>
      <c r="M3740" s="14">
        <f>STDEV(L3737:L3741)</f>
        <v>49621.91717</v>
      </c>
      <c r="N3740" s="15" t="b">
        <f t="shared" si="1"/>
        <v>0</v>
      </c>
    </row>
    <row r="3741" hidden="1">
      <c r="A3741" s="7" t="s">
        <v>756</v>
      </c>
      <c r="B3741" s="7" t="s">
        <v>519</v>
      </c>
      <c r="C3741" s="7">
        <v>1.0</v>
      </c>
      <c r="D3741" s="7">
        <v>0.75</v>
      </c>
      <c r="E3741" s="7">
        <v>10.0</v>
      </c>
      <c r="F3741" s="7">
        <v>565365.784604072</v>
      </c>
      <c r="G3741" s="7">
        <v>565451.295764923</v>
      </c>
      <c r="H3741" s="7">
        <v>4.0</v>
      </c>
      <c r="I3741" s="15">
        <v>0.308770610296527</v>
      </c>
      <c r="J3741" s="15">
        <v>0.122010860457708</v>
      </c>
      <c r="K3741" s="12">
        <f>AVERAGE(I3737:I3741)</f>
        <v>0.3672742766</v>
      </c>
      <c r="L3741" s="18">
        <v>2850.0</v>
      </c>
      <c r="M3741" s="14">
        <f>STDEV(L3737:L3741)</f>
        <v>49621.91717</v>
      </c>
      <c r="N3741" s="15" t="b">
        <f t="shared" si="1"/>
        <v>0</v>
      </c>
    </row>
    <row r="3742" hidden="1">
      <c r="A3742" s="7" t="s">
        <v>757</v>
      </c>
      <c r="B3742" s="7" t="s">
        <v>519</v>
      </c>
      <c r="C3742" s="7">
        <v>1.0</v>
      </c>
      <c r="D3742" s="7">
        <v>1.0</v>
      </c>
      <c r="E3742" s="7">
        <v>1.0</v>
      </c>
      <c r="F3742" s="7">
        <v>249526.761805057</v>
      </c>
      <c r="G3742" s="7">
        <v>249562.024068355</v>
      </c>
      <c r="H3742" s="7">
        <v>0.0</v>
      </c>
      <c r="I3742" s="15">
        <v>0.0127861459024303</v>
      </c>
      <c r="J3742" s="15">
        <v>0.0911120258470959</v>
      </c>
      <c r="K3742" s="12">
        <f>AVERAGE(I3742:I3746)</f>
        <v>0.2737573566</v>
      </c>
      <c r="L3742" s="18">
        <v>2573.0</v>
      </c>
      <c r="M3742" s="14">
        <f>STDEV(L3742:L3746)</f>
        <v>57841.0259</v>
      </c>
      <c r="N3742" s="15" t="b">
        <f t="shared" si="1"/>
        <v>0</v>
      </c>
    </row>
    <row r="3743" hidden="1">
      <c r="A3743" s="7" t="s">
        <v>757</v>
      </c>
      <c r="B3743" s="7" t="s">
        <v>519</v>
      </c>
      <c r="C3743" s="7">
        <v>1.0</v>
      </c>
      <c r="D3743" s="7">
        <v>1.0</v>
      </c>
      <c r="E3743" s="7">
        <v>1.0</v>
      </c>
      <c r="F3743" s="7">
        <v>249526.761805057</v>
      </c>
      <c r="G3743" s="7">
        <v>249562.024068355</v>
      </c>
      <c r="H3743" s="7">
        <v>1.0</v>
      </c>
      <c r="I3743" s="15">
        <v>0.161062766038895</v>
      </c>
      <c r="J3743" s="15">
        <v>0.0738892655735833</v>
      </c>
      <c r="K3743" s="12">
        <f>AVERAGE(I3742:I3746)</f>
        <v>0.2737573566</v>
      </c>
      <c r="L3743" s="18">
        <v>5901.0</v>
      </c>
      <c r="M3743" s="14">
        <f>STDEV(L3742:L3746)</f>
        <v>57841.0259</v>
      </c>
      <c r="N3743" s="15" t="b">
        <f t="shared" si="1"/>
        <v>0</v>
      </c>
    </row>
    <row r="3744" hidden="1">
      <c r="A3744" s="7" t="s">
        <v>757</v>
      </c>
      <c r="B3744" s="7" t="s">
        <v>519</v>
      </c>
      <c r="C3744" s="7">
        <v>1.0</v>
      </c>
      <c r="D3744" s="7">
        <v>1.0</v>
      </c>
      <c r="E3744" s="7">
        <v>1.0</v>
      </c>
      <c r="F3744" s="7">
        <v>249526.761805057</v>
      </c>
      <c r="G3744" s="7">
        <v>249562.024068355</v>
      </c>
      <c r="H3744" s="7">
        <v>2.0</v>
      </c>
      <c r="I3744" s="15">
        <v>0.840391772793495</v>
      </c>
      <c r="J3744" s="15">
        <v>0.0846016972697958</v>
      </c>
      <c r="K3744" s="12">
        <f>AVERAGE(I3742:I3746)</f>
        <v>0.2737573566</v>
      </c>
      <c r="L3744" s="18">
        <v>482.0</v>
      </c>
      <c r="M3744" s="14">
        <f>STDEV(L3742:L3746)</f>
        <v>57841.0259</v>
      </c>
      <c r="N3744" s="15" t="b">
        <f t="shared" si="1"/>
        <v>0</v>
      </c>
    </row>
    <row r="3745" hidden="1">
      <c r="A3745" s="7" t="s">
        <v>757</v>
      </c>
      <c r="B3745" s="7" t="s">
        <v>519</v>
      </c>
      <c r="C3745" s="7">
        <v>1.0</v>
      </c>
      <c r="D3745" s="7">
        <v>1.0</v>
      </c>
      <c r="E3745" s="7">
        <v>1.0</v>
      </c>
      <c r="F3745" s="7">
        <v>249526.761805057</v>
      </c>
      <c r="G3745" s="7">
        <v>249562.024068355</v>
      </c>
      <c r="H3745" s="7">
        <v>3.0</v>
      </c>
      <c r="I3745" s="15">
        <v>0.00906644145357723</v>
      </c>
      <c r="J3745" s="15">
        <v>0.084065495094489</v>
      </c>
      <c r="K3745" s="12">
        <f>AVERAGE(I3742:I3746)</f>
        <v>0.2737573566</v>
      </c>
      <c r="L3745" s="18">
        <v>131735.0</v>
      </c>
      <c r="M3745" s="14">
        <f>STDEV(L3742:L3746)</f>
        <v>57841.0259</v>
      </c>
      <c r="N3745" s="15" t="b">
        <f t="shared" si="1"/>
        <v>0</v>
      </c>
    </row>
    <row r="3746" hidden="1">
      <c r="A3746" s="7" t="s">
        <v>757</v>
      </c>
      <c r="B3746" s="7" t="s">
        <v>519</v>
      </c>
      <c r="C3746" s="7">
        <v>1.0</v>
      </c>
      <c r="D3746" s="7">
        <v>1.0</v>
      </c>
      <c r="E3746" s="7">
        <v>1.0</v>
      </c>
      <c r="F3746" s="7">
        <v>249526.761805057</v>
      </c>
      <c r="G3746" s="7">
        <v>249562.024068355</v>
      </c>
      <c r="H3746" s="7">
        <v>4.0</v>
      </c>
      <c r="I3746" s="15">
        <v>0.345479656629598</v>
      </c>
      <c r="J3746" s="15">
        <v>0.0516951904700978</v>
      </c>
      <c r="K3746" s="12">
        <f>AVERAGE(I3742:I3746)</f>
        <v>0.2737573566</v>
      </c>
      <c r="L3746" s="18">
        <v>985.0</v>
      </c>
      <c r="M3746" s="14">
        <f>STDEV(L3742:L3746)</f>
        <v>57841.0259</v>
      </c>
      <c r="N3746" s="15" t="b">
        <f t="shared" si="1"/>
        <v>0</v>
      </c>
    </row>
    <row r="3747" hidden="1">
      <c r="A3747" s="7" t="s">
        <v>758</v>
      </c>
      <c r="B3747" s="7" t="s">
        <v>519</v>
      </c>
      <c r="C3747" s="7">
        <v>1.0</v>
      </c>
      <c r="D3747" s="7">
        <v>1.0</v>
      </c>
      <c r="E3747" s="7">
        <v>2.0</v>
      </c>
      <c r="F3747" s="7">
        <v>382427.986510276</v>
      </c>
      <c r="G3747" s="7">
        <v>382453.663122892</v>
      </c>
      <c r="H3747" s="7">
        <v>0.0</v>
      </c>
      <c r="I3747" s="15">
        <v>0.302498372081207</v>
      </c>
      <c r="J3747" s="15">
        <v>0.114142296272192</v>
      </c>
      <c r="K3747" s="12">
        <f>AVERAGE(I3747:I3751)</f>
        <v>0.3746118351</v>
      </c>
      <c r="L3747" s="18">
        <v>3094.0</v>
      </c>
      <c r="M3747" s="14">
        <f>STDEV(L3747:L3751)</f>
        <v>53841.48939</v>
      </c>
      <c r="N3747" s="15" t="b">
        <f t="shared" si="1"/>
        <v>0</v>
      </c>
    </row>
    <row r="3748" hidden="1">
      <c r="A3748" s="7" t="s">
        <v>758</v>
      </c>
      <c r="B3748" s="7" t="s">
        <v>519</v>
      </c>
      <c r="C3748" s="7">
        <v>1.0</v>
      </c>
      <c r="D3748" s="7">
        <v>1.0</v>
      </c>
      <c r="E3748" s="7">
        <v>2.0</v>
      </c>
      <c r="F3748" s="7">
        <v>382427.986510276</v>
      </c>
      <c r="G3748" s="7">
        <v>382453.663122892</v>
      </c>
      <c r="H3748" s="7">
        <v>1.0</v>
      </c>
      <c r="I3748" s="15">
        <v>0.314335089976195</v>
      </c>
      <c r="J3748" s="15">
        <v>0.138108331546103</v>
      </c>
      <c r="K3748" s="12">
        <f>AVERAGE(I3747:I3751)</f>
        <v>0.3746118351</v>
      </c>
      <c r="L3748" s="18">
        <v>2826.0</v>
      </c>
      <c r="M3748" s="14">
        <f>STDEV(L3747:L3751)</f>
        <v>53841.48939</v>
      </c>
      <c r="N3748" s="15" t="b">
        <f t="shared" si="1"/>
        <v>0</v>
      </c>
    </row>
    <row r="3749" hidden="1">
      <c r="A3749" s="7" t="s">
        <v>758</v>
      </c>
      <c r="B3749" s="7" t="s">
        <v>519</v>
      </c>
      <c r="C3749" s="7">
        <v>1.0</v>
      </c>
      <c r="D3749" s="7">
        <v>1.0</v>
      </c>
      <c r="E3749" s="7">
        <v>2.0</v>
      </c>
      <c r="F3749" s="7">
        <v>382427.986510276</v>
      </c>
      <c r="G3749" s="7">
        <v>382453.663122892</v>
      </c>
      <c r="H3749" s="7">
        <v>2.0</v>
      </c>
      <c r="I3749" s="15">
        <v>0.0634352689578747</v>
      </c>
      <c r="J3749" s="15">
        <v>0.0493065374032899</v>
      </c>
      <c r="K3749" s="12">
        <f>AVERAGE(I3747:I3751)</f>
        <v>0.3746118351</v>
      </c>
      <c r="L3749" s="18">
        <v>124600.0</v>
      </c>
      <c r="M3749" s="14">
        <f>STDEV(L3747:L3751)</f>
        <v>53841.48939</v>
      </c>
      <c r="N3749" s="15" t="b">
        <f t="shared" si="1"/>
        <v>0</v>
      </c>
    </row>
    <row r="3750" hidden="1">
      <c r="A3750" s="7" t="s">
        <v>758</v>
      </c>
      <c r="B3750" s="7" t="s">
        <v>519</v>
      </c>
      <c r="C3750" s="7">
        <v>1.0</v>
      </c>
      <c r="D3750" s="7">
        <v>1.0</v>
      </c>
      <c r="E3750" s="7">
        <v>2.0</v>
      </c>
      <c r="F3750" s="7">
        <v>382427.986510276</v>
      </c>
      <c r="G3750" s="7">
        <v>382453.663122892</v>
      </c>
      <c r="H3750" s="7">
        <v>3.0</v>
      </c>
      <c r="I3750" s="15">
        <v>0.830616183817645</v>
      </c>
      <c r="J3750" s="15">
        <v>0.0888533720007095</v>
      </c>
      <c r="K3750" s="12">
        <f>AVERAGE(I3747:I3751)</f>
        <v>0.3746118351</v>
      </c>
      <c r="L3750" s="18">
        <v>7174.0</v>
      </c>
      <c r="M3750" s="14">
        <f>STDEV(L3747:L3751)</f>
        <v>53841.48939</v>
      </c>
      <c r="N3750" s="15" t="b">
        <f t="shared" si="1"/>
        <v>0</v>
      </c>
    </row>
    <row r="3751" hidden="1">
      <c r="A3751" s="7" t="s">
        <v>758</v>
      </c>
      <c r="B3751" s="7" t="s">
        <v>519</v>
      </c>
      <c r="C3751" s="7">
        <v>1.0</v>
      </c>
      <c r="D3751" s="7">
        <v>1.0</v>
      </c>
      <c r="E3751" s="7">
        <v>2.0</v>
      </c>
      <c r="F3751" s="7">
        <v>382427.986510276</v>
      </c>
      <c r="G3751" s="7">
        <v>382453.663122892</v>
      </c>
      <c r="H3751" s="7">
        <v>4.0</v>
      </c>
      <c r="I3751" s="15">
        <v>0.362174260505558</v>
      </c>
      <c r="J3751" s="15">
        <v>0.0814479252080188</v>
      </c>
      <c r="K3751" s="12">
        <f>AVERAGE(I3747:I3751)</f>
        <v>0.3746118351</v>
      </c>
      <c r="L3751" s="18">
        <v>3982.0</v>
      </c>
      <c r="M3751" s="14">
        <f>STDEV(L3747:L3751)</f>
        <v>53841.48939</v>
      </c>
      <c r="N3751" s="15" t="b">
        <f t="shared" si="1"/>
        <v>0</v>
      </c>
    </row>
    <row r="3752" hidden="1">
      <c r="A3752" s="7" t="s">
        <v>759</v>
      </c>
      <c r="B3752" s="7" t="s">
        <v>519</v>
      </c>
      <c r="C3752" s="7">
        <v>1.0</v>
      </c>
      <c r="D3752" s="7">
        <v>1.0</v>
      </c>
      <c r="E3752" s="7">
        <v>3.0</v>
      </c>
      <c r="F3752" s="7">
        <v>290597.295782566</v>
      </c>
      <c r="G3752" s="7">
        <v>290628.335658788</v>
      </c>
      <c r="H3752" s="7">
        <v>0.0</v>
      </c>
      <c r="I3752" s="15">
        <v>0.0404374507120608</v>
      </c>
      <c r="J3752" s="15">
        <v>0.0687104382281128</v>
      </c>
      <c r="K3752" s="12">
        <f>AVERAGE(I3752:I3756)</f>
        <v>0.2888403864</v>
      </c>
      <c r="L3752" s="18">
        <v>131718.0</v>
      </c>
      <c r="M3752" s="14">
        <f>STDEV(L3752:L3756)</f>
        <v>57829.89733</v>
      </c>
      <c r="N3752" s="15" t="b">
        <f t="shared" si="1"/>
        <v>0</v>
      </c>
    </row>
    <row r="3753" hidden="1">
      <c r="A3753" s="7" t="s">
        <v>759</v>
      </c>
      <c r="B3753" s="7" t="s">
        <v>519</v>
      </c>
      <c r="C3753" s="7">
        <v>1.0</v>
      </c>
      <c r="D3753" s="7">
        <v>1.0</v>
      </c>
      <c r="E3753" s="7">
        <v>3.0</v>
      </c>
      <c r="F3753" s="7">
        <v>290597.295782566</v>
      </c>
      <c r="G3753" s="7">
        <v>290628.335658788</v>
      </c>
      <c r="H3753" s="7">
        <v>1.0</v>
      </c>
      <c r="I3753" s="15">
        <v>0.16063386113624</v>
      </c>
      <c r="J3753" s="15">
        <v>0.0868311441323989</v>
      </c>
      <c r="K3753" s="12">
        <f>AVERAGE(I3752:I3756)</f>
        <v>0.2888403864</v>
      </c>
      <c r="L3753" s="18">
        <v>5916.0</v>
      </c>
      <c r="M3753" s="14">
        <f>STDEV(L3752:L3756)</f>
        <v>57829.89733</v>
      </c>
      <c r="N3753" s="15" t="b">
        <f t="shared" si="1"/>
        <v>0</v>
      </c>
    </row>
    <row r="3754" hidden="1">
      <c r="A3754" s="7" t="s">
        <v>759</v>
      </c>
      <c r="B3754" s="7" t="s">
        <v>519</v>
      </c>
      <c r="C3754" s="7">
        <v>1.0</v>
      </c>
      <c r="D3754" s="7">
        <v>1.0</v>
      </c>
      <c r="E3754" s="7">
        <v>3.0</v>
      </c>
      <c r="F3754" s="7">
        <v>290597.295782566</v>
      </c>
      <c r="G3754" s="7">
        <v>290628.335658788</v>
      </c>
      <c r="H3754" s="7">
        <v>2.0</v>
      </c>
      <c r="I3754" s="15">
        <v>0.921414617757189</v>
      </c>
      <c r="J3754" s="15">
        <v>0.022937375156072</v>
      </c>
      <c r="K3754" s="12">
        <f>AVERAGE(I3752:I3756)</f>
        <v>0.2888403864</v>
      </c>
      <c r="L3754" s="18">
        <v>366.0</v>
      </c>
      <c r="M3754" s="14">
        <f>STDEV(L3752:L3756)</f>
        <v>57829.89733</v>
      </c>
      <c r="N3754" s="15" t="b">
        <f t="shared" si="1"/>
        <v>0</v>
      </c>
    </row>
    <row r="3755" hidden="1">
      <c r="A3755" s="7" t="s">
        <v>759</v>
      </c>
      <c r="B3755" s="7" t="s">
        <v>519</v>
      </c>
      <c r="C3755" s="7">
        <v>1.0</v>
      </c>
      <c r="D3755" s="7">
        <v>1.0</v>
      </c>
      <c r="E3755" s="7">
        <v>3.0</v>
      </c>
      <c r="F3755" s="7">
        <v>290597.295782566</v>
      </c>
      <c r="G3755" s="7">
        <v>290628.335658788</v>
      </c>
      <c r="H3755" s="7">
        <v>3.0</v>
      </c>
      <c r="I3755" s="15">
        <v>0.151178440558011</v>
      </c>
      <c r="J3755" s="15">
        <v>0.0996941623653588</v>
      </c>
      <c r="K3755" s="12">
        <f>AVERAGE(I3752:I3756)</f>
        <v>0.2888403864</v>
      </c>
      <c r="L3755" s="18">
        <v>2044.0</v>
      </c>
      <c r="M3755" s="14">
        <f>STDEV(L3752:L3756)</f>
        <v>57829.89733</v>
      </c>
      <c r="N3755" s="15" t="b">
        <f t="shared" si="1"/>
        <v>0</v>
      </c>
    </row>
    <row r="3756" hidden="1">
      <c r="A3756" s="7" t="s">
        <v>759</v>
      </c>
      <c r="B3756" s="7" t="s">
        <v>519</v>
      </c>
      <c r="C3756" s="7">
        <v>1.0</v>
      </c>
      <c r="D3756" s="7">
        <v>1.0</v>
      </c>
      <c r="E3756" s="7">
        <v>3.0</v>
      </c>
      <c r="F3756" s="7">
        <v>290597.295782566</v>
      </c>
      <c r="G3756" s="7">
        <v>290628.335658788</v>
      </c>
      <c r="H3756" s="7">
        <v>4.0</v>
      </c>
      <c r="I3756" s="15">
        <v>0.170537561827193</v>
      </c>
      <c r="J3756" s="15">
        <v>0.0563474753443752</v>
      </c>
      <c r="K3756" s="12">
        <f>AVERAGE(I3752:I3756)</f>
        <v>0.2888403864</v>
      </c>
      <c r="L3756" s="18">
        <v>1632.0</v>
      </c>
      <c r="M3756" s="14">
        <f>STDEV(L3752:L3756)</f>
        <v>57829.89733</v>
      </c>
      <c r="N3756" s="15" t="b">
        <f t="shared" si="1"/>
        <v>0</v>
      </c>
    </row>
    <row r="3757" hidden="1">
      <c r="A3757" s="7" t="s">
        <v>760</v>
      </c>
      <c r="B3757" s="7" t="s">
        <v>519</v>
      </c>
      <c r="C3757" s="7">
        <v>1.0</v>
      </c>
      <c r="D3757" s="7">
        <v>1.0</v>
      </c>
      <c r="E3757" s="7">
        <v>4.0</v>
      </c>
      <c r="F3757" s="7">
        <v>271807.097122669</v>
      </c>
      <c r="G3757" s="7">
        <v>271839.112937212</v>
      </c>
      <c r="H3757" s="7">
        <v>0.0</v>
      </c>
      <c r="I3757" s="15">
        <v>0.608551299875435</v>
      </c>
      <c r="J3757" s="15">
        <v>0.142746023417969</v>
      </c>
      <c r="K3757" s="12">
        <f>AVERAGE(I3757:I3761)</f>
        <v>0.3081451142</v>
      </c>
      <c r="L3757" s="18">
        <v>142.0</v>
      </c>
      <c r="M3757" s="14">
        <f>STDEV(L3757:L3761)</f>
        <v>57774.89677</v>
      </c>
      <c r="N3757" s="15" t="b">
        <f t="shared" si="1"/>
        <v>0</v>
      </c>
    </row>
    <row r="3758" hidden="1">
      <c r="A3758" s="7" t="s">
        <v>760</v>
      </c>
      <c r="B3758" s="7" t="s">
        <v>519</v>
      </c>
      <c r="C3758" s="7">
        <v>1.0</v>
      </c>
      <c r="D3758" s="7">
        <v>1.0</v>
      </c>
      <c r="E3758" s="7">
        <v>4.0</v>
      </c>
      <c r="F3758" s="7">
        <v>271807.097122669</v>
      </c>
      <c r="G3758" s="7">
        <v>271839.112937212</v>
      </c>
      <c r="H3758" s="7">
        <v>1.0</v>
      </c>
      <c r="I3758" s="15">
        <v>0.33137264061082</v>
      </c>
      <c r="J3758" s="15">
        <v>0.103626515467435</v>
      </c>
      <c r="K3758" s="12">
        <f>AVERAGE(I3757:I3761)</f>
        <v>0.3081451142</v>
      </c>
      <c r="L3758" s="18">
        <v>2851.0</v>
      </c>
      <c r="M3758" s="14">
        <f>STDEV(L3757:L3761)</f>
        <v>57774.89677</v>
      </c>
      <c r="N3758" s="15" t="b">
        <f t="shared" si="1"/>
        <v>0</v>
      </c>
    </row>
    <row r="3759" hidden="1">
      <c r="A3759" s="7" t="s">
        <v>760</v>
      </c>
      <c r="B3759" s="7" t="s">
        <v>519</v>
      </c>
      <c r="C3759" s="7">
        <v>1.0</v>
      </c>
      <c r="D3759" s="7">
        <v>1.0</v>
      </c>
      <c r="E3759" s="7">
        <v>4.0</v>
      </c>
      <c r="F3759" s="7">
        <v>271807.097122669</v>
      </c>
      <c r="G3759" s="7">
        <v>271839.112937212</v>
      </c>
      <c r="H3759" s="7">
        <v>2.0</v>
      </c>
      <c r="I3759" s="15">
        <v>0.204904173957191</v>
      </c>
      <c r="J3759" s="15">
        <v>0.0522772605980794</v>
      </c>
      <c r="K3759" s="12">
        <f>AVERAGE(I3757:I3761)</f>
        <v>0.3081451142</v>
      </c>
      <c r="L3759" s="18">
        <v>3894.0</v>
      </c>
      <c r="M3759" s="14">
        <f>STDEV(L3757:L3761)</f>
        <v>57774.89677</v>
      </c>
      <c r="N3759" s="15" t="b">
        <f t="shared" si="1"/>
        <v>0</v>
      </c>
    </row>
    <row r="3760" hidden="1">
      <c r="A3760" s="7" t="s">
        <v>760</v>
      </c>
      <c r="B3760" s="7" t="s">
        <v>519</v>
      </c>
      <c r="C3760" s="7">
        <v>1.0</v>
      </c>
      <c r="D3760" s="7">
        <v>1.0</v>
      </c>
      <c r="E3760" s="7">
        <v>4.0</v>
      </c>
      <c r="F3760" s="7">
        <v>271807.097122669</v>
      </c>
      <c r="G3760" s="7">
        <v>271839.112937212</v>
      </c>
      <c r="H3760" s="7">
        <v>3.0</v>
      </c>
      <c r="I3760" s="15">
        <v>0.341519380318163</v>
      </c>
      <c r="J3760" s="15">
        <v>0.0775767739622525</v>
      </c>
      <c r="K3760" s="12">
        <f>AVERAGE(I3757:I3761)</f>
        <v>0.3081451142</v>
      </c>
      <c r="L3760" s="18">
        <v>3134.0</v>
      </c>
      <c r="M3760" s="14">
        <f>STDEV(L3757:L3761)</f>
        <v>57774.89677</v>
      </c>
      <c r="N3760" s="15" t="b">
        <f t="shared" si="1"/>
        <v>0</v>
      </c>
    </row>
    <row r="3761" hidden="1">
      <c r="A3761" s="7" t="s">
        <v>760</v>
      </c>
      <c r="B3761" s="7" t="s">
        <v>519</v>
      </c>
      <c r="C3761" s="7">
        <v>1.0</v>
      </c>
      <c r="D3761" s="7">
        <v>1.0</v>
      </c>
      <c r="E3761" s="7">
        <v>4.0</v>
      </c>
      <c r="F3761" s="7">
        <v>271807.097122669</v>
      </c>
      <c r="G3761" s="7">
        <v>271839.112937212</v>
      </c>
      <c r="H3761" s="7">
        <v>4.0</v>
      </c>
      <c r="I3761" s="15">
        <v>0.0543780761818427</v>
      </c>
      <c r="J3761" s="15">
        <v>0.0967949437269295</v>
      </c>
      <c r="K3761" s="12">
        <f>AVERAGE(I3757:I3761)</f>
        <v>0.3081451142</v>
      </c>
      <c r="L3761" s="18">
        <v>131655.0</v>
      </c>
      <c r="M3761" s="14">
        <f>STDEV(L3757:L3761)</f>
        <v>57774.89677</v>
      </c>
      <c r="N3761" s="15" t="b">
        <f t="shared" si="1"/>
        <v>0</v>
      </c>
    </row>
    <row r="3762" hidden="1">
      <c r="A3762" s="7" t="s">
        <v>761</v>
      </c>
      <c r="B3762" s="7" t="s">
        <v>519</v>
      </c>
      <c r="C3762" s="7">
        <v>1.0</v>
      </c>
      <c r="D3762" s="7">
        <v>1.0</v>
      </c>
      <c r="E3762" s="7">
        <v>5.0</v>
      </c>
      <c r="F3762" s="7">
        <v>248278.498148679</v>
      </c>
      <c r="G3762" s="7">
        <v>248316.815762519</v>
      </c>
      <c r="H3762" s="7">
        <v>0.0</v>
      </c>
      <c r="I3762" s="15">
        <v>0.920375438700602</v>
      </c>
      <c r="J3762" s="15">
        <v>0.0232356552749035</v>
      </c>
      <c r="K3762" s="12">
        <f>AVERAGE(I3762:I3766)</f>
        <v>0.3207361889</v>
      </c>
      <c r="L3762" s="18">
        <v>366.0</v>
      </c>
      <c r="M3762" s="14">
        <f>STDEV(L3762:L3766)</f>
        <v>57828.88408</v>
      </c>
      <c r="N3762" s="15" t="b">
        <f t="shared" si="1"/>
        <v>0</v>
      </c>
    </row>
    <row r="3763" hidden="1">
      <c r="A3763" s="7" t="s">
        <v>761</v>
      </c>
      <c r="B3763" s="7" t="s">
        <v>519</v>
      </c>
      <c r="C3763" s="7">
        <v>1.0</v>
      </c>
      <c r="D3763" s="7">
        <v>1.0</v>
      </c>
      <c r="E3763" s="7">
        <v>5.0</v>
      </c>
      <c r="F3763" s="7">
        <v>248278.498148679</v>
      </c>
      <c r="G3763" s="7">
        <v>248316.815762519</v>
      </c>
      <c r="H3763" s="7">
        <v>1.0</v>
      </c>
      <c r="I3763" s="15">
        <v>0.0637652187696266</v>
      </c>
      <c r="J3763" s="15">
        <v>0.0606468584048768</v>
      </c>
      <c r="K3763" s="12">
        <f>AVERAGE(I3762:I3766)</f>
        <v>0.3207361889</v>
      </c>
      <c r="L3763" s="18">
        <v>3055.0</v>
      </c>
      <c r="M3763" s="14">
        <f>STDEV(L3762:L3766)</f>
        <v>57828.88408</v>
      </c>
      <c r="N3763" s="15" t="b">
        <f t="shared" si="1"/>
        <v>0</v>
      </c>
    </row>
    <row r="3764" hidden="1">
      <c r="A3764" s="7" t="s">
        <v>761</v>
      </c>
      <c r="B3764" s="7" t="s">
        <v>519</v>
      </c>
      <c r="C3764" s="7">
        <v>1.0</v>
      </c>
      <c r="D3764" s="7">
        <v>1.0</v>
      </c>
      <c r="E3764" s="7">
        <v>5.0</v>
      </c>
      <c r="F3764" s="7">
        <v>248278.498148679</v>
      </c>
      <c r="G3764" s="7">
        <v>248316.815762519</v>
      </c>
      <c r="H3764" s="7">
        <v>2.0</v>
      </c>
      <c r="I3764" s="15">
        <v>0.163523207393177</v>
      </c>
      <c r="J3764" s="15">
        <v>0.0848672359029419</v>
      </c>
      <c r="K3764" s="12">
        <f>AVERAGE(I3762:I3766)</f>
        <v>0.3207361889</v>
      </c>
      <c r="L3764" s="18">
        <v>5897.0</v>
      </c>
      <c r="M3764" s="14">
        <f>STDEV(L3762:L3766)</f>
        <v>57828.88408</v>
      </c>
      <c r="N3764" s="15" t="b">
        <f t="shared" si="1"/>
        <v>0</v>
      </c>
    </row>
    <row r="3765" hidden="1">
      <c r="A3765" s="7" t="s">
        <v>761</v>
      </c>
      <c r="B3765" s="7" t="s">
        <v>519</v>
      </c>
      <c r="C3765" s="7">
        <v>1.0</v>
      </c>
      <c r="D3765" s="7">
        <v>1.0</v>
      </c>
      <c r="E3765" s="7">
        <v>5.0</v>
      </c>
      <c r="F3765" s="7">
        <v>248278.498148679</v>
      </c>
      <c r="G3765" s="7">
        <v>248316.815762519</v>
      </c>
      <c r="H3765" s="7">
        <v>3.0</v>
      </c>
      <c r="I3765" s="15">
        <v>0.425075544792775</v>
      </c>
      <c r="J3765" s="15">
        <v>0.0465010850566049</v>
      </c>
      <c r="K3765" s="12">
        <f>AVERAGE(I3762:I3766)</f>
        <v>0.3207361889</v>
      </c>
      <c r="L3765" s="18">
        <v>652.0</v>
      </c>
      <c r="M3765" s="14">
        <f>STDEV(L3762:L3766)</f>
        <v>57828.88408</v>
      </c>
      <c r="N3765" s="15" t="b">
        <f t="shared" si="1"/>
        <v>0</v>
      </c>
    </row>
    <row r="3766" hidden="1">
      <c r="A3766" s="7" t="s">
        <v>761</v>
      </c>
      <c r="B3766" s="7" t="s">
        <v>519</v>
      </c>
      <c r="C3766" s="7">
        <v>1.0</v>
      </c>
      <c r="D3766" s="7">
        <v>1.0</v>
      </c>
      <c r="E3766" s="7">
        <v>5.0</v>
      </c>
      <c r="F3766" s="7">
        <v>248278.498148679</v>
      </c>
      <c r="G3766" s="7">
        <v>248316.815762519</v>
      </c>
      <c r="H3766" s="7">
        <v>4.0</v>
      </c>
      <c r="I3766" s="15">
        <v>0.0309415350134613</v>
      </c>
      <c r="J3766" s="15">
        <v>0.0752700017804026</v>
      </c>
      <c r="K3766" s="12">
        <f>AVERAGE(I3762:I3766)</f>
        <v>0.3207361889</v>
      </c>
      <c r="L3766" s="18">
        <v>131706.0</v>
      </c>
      <c r="M3766" s="14">
        <f>STDEV(L3762:L3766)</f>
        <v>57828.88408</v>
      </c>
      <c r="N3766" s="15" t="b">
        <f t="shared" si="1"/>
        <v>0</v>
      </c>
    </row>
    <row r="3767" hidden="1">
      <c r="A3767" s="7" t="s">
        <v>762</v>
      </c>
      <c r="B3767" s="7" t="s">
        <v>519</v>
      </c>
      <c r="C3767" s="7">
        <v>1.0</v>
      </c>
      <c r="D3767" s="7">
        <v>1.0</v>
      </c>
      <c r="E3767" s="7">
        <v>6.0</v>
      </c>
      <c r="F3767" s="7">
        <v>252316.944482326</v>
      </c>
      <c r="G3767" s="7">
        <v>252350.442779064</v>
      </c>
      <c r="H3767" s="7">
        <v>0.0</v>
      </c>
      <c r="I3767" s="15">
        <v>0.443442809513732</v>
      </c>
      <c r="J3767" s="15">
        <v>0.137985078288607</v>
      </c>
      <c r="K3767" s="12">
        <f>AVERAGE(I3767:I3771)</f>
        <v>0.2466549606</v>
      </c>
      <c r="L3767" s="18">
        <v>926.0</v>
      </c>
      <c r="M3767" s="14">
        <f>STDEV(L3767:L3771)</f>
        <v>57843.91234</v>
      </c>
      <c r="N3767" s="15" t="b">
        <f t="shared" si="1"/>
        <v>0</v>
      </c>
    </row>
    <row r="3768" hidden="1">
      <c r="A3768" s="7" t="s">
        <v>762</v>
      </c>
      <c r="B3768" s="7" t="s">
        <v>519</v>
      </c>
      <c r="C3768" s="7">
        <v>1.0</v>
      </c>
      <c r="D3768" s="7">
        <v>1.0</v>
      </c>
      <c r="E3768" s="7">
        <v>6.0</v>
      </c>
      <c r="F3768" s="7">
        <v>252316.944482326</v>
      </c>
      <c r="G3768" s="7">
        <v>252350.442779064</v>
      </c>
      <c r="H3768" s="7">
        <v>1.0</v>
      </c>
      <c r="I3768" s="15">
        <v>0.104020326375068</v>
      </c>
      <c r="J3768" s="15">
        <v>0.0601578946967908</v>
      </c>
      <c r="K3768" s="12">
        <f>AVERAGE(I3767:I3771)</f>
        <v>0.2466549606</v>
      </c>
      <c r="L3768" s="18">
        <v>3105.0</v>
      </c>
      <c r="M3768" s="14">
        <f>STDEV(L3767:L3771)</f>
        <v>57843.91234</v>
      </c>
      <c r="N3768" s="15" t="b">
        <f t="shared" si="1"/>
        <v>0</v>
      </c>
    </row>
    <row r="3769" hidden="1">
      <c r="A3769" s="7" t="s">
        <v>762</v>
      </c>
      <c r="B3769" s="7" t="s">
        <v>519</v>
      </c>
      <c r="C3769" s="7">
        <v>1.0</v>
      </c>
      <c r="D3769" s="7">
        <v>1.0</v>
      </c>
      <c r="E3769" s="7">
        <v>6.0</v>
      </c>
      <c r="F3769" s="7">
        <v>252316.944482326</v>
      </c>
      <c r="G3769" s="7">
        <v>252350.442779064</v>
      </c>
      <c r="H3769" s="7">
        <v>2.0</v>
      </c>
      <c r="I3769" s="15">
        <v>0.572713605103037</v>
      </c>
      <c r="J3769" s="15">
        <v>0.120619089215067</v>
      </c>
      <c r="K3769" s="12">
        <f>AVERAGE(I3767:I3771)</f>
        <v>0.2466549606</v>
      </c>
      <c r="L3769" s="18">
        <v>125.0</v>
      </c>
      <c r="M3769" s="14">
        <f>STDEV(L3767:L3771)</f>
        <v>57843.91234</v>
      </c>
      <c r="N3769" s="15" t="b">
        <f t="shared" si="1"/>
        <v>0</v>
      </c>
    </row>
    <row r="3770" hidden="1">
      <c r="A3770" s="7" t="s">
        <v>762</v>
      </c>
      <c r="B3770" s="7" t="s">
        <v>519</v>
      </c>
      <c r="C3770" s="7">
        <v>1.0</v>
      </c>
      <c r="D3770" s="7">
        <v>1.0</v>
      </c>
      <c r="E3770" s="7">
        <v>6.0</v>
      </c>
      <c r="F3770" s="7">
        <v>252316.944482326</v>
      </c>
      <c r="G3770" s="7">
        <v>252350.442779064</v>
      </c>
      <c r="H3770" s="7">
        <v>3.0</v>
      </c>
      <c r="I3770" s="15">
        <v>0.0598329755885519</v>
      </c>
      <c r="J3770" s="15">
        <v>0.0657724717666278</v>
      </c>
      <c r="K3770" s="12">
        <f>AVERAGE(I3767:I3771)</f>
        <v>0.2466549606</v>
      </c>
      <c r="L3770" s="18">
        <v>5785.0</v>
      </c>
      <c r="M3770" s="14">
        <f>STDEV(L3767:L3771)</f>
        <v>57843.91234</v>
      </c>
      <c r="N3770" s="15" t="b">
        <f t="shared" si="1"/>
        <v>0</v>
      </c>
    </row>
    <row r="3771" hidden="1">
      <c r="A3771" s="7" t="s">
        <v>762</v>
      </c>
      <c r="B3771" s="7" t="s">
        <v>519</v>
      </c>
      <c r="C3771" s="7">
        <v>1.0</v>
      </c>
      <c r="D3771" s="7">
        <v>1.0</v>
      </c>
      <c r="E3771" s="7">
        <v>6.0</v>
      </c>
      <c r="F3771" s="7">
        <v>252316.944482326</v>
      </c>
      <c r="G3771" s="7">
        <v>252350.442779064</v>
      </c>
      <c r="H3771" s="7">
        <v>4.0</v>
      </c>
      <c r="I3771" s="15">
        <v>0.0532650866137</v>
      </c>
      <c r="J3771" s="15">
        <v>0.0576238095331908</v>
      </c>
      <c r="K3771" s="12">
        <f>AVERAGE(I3767:I3771)</f>
        <v>0.2466549606</v>
      </c>
      <c r="L3771" s="18">
        <v>131735.0</v>
      </c>
      <c r="M3771" s="14">
        <f>STDEV(L3767:L3771)</f>
        <v>57843.91234</v>
      </c>
      <c r="N3771" s="15" t="b">
        <f t="shared" si="1"/>
        <v>0</v>
      </c>
    </row>
    <row r="3772" hidden="1">
      <c r="A3772" s="7" t="s">
        <v>763</v>
      </c>
      <c r="B3772" s="7" t="s">
        <v>519</v>
      </c>
      <c r="C3772" s="7">
        <v>1.0</v>
      </c>
      <c r="D3772" s="7">
        <v>1.0</v>
      </c>
      <c r="E3772" s="7">
        <v>7.0</v>
      </c>
      <c r="F3772" s="7">
        <v>744099.496178388</v>
      </c>
      <c r="G3772" s="7">
        <v>744161.06334877</v>
      </c>
      <c r="H3772" s="7">
        <v>0.0</v>
      </c>
      <c r="I3772" s="15">
        <v>0.123683879290485</v>
      </c>
      <c r="J3772" s="15">
        <v>0.0755408260271737</v>
      </c>
      <c r="K3772" s="12">
        <f>AVERAGE(I3772:I3776)</f>
        <v>0.2126552701</v>
      </c>
      <c r="L3772" s="18">
        <v>2578.0</v>
      </c>
      <c r="M3772" s="14">
        <f>STDEV(L3772:L3776)</f>
        <v>57764.41562</v>
      </c>
      <c r="N3772" s="15" t="b">
        <f t="shared" si="1"/>
        <v>0</v>
      </c>
    </row>
    <row r="3773" hidden="1">
      <c r="A3773" s="7" t="s">
        <v>763</v>
      </c>
      <c r="B3773" s="7" t="s">
        <v>519</v>
      </c>
      <c r="C3773" s="7">
        <v>1.0</v>
      </c>
      <c r="D3773" s="7">
        <v>1.0</v>
      </c>
      <c r="E3773" s="7">
        <v>7.0</v>
      </c>
      <c r="F3773" s="7">
        <v>744099.496178388</v>
      </c>
      <c r="G3773" s="7">
        <v>744161.06334877</v>
      </c>
      <c r="H3773" s="7">
        <v>1.0</v>
      </c>
      <c r="I3773" s="15">
        <v>0.0484750301484662</v>
      </c>
      <c r="J3773" s="15">
        <v>0.0493488007816965</v>
      </c>
      <c r="K3773" s="12">
        <f>AVERAGE(I3772:I3776)</f>
        <v>0.2126552701</v>
      </c>
      <c r="L3773" s="18">
        <v>131661.0</v>
      </c>
      <c r="M3773" s="14">
        <f>STDEV(L3772:L3776)</f>
        <v>57764.41562</v>
      </c>
      <c r="N3773" s="15" t="b">
        <f t="shared" si="1"/>
        <v>0</v>
      </c>
    </row>
    <row r="3774" hidden="1">
      <c r="A3774" s="7" t="s">
        <v>763</v>
      </c>
      <c r="B3774" s="7" t="s">
        <v>519</v>
      </c>
      <c r="C3774" s="7">
        <v>1.0</v>
      </c>
      <c r="D3774" s="7">
        <v>1.0</v>
      </c>
      <c r="E3774" s="7">
        <v>7.0</v>
      </c>
      <c r="F3774" s="7">
        <v>744099.496178388</v>
      </c>
      <c r="G3774" s="7">
        <v>744161.06334877</v>
      </c>
      <c r="H3774" s="7">
        <v>2.0</v>
      </c>
      <c r="I3774" s="15">
        <v>0.326584803328681</v>
      </c>
      <c r="J3774" s="15">
        <v>0.109976200813935</v>
      </c>
      <c r="K3774" s="12">
        <f>AVERAGE(I3772:I3776)</f>
        <v>0.2126552701</v>
      </c>
      <c r="L3774" s="18">
        <v>2880.0</v>
      </c>
      <c r="M3774" s="14">
        <f>STDEV(L3772:L3776)</f>
        <v>57764.41562</v>
      </c>
      <c r="N3774" s="15" t="b">
        <f t="shared" si="1"/>
        <v>0</v>
      </c>
    </row>
    <row r="3775" hidden="1">
      <c r="A3775" s="7" t="s">
        <v>763</v>
      </c>
      <c r="B3775" s="7" t="s">
        <v>519</v>
      </c>
      <c r="C3775" s="7">
        <v>1.0</v>
      </c>
      <c r="D3775" s="7">
        <v>1.0</v>
      </c>
      <c r="E3775" s="7">
        <v>7.0</v>
      </c>
      <c r="F3775" s="7">
        <v>744099.496178388</v>
      </c>
      <c r="G3775" s="7">
        <v>744161.06334877</v>
      </c>
      <c r="H3775" s="7">
        <v>3.0</v>
      </c>
      <c r="I3775" s="15">
        <v>0.219988657262492</v>
      </c>
      <c r="J3775" s="15">
        <v>0.0761845015424112</v>
      </c>
      <c r="K3775" s="12">
        <f>AVERAGE(I3772:I3776)</f>
        <v>0.2126552701</v>
      </c>
      <c r="L3775" s="18">
        <v>1446.0</v>
      </c>
      <c r="M3775" s="14">
        <f>STDEV(L3772:L3776)</f>
        <v>57764.41562</v>
      </c>
      <c r="N3775" s="15" t="b">
        <f t="shared" si="1"/>
        <v>0</v>
      </c>
    </row>
    <row r="3776" hidden="1">
      <c r="A3776" s="7" t="s">
        <v>763</v>
      </c>
      <c r="B3776" s="7" t="s">
        <v>519</v>
      </c>
      <c r="C3776" s="7">
        <v>1.0</v>
      </c>
      <c r="D3776" s="7">
        <v>1.0</v>
      </c>
      <c r="E3776" s="7">
        <v>7.0</v>
      </c>
      <c r="F3776" s="7">
        <v>744099.496178388</v>
      </c>
      <c r="G3776" s="7">
        <v>744161.06334877</v>
      </c>
      <c r="H3776" s="7">
        <v>4.0</v>
      </c>
      <c r="I3776" s="15">
        <v>0.34454398031161</v>
      </c>
      <c r="J3776" s="15">
        <v>0.0630468340877653</v>
      </c>
      <c r="K3776" s="12">
        <f>AVERAGE(I3772:I3776)</f>
        <v>0.2126552701</v>
      </c>
      <c r="L3776" s="18">
        <v>3111.0</v>
      </c>
      <c r="M3776" s="14">
        <f>STDEV(L3772:L3776)</f>
        <v>57764.41562</v>
      </c>
      <c r="N3776" s="15" t="b">
        <f t="shared" si="1"/>
        <v>0</v>
      </c>
    </row>
    <row r="3777" hidden="1">
      <c r="A3777" s="7" t="s">
        <v>764</v>
      </c>
      <c r="B3777" s="7" t="s">
        <v>519</v>
      </c>
      <c r="C3777" s="7">
        <v>1.0</v>
      </c>
      <c r="D3777" s="7">
        <v>1.0</v>
      </c>
      <c r="E3777" s="7">
        <v>8.0</v>
      </c>
      <c r="F3777" s="7">
        <v>667272.866902589</v>
      </c>
      <c r="G3777" s="7">
        <v>667348.306070327</v>
      </c>
      <c r="H3777" s="7">
        <v>0.0</v>
      </c>
      <c r="I3777" s="15">
        <v>0.318864126720186</v>
      </c>
      <c r="J3777" s="15">
        <v>0.0638343743746789</v>
      </c>
      <c r="K3777" s="12">
        <f>AVERAGE(I3777:I3781)</f>
        <v>0.2159659251</v>
      </c>
      <c r="L3777" s="18">
        <v>1389.0</v>
      </c>
      <c r="M3777" s="14">
        <f>STDEV(L3777:L3781)</f>
        <v>57748.57394</v>
      </c>
      <c r="N3777" s="15" t="b">
        <f t="shared" si="1"/>
        <v>0</v>
      </c>
    </row>
    <row r="3778" hidden="1">
      <c r="A3778" s="7" t="s">
        <v>764</v>
      </c>
      <c r="B3778" s="7" t="s">
        <v>519</v>
      </c>
      <c r="C3778" s="7">
        <v>1.0</v>
      </c>
      <c r="D3778" s="7">
        <v>1.0</v>
      </c>
      <c r="E3778" s="7">
        <v>8.0</v>
      </c>
      <c r="F3778" s="7">
        <v>667272.866902589</v>
      </c>
      <c r="G3778" s="7">
        <v>667348.306070327</v>
      </c>
      <c r="H3778" s="7">
        <v>1.0</v>
      </c>
      <c r="I3778" s="15">
        <v>0.32931816734556</v>
      </c>
      <c r="J3778" s="15">
        <v>0.106938739301018</v>
      </c>
      <c r="K3778" s="12">
        <f>AVERAGE(I3777:I3781)</f>
        <v>0.2159659251</v>
      </c>
      <c r="L3778" s="18">
        <v>2890.0</v>
      </c>
      <c r="M3778" s="14">
        <f>STDEV(L3777:L3781)</f>
        <v>57748.57394</v>
      </c>
      <c r="N3778" s="15" t="b">
        <f t="shared" si="1"/>
        <v>0</v>
      </c>
    </row>
    <row r="3779" hidden="1">
      <c r="A3779" s="7" t="s">
        <v>764</v>
      </c>
      <c r="B3779" s="7" t="s">
        <v>519</v>
      </c>
      <c r="C3779" s="7">
        <v>1.0</v>
      </c>
      <c r="D3779" s="7">
        <v>1.0</v>
      </c>
      <c r="E3779" s="7">
        <v>8.0</v>
      </c>
      <c r="F3779" s="7">
        <v>667272.866902589</v>
      </c>
      <c r="G3779" s="7">
        <v>667348.306070327</v>
      </c>
      <c r="H3779" s="7">
        <v>2.0</v>
      </c>
      <c r="I3779" s="15">
        <v>0.043508176679905</v>
      </c>
      <c r="J3779" s="15">
        <v>0.0422801151359666</v>
      </c>
      <c r="K3779" s="12">
        <f>AVERAGE(I3777:I3781)</f>
        <v>0.2159659251</v>
      </c>
      <c r="L3779" s="18">
        <v>2631.0</v>
      </c>
      <c r="M3779" s="14">
        <f>STDEV(L3777:L3781)</f>
        <v>57748.57394</v>
      </c>
      <c r="N3779" s="15" t="b">
        <f t="shared" si="1"/>
        <v>0</v>
      </c>
    </row>
    <row r="3780" hidden="1">
      <c r="A3780" s="7" t="s">
        <v>764</v>
      </c>
      <c r="B3780" s="7" t="s">
        <v>519</v>
      </c>
      <c r="C3780" s="7">
        <v>1.0</v>
      </c>
      <c r="D3780" s="7">
        <v>1.0</v>
      </c>
      <c r="E3780" s="7">
        <v>8.0</v>
      </c>
      <c r="F3780" s="7">
        <v>667272.866902589</v>
      </c>
      <c r="G3780" s="7">
        <v>667348.306070327</v>
      </c>
      <c r="H3780" s="7">
        <v>3.0</v>
      </c>
      <c r="I3780" s="15">
        <v>0.0469591045749318</v>
      </c>
      <c r="J3780" s="15">
        <v>0.0397068196536016</v>
      </c>
      <c r="K3780" s="12">
        <f>AVERAGE(I3777:I3781)</f>
        <v>0.2159659251</v>
      </c>
      <c r="L3780" s="18">
        <v>131632.0</v>
      </c>
      <c r="M3780" s="14">
        <f>STDEV(L3777:L3781)</f>
        <v>57748.57394</v>
      </c>
      <c r="N3780" s="15" t="b">
        <f t="shared" si="1"/>
        <v>0</v>
      </c>
    </row>
    <row r="3781" hidden="1">
      <c r="A3781" s="7" t="s">
        <v>764</v>
      </c>
      <c r="B3781" s="7" t="s">
        <v>519</v>
      </c>
      <c r="C3781" s="7">
        <v>1.0</v>
      </c>
      <c r="D3781" s="7">
        <v>1.0</v>
      </c>
      <c r="E3781" s="7">
        <v>8.0</v>
      </c>
      <c r="F3781" s="7">
        <v>667272.866902589</v>
      </c>
      <c r="G3781" s="7">
        <v>667348.306070327</v>
      </c>
      <c r="H3781" s="7">
        <v>4.0</v>
      </c>
      <c r="I3781" s="15">
        <v>0.341180050310719</v>
      </c>
      <c r="J3781" s="15">
        <v>0.0676198279074677</v>
      </c>
      <c r="K3781" s="12">
        <f>AVERAGE(I3777:I3781)</f>
        <v>0.2159659251</v>
      </c>
      <c r="L3781" s="18">
        <v>3134.0</v>
      </c>
      <c r="M3781" s="14">
        <f>STDEV(L3777:L3781)</f>
        <v>57748.57394</v>
      </c>
      <c r="N3781" s="15" t="b">
        <f t="shared" si="1"/>
        <v>0</v>
      </c>
    </row>
    <row r="3782" hidden="1">
      <c r="A3782" s="7" t="s">
        <v>765</v>
      </c>
      <c r="B3782" s="7" t="s">
        <v>519</v>
      </c>
      <c r="C3782" s="7">
        <v>1.0</v>
      </c>
      <c r="D3782" s="7">
        <v>1.0</v>
      </c>
      <c r="E3782" s="7">
        <v>9.0</v>
      </c>
      <c r="F3782" s="7">
        <v>662786.697679758</v>
      </c>
      <c r="G3782" s="7">
        <v>662858.93170619</v>
      </c>
      <c r="H3782" s="7">
        <v>0.0</v>
      </c>
      <c r="I3782" s="15">
        <v>0.32927430508126</v>
      </c>
      <c r="J3782" s="15">
        <v>0.106838294493391</v>
      </c>
      <c r="K3782" s="12">
        <f>AVERAGE(I3782:I3786)</f>
        <v>0.2189816085</v>
      </c>
      <c r="L3782" s="18">
        <v>2890.0</v>
      </c>
      <c r="M3782" s="14">
        <f>STDEV(L3782:L3786)</f>
        <v>57756.61764</v>
      </c>
      <c r="N3782" s="15" t="b">
        <f t="shared" si="1"/>
        <v>0</v>
      </c>
    </row>
    <row r="3783" hidden="1">
      <c r="A3783" s="7" t="s">
        <v>765</v>
      </c>
      <c r="B3783" s="7" t="s">
        <v>519</v>
      </c>
      <c r="C3783" s="7">
        <v>1.0</v>
      </c>
      <c r="D3783" s="7">
        <v>1.0</v>
      </c>
      <c r="E3783" s="7">
        <v>9.0</v>
      </c>
      <c r="F3783" s="7">
        <v>662786.697679758</v>
      </c>
      <c r="G3783" s="7">
        <v>662858.93170619</v>
      </c>
      <c r="H3783" s="7">
        <v>1.0</v>
      </c>
      <c r="I3783" s="15">
        <v>0.0453257635067036</v>
      </c>
      <c r="J3783" s="15">
        <v>0.0471223582342022</v>
      </c>
      <c r="K3783" s="12">
        <f>AVERAGE(I3782:I3786)</f>
        <v>0.2189816085</v>
      </c>
      <c r="L3783" s="18">
        <v>2850.0</v>
      </c>
      <c r="M3783" s="14">
        <f>STDEV(L3782:L3786)</f>
        <v>57756.61764</v>
      </c>
      <c r="N3783" s="15" t="b">
        <f t="shared" si="1"/>
        <v>0</v>
      </c>
    </row>
    <row r="3784" hidden="1">
      <c r="A3784" s="7" t="s">
        <v>765</v>
      </c>
      <c r="B3784" s="7" t="s">
        <v>519</v>
      </c>
      <c r="C3784" s="7">
        <v>1.0</v>
      </c>
      <c r="D3784" s="7">
        <v>1.0</v>
      </c>
      <c r="E3784" s="7">
        <v>9.0</v>
      </c>
      <c r="F3784" s="7">
        <v>662786.697679758</v>
      </c>
      <c r="G3784" s="7">
        <v>662858.93170619</v>
      </c>
      <c r="H3784" s="7">
        <v>2.0</v>
      </c>
      <c r="I3784" s="15">
        <v>0.331660122320992</v>
      </c>
      <c r="J3784" s="15">
        <v>0.0745875790605955</v>
      </c>
      <c r="K3784" s="12">
        <f>AVERAGE(I3782:I3786)</f>
        <v>0.2189816085</v>
      </c>
      <c r="L3784" s="18">
        <v>1172.0</v>
      </c>
      <c r="M3784" s="14">
        <f>STDEV(L3782:L3786)</f>
        <v>57756.61764</v>
      </c>
      <c r="N3784" s="15" t="b">
        <f t="shared" si="1"/>
        <v>0</v>
      </c>
    </row>
    <row r="3785" hidden="1">
      <c r="A3785" s="7" t="s">
        <v>765</v>
      </c>
      <c r="B3785" s="7" t="s">
        <v>519</v>
      </c>
      <c r="C3785" s="7">
        <v>1.0</v>
      </c>
      <c r="D3785" s="7">
        <v>1.0</v>
      </c>
      <c r="E3785" s="7">
        <v>9.0</v>
      </c>
      <c r="F3785" s="7">
        <v>662786.697679758</v>
      </c>
      <c r="G3785" s="7">
        <v>662858.93170619</v>
      </c>
      <c r="H3785" s="7">
        <v>3.0</v>
      </c>
      <c r="I3785" s="15">
        <v>0.0463583366103502</v>
      </c>
      <c r="J3785" s="15">
        <v>0.0381912455382084</v>
      </c>
      <c r="K3785" s="12">
        <f>AVERAGE(I3782:I3786)</f>
        <v>0.2189816085</v>
      </c>
      <c r="L3785" s="18">
        <v>131644.0</v>
      </c>
      <c r="M3785" s="14">
        <f>STDEV(L3782:L3786)</f>
        <v>57756.61764</v>
      </c>
      <c r="N3785" s="15" t="b">
        <f t="shared" si="1"/>
        <v>0</v>
      </c>
    </row>
    <row r="3786" hidden="1">
      <c r="A3786" s="7" t="s">
        <v>765</v>
      </c>
      <c r="B3786" s="7" t="s">
        <v>519</v>
      </c>
      <c r="C3786" s="7">
        <v>1.0</v>
      </c>
      <c r="D3786" s="7">
        <v>1.0</v>
      </c>
      <c r="E3786" s="7">
        <v>9.0</v>
      </c>
      <c r="F3786" s="7">
        <v>662786.697679758</v>
      </c>
      <c r="G3786" s="7">
        <v>662858.93170619</v>
      </c>
      <c r="H3786" s="7">
        <v>4.0</v>
      </c>
      <c r="I3786" s="15">
        <v>0.342289514945514</v>
      </c>
      <c r="J3786" s="15">
        <v>0.0651767364239345</v>
      </c>
      <c r="K3786" s="12">
        <f>AVERAGE(I3782:I3786)</f>
        <v>0.2189816085</v>
      </c>
      <c r="L3786" s="18">
        <v>3120.0</v>
      </c>
      <c r="M3786" s="14">
        <f>STDEV(L3782:L3786)</f>
        <v>57756.61764</v>
      </c>
      <c r="N3786" s="15" t="b">
        <f t="shared" si="1"/>
        <v>0</v>
      </c>
    </row>
    <row r="3787" hidden="1">
      <c r="A3787" s="7" t="s">
        <v>766</v>
      </c>
      <c r="B3787" s="7" t="s">
        <v>519</v>
      </c>
      <c r="C3787" s="7">
        <v>1.0</v>
      </c>
      <c r="D3787" s="7">
        <v>1.0</v>
      </c>
      <c r="E3787" s="7">
        <v>10.0</v>
      </c>
      <c r="F3787" s="7">
        <v>359500.074583292</v>
      </c>
      <c r="G3787" s="7">
        <v>359525.286989688</v>
      </c>
      <c r="H3787" s="7">
        <v>0.0</v>
      </c>
      <c r="I3787" s="15">
        <v>0.0415773758818775</v>
      </c>
      <c r="J3787" s="15">
        <v>0.113395610947836</v>
      </c>
      <c r="K3787" s="12">
        <f>AVERAGE(I3787:I3791)</f>
        <v>0.2519205579</v>
      </c>
      <c r="L3787" s="18">
        <v>131743.0</v>
      </c>
      <c r="M3787" s="14">
        <f>STDEV(L3787:L3791)</f>
        <v>57841.81992</v>
      </c>
      <c r="N3787" s="15" t="b">
        <f t="shared" si="1"/>
        <v>0</v>
      </c>
    </row>
    <row r="3788" hidden="1">
      <c r="A3788" s="7" t="s">
        <v>766</v>
      </c>
      <c r="B3788" s="7" t="s">
        <v>519</v>
      </c>
      <c r="C3788" s="7">
        <v>1.0</v>
      </c>
      <c r="D3788" s="7">
        <v>1.0</v>
      </c>
      <c r="E3788" s="7">
        <v>10.0</v>
      </c>
      <c r="F3788" s="7">
        <v>359500.074583292</v>
      </c>
      <c r="G3788" s="7">
        <v>359525.286989688</v>
      </c>
      <c r="H3788" s="7">
        <v>1.0</v>
      </c>
      <c r="I3788" s="15">
        <v>0.467788188744274</v>
      </c>
      <c r="J3788" s="15">
        <v>0.170675136974266</v>
      </c>
      <c r="K3788" s="12">
        <f>AVERAGE(I3787:I3791)</f>
        <v>0.2519205579</v>
      </c>
      <c r="L3788" s="18">
        <v>743.0</v>
      </c>
      <c r="M3788" s="14">
        <f>STDEV(L3787:L3791)</f>
        <v>57841.81992</v>
      </c>
      <c r="N3788" s="15" t="b">
        <f t="shared" si="1"/>
        <v>0</v>
      </c>
    </row>
    <row r="3789" hidden="1">
      <c r="A3789" s="7" t="s">
        <v>766</v>
      </c>
      <c r="B3789" s="7" t="s">
        <v>519</v>
      </c>
      <c r="C3789" s="7">
        <v>1.0</v>
      </c>
      <c r="D3789" s="7">
        <v>1.0</v>
      </c>
      <c r="E3789" s="7">
        <v>10.0</v>
      </c>
      <c r="F3789" s="7">
        <v>359500.074583292</v>
      </c>
      <c r="G3789" s="7">
        <v>359525.286989688</v>
      </c>
      <c r="H3789" s="7">
        <v>2.0</v>
      </c>
      <c r="I3789" s="15">
        <v>0.525586220583893</v>
      </c>
      <c r="J3789" s="15">
        <v>0.133157416976071</v>
      </c>
      <c r="K3789" s="12">
        <f>AVERAGE(I3787:I3791)</f>
        <v>0.2519205579</v>
      </c>
      <c r="L3789" s="18">
        <v>491.0</v>
      </c>
      <c r="M3789" s="14">
        <f>STDEV(L3787:L3791)</f>
        <v>57841.81992</v>
      </c>
      <c r="N3789" s="15" t="b">
        <f t="shared" si="1"/>
        <v>0</v>
      </c>
    </row>
    <row r="3790" hidden="1">
      <c r="A3790" s="7" t="s">
        <v>766</v>
      </c>
      <c r="B3790" s="7" t="s">
        <v>519</v>
      </c>
      <c r="C3790" s="7">
        <v>1.0</v>
      </c>
      <c r="D3790" s="7">
        <v>1.0</v>
      </c>
      <c r="E3790" s="7">
        <v>10.0</v>
      </c>
      <c r="F3790" s="7">
        <v>359500.074583292</v>
      </c>
      <c r="G3790" s="7">
        <v>359525.286989688</v>
      </c>
      <c r="H3790" s="7">
        <v>3.0</v>
      </c>
      <c r="I3790" s="15">
        <v>0.0689053418645132</v>
      </c>
      <c r="J3790" s="15">
        <v>0.124898921924128</v>
      </c>
      <c r="K3790" s="12">
        <f>AVERAGE(I3787:I3791)</f>
        <v>0.2519205579</v>
      </c>
      <c r="L3790" s="18">
        <v>5416.0</v>
      </c>
      <c r="M3790" s="14">
        <f>STDEV(L3787:L3791)</f>
        <v>57841.81992</v>
      </c>
      <c r="N3790" s="15" t="b">
        <f t="shared" si="1"/>
        <v>0</v>
      </c>
    </row>
    <row r="3791" hidden="1">
      <c r="A3791" s="7" t="s">
        <v>766</v>
      </c>
      <c r="B3791" s="7" t="s">
        <v>519</v>
      </c>
      <c r="C3791" s="7">
        <v>1.0</v>
      </c>
      <c r="D3791" s="7">
        <v>1.0</v>
      </c>
      <c r="E3791" s="7">
        <v>10.0</v>
      </c>
      <c r="F3791" s="7">
        <v>359500.074583292</v>
      </c>
      <c r="G3791" s="7">
        <v>359525.286989688</v>
      </c>
      <c r="H3791" s="7">
        <v>4.0</v>
      </c>
      <c r="I3791" s="15">
        <v>0.155745662304661</v>
      </c>
      <c r="J3791" s="15">
        <v>0.0634477245675877</v>
      </c>
      <c r="K3791" s="12">
        <f>AVERAGE(I3787:I3791)</f>
        <v>0.2519205579</v>
      </c>
      <c r="L3791" s="18">
        <v>3283.0</v>
      </c>
      <c r="M3791" s="14">
        <f>STDEV(L3787:L3791)</f>
        <v>57841.81992</v>
      </c>
      <c r="N3791" s="15" t="b">
        <f t="shared" si="1"/>
        <v>0</v>
      </c>
    </row>
  </sheetData>
  <autoFilter ref="$B$1:$N$3791">
    <filterColumn colId="0">
      <filters>
        <filter val="easycategs"/>
        <filter val="kmeans-iter"/>
        <filter val="kmeans"/>
      </filters>
    </filterColumn>
    <filterColumn colId="2">
      <filters>
        <filter val="1"/>
      </filters>
    </filterColumn>
    <filterColumn colId="1">
      <filters>
        <filter val="0"/>
        <filter val="1"/>
      </filters>
    </filterColumn>
  </autoFilter>
  <conditionalFormatting sqref="N1:N3791">
    <cfRule type="cellIs" dxfId="0" priority="1" operator="equal">
      <formula>"TRUE"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767</v>
      </c>
      <c r="B1" s="26" t="s">
        <v>768</v>
      </c>
      <c r="C1" s="25" t="s">
        <v>769</v>
      </c>
      <c r="D1" s="25" t="s">
        <v>770</v>
      </c>
      <c r="E1" s="25" t="s">
        <v>771</v>
      </c>
      <c r="F1" s="27" t="s">
        <v>772</v>
      </c>
    </row>
    <row r="2">
      <c r="A2" s="28" t="s">
        <v>17</v>
      </c>
      <c r="B2" s="29" t="s">
        <v>773</v>
      </c>
      <c r="C2" s="30">
        <v>0.1</v>
      </c>
      <c r="D2" s="30">
        <v>0.1</v>
      </c>
      <c r="E2" s="30">
        <v>364.0</v>
      </c>
      <c r="F2" s="30">
        <v>132132.0</v>
      </c>
    </row>
    <row r="3">
      <c r="A3" s="28" t="s">
        <v>17</v>
      </c>
      <c r="B3" s="29" t="s">
        <v>773</v>
      </c>
      <c r="C3" s="30">
        <v>0.1</v>
      </c>
      <c r="D3" s="30">
        <v>0.25</v>
      </c>
      <c r="E3" s="30">
        <v>653.0</v>
      </c>
      <c r="F3" s="30">
        <v>425756.0</v>
      </c>
    </row>
    <row r="4">
      <c r="A4" s="28" t="s">
        <v>17</v>
      </c>
      <c r="B4" s="29" t="s">
        <v>773</v>
      </c>
      <c r="C4" s="30">
        <v>0.1</v>
      </c>
      <c r="D4" s="30">
        <v>0.5</v>
      </c>
      <c r="E4" s="30">
        <v>1151.0</v>
      </c>
      <c r="F4" s="30">
        <v>1323650.0</v>
      </c>
    </row>
    <row r="5">
      <c r="A5" s="28" t="s">
        <v>17</v>
      </c>
      <c r="B5" s="29" t="s">
        <v>773</v>
      </c>
      <c r="C5" s="30">
        <v>0.1</v>
      </c>
      <c r="D5" s="30">
        <v>0.75</v>
      </c>
      <c r="E5" s="30">
        <v>1694.0</v>
      </c>
      <c r="F5" s="30">
        <v>2867942.0</v>
      </c>
    </row>
    <row r="6">
      <c r="A6" s="28" t="s">
        <v>17</v>
      </c>
      <c r="B6" s="29" t="s">
        <v>773</v>
      </c>
      <c r="C6" s="30">
        <v>0.1</v>
      </c>
      <c r="D6" s="30">
        <v>1.0</v>
      </c>
      <c r="E6" s="30">
        <v>2162.0</v>
      </c>
      <c r="F6" s="30">
        <v>4672082.0</v>
      </c>
    </row>
    <row r="7">
      <c r="A7" s="28" t="s">
        <v>17</v>
      </c>
      <c r="B7" s="29" t="s">
        <v>773</v>
      </c>
      <c r="C7" s="30">
        <v>0.25</v>
      </c>
      <c r="D7" s="30">
        <v>0.1</v>
      </c>
      <c r="E7" s="30">
        <v>547.0</v>
      </c>
      <c r="F7" s="30">
        <v>298662.0</v>
      </c>
    </row>
    <row r="8">
      <c r="A8" s="28" t="s">
        <v>17</v>
      </c>
      <c r="B8" s="29" t="s">
        <v>773</v>
      </c>
      <c r="C8" s="30">
        <v>0.25</v>
      </c>
      <c r="D8" s="30">
        <v>0.25</v>
      </c>
      <c r="E8" s="30">
        <v>953.0</v>
      </c>
      <c r="F8" s="30">
        <v>907256.0</v>
      </c>
    </row>
    <row r="9">
      <c r="A9" s="28" t="s">
        <v>17</v>
      </c>
      <c r="B9" s="29" t="s">
        <v>773</v>
      </c>
      <c r="C9" s="30">
        <v>0.25</v>
      </c>
      <c r="D9" s="30">
        <v>0.5</v>
      </c>
      <c r="E9" s="30">
        <v>1656.0</v>
      </c>
      <c r="F9" s="30">
        <v>2740680.0</v>
      </c>
    </row>
    <row r="10">
      <c r="A10" s="28" t="s">
        <v>17</v>
      </c>
      <c r="B10" s="29" t="s">
        <v>773</v>
      </c>
      <c r="C10" s="30">
        <v>0.25</v>
      </c>
      <c r="D10" s="30">
        <v>0.75</v>
      </c>
      <c r="E10" s="30">
        <v>2422.0</v>
      </c>
      <c r="F10" s="30">
        <v>5863662.0</v>
      </c>
    </row>
    <row r="11">
      <c r="A11" s="28" t="s">
        <v>17</v>
      </c>
      <c r="B11" s="29" t="s">
        <v>773</v>
      </c>
      <c r="C11" s="30">
        <v>0.25</v>
      </c>
      <c r="D11" s="30">
        <v>1.0</v>
      </c>
      <c r="E11" s="30">
        <v>3083.0</v>
      </c>
      <c r="F11" s="30">
        <v>9501806.0</v>
      </c>
    </row>
    <row r="12">
      <c r="A12" s="28" t="s">
        <v>17</v>
      </c>
      <c r="B12" s="29" t="s">
        <v>773</v>
      </c>
      <c r="C12" s="30">
        <v>0.5</v>
      </c>
      <c r="D12" s="30">
        <v>0.1</v>
      </c>
      <c r="E12" s="30">
        <v>797.0</v>
      </c>
      <c r="F12" s="30">
        <v>634412.0</v>
      </c>
    </row>
    <row r="13">
      <c r="A13" s="28" t="s">
        <v>17</v>
      </c>
      <c r="B13" s="29" t="s">
        <v>773</v>
      </c>
      <c r="C13" s="30">
        <v>0.5</v>
      </c>
      <c r="D13" s="30">
        <v>0.25</v>
      </c>
      <c r="E13" s="30">
        <v>1409.0</v>
      </c>
      <c r="F13" s="30">
        <v>1983872.0</v>
      </c>
    </row>
    <row r="14">
      <c r="A14" s="28" t="s">
        <v>17</v>
      </c>
      <c r="B14" s="29" t="s">
        <v>773</v>
      </c>
      <c r="C14" s="30">
        <v>0.5</v>
      </c>
      <c r="D14" s="30">
        <v>0.5</v>
      </c>
      <c r="E14" s="30">
        <v>2456.0</v>
      </c>
      <c r="F14" s="30">
        <v>6029480.0</v>
      </c>
    </row>
    <row r="15">
      <c r="A15" s="28" t="s">
        <v>17</v>
      </c>
      <c r="B15" s="29" t="s">
        <v>773</v>
      </c>
      <c r="C15" s="30">
        <v>0.5</v>
      </c>
      <c r="D15" s="30">
        <v>0.75</v>
      </c>
      <c r="E15" s="30">
        <v>3590.0</v>
      </c>
      <c r="F15" s="30">
        <v>1.288451E7</v>
      </c>
    </row>
    <row r="16">
      <c r="A16" s="28" t="s">
        <v>17</v>
      </c>
      <c r="B16" s="29" t="s">
        <v>773</v>
      </c>
      <c r="C16" s="30">
        <v>0.5</v>
      </c>
      <c r="D16" s="30">
        <v>1.0</v>
      </c>
      <c r="E16" s="30">
        <v>4588.0</v>
      </c>
      <c r="F16" s="30">
        <v>2.1045156E7</v>
      </c>
    </row>
    <row r="17">
      <c r="A17" s="28" t="s">
        <v>17</v>
      </c>
      <c r="B17" s="29" t="s">
        <v>773</v>
      </c>
      <c r="C17" s="30">
        <v>0.75</v>
      </c>
      <c r="D17" s="30">
        <v>0.1</v>
      </c>
      <c r="E17" s="30">
        <v>947.0</v>
      </c>
      <c r="F17" s="30">
        <v>895862.0</v>
      </c>
    </row>
    <row r="18">
      <c r="A18" s="28" t="s">
        <v>17</v>
      </c>
      <c r="B18" s="29" t="s">
        <v>773</v>
      </c>
      <c r="C18" s="30">
        <v>0.75</v>
      </c>
      <c r="D18" s="30">
        <v>0.25</v>
      </c>
      <c r="E18" s="30">
        <v>1648.0</v>
      </c>
      <c r="F18" s="30">
        <v>2714256.0</v>
      </c>
    </row>
    <row r="19">
      <c r="A19" s="28" t="s">
        <v>17</v>
      </c>
      <c r="B19" s="29" t="s">
        <v>773</v>
      </c>
      <c r="C19" s="30">
        <v>0.75</v>
      </c>
      <c r="D19" s="30">
        <v>0.5</v>
      </c>
      <c r="E19" s="30">
        <v>2853.0</v>
      </c>
      <c r="F19" s="30">
        <v>8136756.0</v>
      </c>
    </row>
    <row r="20">
      <c r="A20" s="28" t="s">
        <v>17</v>
      </c>
      <c r="B20" s="29" t="s">
        <v>773</v>
      </c>
      <c r="C20" s="30">
        <v>0.75</v>
      </c>
      <c r="D20" s="30">
        <v>0.75</v>
      </c>
      <c r="E20" s="30">
        <v>4161.0</v>
      </c>
      <c r="F20" s="30">
        <v>1.730976E7</v>
      </c>
    </row>
    <row r="21">
      <c r="A21" s="28" t="s">
        <v>17</v>
      </c>
      <c r="B21" s="29" t="s">
        <v>773</v>
      </c>
      <c r="C21" s="30">
        <v>0.75</v>
      </c>
      <c r="D21" s="30">
        <v>1.0</v>
      </c>
      <c r="E21" s="30">
        <v>5305.0</v>
      </c>
      <c r="F21" s="30">
        <v>2.813772E7</v>
      </c>
    </row>
    <row r="22">
      <c r="A22" s="28" t="s">
        <v>17</v>
      </c>
      <c r="B22" s="29" t="s">
        <v>773</v>
      </c>
      <c r="C22" s="30">
        <v>1.0</v>
      </c>
      <c r="D22" s="30">
        <v>0.1</v>
      </c>
      <c r="E22" s="30">
        <v>1066.0</v>
      </c>
      <c r="F22" s="30">
        <v>1135290.0</v>
      </c>
    </row>
    <row r="23">
      <c r="A23" s="28" t="s">
        <v>17</v>
      </c>
      <c r="B23" s="29" t="s">
        <v>773</v>
      </c>
      <c r="C23" s="30">
        <v>1.0</v>
      </c>
      <c r="D23" s="30">
        <v>0.25</v>
      </c>
      <c r="E23" s="30">
        <v>1830.0</v>
      </c>
      <c r="F23" s="30">
        <v>3347070.0</v>
      </c>
    </row>
    <row r="24">
      <c r="A24" s="28" t="s">
        <v>17</v>
      </c>
      <c r="B24" s="29" t="s">
        <v>773</v>
      </c>
      <c r="C24" s="30">
        <v>1.0</v>
      </c>
      <c r="D24" s="30">
        <v>0.5</v>
      </c>
      <c r="E24" s="30">
        <v>3146.0</v>
      </c>
      <c r="F24" s="30">
        <v>9894170.0</v>
      </c>
    </row>
    <row r="25">
      <c r="A25" s="28" t="s">
        <v>17</v>
      </c>
      <c r="B25" s="29" t="s">
        <v>773</v>
      </c>
      <c r="C25" s="30">
        <v>1.0</v>
      </c>
      <c r="D25" s="30">
        <v>0.75</v>
      </c>
      <c r="E25" s="30">
        <v>4576.0</v>
      </c>
      <c r="F25" s="30">
        <v>2.09352E7</v>
      </c>
    </row>
    <row r="26">
      <c r="A26" s="28" t="s">
        <v>17</v>
      </c>
      <c r="B26" s="29" t="s">
        <v>773</v>
      </c>
      <c r="C26" s="30">
        <v>1.0</v>
      </c>
      <c r="D26" s="30">
        <v>1.0</v>
      </c>
      <c r="E26" s="30">
        <v>5825.0</v>
      </c>
      <c r="F26" s="30">
        <v>3.39248E7</v>
      </c>
    </row>
    <row r="27">
      <c r="A27" s="28" t="s">
        <v>268</v>
      </c>
      <c r="B27" s="29" t="s">
        <v>773</v>
      </c>
      <c r="C27" s="30">
        <v>0.1</v>
      </c>
      <c r="D27" s="30">
        <v>0.1</v>
      </c>
      <c r="E27" s="30">
        <v>232.0</v>
      </c>
      <c r="F27" s="30">
        <v>53592.0</v>
      </c>
    </row>
    <row r="28">
      <c r="A28" s="28" t="s">
        <v>268</v>
      </c>
      <c r="B28" s="29" t="s">
        <v>773</v>
      </c>
      <c r="C28" s="30">
        <v>0.1</v>
      </c>
      <c r="D28" s="30">
        <v>0.25</v>
      </c>
      <c r="E28" s="30">
        <v>480.0</v>
      </c>
      <c r="F28" s="30">
        <v>229920.0</v>
      </c>
    </row>
    <row r="29">
      <c r="A29" s="28" t="s">
        <v>268</v>
      </c>
      <c r="B29" s="29" t="s">
        <v>773</v>
      </c>
      <c r="C29" s="30">
        <v>0.1</v>
      </c>
      <c r="D29" s="30">
        <v>0.5</v>
      </c>
      <c r="E29" s="30">
        <v>890.0</v>
      </c>
      <c r="F29" s="30">
        <v>791210.0</v>
      </c>
    </row>
    <row r="30">
      <c r="A30" s="28" t="s">
        <v>268</v>
      </c>
      <c r="B30" s="29" t="s">
        <v>773</v>
      </c>
      <c r="C30" s="30">
        <v>0.1</v>
      </c>
      <c r="D30" s="30">
        <v>0.75</v>
      </c>
      <c r="E30" s="30">
        <v>1314.0</v>
      </c>
      <c r="F30" s="30">
        <v>1725282.0</v>
      </c>
    </row>
    <row r="31">
      <c r="A31" s="28" t="s">
        <v>268</v>
      </c>
      <c r="B31" s="29" t="s">
        <v>773</v>
      </c>
      <c r="C31" s="30">
        <v>0.1</v>
      </c>
      <c r="D31" s="30">
        <v>1.0</v>
      </c>
      <c r="E31" s="30">
        <v>1713.0</v>
      </c>
      <c r="F31" s="30">
        <v>2932656.0</v>
      </c>
    </row>
    <row r="32">
      <c r="A32" s="28" t="s">
        <v>268</v>
      </c>
      <c r="B32" s="29" t="s">
        <v>773</v>
      </c>
      <c r="C32" s="30">
        <v>0.25</v>
      </c>
      <c r="D32" s="30">
        <v>0.1</v>
      </c>
      <c r="E32" s="30">
        <v>310.0</v>
      </c>
      <c r="F32" s="30">
        <v>95790.0</v>
      </c>
    </row>
    <row r="33">
      <c r="A33" s="28" t="s">
        <v>268</v>
      </c>
      <c r="B33" s="29" t="s">
        <v>773</v>
      </c>
      <c r="C33" s="30">
        <v>0.25</v>
      </c>
      <c r="D33" s="30">
        <v>0.25</v>
      </c>
      <c r="E33" s="30">
        <v>613.0</v>
      </c>
      <c r="F33" s="30">
        <v>375156.0</v>
      </c>
    </row>
    <row r="34">
      <c r="A34" s="28" t="s">
        <v>268</v>
      </c>
      <c r="B34" s="29" t="s">
        <v>773</v>
      </c>
      <c r="C34" s="30">
        <v>0.25</v>
      </c>
      <c r="D34" s="30">
        <v>0.5</v>
      </c>
      <c r="E34" s="30">
        <v>1114.0</v>
      </c>
      <c r="F34" s="30">
        <v>1239882.0</v>
      </c>
    </row>
    <row r="35">
      <c r="A35" s="28" t="s">
        <v>268</v>
      </c>
      <c r="B35" s="29" t="s">
        <v>773</v>
      </c>
      <c r="C35" s="30">
        <v>0.25</v>
      </c>
      <c r="D35" s="30">
        <v>0.75</v>
      </c>
      <c r="E35" s="30">
        <v>1639.0</v>
      </c>
      <c r="F35" s="30">
        <v>2684682.0</v>
      </c>
    </row>
    <row r="36">
      <c r="A36" s="28" t="s">
        <v>268</v>
      </c>
      <c r="B36" s="29" t="s">
        <v>773</v>
      </c>
      <c r="C36" s="30">
        <v>0.25</v>
      </c>
      <c r="D36" s="30">
        <v>1.0</v>
      </c>
      <c r="E36" s="30">
        <v>2127.0</v>
      </c>
      <c r="F36" s="30">
        <v>4522002.0</v>
      </c>
    </row>
    <row r="37">
      <c r="A37" s="28" t="s">
        <v>268</v>
      </c>
      <c r="B37" s="29" t="s">
        <v>773</v>
      </c>
      <c r="C37" s="30">
        <v>0.5</v>
      </c>
      <c r="D37" s="30">
        <v>0.1</v>
      </c>
      <c r="E37" s="30">
        <v>682.0</v>
      </c>
      <c r="F37" s="30">
        <v>464442.0</v>
      </c>
    </row>
    <row r="38">
      <c r="A38" s="28" t="s">
        <v>268</v>
      </c>
      <c r="B38" s="29" t="s">
        <v>773</v>
      </c>
      <c r="C38" s="30">
        <v>0.5</v>
      </c>
      <c r="D38" s="30">
        <v>0.25</v>
      </c>
      <c r="E38" s="30">
        <v>1466.0</v>
      </c>
      <c r="F38" s="30">
        <v>2147690.0</v>
      </c>
    </row>
    <row r="39">
      <c r="A39" s="28" t="s">
        <v>268</v>
      </c>
      <c r="B39" s="29" t="s">
        <v>773</v>
      </c>
      <c r="C39" s="30">
        <v>0.5</v>
      </c>
      <c r="D39" s="30">
        <v>0.5</v>
      </c>
      <c r="E39" s="30">
        <v>2774.0</v>
      </c>
      <c r="F39" s="30">
        <v>7692302.0</v>
      </c>
    </row>
    <row r="40">
      <c r="A40" s="28" t="s">
        <v>268</v>
      </c>
      <c r="B40" s="29" t="s">
        <v>773</v>
      </c>
      <c r="C40" s="30">
        <v>0.5</v>
      </c>
      <c r="D40" s="30">
        <v>0.75</v>
      </c>
      <c r="E40" s="30">
        <v>4115.0</v>
      </c>
      <c r="F40" s="30">
        <v>1.692911E7</v>
      </c>
    </row>
    <row r="41">
      <c r="A41" s="28" t="s">
        <v>268</v>
      </c>
      <c r="B41" s="29" t="s">
        <v>773</v>
      </c>
      <c r="C41" s="30">
        <v>0.5</v>
      </c>
      <c r="D41" s="30">
        <v>1.0</v>
      </c>
      <c r="E41" s="30">
        <v>5407.0</v>
      </c>
      <c r="F41" s="30">
        <v>2.9230242E7</v>
      </c>
    </row>
    <row r="42">
      <c r="A42" s="28" t="s">
        <v>268</v>
      </c>
      <c r="B42" s="29" t="s">
        <v>773</v>
      </c>
      <c r="C42" s="30">
        <v>0.75</v>
      </c>
      <c r="D42" s="30">
        <v>0.1</v>
      </c>
      <c r="E42" s="30">
        <v>729.0</v>
      </c>
      <c r="F42" s="30">
        <v>530712.0</v>
      </c>
    </row>
    <row r="43">
      <c r="A43" s="28" t="s">
        <v>268</v>
      </c>
      <c r="B43" s="29" t="s">
        <v>773</v>
      </c>
      <c r="C43" s="30">
        <v>0.75</v>
      </c>
      <c r="D43" s="30">
        <v>0.25</v>
      </c>
      <c r="E43" s="30">
        <v>1525.0</v>
      </c>
      <c r="F43" s="30">
        <v>2324100.0</v>
      </c>
    </row>
    <row r="44">
      <c r="A44" s="28" t="s">
        <v>268</v>
      </c>
      <c r="B44" s="29" t="s">
        <v>773</v>
      </c>
      <c r="C44" s="30">
        <v>0.75</v>
      </c>
      <c r="D44" s="30">
        <v>0.5</v>
      </c>
      <c r="E44" s="30">
        <v>2852.0</v>
      </c>
      <c r="F44" s="30">
        <v>8131052.0</v>
      </c>
    </row>
    <row r="45">
      <c r="A45" s="28" t="s">
        <v>268</v>
      </c>
      <c r="B45" s="29" t="s">
        <v>773</v>
      </c>
      <c r="C45" s="30">
        <v>0.75</v>
      </c>
      <c r="D45" s="30">
        <v>0.75</v>
      </c>
      <c r="E45" s="30">
        <v>4219.0</v>
      </c>
      <c r="F45" s="30">
        <v>1.7795742E7</v>
      </c>
    </row>
    <row r="46">
      <c r="A46" s="28" t="s">
        <v>268</v>
      </c>
      <c r="B46" s="29" t="s">
        <v>773</v>
      </c>
      <c r="C46" s="30">
        <v>0.75</v>
      </c>
      <c r="D46" s="30">
        <v>1.0</v>
      </c>
      <c r="E46" s="30">
        <v>5530.0</v>
      </c>
      <c r="F46" s="30">
        <v>3.057537E7</v>
      </c>
    </row>
    <row r="47">
      <c r="A47" s="28" t="s">
        <v>268</v>
      </c>
      <c r="B47" s="29" t="s">
        <v>773</v>
      </c>
      <c r="C47" s="30">
        <v>1.0</v>
      </c>
      <c r="D47" s="30">
        <v>0.1</v>
      </c>
      <c r="E47" s="30">
        <v>764.0</v>
      </c>
      <c r="F47" s="30">
        <v>582932.0</v>
      </c>
    </row>
    <row r="48">
      <c r="A48" s="28" t="s">
        <v>268</v>
      </c>
      <c r="B48" s="29" t="s">
        <v>773</v>
      </c>
      <c r="C48" s="30">
        <v>1.0</v>
      </c>
      <c r="D48" s="30">
        <v>0.25</v>
      </c>
      <c r="E48" s="30">
        <v>1567.0</v>
      </c>
      <c r="F48" s="30">
        <v>2453922.0</v>
      </c>
    </row>
    <row r="49">
      <c r="A49" s="28" t="s">
        <v>268</v>
      </c>
      <c r="B49" s="29" t="s">
        <v>773</v>
      </c>
      <c r="C49" s="30">
        <v>1.0</v>
      </c>
      <c r="D49" s="30">
        <v>0.5</v>
      </c>
      <c r="E49" s="30">
        <v>2904.0</v>
      </c>
      <c r="F49" s="30">
        <v>8430312.0</v>
      </c>
    </row>
    <row r="50">
      <c r="A50" s="28" t="s">
        <v>268</v>
      </c>
      <c r="B50" s="29" t="s">
        <v>773</v>
      </c>
      <c r="C50" s="30">
        <v>1.0</v>
      </c>
      <c r="D50" s="30">
        <v>0.75</v>
      </c>
      <c r="E50" s="30">
        <v>4286.0</v>
      </c>
      <c r="F50" s="30">
        <v>1.836551E7</v>
      </c>
    </row>
    <row r="51">
      <c r="A51" s="28" t="s">
        <v>268</v>
      </c>
      <c r="B51" s="29" t="s">
        <v>773</v>
      </c>
      <c r="C51" s="30">
        <v>1.0</v>
      </c>
      <c r="D51" s="30">
        <v>1.0</v>
      </c>
      <c r="E51" s="30">
        <v>5606.0</v>
      </c>
      <c r="F51" s="30">
        <v>3.142163E7</v>
      </c>
    </row>
    <row r="52">
      <c r="A52" s="28" t="s">
        <v>519</v>
      </c>
      <c r="B52" s="29" t="s">
        <v>774</v>
      </c>
      <c r="C52" s="30">
        <v>0.1</v>
      </c>
      <c r="D52" s="30">
        <v>0.1</v>
      </c>
      <c r="E52" s="29">
        <v>1394.0</v>
      </c>
      <c r="F52" s="30">
        <v>917990.0</v>
      </c>
    </row>
    <row r="53">
      <c r="A53" s="28" t="s">
        <v>519</v>
      </c>
      <c r="B53" s="29" t="s">
        <v>774</v>
      </c>
      <c r="C53" s="30">
        <v>0.1</v>
      </c>
      <c r="D53" s="30">
        <v>0.25</v>
      </c>
      <c r="E53" s="29">
        <v>3070.0</v>
      </c>
      <c r="F53" s="30">
        <v>1331760.0</v>
      </c>
    </row>
    <row r="54">
      <c r="A54" s="28" t="s">
        <v>519</v>
      </c>
      <c r="B54" s="29" t="s">
        <v>774</v>
      </c>
      <c r="C54" s="30">
        <v>0.1</v>
      </c>
      <c r="D54" s="30">
        <v>0.5</v>
      </c>
      <c r="E54" s="29">
        <v>5889.0</v>
      </c>
      <c r="F54" s="30">
        <v>2185146.0</v>
      </c>
    </row>
    <row r="55">
      <c r="A55" s="28" t="s">
        <v>519</v>
      </c>
      <c r="B55" s="29" t="s">
        <v>774</v>
      </c>
      <c r="C55" s="30">
        <v>0.1</v>
      </c>
      <c r="D55" s="30">
        <v>0.75</v>
      </c>
      <c r="E55" s="29">
        <v>8794.0</v>
      </c>
      <c r="F55" s="30">
        <v>3455080.0</v>
      </c>
    </row>
    <row r="56">
      <c r="A56" s="28" t="s">
        <v>519</v>
      </c>
      <c r="B56" s="29" t="s">
        <v>774</v>
      </c>
      <c r="C56" s="30">
        <v>0.1</v>
      </c>
      <c r="D56" s="30">
        <v>1.0</v>
      </c>
      <c r="E56" s="29">
        <v>11564.0</v>
      </c>
      <c r="F56" s="30">
        <v>4402520.0</v>
      </c>
    </row>
    <row r="57">
      <c r="A57" s="28" t="s">
        <v>519</v>
      </c>
      <c r="B57" s="29" t="s">
        <v>774</v>
      </c>
      <c r="C57" s="30">
        <v>0.25</v>
      </c>
      <c r="D57" s="30">
        <v>0.1</v>
      </c>
      <c r="E57" s="29">
        <v>1968.0</v>
      </c>
      <c r="F57" s="30">
        <v>2379596.0</v>
      </c>
    </row>
    <row r="58">
      <c r="A58" s="28" t="s">
        <v>519</v>
      </c>
      <c r="B58" s="29" t="s">
        <v>774</v>
      </c>
      <c r="C58" s="30">
        <v>0.25</v>
      </c>
      <c r="D58" s="30">
        <v>0.25</v>
      </c>
      <c r="E58" s="29">
        <v>4270.0</v>
      </c>
      <c r="F58" s="30">
        <v>3630360.0</v>
      </c>
    </row>
    <row r="59">
      <c r="A59" s="28" t="s">
        <v>519</v>
      </c>
      <c r="B59" s="29" t="s">
        <v>774</v>
      </c>
      <c r="C59" s="30">
        <v>0.25</v>
      </c>
      <c r="D59" s="30">
        <v>0.5</v>
      </c>
      <c r="E59" s="29">
        <v>8129.0</v>
      </c>
      <c r="F59" s="30">
        <v>6248816.0</v>
      </c>
    </row>
    <row r="60">
      <c r="A60" s="28" t="s">
        <v>519</v>
      </c>
      <c r="B60" s="29" t="s">
        <v>774</v>
      </c>
      <c r="C60" s="30">
        <v>0.25</v>
      </c>
      <c r="D60" s="30">
        <v>0.75</v>
      </c>
      <c r="E60" s="29">
        <v>12112.0</v>
      </c>
      <c r="F60" s="30">
        <v>1.0403158E7</v>
      </c>
    </row>
    <row r="61">
      <c r="A61" s="28" t="s">
        <v>519</v>
      </c>
      <c r="B61" s="29" t="s">
        <v>774</v>
      </c>
      <c r="C61" s="30">
        <v>0.25</v>
      </c>
      <c r="D61" s="30">
        <v>1.0</v>
      </c>
      <c r="E61" s="29">
        <v>15900.0</v>
      </c>
      <c r="F61" s="30">
        <v>1.368828E7</v>
      </c>
    </row>
    <row r="62">
      <c r="A62" s="28" t="s">
        <v>519</v>
      </c>
      <c r="B62" s="29" t="s">
        <v>774</v>
      </c>
      <c r="C62" s="30">
        <v>0.5</v>
      </c>
      <c r="D62" s="30">
        <v>0.1</v>
      </c>
      <c r="E62" s="29">
        <v>2700.0</v>
      </c>
      <c r="F62" s="30">
        <v>4710626.0</v>
      </c>
    </row>
    <row r="63">
      <c r="A63" s="28" t="s">
        <v>519</v>
      </c>
      <c r="B63" s="29" t="s">
        <v>774</v>
      </c>
      <c r="C63" s="30">
        <v>0.5</v>
      </c>
      <c r="D63" s="30">
        <v>0.25</v>
      </c>
      <c r="E63" s="29">
        <v>5817.0</v>
      </c>
      <c r="F63" s="30">
        <v>7262638.0</v>
      </c>
    </row>
    <row r="64">
      <c r="A64" s="28" t="s">
        <v>519</v>
      </c>
      <c r="B64" s="29" t="s">
        <v>774</v>
      </c>
      <c r="C64" s="30">
        <v>0.5</v>
      </c>
      <c r="D64" s="30">
        <v>0.5</v>
      </c>
      <c r="E64" s="29">
        <v>11034.0</v>
      </c>
      <c r="F64" s="30">
        <v>1.2870322E7</v>
      </c>
    </row>
    <row r="65">
      <c r="A65" s="28" t="s">
        <v>519</v>
      </c>
      <c r="B65" s="29" t="s">
        <v>774</v>
      </c>
      <c r="C65" s="30">
        <v>0.5</v>
      </c>
      <c r="D65" s="30">
        <v>0.75</v>
      </c>
      <c r="E65" s="29">
        <v>16427.0</v>
      </c>
      <c r="F65" s="30">
        <v>2.1933672E7</v>
      </c>
    </row>
    <row r="66">
      <c r="A66" s="28" t="s">
        <v>519</v>
      </c>
      <c r="B66" s="29" t="s">
        <v>774</v>
      </c>
      <c r="C66" s="30">
        <v>0.5</v>
      </c>
      <c r="D66" s="30">
        <v>1.0</v>
      </c>
      <c r="E66" s="29">
        <v>21556.0</v>
      </c>
      <c r="F66" s="30">
        <v>2.9441194E7</v>
      </c>
    </row>
    <row r="67">
      <c r="A67" s="28" t="s">
        <v>519</v>
      </c>
      <c r="B67" s="29" t="s">
        <v>774</v>
      </c>
      <c r="C67" s="30">
        <v>0.75</v>
      </c>
      <c r="D67" s="30">
        <v>0.1</v>
      </c>
      <c r="E67" s="29">
        <v>2989.0</v>
      </c>
      <c r="F67" s="30">
        <v>7081370.0</v>
      </c>
    </row>
    <row r="68">
      <c r="A68" s="28" t="s">
        <v>519</v>
      </c>
      <c r="B68" s="29" t="s">
        <v>774</v>
      </c>
      <c r="C68" s="30">
        <v>0.75</v>
      </c>
      <c r="D68" s="30">
        <v>0.25</v>
      </c>
      <c r="E68" s="29">
        <v>6302.0</v>
      </c>
      <c r="F68" s="30">
        <v>1.0900246E7</v>
      </c>
    </row>
    <row r="69">
      <c r="A69" s="28" t="s">
        <v>519</v>
      </c>
      <c r="B69" s="29" t="s">
        <v>774</v>
      </c>
      <c r="C69" s="30">
        <v>0.75</v>
      </c>
      <c r="D69" s="30">
        <v>0.5</v>
      </c>
      <c r="E69" s="29">
        <v>11861.0</v>
      </c>
      <c r="F69" s="30">
        <v>1.9300432E7</v>
      </c>
    </row>
    <row r="70">
      <c r="A70" s="28" t="s">
        <v>519</v>
      </c>
      <c r="B70" s="29" t="s">
        <v>774</v>
      </c>
      <c r="C70" s="30">
        <v>0.75</v>
      </c>
      <c r="D70" s="30">
        <v>0.75</v>
      </c>
      <c r="E70" s="29">
        <v>17635.0</v>
      </c>
      <c r="F70" s="30">
        <v>3.2894582E7</v>
      </c>
    </row>
    <row r="71">
      <c r="A71" s="28" t="s">
        <v>519</v>
      </c>
      <c r="B71" s="29" t="s">
        <v>774</v>
      </c>
      <c r="C71" s="30">
        <v>0.75</v>
      </c>
      <c r="D71" s="30">
        <v>1.0</v>
      </c>
      <c r="E71" s="29">
        <v>23089.0</v>
      </c>
      <c r="F71" s="30">
        <v>4.4009342E7</v>
      </c>
    </row>
    <row r="72">
      <c r="A72" s="28" t="s">
        <v>519</v>
      </c>
      <c r="B72" s="29" t="s">
        <v>774</v>
      </c>
      <c r="C72" s="30">
        <v>1.0</v>
      </c>
      <c r="D72" s="30">
        <v>0.1</v>
      </c>
      <c r="E72" s="29">
        <v>3248.0</v>
      </c>
      <c r="F72" s="30">
        <v>9297528.0</v>
      </c>
    </row>
    <row r="73">
      <c r="A73" s="28" t="s">
        <v>519</v>
      </c>
      <c r="B73" s="29" t="s">
        <v>774</v>
      </c>
      <c r="C73" s="30">
        <v>1.0</v>
      </c>
      <c r="D73" s="30">
        <v>0.25</v>
      </c>
      <c r="E73" s="29">
        <v>6757.0</v>
      </c>
      <c r="F73" s="30">
        <v>1.4040586E7</v>
      </c>
    </row>
    <row r="74">
      <c r="A74" s="28" t="s">
        <v>519</v>
      </c>
      <c r="B74" s="29" t="s">
        <v>774</v>
      </c>
      <c r="C74" s="30">
        <v>1.0</v>
      </c>
      <c r="D74" s="30">
        <v>0.5</v>
      </c>
      <c r="E74" s="29">
        <v>12648.0</v>
      </c>
      <c r="F74" s="30">
        <v>2.4506684E7</v>
      </c>
    </row>
    <row r="75">
      <c r="A75" s="28" t="s">
        <v>519</v>
      </c>
      <c r="B75" s="29" t="s">
        <v>774</v>
      </c>
      <c r="C75" s="30">
        <v>1.0</v>
      </c>
      <c r="D75" s="30">
        <v>0.75</v>
      </c>
      <c r="E75" s="29">
        <v>18777.0</v>
      </c>
      <c r="F75" s="30">
        <v>4.1265794E7</v>
      </c>
    </row>
    <row r="76">
      <c r="A76" s="28" t="s">
        <v>519</v>
      </c>
      <c r="B76" s="29" t="s">
        <v>774</v>
      </c>
      <c r="C76" s="30">
        <v>1.0</v>
      </c>
      <c r="D76" s="30">
        <v>1.0</v>
      </c>
      <c r="E76" s="29">
        <v>24551.0</v>
      </c>
      <c r="F76" s="30">
        <v>5.4665868E7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5"/>
    <col customWidth="1" min="10" max="10" width="4.25"/>
    <col customWidth="1" min="12" max="12" width="9.75"/>
    <col customWidth="1" min="13" max="13" width="8.5"/>
    <col customWidth="1" min="14" max="15" width="9.38"/>
    <col customWidth="1" min="16" max="17" width="9.13"/>
    <col customWidth="1" min="18" max="18" width="15.5"/>
    <col customWidth="1" min="19" max="19" width="3.88"/>
  </cols>
  <sheetData>
    <row r="1">
      <c r="A1" s="31" t="s">
        <v>775</v>
      </c>
      <c r="B1" s="32"/>
      <c r="C1" s="32"/>
      <c r="D1" s="32"/>
      <c r="E1" s="32"/>
      <c r="F1" s="32"/>
      <c r="G1" s="32"/>
      <c r="H1" s="32"/>
      <c r="I1" s="33"/>
      <c r="K1" s="34" t="s">
        <v>776</v>
      </c>
      <c r="S1" s="34"/>
    </row>
    <row r="2">
      <c r="A2" s="35" t="s">
        <v>777</v>
      </c>
      <c r="B2" s="35" t="s">
        <v>778</v>
      </c>
      <c r="C2" s="35" t="s">
        <v>779</v>
      </c>
      <c r="D2" s="35" t="s">
        <v>780</v>
      </c>
      <c r="E2" s="35" t="s">
        <v>4</v>
      </c>
      <c r="F2" s="35" t="s">
        <v>5</v>
      </c>
      <c r="G2" s="35" t="s">
        <v>6</v>
      </c>
      <c r="H2" s="35" t="s">
        <v>781</v>
      </c>
      <c r="I2" s="35" t="s">
        <v>772</v>
      </c>
      <c r="K2" s="35" t="s">
        <v>782</v>
      </c>
      <c r="L2" s="35" t="s">
        <v>783</v>
      </c>
      <c r="M2" s="35" t="s">
        <v>784</v>
      </c>
      <c r="N2" s="36" t="s">
        <v>785</v>
      </c>
      <c r="O2" s="37" t="s">
        <v>786</v>
      </c>
      <c r="P2" s="35" t="s">
        <v>787</v>
      </c>
      <c r="Q2" s="35" t="s">
        <v>781</v>
      </c>
      <c r="R2" s="35" t="s">
        <v>772</v>
      </c>
      <c r="S2" s="38"/>
    </row>
    <row r="3">
      <c r="A3" s="39" t="str">
        <f t="shared" ref="A3:A152" si="1">IF(B3="awaitingsml","ITC-state",IF(B3="easycategs","ITC-category",IF(B3="priority12x3x4","ITC-priority",IF(B3="kmeans","CTC",IF(B3="kmeans-iter","CTC-ITER",NA())))))</f>
        <v>ITC-state</v>
      </c>
      <c r="B3" s="39" t="str">
        <f>IFERROR(__xludf.DUMMYFUNCTION("UNIQUE(FILTER(data!B1:G3791,data!D:D=1))"),"awaitingsml")</f>
        <v>awaitingsml</v>
      </c>
      <c r="C3" s="39">
        <f>IFERROR(__xludf.DUMMYFUNCTION("""COMPUTED_VALUE"""),0.1)</f>
        <v>0.1</v>
      </c>
      <c r="D3" s="39">
        <f>IFERROR(__xludf.DUMMYFUNCTION("""COMPUTED_VALUE"""),1.0)</f>
        <v>1</v>
      </c>
      <c r="E3" s="39">
        <f>IFERROR(__xludf.DUMMYFUNCTION("""COMPUTED_VALUE"""),1.0)</f>
        <v>1</v>
      </c>
      <c r="F3" s="39">
        <f>IFERROR(__xludf.DUMMYFUNCTION("""COMPUTED_VALUE"""),246.673532247543)</f>
        <v>246.6735322</v>
      </c>
      <c r="G3" s="39">
        <f>IFERROR(__xludf.DUMMYFUNCTION("""COMPUTED_VALUE"""),388.040117263794)</f>
        <v>388.0401173</v>
      </c>
      <c r="H3" s="39">
        <f>IFERROR(__xludf.DUMMYFUNCTION("FILTER(constraints_counts!E$2:E$76,constraints_counts!$A$2:$A$76=$B3,constraints_counts!$C$2:$C$76=$C3,constraints_counts!$D$2:$D$76=$D3)"),2162.0)</f>
        <v>2162</v>
      </c>
      <c r="I3" s="39">
        <f>IFERROR(__xludf.DUMMYFUNCTION("FILTER(constraints_counts!F$2:F$76,constraints_counts!$A$2:$A$76=B3,constraints_counts!$C$2:$C$76=C3,constraints_counts!$D$2:$D$76=D3)"),4672082.0)</f>
        <v>4672082</v>
      </c>
      <c r="K3" s="39" t="str">
        <f>IFERROR(__xludf.DUMMYFUNCTION("SORT(UNIQUE(B3:D152),8, True)"),"awaitingsml")</f>
        <v>awaitingsml</v>
      </c>
      <c r="L3" s="39">
        <f>IFERROR(__xludf.DUMMYFUNCTION("""COMPUTED_VALUE"""),0.1)</f>
        <v>0.1</v>
      </c>
      <c r="M3" s="39">
        <f>IFERROR(__xludf.DUMMYFUNCTION("""COMPUTED_VALUE"""),1.0)</f>
        <v>1</v>
      </c>
      <c r="N3" s="40" t="str">
        <f t="shared" ref="N3:N17" si="2">CONCAT(L3,CONCAT("-",M3))</f>
        <v>0.1-1</v>
      </c>
      <c r="O3" s="41">
        <f>IFERROR(__xludf.DUMMYFUNCTION("MEDIAN(FILTER(F:F,$B:$B=$K3,$C:$C=$L3,$D:$D=$M3))"),159.1144487857815)</f>
        <v>159.1144488</v>
      </c>
      <c r="P3" s="39">
        <f>IFERROR(__xludf.DUMMYFUNCTION("STDEV(FILTER(F:F,$B:$B=$K3,$C:$C=$L3,$D:$D=$M3))"),78.48271523909932)</f>
        <v>78.48271524</v>
      </c>
      <c r="Q3" s="39">
        <f>IFERROR(__xludf.DUMMYFUNCTION("UNIQUE(FILTER(H:H,B:B=$K3,C:C=$L3,D:D=$M3))"),2162.0)</f>
        <v>2162</v>
      </c>
      <c r="R3" s="39">
        <f>IFERROR(__xludf.DUMMYFUNCTION("UNIQUE(FILTER(I:I,B:B=$K3,C:C=$L3,D:D=$M3))"),4672082.0)</f>
        <v>4672082</v>
      </c>
    </row>
    <row r="4">
      <c r="A4" s="39" t="str">
        <f t="shared" si="1"/>
        <v>ITC-state</v>
      </c>
      <c r="B4" s="39" t="str">
        <f>IFERROR(__xludf.DUMMYFUNCTION("""COMPUTED_VALUE"""),"awaitingsml")</f>
        <v>awaitingsml</v>
      </c>
      <c r="C4" s="39">
        <f>IFERROR(__xludf.DUMMYFUNCTION("""COMPUTED_VALUE"""),0.1)</f>
        <v>0.1</v>
      </c>
      <c r="D4" s="39">
        <f>IFERROR(__xludf.DUMMYFUNCTION("""COMPUTED_VALUE"""),1.0)</f>
        <v>1</v>
      </c>
      <c r="E4" s="39">
        <f>IFERROR(__xludf.DUMMYFUNCTION("""COMPUTED_VALUE"""),2.0)</f>
        <v>2</v>
      </c>
      <c r="F4" s="39">
        <f>IFERROR(__xludf.DUMMYFUNCTION("""COMPUTED_VALUE"""),227.003411054611)</f>
        <v>227.0034111</v>
      </c>
      <c r="G4" s="39">
        <f>IFERROR(__xludf.DUMMYFUNCTION("""COMPUTED_VALUE"""),358.977462768554)</f>
        <v>358.9774628</v>
      </c>
      <c r="H4" s="39">
        <f>IFERROR(__xludf.DUMMYFUNCTION("FILTER(constraints_counts!E$2:E$76,constraints_counts!$A$2:$A$76=$B4,constraints_counts!$C$2:$C$76=$C4,constraints_counts!$D$2:$D$76=$D4)"),2162.0)</f>
        <v>2162</v>
      </c>
      <c r="I4" s="39">
        <f>IFERROR(__xludf.DUMMYFUNCTION("FILTER(constraints_counts!F$2:F$76,constraints_counts!$A$2:$A$76=B4,constraints_counts!$C$2:$C$76=C4,constraints_counts!$D$2:$D$76=D4)"),4672082.0)</f>
        <v>4672082</v>
      </c>
      <c r="K4" s="39" t="str">
        <f>IFERROR(__xludf.DUMMYFUNCTION("""COMPUTED_VALUE"""),"awaitingsml")</f>
        <v>awaitingsml</v>
      </c>
      <c r="L4" s="39">
        <f>IFERROR(__xludf.DUMMYFUNCTION("""COMPUTED_VALUE"""),0.25)</f>
        <v>0.25</v>
      </c>
      <c r="M4" s="39">
        <f>IFERROR(__xludf.DUMMYFUNCTION("""COMPUTED_VALUE"""),1.0)</f>
        <v>1</v>
      </c>
      <c r="N4" s="40" t="str">
        <f t="shared" si="2"/>
        <v>0.25-1</v>
      </c>
      <c r="O4" s="41">
        <f>IFERROR(__xludf.DUMMYFUNCTION("MEDIAN(FILTER(F:F,$B:$B=$K4,$C:$C=$L4,$D:$D=$M4))"),263.897997140884)</f>
        <v>263.8979971</v>
      </c>
      <c r="P4" s="39">
        <f>IFERROR(__xludf.DUMMYFUNCTION("STDEV(FILTER(F:F,$B:$B=$K4,$C:$C=$L4,$D:$D=$M4))"),80.84110883362636)</f>
        <v>80.84110883</v>
      </c>
      <c r="Q4" s="39">
        <f>IFERROR(__xludf.DUMMYFUNCTION("UNIQUE(FILTER(H:H,B:B=$K4,C:C=$L4,D:D=$M4))"),3083.0)</f>
        <v>3083</v>
      </c>
      <c r="R4" s="39">
        <f>IFERROR(__xludf.DUMMYFUNCTION("UNIQUE(FILTER(I:I,B:B=$K4,C:C=$L4,D:D=$M4))"),9501806.0)</f>
        <v>9501806</v>
      </c>
    </row>
    <row r="5">
      <c r="A5" s="39" t="str">
        <f t="shared" si="1"/>
        <v>ITC-state</v>
      </c>
      <c r="B5" s="39" t="str">
        <f>IFERROR(__xludf.DUMMYFUNCTION("""COMPUTED_VALUE"""),"awaitingsml")</f>
        <v>awaitingsml</v>
      </c>
      <c r="C5" s="39">
        <f>IFERROR(__xludf.DUMMYFUNCTION("""COMPUTED_VALUE"""),0.1)</f>
        <v>0.1</v>
      </c>
      <c r="D5" s="39">
        <f>IFERROR(__xludf.DUMMYFUNCTION("""COMPUTED_VALUE"""),1.0)</f>
        <v>1</v>
      </c>
      <c r="E5" s="39">
        <f>IFERROR(__xludf.DUMMYFUNCTION("""COMPUTED_VALUE"""),3.0)</f>
        <v>3</v>
      </c>
      <c r="F5" s="39">
        <f>IFERROR(__xludf.DUMMYFUNCTION("""COMPUTED_VALUE"""),106.578196763992)</f>
        <v>106.5781968</v>
      </c>
      <c r="G5" s="39">
        <f>IFERROR(__xludf.DUMMYFUNCTION("""COMPUTED_VALUE"""),270.748294591903)</f>
        <v>270.7482946</v>
      </c>
      <c r="H5" s="39">
        <f>IFERROR(__xludf.DUMMYFUNCTION("FILTER(constraints_counts!E$2:E$76,constraints_counts!$A$2:$A$76=$B5,constraints_counts!$C$2:$C$76=$C5,constraints_counts!$D$2:$D$76=$D5)"),2162.0)</f>
        <v>2162</v>
      </c>
      <c r="I5" s="39">
        <f>IFERROR(__xludf.DUMMYFUNCTION("FILTER(constraints_counts!F$2:F$76,constraints_counts!$A$2:$A$76=B5,constraints_counts!$C$2:$C$76=C5,constraints_counts!$D$2:$D$76=D5)"),4672082.0)</f>
        <v>4672082</v>
      </c>
      <c r="K5" s="39" t="str">
        <f>IFERROR(__xludf.DUMMYFUNCTION("""COMPUTED_VALUE"""),"awaitingsml")</f>
        <v>awaitingsml</v>
      </c>
      <c r="L5" s="39">
        <f>IFERROR(__xludf.DUMMYFUNCTION("""COMPUTED_VALUE"""),0.5)</f>
        <v>0.5</v>
      </c>
      <c r="M5" s="39">
        <f>IFERROR(__xludf.DUMMYFUNCTION("""COMPUTED_VALUE"""),1.0)</f>
        <v>1</v>
      </c>
      <c r="N5" s="40" t="str">
        <f t="shared" si="2"/>
        <v>0.5-1</v>
      </c>
      <c r="O5" s="41">
        <f>IFERROR(__xludf.DUMMYFUNCTION("MEDIAN(FILTER(F:F,$B:$B=$K5,$C:$C=$L5,$D:$D=$M5))"),210.4601644277565)</f>
        <v>210.4601644</v>
      </c>
      <c r="P5" s="39">
        <f>IFERROR(__xludf.DUMMYFUNCTION("STDEV(FILTER(F:F,$B:$B=$K5,$C:$C=$L5,$D:$D=$M5))"),250.81334355817611)</f>
        <v>250.8133436</v>
      </c>
      <c r="Q5" s="39">
        <f>IFERROR(__xludf.DUMMYFUNCTION("UNIQUE(FILTER(H:H,B:B=$K5,C:C=$L5,D:D=$M5))"),4588.0)</f>
        <v>4588</v>
      </c>
      <c r="R5" s="39">
        <f>IFERROR(__xludf.DUMMYFUNCTION("UNIQUE(FILTER(I:I,B:B=$K5,C:C=$L5,D:D=$M5))"),2.1045156E7)</f>
        <v>21045156</v>
      </c>
    </row>
    <row r="6">
      <c r="A6" s="39" t="str">
        <f t="shared" si="1"/>
        <v>ITC-state</v>
      </c>
      <c r="B6" s="39" t="str">
        <f>IFERROR(__xludf.DUMMYFUNCTION("""COMPUTED_VALUE"""),"awaitingsml")</f>
        <v>awaitingsml</v>
      </c>
      <c r="C6" s="39">
        <f>IFERROR(__xludf.DUMMYFUNCTION("""COMPUTED_VALUE"""),0.1)</f>
        <v>0.1</v>
      </c>
      <c r="D6" s="39">
        <f>IFERROR(__xludf.DUMMYFUNCTION("""COMPUTED_VALUE"""),1.0)</f>
        <v>1</v>
      </c>
      <c r="E6" s="39">
        <f>IFERROR(__xludf.DUMMYFUNCTION("""COMPUTED_VALUE"""),4.0)</f>
        <v>4</v>
      </c>
      <c r="F6" s="39">
        <f>IFERROR(__xludf.DUMMYFUNCTION("""COMPUTED_VALUE"""),335.329742670059)</f>
        <v>335.3297427</v>
      </c>
      <c r="G6" s="39">
        <f>IFERROR(__xludf.DUMMYFUNCTION("""COMPUTED_VALUE"""),492.773555517196)</f>
        <v>492.7735555</v>
      </c>
      <c r="H6" s="39">
        <f>IFERROR(__xludf.DUMMYFUNCTION("FILTER(constraints_counts!E$2:E$76,constraints_counts!$A$2:$A$76=$B6,constraints_counts!$C$2:$C$76=$C6,constraints_counts!$D$2:$D$76=$D6)"),2162.0)</f>
        <v>2162</v>
      </c>
      <c r="I6" s="39">
        <f>IFERROR(__xludf.DUMMYFUNCTION("FILTER(constraints_counts!F$2:F$76,constraints_counts!$A$2:$A$76=B6,constraints_counts!$C$2:$C$76=C6,constraints_counts!$D$2:$D$76=D6)"),4672082.0)</f>
        <v>4672082</v>
      </c>
      <c r="K6" s="39" t="str">
        <f>IFERROR(__xludf.DUMMYFUNCTION("""COMPUTED_VALUE"""),"awaitingsml")</f>
        <v>awaitingsml</v>
      </c>
      <c r="L6" s="39">
        <f>IFERROR(__xludf.DUMMYFUNCTION("""COMPUTED_VALUE"""),0.75)</f>
        <v>0.75</v>
      </c>
      <c r="M6" s="39">
        <f>IFERROR(__xludf.DUMMYFUNCTION("""COMPUTED_VALUE"""),1.0)</f>
        <v>1</v>
      </c>
      <c r="N6" s="40" t="str">
        <f t="shared" si="2"/>
        <v>0.75-1</v>
      </c>
      <c r="O6" s="41">
        <f>IFERROR(__xludf.DUMMYFUNCTION("MEDIAN(FILTER(F:F,$B:$B=$K6,$C:$C=$L6,$D:$D=$M6))"),133.110789775848)</f>
        <v>133.1107898</v>
      </c>
      <c r="P6" s="39">
        <f>IFERROR(__xludf.DUMMYFUNCTION("STDEV(FILTER(F:F,$B:$B=$K6,$C:$C=$L6,$D:$D=$M6))"),42.254680639475744)</f>
        <v>42.25468064</v>
      </c>
      <c r="Q6" s="39">
        <f>IFERROR(__xludf.DUMMYFUNCTION("UNIQUE(FILTER(H:H,B:B=$K6,C:C=$L6,D:D=$M6))"),5305.0)</f>
        <v>5305</v>
      </c>
      <c r="R6" s="39">
        <f>IFERROR(__xludf.DUMMYFUNCTION("UNIQUE(FILTER(I:I,B:B=$K6,C:C=$L6,D:D=$M6))"),2.813772E7)</f>
        <v>28137720</v>
      </c>
    </row>
    <row r="7">
      <c r="A7" s="39" t="str">
        <f t="shared" si="1"/>
        <v>ITC-state</v>
      </c>
      <c r="B7" s="39" t="str">
        <f>IFERROR(__xludf.DUMMYFUNCTION("""COMPUTED_VALUE"""),"awaitingsml")</f>
        <v>awaitingsml</v>
      </c>
      <c r="C7" s="39">
        <f>IFERROR(__xludf.DUMMYFUNCTION("""COMPUTED_VALUE"""),0.1)</f>
        <v>0.1</v>
      </c>
      <c r="D7" s="39">
        <f>IFERROR(__xludf.DUMMYFUNCTION("""COMPUTED_VALUE"""),1.0)</f>
        <v>1</v>
      </c>
      <c r="E7" s="39">
        <f>IFERROR(__xludf.DUMMYFUNCTION("""COMPUTED_VALUE"""),5.0)</f>
        <v>5</v>
      </c>
      <c r="F7" s="39">
        <f>IFERROR(__xludf.DUMMYFUNCTION("""COMPUTED_VALUE"""),271.882249355316)</f>
        <v>271.8822494</v>
      </c>
      <c r="G7" s="39">
        <f>IFERROR(__xludf.DUMMYFUNCTION("""COMPUTED_VALUE"""),434.815953731536)</f>
        <v>434.8159537</v>
      </c>
      <c r="H7" s="39">
        <f>IFERROR(__xludf.DUMMYFUNCTION("FILTER(constraints_counts!E$2:E$76,constraints_counts!$A$2:$A$76=$B7,constraints_counts!$C$2:$C$76=$C7,constraints_counts!$D$2:$D$76=$D7)"),2162.0)</f>
        <v>2162</v>
      </c>
      <c r="I7" s="39">
        <f>IFERROR(__xludf.DUMMYFUNCTION("FILTER(constraints_counts!F$2:F$76,constraints_counts!$A$2:$A$76=B7,constraints_counts!$C$2:$C$76=C7,constraints_counts!$D$2:$D$76=D7)"),4672082.0)</f>
        <v>4672082</v>
      </c>
      <c r="K7" s="39" t="str">
        <f>IFERROR(__xludf.DUMMYFUNCTION("""COMPUTED_VALUE"""),"awaitingsml")</f>
        <v>awaitingsml</v>
      </c>
      <c r="L7" s="39">
        <f>IFERROR(__xludf.DUMMYFUNCTION("""COMPUTED_VALUE"""),1.0)</f>
        <v>1</v>
      </c>
      <c r="M7" s="39">
        <f>IFERROR(__xludf.DUMMYFUNCTION("""COMPUTED_VALUE"""),1.0)</f>
        <v>1</v>
      </c>
      <c r="N7" s="40" t="str">
        <f t="shared" si="2"/>
        <v>1-1</v>
      </c>
      <c r="O7" s="41">
        <f>IFERROR(__xludf.DUMMYFUNCTION("MEDIAN(FILTER(F:F,$B:$B=$K7,$C:$C=$L7,$D:$D=$M7))"),183.94617402553502)</f>
        <v>183.946174</v>
      </c>
      <c r="P7" s="39">
        <f>IFERROR(__xludf.DUMMYFUNCTION("STDEV(FILTER(F:F,$B:$B=$K7,$C:$C=$L7,$D:$D=$M7))"),127.58290731158742)</f>
        <v>127.5829073</v>
      </c>
      <c r="Q7" s="39">
        <f>IFERROR(__xludf.DUMMYFUNCTION("UNIQUE(FILTER(H:H,B:B=$K7,C:C=$L7,D:D=$M7))"),5825.0)</f>
        <v>5825</v>
      </c>
      <c r="R7" s="39">
        <f>IFERROR(__xludf.DUMMYFUNCTION("UNIQUE(FILTER(I:I,B:B=$K7,C:C=$L7,D:D=$M7))"),3.39248E7)</f>
        <v>33924800</v>
      </c>
    </row>
    <row r="8">
      <c r="A8" s="39" t="str">
        <f t="shared" si="1"/>
        <v>ITC-state</v>
      </c>
      <c r="B8" s="39" t="str">
        <f>IFERROR(__xludf.DUMMYFUNCTION("""COMPUTED_VALUE"""),"awaitingsml")</f>
        <v>awaitingsml</v>
      </c>
      <c r="C8" s="39">
        <f>IFERROR(__xludf.DUMMYFUNCTION("""COMPUTED_VALUE"""),0.1)</f>
        <v>0.1</v>
      </c>
      <c r="D8" s="39">
        <f>IFERROR(__xludf.DUMMYFUNCTION("""COMPUTED_VALUE"""),1.0)</f>
        <v>1</v>
      </c>
      <c r="E8" s="39">
        <f>IFERROR(__xludf.DUMMYFUNCTION("""COMPUTED_VALUE"""),6.0)</f>
        <v>6</v>
      </c>
      <c r="F8" s="39">
        <f>IFERROR(__xludf.DUMMYFUNCTION("""COMPUTED_VALUE"""),174.090986013412)</f>
        <v>174.090986</v>
      </c>
      <c r="G8" s="39">
        <f>IFERROR(__xludf.DUMMYFUNCTION("""COMPUTED_VALUE"""),312.441928148269)</f>
        <v>312.4419281</v>
      </c>
      <c r="H8" s="39">
        <f>IFERROR(__xludf.DUMMYFUNCTION("FILTER(constraints_counts!E$2:E$76,constraints_counts!$A$2:$A$76=$B8,constraints_counts!$C$2:$C$76=$C8,constraints_counts!$D$2:$D$76=$D8)"),2162.0)</f>
        <v>2162</v>
      </c>
      <c r="I8" s="39">
        <f>IFERROR(__xludf.DUMMYFUNCTION("FILTER(constraints_counts!F$2:F$76,constraints_counts!$A$2:$A$76=B8,constraints_counts!$C$2:$C$76=C8,constraints_counts!$D$2:$D$76=D8)"),4672082.0)</f>
        <v>4672082</v>
      </c>
      <c r="K8" s="39" t="str">
        <f>IFERROR(__xludf.DUMMYFUNCTION("""COMPUTED_VALUE"""),"easycategs")</f>
        <v>easycategs</v>
      </c>
      <c r="L8" s="39">
        <f>IFERROR(__xludf.DUMMYFUNCTION("""COMPUTED_VALUE"""),0.1)</f>
        <v>0.1</v>
      </c>
      <c r="M8" s="39">
        <f>IFERROR(__xludf.DUMMYFUNCTION("""COMPUTED_VALUE"""),1.0)</f>
        <v>1</v>
      </c>
      <c r="N8" s="40" t="str">
        <f t="shared" si="2"/>
        <v>0.1-1</v>
      </c>
      <c r="O8" s="41">
        <f>IFERROR(__xludf.DUMMYFUNCTION("MEDIAN(FILTER(F:F,$B:$B=$K8,$C:$C=$L8,$D:$D=$M8))"),258.83924782276097)</f>
        <v>258.8392478</v>
      </c>
      <c r="P8" s="39">
        <f>IFERROR(__xludf.DUMMYFUNCTION("STDEV(FILTER(F:F,$B:$B=$K8,$C:$C=$L8,$D:$D=$M8))"),57.78544443991239)</f>
        <v>57.78544444</v>
      </c>
      <c r="Q8" s="39">
        <f>IFERROR(__xludf.DUMMYFUNCTION("UNIQUE(FILTER(H:H,B:B=$K8,C:C=$L8,D:D=$M8))"),1713.0)</f>
        <v>1713</v>
      </c>
      <c r="R8" s="39">
        <f>IFERROR(__xludf.DUMMYFUNCTION("UNIQUE(FILTER(I:I,B:B=$K8,C:C=$L8,D:D=$M8))"),2932656.0)</f>
        <v>2932656</v>
      </c>
    </row>
    <row r="9">
      <c r="A9" s="39" t="str">
        <f t="shared" si="1"/>
        <v>ITC-state</v>
      </c>
      <c r="B9" s="39" t="str">
        <f>IFERROR(__xludf.DUMMYFUNCTION("""COMPUTED_VALUE"""),"awaitingsml")</f>
        <v>awaitingsml</v>
      </c>
      <c r="C9" s="39">
        <f>IFERROR(__xludf.DUMMYFUNCTION("""COMPUTED_VALUE"""),0.1)</f>
        <v>0.1</v>
      </c>
      <c r="D9" s="39">
        <f>IFERROR(__xludf.DUMMYFUNCTION("""COMPUTED_VALUE"""),1.0)</f>
        <v>1</v>
      </c>
      <c r="E9" s="39">
        <f>IFERROR(__xludf.DUMMYFUNCTION("""COMPUTED_VALUE"""),7.0)</f>
        <v>7</v>
      </c>
      <c r="F9" s="39">
        <f>IFERROR(__xludf.DUMMYFUNCTION("""COMPUTED_VALUE"""),136.066507339477)</f>
        <v>136.0665073</v>
      </c>
      <c r="G9" s="39">
        <f>IFERROR(__xludf.DUMMYFUNCTION("""COMPUTED_VALUE"""),292.785821437835)</f>
        <v>292.7858214</v>
      </c>
      <c r="H9" s="39">
        <f>IFERROR(__xludf.DUMMYFUNCTION("FILTER(constraints_counts!E$2:E$76,constraints_counts!$A$2:$A$76=$B9,constraints_counts!$C$2:$C$76=$C9,constraints_counts!$D$2:$D$76=$D9)"),2162.0)</f>
        <v>2162</v>
      </c>
      <c r="I9" s="39">
        <f>IFERROR(__xludf.DUMMYFUNCTION("FILTER(constraints_counts!F$2:F$76,constraints_counts!$A$2:$A$76=B9,constraints_counts!$C$2:$C$76=C9,constraints_counts!$D$2:$D$76=D9)"),4672082.0)</f>
        <v>4672082</v>
      </c>
      <c r="K9" s="39" t="str">
        <f>IFERROR(__xludf.DUMMYFUNCTION("""COMPUTED_VALUE"""),"easycategs")</f>
        <v>easycategs</v>
      </c>
      <c r="L9" s="39">
        <f>IFERROR(__xludf.DUMMYFUNCTION("""COMPUTED_VALUE"""),0.25)</f>
        <v>0.25</v>
      </c>
      <c r="M9" s="39">
        <f>IFERROR(__xludf.DUMMYFUNCTION("""COMPUTED_VALUE"""),1.0)</f>
        <v>1</v>
      </c>
      <c r="N9" s="40" t="str">
        <f t="shared" si="2"/>
        <v>0.25-1</v>
      </c>
      <c r="O9" s="41">
        <f>IFERROR(__xludf.DUMMYFUNCTION("MEDIAN(FILTER(F:F,$B:$B=$K9,$C:$C=$L9,$D:$D=$M9))"),110.09813630580851)</f>
        <v>110.0981363</v>
      </c>
      <c r="P9" s="39">
        <f>IFERROR(__xludf.DUMMYFUNCTION("STDEV(FILTER(F:F,$B:$B=$K9,$C:$C=$L9,$D:$D=$M9))"),9.68460088948245)</f>
        <v>9.684600889</v>
      </c>
      <c r="Q9" s="39">
        <f>IFERROR(__xludf.DUMMYFUNCTION("UNIQUE(FILTER(H:H,B:B=$K9,C:C=$L9,D:D=$M9))"),2127.0)</f>
        <v>2127</v>
      </c>
      <c r="R9" s="39">
        <f>IFERROR(__xludf.DUMMYFUNCTION("UNIQUE(FILTER(I:I,B:B=$K9,C:C=$L9,D:D=$M9))"),4522002.0)</f>
        <v>4522002</v>
      </c>
    </row>
    <row r="10">
      <c r="A10" s="39" t="str">
        <f t="shared" si="1"/>
        <v>ITC-state</v>
      </c>
      <c r="B10" s="39" t="str">
        <f>IFERROR(__xludf.DUMMYFUNCTION("""COMPUTED_VALUE"""),"awaitingsml")</f>
        <v>awaitingsml</v>
      </c>
      <c r="C10" s="39">
        <f>IFERROR(__xludf.DUMMYFUNCTION("""COMPUTED_VALUE"""),0.1)</f>
        <v>0.1</v>
      </c>
      <c r="D10" s="39">
        <f>IFERROR(__xludf.DUMMYFUNCTION("""COMPUTED_VALUE"""),1.0)</f>
        <v>1</v>
      </c>
      <c r="E10" s="39">
        <f>IFERROR(__xludf.DUMMYFUNCTION("""COMPUTED_VALUE"""),8.0)</f>
        <v>8</v>
      </c>
      <c r="F10" s="39">
        <f>IFERROR(__xludf.DUMMYFUNCTION("""COMPUTED_VALUE"""),144.137911558151)</f>
        <v>144.1379116</v>
      </c>
      <c r="G10" s="39">
        <f>IFERROR(__xludf.DUMMYFUNCTION("""COMPUTED_VALUE"""),301.84619474411)</f>
        <v>301.8461947</v>
      </c>
      <c r="H10" s="39">
        <f>IFERROR(__xludf.DUMMYFUNCTION("FILTER(constraints_counts!E$2:E$76,constraints_counts!$A$2:$A$76=$B10,constraints_counts!$C$2:$C$76=$C10,constraints_counts!$D$2:$D$76=$D10)"),2162.0)</f>
        <v>2162</v>
      </c>
      <c r="I10" s="39">
        <f>IFERROR(__xludf.DUMMYFUNCTION("FILTER(constraints_counts!F$2:F$76,constraints_counts!$A$2:$A$76=B10,constraints_counts!$C$2:$C$76=C10,constraints_counts!$D$2:$D$76=D10)"),4672082.0)</f>
        <v>4672082</v>
      </c>
      <c r="K10" s="39" t="str">
        <f>IFERROR(__xludf.DUMMYFUNCTION("""COMPUTED_VALUE"""),"easycategs")</f>
        <v>easycategs</v>
      </c>
      <c r="L10" s="39">
        <f>IFERROR(__xludf.DUMMYFUNCTION("""COMPUTED_VALUE"""),0.5)</f>
        <v>0.5</v>
      </c>
      <c r="M10" s="39">
        <f>IFERROR(__xludf.DUMMYFUNCTION("""COMPUTED_VALUE"""),1.0)</f>
        <v>1</v>
      </c>
      <c r="N10" s="40" t="str">
        <f t="shared" si="2"/>
        <v>0.5-1</v>
      </c>
      <c r="O10" s="41">
        <f>IFERROR(__xludf.DUMMYFUNCTION("MEDIAN(FILTER(F:F,$B:$B=$K10,$C:$C=$L10,$D:$D=$M10))"),329.221096038818)</f>
        <v>329.221096</v>
      </c>
      <c r="P10" s="39">
        <f>IFERROR(__xludf.DUMMYFUNCTION("STDEV(FILTER(F:F,$B:$B=$K10,$C:$C=$L10,$D:$D=$M10))"),28.64578253620249)</f>
        <v>28.64578254</v>
      </c>
      <c r="Q10" s="39">
        <f>IFERROR(__xludf.DUMMYFUNCTION("UNIQUE(FILTER(H:H,B:B=$K10,C:C=$L10,D:D=$M10))"),5407.0)</f>
        <v>5407</v>
      </c>
      <c r="R10" s="39">
        <f>IFERROR(__xludf.DUMMYFUNCTION("UNIQUE(FILTER(I:I,B:B=$K10,C:C=$L10,D:D=$M10))"),2.9230242E7)</f>
        <v>29230242</v>
      </c>
    </row>
    <row r="11">
      <c r="A11" s="39" t="str">
        <f t="shared" si="1"/>
        <v>ITC-state</v>
      </c>
      <c r="B11" s="39" t="str">
        <f>IFERROR(__xludf.DUMMYFUNCTION("""COMPUTED_VALUE"""),"awaitingsml")</f>
        <v>awaitingsml</v>
      </c>
      <c r="C11" s="39">
        <f>IFERROR(__xludf.DUMMYFUNCTION("""COMPUTED_VALUE"""),0.1)</f>
        <v>0.1</v>
      </c>
      <c r="D11" s="39">
        <f>IFERROR(__xludf.DUMMYFUNCTION("""COMPUTED_VALUE"""),1.0)</f>
        <v>1</v>
      </c>
      <c r="E11" s="39">
        <f>IFERROR(__xludf.DUMMYFUNCTION("""COMPUTED_VALUE"""),9.0)</f>
        <v>9</v>
      </c>
      <c r="F11" s="39">
        <f>IFERROR(__xludf.DUMMYFUNCTION("""COMPUTED_VALUE"""),122.10152721405)</f>
        <v>122.1015272</v>
      </c>
      <c r="G11" s="39">
        <f>IFERROR(__xludf.DUMMYFUNCTION("""COMPUTED_VALUE"""),278.018754720687)</f>
        <v>278.0187547</v>
      </c>
      <c r="H11" s="39">
        <f>IFERROR(__xludf.DUMMYFUNCTION("FILTER(constraints_counts!E$2:E$76,constraints_counts!$A$2:$A$76=$B11,constraints_counts!$C$2:$C$76=$C11,constraints_counts!$D$2:$D$76=$D11)"),2162.0)</f>
        <v>2162</v>
      </c>
      <c r="I11" s="39">
        <f>IFERROR(__xludf.DUMMYFUNCTION("FILTER(constraints_counts!F$2:F$76,constraints_counts!$A$2:$A$76=B11,constraints_counts!$C$2:$C$76=C11,constraints_counts!$D$2:$D$76=D11)"),4672082.0)</f>
        <v>4672082</v>
      </c>
      <c r="K11" s="39" t="str">
        <f>IFERROR(__xludf.DUMMYFUNCTION("""COMPUTED_VALUE"""),"easycategs")</f>
        <v>easycategs</v>
      </c>
      <c r="L11" s="39">
        <f>IFERROR(__xludf.DUMMYFUNCTION("""COMPUTED_VALUE"""),0.75)</f>
        <v>0.75</v>
      </c>
      <c r="M11" s="39">
        <f>IFERROR(__xludf.DUMMYFUNCTION("""COMPUTED_VALUE"""),1.0)</f>
        <v>1</v>
      </c>
      <c r="N11" s="40" t="str">
        <f t="shared" si="2"/>
        <v>0.75-1</v>
      </c>
      <c r="O11" s="41">
        <f>IFERROR(__xludf.DUMMYFUNCTION("MEDIAN(FILTER(F:F,$B:$B=$K11,$C:$C=$L11,$D:$D=$M11))"),186.84559094905802)</f>
        <v>186.8455909</v>
      </c>
      <c r="P11" s="39">
        <f>IFERROR(__xludf.DUMMYFUNCTION("STDEV(FILTER(F:F,$B:$B=$K11,$C:$C=$L11,$D:$D=$M11))"),10.147434890263076)</f>
        <v>10.14743489</v>
      </c>
      <c r="Q11" s="39">
        <f>IFERROR(__xludf.DUMMYFUNCTION("UNIQUE(FILTER(H:H,B:B=$K11,C:C=$L11,D:D=$M11))"),5530.0)</f>
        <v>5530</v>
      </c>
      <c r="R11" s="39">
        <f>IFERROR(__xludf.DUMMYFUNCTION("UNIQUE(FILTER(I:I,B:B=$K11,C:C=$L11,D:D=$M11))"),3.057537E7)</f>
        <v>30575370</v>
      </c>
    </row>
    <row r="12">
      <c r="A12" s="39" t="str">
        <f t="shared" si="1"/>
        <v>ITC-state</v>
      </c>
      <c r="B12" s="39" t="str">
        <f>IFERROR(__xludf.DUMMYFUNCTION("""COMPUTED_VALUE"""),"awaitingsml")</f>
        <v>awaitingsml</v>
      </c>
      <c r="C12" s="39">
        <f>IFERROR(__xludf.DUMMYFUNCTION("""COMPUTED_VALUE"""),0.1)</f>
        <v>0.1</v>
      </c>
      <c r="D12" s="39">
        <f>IFERROR(__xludf.DUMMYFUNCTION("""COMPUTED_VALUE"""),1.0)</f>
        <v>1</v>
      </c>
      <c r="E12" s="39">
        <f>IFERROR(__xludf.DUMMYFUNCTION("""COMPUTED_VALUE"""),10.0)</f>
        <v>10</v>
      </c>
      <c r="F12" s="39">
        <f>IFERROR(__xludf.DUMMYFUNCTION("""COMPUTED_VALUE"""),110.890358924865)</f>
        <v>110.8903589</v>
      </c>
      <c r="G12" s="39">
        <f>IFERROR(__xludf.DUMMYFUNCTION("""COMPUTED_VALUE"""),282.59375500679)</f>
        <v>282.593755</v>
      </c>
      <c r="H12" s="39">
        <f>IFERROR(__xludf.DUMMYFUNCTION("FILTER(constraints_counts!E$2:E$76,constraints_counts!$A$2:$A$76=$B12,constraints_counts!$C$2:$C$76=$C12,constraints_counts!$D$2:$D$76=$D12)"),2162.0)</f>
        <v>2162</v>
      </c>
      <c r="I12" s="39">
        <f>IFERROR(__xludf.DUMMYFUNCTION("FILTER(constraints_counts!F$2:F$76,constraints_counts!$A$2:$A$76=B12,constraints_counts!$C$2:$C$76=C12,constraints_counts!$D$2:$D$76=D12)"),4672082.0)</f>
        <v>4672082</v>
      </c>
      <c r="K12" s="39" t="str">
        <f>IFERROR(__xludf.DUMMYFUNCTION("""COMPUTED_VALUE"""),"easycategs")</f>
        <v>easycategs</v>
      </c>
      <c r="L12" s="39">
        <f>IFERROR(__xludf.DUMMYFUNCTION("""COMPUTED_VALUE"""),1.0)</f>
        <v>1</v>
      </c>
      <c r="M12" s="39">
        <f>IFERROR(__xludf.DUMMYFUNCTION("""COMPUTED_VALUE"""),1.0)</f>
        <v>1</v>
      </c>
      <c r="N12" s="40" t="str">
        <f t="shared" si="2"/>
        <v>1-1</v>
      </c>
      <c r="O12" s="41">
        <f>IFERROR(__xludf.DUMMYFUNCTION("MEDIAN(FILTER(F:F,$B:$B=$K12,$C:$C=$L12,$D:$D=$M12))"),166.3009245395655)</f>
        <v>166.3009245</v>
      </c>
      <c r="P12" s="39">
        <f>IFERROR(__xludf.DUMMYFUNCTION("STDEV(FILTER(F:F,$B:$B=$K12,$C:$C=$L12,$D:$D=$M12))"),44.100855595691534)</f>
        <v>44.1008556</v>
      </c>
      <c r="Q12" s="39">
        <f>IFERROR(__xludf.DUMMYFUNCTION("UNIQUE(FILTER(H:H,B:B=$K12,C:C=$L12,D:D=$M12))"),5606.0)</f>
        <v>5606</v>
      </c>
      <c r="R12" s="39">
        <f>IFERROR(__xludf.DUMMYFUNCTION("UNIQUE(FILTER(I:I,B:B=$K12,C:C=$L12,D:D=$M12))"),3.142163E7)</f>
        <v>31421630</v>
      </c>
    </row>
    <row r="13">
      <c r="A13" s="39" t="str">
        <f t="shared" si="1"/>
        <v>ITC-state</v>
      </c>
      <c r="B13" s="39" t="str">
        <f>IFERROR(__xludf.DUMMYFUNCTION("""COMPUTED_VALUE"""),"awaitingsml")</f>
        <v>awaitingsml</v>
      </c>
      <c r="C13" s="39">
        <f>IFERROR(__xludf.DUMMYFUNCTION("""COMPUTED_VALUE"""),0.25)</f>
        <v>0.25</v>
      </c>
      <c r="D13" s="39">
        <f>IFERROR(__xludf.DUMMYFUNCTION("""COMPUTED_VALUE"""),1.0)</f>
        <v>1</v>
      </c>
      <c r="E13" s="39">
        <f>IFERROR(__xludf.DUMMYFUNCTION("""COMPUTED_VALUE"""),1.0)</f>
        <v>1</v>
      </c>
      <c r="F13" s="39">
        <f>IFERROR(__xludf.DUMMYFUNCTION("""COMPUTED_VALUE"""),436.546980857849)</f>
        <v>436.5469809</v>
      </c>
      <c r="G13" s="39">
        <f>IFERROR(__xludf.DUMMYFUNCTION("""COMPUTED_VALUE"""),556.152522087097)</f>
        <v>556.1525221</v>
      </c>
      <c r="H13" s="39">
        <f>IFERROR(__xludf.DUMMYFUNCTION("FILTER(constraints_counts!E$2:E$76,constraints_counts!$A$2:$A$76=$B13,constraints_counts!$C$2:$C$76=$C13,constraints_counts!$D$2:$D$76=$D13)"),3083.0)</f>
        <v>3083</v>
      </c>
      <c r="I13" s="39">
        <f>IFERROR(__xludf.DUMMYFUNCTION("FILTER(constraints_counts!F$2:F$76,constraints_counts!$A$2:$A$76=B13,constraints_counts!$C$2:$C$76=C13,constraints_counts!$D$2:$D$76=D13)"),9501806.0)</f>
        <v>9501806</v>
      </c>
      <c r="K13" s="39" t="str">
        <f>IFERROR(__xludf.DUMMYFUNCTION("""COMPUTED_VALUE"""),"priority12x3x4")</f>
        <v>priority12x3x4</v>
      </c>
      <c r="L13" s="39">
        <f>IFERROR(__xludf.DUMMYFUNCTION("""COMPUTED_VALUE"""),0.1)</f>
        <v>0.1</v>
      </c>
      <c r="M13" s="39">
        <f>IFERROR(__xludf.DUMMYFUNCTION("""COMPUTED_VALUE"""),1.0)</f>
        <v>1</v>
      </c>
      <c r="N13" s="40" t="str">
        <f t="shared" si="2"/>
        <v>0.1-1</v>
      </c>
      <c r="O13" s="41">
        <f>IFERROR(__xludf.DUMMYFUNCTION("MEDIAN(FILTER(F:F,$B:$B=$K13,$C:$C=$L13,$D:$D=$M13))"),36112.4975596666)</f>
        <v>36112.49756</v>
      </c>
      <c r="P13" s="39">
        <f>IFERROR(__xludf.DUMMYFUNCTION("STDEV(FILTER(F:F,$B:$B=$K13,$C:$C=$L13,$D:$D=$M13))"),18280.22083881792)</f>
        <v>18280.22084</v>
      </c>
      <c r="Q13" s="39">
        <f>IFERROR(__xludf.DUMMYFUNCTION("UNIQUE(FILTER(H:H,B:B=$K13,C:C=$L13,D:D=$M13))"),11564.0)</f>
        <v>11564</v>
      </c>
      <c r="R13" s="39">
        <f>IFERROR(__xludf.DUMMYFUNCTION("UNIQUE(FILTER(I:I,B:B=$K13,C:C=$L13,D:D=$M13))"),4402520.0)</f>
        <v>4402520</v>
      </c>
    </row>
    <row r="14">
      <c r="A14" s="39" t="str">
        <f t="shared" si="1"/>
        <v>ITC-state</v>
      </c>
      <c r="B14" s="39" t="str">
        <f>IFERROR(__xludf.DUMMYFUNCTION("""COMPUTED_VALUE"""),"awaitingsml")</f>
        <v>awaitingsml</v>
      </c>
      <c r="C14" s="39">
        <f>IFERROR(__xludf.DUMMYFUNCTION("""COMPUTED_VALUE"""),0.25)</f>
        <v>0.25</v>
      </c>
      <c r="D14" s="39">
        <f>IFERROR(__xludf.DUMMYFUNCTION("""COMPUTED_VALUE"""),1.0)</f>
        <v>1</v>
      </c>
      <c r="E14" s="39">
        <f>IFERROR(__xludf.DUMMYFUNCTION("""COMPUTED_VALUE"""),2.0)</f>
        <v>2</v>
      </c>
      <c r="F14" s="39">
        <f>IFERROR(__xludf.DUMMYFUNCTION("""COMPUTED_VALUE"""),251.578300714492)</f>
        <v>251.5783007</v>
      </c>
      <c r="G14" s="39">
        <f>IFERROR(__xludf.DUMMYFUNCTION("""COMPUTED_VALUE"""),361.865264892578)</f>
        <v>361.8652649</v>
      </c>
      <c r="H14" s="39">
        <f>IFERROR(__xludf.DUMMYFUNCTION("FILTER(constraints_counts!E$2:E$76,constraints_counts!$A$2:$A$76=$B14,constraints_counts!$C$2:$C$76=$C14,constraints_counts!$D$2:$D$76=$D14)"),3083.0)</f>
        <v>3083</v>
      </c>
      <c r="I14" s="39">
        <f>IFERROR(__xludf.DUMMYFUNCTION("FILTER(constraints_counts!F$2:F$76,constraints_counts!$A$2:$A$76=B14,constraints_counts!$C$2:$C$76=C14,constraints_counts!$D$2:$D$76=D14)"),9501806.0)</f>
        <v>9501806</v>
      </c>
      <c r="K14" s="39" t="str">
        <f>IFERROR(__xludf.DUMMYFUNCTION("""COMPUTED_VALUE"""),"priority12x3x4")</f>
        <v>priority12x3x4</v>
      </c>
      <c r="L14" s="39">
        <f>IFERROR(__xludf.DUMMYFUNCTION("""COMPUTED_VALUE"""),0.25)</f>
        <v>0.25</v>
      </c>
      <c r="M14" s="39">
        <f>IFERROR(__xludf.DUMMYFUNCTION("""COMPUTED_VALUE"""),1.0)</f>
        <v>1</v>
      </c>
      <c r="N14" s="40" t="str">
        <f t="shared" si="2"/>
        <v>0.25-1</v>
      </c>
      <c r="O14" s="41">
        <f>IFERROR(__xludf.DUMMYFUNCTION("MEDIAN(FILTER(F:F,$B:$B=$K14,$C:$C=$L14,$D:$D=$M14))"),211473.9636321065)</f>
        <v>211473.9636</v>
      </c>
      <c r="P14" s="39">
        <f>IFERROR(__xludf.DUMMYFUNCTION("STDEV(FILTER(F:F,$B:$B=$K14,$C:$C=$L14,$D:$D=$M14))"),88041.30974489587)</f>
        <v>88041.30974</v>
      </c>
      <c r="Q14" s="39">
        <f>IFERROR(__xludf.DUMMYFUNCTION("UNIQUE(FILTER(H:H,B:B=$K14,C:C=$L14,D:D=$M14))"),15900.0)</f>
        <v>15900</v>
      </c>
      <c r="R14" s="39">
        <f>IFERROR(__xludf.DUMMYFUNCTION("UNIQUE(FILTER(I:I,B:B=$K14,C:C=$L14,D:D=$M14))"),1.368828E7)</f>
        <v>13688280</v>
      </c>
    </row>
    <row r="15">
      <c r="A15" s="39" t="str">
        <f t="shared" si="1"/>
        <v>ITC-state</v>
      </c>
      <c r="B15" s="39" t="str">
        <f>IFERROR(__xludf.DUMMYFUNCTION("""COMPUTED_VALUE"""),"awaitingsml")</f>
        <v>awaitingsml</v>
      </c>
      <c r="C15" s="39">
        <f>IFERROR(__xludf.DUMMYFUNCTION("""COMPUTED_VALUE"""),0.25)</f>
        <v>0.25</v>
      </c>
      <c r="D15" s="39">
        <f>IFERROR(__xludf.DUMMYFUNCTION("""COMPUTED_VALUE"""),1.0)</f>
        <v>1</v>
      </c>
      <c r="E15" s="39">
        <f>IFERROR(__xludf.DUMMYFUNCTION("""COMPUTED_VALUE"""),3.0)</f>
        <v>3</v>
      </c>
      <c r="F15" s="39">
        <f>IFERROR(__xludf.DUMMYFUNCTION("""COMPUTED_VALUE"""),199.068029880523)</f>
        <v>199.0680299</v>
      </c>
      <c r="G15" s="39">
        <f>IFERROR(__xludf.DUMMYFUNCTION("""COMPUTED_VALUE"""),327.948857069015)</f>
        <v>327.9488571</v>
      </c>
      <c r="H15" s="39">
        <f>IFERROR(__xludf.DUMMYFUNCTION("FILTER(constraints_counts!E$2:E$76,constraints_counts!$A$2:$A$76=$B15,constraints_counts!$C$2:$C$76=$C15,constraints_counts!$D$2:$D$76=$D15)"),3083.0)</f>
        <v>3083</v>
      </c>
      <c r="I15" s="39">
        <f>IFERROR(__xludf.DUMMYFUNCTION("FILTER(constraints_counts!F$2:F$76,constraints_counts!$A$2:$A$76=B15,constraints_counts!$C$2:$C$76=C15,constraints_counts!$D$2:$D$76=D15)"),9501806.0)</f>
        <v>9501806</v>
      </c>
      <c r="K15" s="39" t="str">
        <f>IFERROR(__xludf.DUMMYFUNCTION("""COMPUTED_VALUE"""),"priority12x3x4")</f>
        <v>priority12x3x4</v>
      </c>
      <c r="L15" s="39">
        <f>IFERROR(__xludf.DUMMYFUNCTION("""COMPUTED_VALUE"""),0.5)</f>
        <v>0.5</v>
      </c>
      <c r="M15" s="39">
        <f>IFERROR(__xludf.DUMMYFUNCTION("""COMPUTED_VALUE"""),1.0)</f>
        <v>1</v>
      </c>
      <c r="N15" s="40" t="str">
        <f t="shared" si="2"/>
        <v>0.5-1</v>
      </c>
      <c r="O15" s="41">
        <f>IFERROR(__xludf.DUMMYFUNCTION("MEDIAN(FILTER(F:F,$B:$B=$K15,$C:$C=$L15,$D:$D=$M15))"),509444.87727928103)</f>
        <v>509444.8773</v>
      </c>
      <c r="P15" s="39">
        <f>IFERROR(__xludf.DUMMYFUNCTION("STDEV(FILTER(F:F,$B:$B=$K15,$C:$C=$L15,$D:$D=$M15))"),85662.01124917662)</f>
        <v>85662.01125</v>
      </c>
      <c r="Q15" s="39">
        <f>IFERROR(__xludf.DUMMYFUNCTION("UNIQUE(FILTER(H:H,B:B=$K15,C:C=$L15,D:D=$M15))"),21556.0)</f>
        <v>21556</v>
      </c>
      <c r="R15" s="39">
        <f>IFERROR(__xludf.DUMMYFUNCTION("UNIQUE(FILTER(I:I,B:B=$K15,C:C=$L15,D:D=$M15))"),2.9441194E7)</f>
        <v>29441194</v>
      </c>
    </row>
    <row r="16">
      <c r="A16" s="39" t="str">
        <f t="shared" si="1"/>
        <v>ITC-state</v>
      </c>
      <c r="B16" s="39" t="str">
        <f>IFERROR(__xludf.DUMMYFUNCTION("""COMPUTED_VALUE"""),"awaitingsml")</f>
        <v>awaitingsml</v>
      </c>
      <c r="C16" s="39">
        <f>IFERROR(__xludf.DUMMYFUNCTION("""COMPUTED_VALUE"""),0.25)</f>
        <v>0.25</v>
      </c>
      <c r="D16" s="39">
        <f>IFERROR(__xludf.DUMMYFUNCTION("""COMPUTED_VALUE"""),1.0)</f>
        <v>1</v>
      </c>
      <c r="E16" s="39">
        <f>IFERROR(__xludf.DUMMYFUNCTION("""COMPUTED_VALUE"""),4.0)</f>
        <v>4</v>
      </c>
      <c r="F16" s="39">
        <f>IFERROR(__xludf.DUMMYFUNCTION("""COMPUTED_VALUE"""),221.628694534301)</f>
        <v>221.6286945</v>
      </c>
      <c r="G16" s="39">
        <f>IFERROR(__xludf.DUMMYFUNCTION("""COMPUTED_VALUE"""),349.283378601074)</f>
        <v>349.2833786</v>
      </c>
      <c r="H16" s="39">
        <f>IFERROR(__xludf.DUMMYFUNCTION("FILTER(constraints_counts!E$2:E$76,constraints_counts!$A$2:$A$76=$B16,constraints_counts!$C$2:$C$76=$C16,constraints_counts!$D$2:$D$76=$D16)"),3083.0)</f>
        <v>3083</v>
      </c>
      <c r="I16" s="39">
        <f>IFERROR(__xludf.DUMMYFUNCTION("FILTER(constraints_counts!F$2:F$76,constraints_counts!$A$2:$A$76=B16,constraints_counts!$C$2:$C$76=C16,constraints_counts!$D$2:$D$76=D16)"),9501806.0)</f>
        <v>9501806</v>
      </c>
      <c r="K16" s="39" t="str">
        <f>IFERROR(__xludf.DUMMYFUNCTION("""COMPUTED_VALUE"""),"priority12x3x4")</f>
        <v>priority12x3x4</v>
      </c>
      <c r="L16" s="39">
        <f>IFERROR(__xludf.DUMMYFUNCTION("""COMPUTED_VALUE"""),0.75)</f>
        <v>0.75</v>
      </c>
      <c r="M16" s="39">
        <f>IFERROR(__xludf.DUMMYFUNCTION("""COMPUTED_VALUE"""),1.0)</f>
        <v>1</v>
      </c>
      <c r="N16" s="40" t="str">
        <f t="shared" si="2"/>
        <v>0.75-1</v>
      </c>
      <c r="O16" s="41">
        <f>IFERROR(__xludf.DUMMYFUNCTION("MEDIAN(FILTER(F:F,$B:$B=$K16,$C:$C=$L16,$D:$D=$M16))"),624680.06954503)</f>
        <v>624680.0695</v>
      </c>
      <c r="P16" s="39">
        <f>IFERROR(__xludf.DUMMYFUNCTION("STDEV(FILTER(F:F,$B:$B=$K16,$C:$C=$L16,$D:$D=$M16))"),198903.08239969437)</f>
        <v>198903.0824</v>
      </c>
      <c r="Q16" s="39">
        <f>IFERROR(__xludf.DUMMYFUNCTION("UNIQUE(FILTER(H:H,B:B=$K16,C:C=$L16,D:D=$M16))"),23089.0)</f>
        <v>23089</v>
      </c>
      <c r="R16" s="39">
        <f>IFERROR(__xludf.DUMMYFUNCTION("UNIQUE(FILTER(I:I,B:B=$K16,C:C=$L16,D:D=$M16))"),4.4009342E7)</f>
        <v>44009342</v>
      </c>
    </row>
    <row r="17">
      <c r="A17" s="39" t="str">
        <f t="shared" si="1"/>
        <v>ITC-state</v>
      </c>
      <c r="B17" s="39" t="str">
        <f>IFERROR(__xludf.DUMMYFUNCTION("""COMPUTED_VALUE"""),"awaitingsml")</f>
        <v>awaitingsml</v>
      </c>
      <c r="C17" s="39">
        <f>IFERROR(__xludf.DUMMYFUNCTION("""COMPUTED_VALUE"""),0.25)</f>
        <v>0.25</v>
      </c>
      <c r="D17" s="39">
        <f>IFERROR(__xludf.DUMMYFUNCTION("""COMPUTED_VALUE"""),1.0)</f>
        <v>1</v>
      </c>
      <c r="E17" s="39">
        <f>IFERROR(__xludf.DUMMYFUNCTION("""COMPUTED_VALUE"""),5.0)</f>
        <v>5</v>
      </c>
      <c r="F17" s="39">
        <f>IFERROR(__xludf.DUMMYFUNCTION("""COMPUTED_VALUE"""),276.217693567276)</f>
        <v>276.2176936</v>
      </c>
      <c r="G17" s="39">
        <f>IFERROR(__xludf.DUMMYFUNCTION("""COMPUTED_VALUE"""),402.372650146484)</f>
        <v>402.3726501</v>
      </c>
      <c r="H17" s="39">
        <f>IFERROR(__xludf.DUMMYFUNCTION("FILTER(constraints_counts!E$2:E$76,constraints_counts!$A$2:$A$76=$B17,constraints_counts!$C$2:$C$76=$C17,constraints_counts!$D$2:$D$76=$D17)"),3083.0)</f>
        <v>3083</v>
      </c>
      <c r="I17" s="39">
        <f>IFERROR(__xludf.DUMMYFUNCTION("FILTER(constraints_counts!F$2:F$76,constraints_counts!$A$2:$A$76=B17,constraints_counts!$C$2:$C$76=C17,constraints_counts!$D$2:$D$76=D17)"),9501806.0)</f>
        <v>9501806</v>
      </c>
      <c r="K17" s="39" t="str">
        <f>IFERROR(__xludf.DUMMYFUNCTION("""COMPUTED_VALUE"""),"priority12x3x4")</f>
        <v>priority12x3x4</v>
      </c>
      <c r="L17" s="39">
        <f>IFERROR(__xludf.DUMMYFUNCTION("""COMPUTED_VALUE"""),1.0)</f>
        <v>1</v>
      </c>
      <c r="M17" s="39">
        <f>IFERROR(__xludf.DUMMYFUNCTION("""COMPUTED_VALUE"""),1.0)</f>
        <v>1</v>
      </c>
      <c r="N17" s="40" t="str">
        <f t="shared" si="2"/>
        <v>1-1</v>
      </c>
      <c r="O17" s="41">
        <f>IFERROR(__xludf.DUMMYFUNCTION("MEDIAN(FILTER(F:F,$B:$B=$K17,$C:$C=$L17,$D:$D=$M17))"),325048.68518292904)</f>
        <v>325048.6852</v>
      </c>
      <c r="P17" s="39">
        <f>IFERROR(__xludf.DUMMYFUNCTION("STDEV(FILTER(F:F,$B:$B=$K17,$C:$C=$L17,$D:$D=$M17))"),198624.50177055885)</f>
        <v>198624.5018</v>
      </c>
      <c r="Q17" s="39">
        <f>IFERROR(__xludf.DUMMYFUNCTION("UNIQUE(FILTER(H:H,B:B=$K17,C:C=$L17,D:D=$M17))"),24551.0)</f>
        <v>24551</v>
      </c>
      <c r="R17" s="39">
        <f>IFERROR(__xludf.DUMMYFUNCTION("UNIQUE(FILTER(I:I,B:B=$K17,C:C=$L17,D:D=$M17))"),5.4665868E7)</f>
        <v>54665868</v>
      </c>
    </row>
    <row r="18">
      <c r="A18" s="39" t="str">
        <f t="shared" si="1"/>
        <v>ITC-state</v>
      </c>
      <c r="B18" s="39" t="str">
        <f>IFERROR(__xludf.DUMMYFUNCTION("""COMPUTED_VALUE"""),"awaitingsml")</f>
        <v>awaitingsml</v>
      </c>
      <c r="C18" s="39">
        <f>IFERROR(__xludf.DUMMYFUNCTION("""COMPUTED_VALUE"""),0.25)</f>
        <v>0.25</v>
      </c>
      <c r="D18" s="39">
        <f>IFERROR(__xludf.DUMMYFUNCTION("""COMPUTED_VALUE"""),1.0)</f>
        <v>1</v>
      </c>
      <c r="E18" s="39">
        <f>IFERROR(__xludf.DUMMYFUNCTION("""COMPUTED_VALUE"""),6.0)</f>
        <v>6</v>
      </c>
      <c r="F18" s="39">
        <f>IFERROR(__xludf.DUMMYFUNCTION("""COMPUTED_VALUE"""),334.699509382247)</f>
        <v>334.6995094</v>
      </c>
      <c r="G18" s="39">
        <f>IFERROR(__xludf.DUMMYFUNCTION("""COMPUTED_VALUE"""),460.246818065643)</f>
        <v>460.2468181</v>
      </c>
      <c r="H18" s="39">
        <f>IFERROR(__xludf.DUMMYFUNCTION("FILTER(constraints_counts!E$2:E$76,constraints_counts!$A$2:$A$76=$B18,constraints_counts!$C$2:$C$76=$C18,constraints_counts!$D$2:$D$76=$D18)"),3083.0)</f>
        <v>3083</v>
      </c>
      <c r="I18" s="39">
        <f>IFERROR(__xludf.DUMMYFUNCTION("FILTER(constraints_counts!F$2:F$76,constraints_counts!$A$2:$A$76=B18,constraints_counts!$C$2:$C$76=C18,constraints_counts!$D$2:$D$76=D18)"),9501806.0)</f>
        <v>9501806</v>
      </c>
      <c r="O18" s="42"/>
    </row>
    <row r="19">
      <c r="A19" s="39" t="str">
        <f t="shared" si="1"/>
        <v>ITC-state</v>
      </c>
      <c r="B19" s="39" t="str">
        <f>IFERROR(__xludf.DUMMYFUNCTION("""COMPUTED_VALUE"""),"awaitingsml")</f>
        <v>awaitingsml</v>
      </c>
      <c r="C19" s="39">
        <f>IFERROR(__xludf.DUMMYFUNCTION("""COMPUTED_VALUE"""),0.25)</f>
        <v>0.25</v>
      </c>
      <c r="D19" s="39">
        <f>IFERROR(__xludf.DUMMYFUNCTION("""COMPUTED_VALUE"""),1.0)</f>
        <v>1</v>
      </c>
      <c r="E19" s="39">
        <f>IFERROR(__xludf.DUMMYFUNCTION("""COMPUTED_VALUE"""),7.0)</f>
        <v>7</v>
      </c>
      <c r="F19" s="39">
        <f>IFERROR(__xludf.DUMMYFUNCTION("""COMPUTED_VALUE"""),314.064073085784)</f>
        <v>314.0640731</v>
      </c>
      <c r="G19" s="39">
        <f>IFERROR(__xludf.DUMMYFUNCTION("""COMPUTED_VALUE"""),440.490842580795)</f>
        <v>440.4908426</v>
      </c>
      <c r="H19" s="39">
        <f>IFERROR(__xludf.DUMMYFUNCTION("FILTER(constraints_counts!E$2:E$76,constraints_counts!$A$2:$A$76=$B19,constraints_counts!$C$2:$C$76=$C19,constraints_counts!$D$2:$D$76=$D19)"),3083.0)</f>
        <v>3083</v>
      </c>
      <c r="I19" s="39">
        <f>IFERROR(__xludf.DUMMYFUNCTION("FILTER(constraints_counts!F$2:F$76,constraints_counts!$A$2:$A$76=B19,constraints_counts!$C$2:$C$76=C19,constraints_counts!$D$2:$D$76=D19)"),9501806.0)</f>
        <v>9501806</v>
      </c>
      <c r="O19" s="42"/>
    </row>
    <row r="20">
      <c r="A20" s="39" t="str">
        <f t="shared" si="1"/>
        <v>ITC-state</v>
      </c>
      <c r="B20" s="39" t="str">
        <f>IFERROR(__xludf.DUMMYFUNCTION("""COMPUTED_VALUE"""),"awaitingsml")</f>
        <v>awaitingsml</v>
      </c>
      <c r="C20" s="39">
        <f>IFERROR(__xludf.DUMMYFUNCTION("""COMPUTED_VALUE"""),0.25)</f>
        <v>0.25</v>
      </c>
      <c r="D20" s="39">
        <f>IFERROR(__xludf.DUMMYFUNCTION("""COMPUTED_VALUE"""),1.0)</f>
        <v>1</v>
      </c>
      <c r="E20" s="39">
        <f>IFERROR(__xludf.DUMMYFUNCTION("""COMPUTED_VALUE"""),8.0)</f>
        <v>8</v>
      </c>
      <c r="F20" s="39">
        <f>IFERROR(__xludf.DUMMYFUNCTION("""COMPUTED_VALUE"""),175.961374044418)</f>
        <v>175.961374</v>
      </c>
      <c r="G20" s="39">
        <f>IFERROR(__xludf.DUMMYFUNCTION("""COMPUTED_VALUE"""),310.776235103607)</f>
        <v>310.7762351</v>
      </c>
      <c r="H20" s="39">
        <f>IFERROR(__xludf.DUMMYFUNCTION("FILTER(constraints_counts!E$2:E$76,constraints_counts!$A$2:$A$76=$B20,constraints_counts!$C$2:$C$76=$C20,constraints_counts!$D$2:$D$76=$D20)"),3083.0)</f>
        <v>3083</v>
      </c>
      <c r="I20" s="39">
        <f>IFERROR(__xludf.DUMMYFUNCTION("FILTER(constraints_counts!F$2:F$76,constraints_counts!$A$2:$A$76=B20,constraints_counts!$C$2:$C$76=C20,constraints_counts!$D$2:$D$76=D20)"),9501806.0)</f>
        <v>9501806</v>
      </c>
      <c r="O20" s="42"/>
    </row>
    <row r="21">
      <c r="A21" s="39" t="str">
        <f t="shared" si="1"/>
        <v>ITC-state</v>
      </c>
      <c r="B21" s="39" t="str">
        <f>IFERROR(__xludf.DUMMYFUNCTION("""COMPUTED_VALUE"""),"awaitingsml")</f>
        <v>awaitingsml</v>
      </c>
      <c r="C21" s="39">
        <f>IFERROR(__xludf.DUMMYFUNCTION("""COMPUTED_VALUE"""),0.25)</f>
        <v>0.25</v>
      </c>
      <c r="D21" s="39">
        <f>IFERROR(__xludf.DUMMYFUNCTION("""COMPUTED_VALUE"""),1.0)</f>
        <v>1</v>
      </c>
      <c r="E21" s="39">
        <f>IFERROR(__xludf.DUMMYFUNCTION("""COMPUTED_VALUE"""),9.0)</f>
        <v>9</v>
      </c>
      <c r="F21" s="39">
        <f>IFERROR(__xludf.DUMMYFUNCTION("""COMPUTED_VALUE"""),180.900586605072)</f>
        <v>180.9005866</v>
      </c>
      <c r="G21" s="39">
        <f>IFERROR(__xludf.DUMMYFUNCTION("""COMPUTED_VALUE"""),317.204163312912)</f>
        <v>317.2041633</v>
      </c>
      <c r="H21" s="39">
        <f>IFERROR(__xludf.DUMMYFUNCTION("FILTER(constraints_counts!E$2:E$76,constraints_counts!$A$2:$A$76=$B21,constraints_counts!$C$2:$C$76=$C21,constraints_counts!$D$2:$D$76=$D21)"),3083.0)</f>
        <v>3083</v>
      </c>
      <c r="I21" s="39">
        <f>IFERROR(__xludf.DUMMYFUNCTION("FILTER(constraints_counts!F$2:F$76,constraints_counts!$A$2:$A$76=B21,constraints_counts!$C$2:$C$76=C21,constraints_counts!$D$2:$D$76=D21)"),9501806.0)</f>
        <v>9501806</v>
      </c>
      <c r="O21" s="42"/>
    </row>
    <row r="22">
      <c r="A22" s="39" t="str">
        <f t="shared" si="1"/>
        <v>ITC-state</v>
      </c>
      <c r="B22" s="39" t="str">
        <f>IFERROR(__xludf.DUMMYFUNCTION("""COMPUTED_VALUE"""),"awaitingsml")</f>
        <v>awaitingsml</v>
      </c>
      <c r="C22" s="39">
        <f>IFERROR(__xludf.DUMMYFUNCTION("""COMPUTED_VALUE"""),0.25)</f>
        <v>0.25</v>
      </c>
      <c r="D22" s="39">
        <f>IFERROR(__xludf.DUMMYFUNCTION("""COMPUTED_VALUE"""),1.0)</f>
        <v>1</v>
      </c>
      <c r="E22" s="39">
        <f>IFERROR(__xludf.DUMMYFUNCTION("""COMPUTED_VALUE"""),10.0)</f>
        <v>10</v>
      </c>
      <c r="F22" s="39">
        <f>IFERROR(__xludf.DUMMYFUNCTION("""COMPUTED_VALUE"""),291.29390335083)</f>
        <v>291.2939034</v>
      </c>
      <c r="G22" s="39">
        <f>IFERROR(__xludf.DUMMYFUNCTION("""COMPUTED_VALUE"""),411.544617414474)</f>
        <v>411.5446174</v>
      </c>
      <c r="H22" s="39">
        <f>IFERROR(__xludf.DUMMYFUNCTION("FILTER(constraints_counts!E$2:E$76,constraints_counts!$A$2:$A$76=$B22,constraints_counts!$C$2:$C$76=$C22,constraints_counts!$D$2:$D$76=$D22)"),3083.0)</f>
        <v>3083</v>
      </c>
      <c r="I22" s="39">
        <f>IFERROR(__xludf.DUMMYFUNCTION("FILTER(constraints_counts!F$2:F$76,constraints_counts!$A$2:$A$76=B22,constraints_counts!$C$2:$C$76=C22,constraints_counts!$D$2:$D$76=D22)"),9501806.0)</f>
        <v>9501806</v>
      </c>
      <c r="O22" s="42"/>
    </row>
    <row r="23">
      <c r="A23" s="39" t="str">
        <f t="shared" si="1"/>
        <v>ITC-state</v>
      </c>
      <c r="B23" s="39" t="str">
        <f>IFERROR(__xludf.DUMMYFUNCTION("""COMPUTED_VALUE"""),"awaitingsml")</f>
        <v>awaitingsml</v>
      </c>
      <c r="C23" s="39">
        <f>IFERROR(__xludf.DUMMYFUNCTION("""COMPUTED_VALUE"""),0.5)</f>
        <v>0.5</v>
      </c>
      <c r="D23" s="39">
        <f>IFERROR(__xludf.DUMMYFUNCTION("""COMPUTED_VALUE"""),1.0)</f>
        <v>1</v>
      </c>
      <c r="E23" s="39">
        <f>IFERROR(__xludf.DUMMYFUNCTION("""COMPUTED_VALUE"""),1.0)</f>
        <v>1</v>
      </c>
      <c r="F23" s="39">
        <f>IFERROR(__xludf.DUMMYFUNCTION("""COMPUTED_VALUE"""),155.750990867614)</f>
        <v>155.7509909</v>
      </c>
      <c r="G23" s="39">
        <f>IFERROR(__xludf.DUMMYFUNCTION("""COMPUTED_VALUE"""),267.853813409805)</f>
        <v>267.8538134</v>
      </c>
      <c r="H23" s="39">
        <f>IFERROR(__xludf.DUMMYFUNCTION("FILTER(constraints_counts!E$2:E$76,constraints_counts!$A$2:$A$76=$B23,constraints_counts!$C$2:$C$76=$C23,constraints_counts!$D$2:$D$76=$D23)"),4588.0)</f>
        <v>4588</v>
      </c>
      <c r="I23" s="39">
        <f>IFERROR(__xludf.DUMMYFUNCTION("FILTER(constraints_counts!F$2:F$76,constraints_counts!$A$2:$A$76=B23,constraints_counts!$C$2:$C$76=C23,constraints_counts!$D$2:$D$76=D23)"),2.1045156E7)</f>
        <v>21045156</v>
      </c>
      <c r="O23" s="42"/>
    </row>
    <row r="24">
      <c r="A24" s="39" t="str">
        <f t="shared" si="1"/>
        <v>ITC-state</v>
      </c>
      <c r="B24" s="39" t="str">
        <f>IFERROR(__xludf.DUMMYFUNCTION("""COMPUTED_VALUE"""),"awaitingsml")</f>
        <v>awaitingsml</v>
      </c>
      <c r="C24" s="39">
        <f>IFERROR(__xludf.DUMMYFUNCTION("""COMPUTED_VALUE"""),0.5)</f>
        <v>0.5</v>
      </c>
      <c r="D24" s="39">
        <f>IFERROR(__xludf.DUMMYFUNCTION("""COMPUTED_VALUE"""),1.0)</f>
        <v>1</v>
      </c>
      <c r="E24" s="39">
        <f>IFERROR(__xludf.DUMMYFUNCTION("""COMPUTED_VALUE"""),2.0)</f>
        <v>2</v>
      </c>
      <c r="F24" s="39">
        <f>IFERROR(__xludf.DUMMYFUNCTION("""COMPUTED_VALUE"""),159.049422740936)</f>
        <v>159.0494227</v>
      </c>
      <c r="G24" s="39">
        <f>IFERROR(__xludf.DUMMYFUNCTION("""COMPUTED_VALUE"""),261.74913406372)</f>
        <v>261.7491341</v>
      </c>
      <c r="H24" s="39">
        <f>IFERROR(__xludf.DUMMYFUNCTION("FILTER(constraints_counts!E$2:E$76,constraints_counts!$A$2:$A$76=$B24,constraints_counts!$C$2:$C$76=$C24,constraints_counts!$D$2:$D$76=$D24)"),4588.0)</f>
        <v>4588</v>
      </c>
      <c r="I24" s="39">
        <f>IFERROR(__xludf.DUMMYFUNCTION("FILTER(constraints_counts!F$2:F$76,constraints_counts!$A$2:$A$76=B24,constraints_counts!$C$2:$C$76=C24,constraints_counts!$D$2:$D$76=D24)"),2.1045156E7)</f>
        <v>21045156</v>
      </c>
      <c r="O24" s="42"/>
    </row>
    <row r="25">
      <c r="A25" s="39" t="str">
        <f t="shared" si="1"/>
        <v>ITC-state</v>
      </c>
      <c r="B25" s="39" t="str">
        <f>IFERROR(__xludf.DUMMYFUNCTION("""COMPUTED_VALUE"""),"awaitingsml")</f>
        <v>awaitingsml</v>
      </c>
      <c r="C25" s="39">
        <f>IFERROR(__xludf.DUMMYFUNCTION("""COMPUTED_VALUE"""),0.5)</f>
        <v>0.5</v>
      </c>
      <c r="D25" s="39">
        <f>IFERROR(__xludf.DUMMYFUNCTION("""COMPUTED_VALUE"""),1.0)</f>
        <v>1</v>
      </c>
      <c r="E25" s="39">
        <f>IFERROR(__xludf.DUMMYFUNCTION("""COMPUTED_VALUE"""),3.0)</f>
        <v>3</v>
      </c>
      <c r="F25" s="39">
        <f>IFERROR(__xludf.DUMMYFUNCTION("""COMPUTED_VALUE"""),171.299932241439)</f>
        <v>171.2999322</v>
      </c>
      <c r="G25" s="39">
        <f>IFERROR(__xludf.DUMMYFUNCTION("""COMPUTED_VALUE"""),266.165281295776)</f>
        <v>266.1652813</v>
      </c>
      <c r="H25" s="39">
        <f>IFERROR(__xludf.DUMMYFUNCTION("FILTER(constraints_counts!E$2:E$76,constraints_counts!$A$2:$A$76=$B25,constraints_counts!$C$2:$C$76=$C25,constraints_counts!$D$2:$D$76=$D25)"),4588.0)</f>
        <v>4588</v>
      </c>
      <c r="I25" s="39">
        <f>IFERROR(__xludf.DUMMYFUNCTION("FILTER(constraints_counts!F$2:F$76,constraints_counts!$A$2:$A$76=B25,constraints_counts!$C$2:$C$76=C25,constraints_counts!$D$2:$D$76=D25)"),2.1045156E7)</f>
        <v>21045156</v>
      </c>
      <c r="O25" s="42"/>
    </row>
    <row r="26">
      <c r="A26" s="39" t="str">
        <f t="shared" si="1"/>
        <v>ITC-state</v>
      </c>
      <c r="B26" s="39" t="str">
        <f>IFERROR(__xludf.DUMMYFUNCTION("""COMPUTED_VALUE"""),"awaitingsml")</f>
        <v>awaitingsml</v>
      </c>
      <c r="C26" s="39">
        <f>IFERROR(__xludf.DUMMYFUNCTION("""COMPUTED_VALUE"""),0.5)</f>
        <v>0.5</v>
      </c>
      <c r="D26" s="39">
        <f>IFERROR(__xludf.DUMMYFUNCTION("""COMPUTED_VALUE"""),1.0)</f>
        <v>1</v>
      </c>
      <c r="E26" s="39">
        <f>IFERROR(__xludf.DUMMYFUNCTION("""COMPUTED_VALUE"""),4.0)</f>
        <v>4</v>
      </c>
      <c r="F26" s="39">
        <f>IFERROR(__xludf.DUMMYFUNCTION("""COMPUTED_VALUE"""),226.84852528572)</f>
        <v>226.8485253</v>
      </c>
      <c r="G26" s="39">
        <f>IFERROR(__xludf.DUMMYFUNCTION("""COMPUTED_VALUE"""),316.171322107315)</f>
        <v>316.1713221</v>
      </c>
      <c r="H26" s="39">
        <f>IFERROR(__xludf.DUMMYFUNCTION("FILTER(constraints_counts!E$2:E$76,constraints_counts!$A$2:$A$76=$B26,constraints_counts!$C$2:$C$76=$C26,constraints_counts!$D$2:$D$76=$D26)"),4588.0)</f>
        <v>4588</v>
      </c>
      <c r="I26" s="39">
        <f>IFERROR(__xludf.DUMMYFUNCTION("FILTER(constraints_counts!F$2:F$76,constraints_counts!$A$2:$A$76=B26,constraints_counts!$C$2:$C$76=C26,constraints_counts!$D$2:$D$76=D26)"),2.1045156E7)</f>
        <v>21045156</v>
      </c>
      <c r="O26" s="42"/>
    </row>
    <row r="27">
      <c r="A27" s="39" t="str">
        <f t="shared" si="1"/>
        <v>ITC-state</v>
      </c>
      <c r="B27" s="39" t="str">
        <f>IFERROR(__xludf.DUMMYFUNCTION("""COMPUTED_VALUE"""),"awaitingsml")</f>
        <v>awaitingsml</v>
      </c>
      <c r="C27" s="39">
        <f>IFERROR(__xludf.DUMMYFUNCTION("""COMPUTED_VALUE"""),0.5)</f>
        <v>0.5</v>
      </c>
      <c r="D27" s="39">
        <f>IFERROR(__xludf.DUMMYFUNCTION("""COMPUTED_VALUE"""),1.0)</f>
        <v>1</v>
      </c>
      <c r="E27" s="39">
        <f>IFERROR(__xludf.DUMMYFUNCTION("""COMPUTED_VALUE"""),5.0)</f>
        <v>5</v>
      </c>
      <c r="F27" s="39">
        <f>IFERROR(__xludf.DUMMYFUNCTION("""COMPUTED_VALUE"""),370.610588550567)</f>
        <v>370.6105886</v>
      </c>
      <c r="G27" s="39">
        <f>IFERROR(__xludf.DUMMYFUNCTION("""COMPUTED_VALUE"""),477.613874197006)</f>
        <v>477.6138742</v>
      </c>
      <c r="H27" s="39">
        <f>IFERROR(__xludf.DUMMYFUNCTION("FILTER(constraints_counts!E$2:E$76,constraints_counts!$A$2:$A$76=$B27,constraints_counts!$C$2:$C$76=$C27,constraints_counts!$D$2:$D$76=$D27)"),4588.0)</f>
        <v>4588</v>
      </c>
      <c r="I27" s="39">
        <f>IFERROR(__xludf.DUMMYFUNCTION("FILTER(constraints_counts!F$2:F$76,constraints_counts!$A$2:$A$76=B27,constraints_counts!$C$2:$C$76=C27,constraints_counts!$D$2:$D$76=D27)"),2.1045156E7)</f>
        <v>21045156</v>
      </c>
      <c r="O27" s="42"/>
    </row>
    <row r="28">
      <c r="A28" s="39" t="str">
        <f t="shared" si="1"/>
        <v>ITC-state</v>
      </c>
      <c r="B28" s="39" t="str">
        <f>IFERROR(__xludf.DUMMYFUNCTION("""COMPUTED_VALUE"""),"awaitingsml")</f>
        <v>awaitingsml</v>
      </c>
      <c r="C28" s="39">
        <f>IFERROR(__xludf.DUMMYFUNCTION("""COMPUTED_VALUE"""),0.5)</f>
        <v>0.5</v>
      </c>
      <c r="D28" s="39">
        <f>IFERROR(__xludf.DUMMYFUNCTION("""COMPUTED_VALUE"""),1.0)</f>
        <v>1</v>
      </c>
      <c r="E28" s="39">
        <f>IFERROR(__xludf.DUMMYFUNCTION("""COMPUTED_VALUE"""),6.0)</f>
        <v>6</v>
      </c>
      <c r="F28" s="39">
        <f>IFERROR(__xludf.DUMMYFUNCTION("""COMPUTED_VALUE"""),607.460580587387)</f>
        <v>607.4605806</v>
      </c>
      <c r="G28" s="39">
        <f>IFERROR(__xludf.DUMMYFUNCTION("""COMPUTED_VALUE"""),684.798417091369)</f>
        <v>684.7984171</v>
      </c>
      <c r="H28" s="39">
        <f>IFERROR(__xludf.DUMMYFUNCTION("FILTER(constraints_counts!E$2:E$76,constraints_counts!$A$2:$A$76=$B28,constraints_counts!$C$2:$C$76=$C28,constraints_counts!$D$2:$D$76=$D28)"),4588.0)</f>
        <v>4588</v>
      </c>
      <c r="I28" s="39">
        <f>IFERROR(__xludf.DUMMYFUNCTION("FILTER(constraints_counts!F$2:F$76,constraints_counts!$A$2:$A$76=B28,constraints_counts!$C$2:$C$76=C28,constraints_counts!$D$2:$D$76=D28)"),2.1045156E7)</f>
        <v>21045156</v>
      </c>
      <c r="O28" s="42"/>
    </row>
    <row r="29">
      <c r="A29" s="39" t="str">
        <f t="shared" si="1"/>
        <v>ITC-state</v>
      </c>
      <c r="B29" s="39" t="str">
        <f>IFERROR(__xludf.DUMMYFUNCTION("""COMPUTED_VALUE"""),"awaitingsml")</f>
        <v>awaitingsml</v>
      </c>
      <c r="C29" s="39">
        <f>IFERROR(__xludf.DUMMYFUNCTION("""COMPUTED_VALUE"""),0.5)</f>
        <v>0.5</v>
      </c>
      <c r="D29" s="39">
        <f>IFERROR(__xludf.DUMMYFUNCTION("""COMPUTED_VALUE"""),1.0)</f>
        <v>1</v>
      </c>
      <c r="E29" s="39">
        <f>IFERROR(__xludf.DUMMYFUNCTION("""COMPUTED_VALUE"""),7.0)</f>
        <v>7</v>
      </c>
      <c r="F29" s="39">
        <f>IFERROR(__xludf.DUMMYFUNCTION("""COMPUTED_VALUE"""),175.387544393539)</f>
        <v>175.3875444</v>
      </c>
      <c r="G29" s="39">
        <f>IFERROR(__xludf.DUMMYFUNCTION("""COMPUTED_VALUE"""),273.178369045257)</f>
        <v>273.178369</v>
      </c>
      <c r="H29" s="39">
        <f>IFERROR(__xludf.DUMMYFUNCTION("FILTER(constraints_counts!E$2:E$76,constraints_counts!$A$2:$A$76=$B29,constraints_counts!$C$2:$C$76=$C29,constraints_counts!$D$2:$D$76=$D29)"),4588.0)</f>
        <v>4588</v>
      </c>
      <c r="I29" s="39">
        <f>IFERROR(__xludf.DUMMYFUNCTION("FILTER(constraints_counts!F$2:F$76,constraints_counts!$A$2:$A$76=B29,constraints_counts!$C$2:$C$76=C29,constraints_counts!$D$2:$D$76=D29)"),2.1045156E7)</f>
        <v>21045156</v>
      </c>
      <c r="O29" s="42"/>
    </row>
    <row r="30">
      <c r="A30" s="39" t="str">
        <f t="shared" si="1"/>
        <v>ITC-state</v>
      </c>
      <c r="B30" s="39" t="str">
        <f>IFERROR(__xludf.DUMMYFUNCTION("""COMPUTED_VALUE"""),"awaitingsml")</f>
        <v>awaitingsml</v>
      </c>
      <c r="C30" s="39">
        <f>IFERROR(__xludf.DUMMYFUNCTION("""COMPUTED_VALUE"""),0.5)</f>
        <v>0.5</v>
      </c>
      <c r="D30" s="39">
        <f>IFERROR(__xludf.DUMMYFUNCTION("""COMPUTED_VALUE"""),1.0)</f>
        <v>1</v>
      </c>
      <c r="E30" s="39">
        <f>IFERROR(__xludf.DUMMYFUNCTION("""COMPUTED_VALUE"""),8.0)</f>
        <v>8</v>
      </c>
      <c r="F30" s="39">
        <f>IFERROR(__xludf.DUMMYFUNCTION("""COMPUTED_VALUE"""),628.916515350341)</f>
        <v>628.9165154</v>
      </c>
      <c r="G30" s="39">
        <f>IFERROR(__xludf.DUMMYFUNCTION("""COMPUTED_VALUE"""),721.467732429504)</f>
        <v>721.4677324</v>
      </c>
      <c r="H30" s="39">
        <f>IFERROR(__xludf.DUMMYFUNCTION("FILTER(constraints_counts!E$2:E$76,constraints_counts!$A$2:$A$76=$B30,constraints_counts!$C$2:$C$76=$C30,constraints_counts!$D$2:$D$76=$D30)"),4588.0)</f>
        <v>4588</v>
      </c>
      <c r="I30" s="39">
        <f>IFERROR(__xludf.DUMMYFUNCTION("FILTER(constraints_counts!F$2:F$76,constraints_counts!$A$2:$A$76=B30,constraints_counts!$C$2:$C$76=C30,constraints_counts!$D$2:$D$76=D30)"),2.1045156E7)</f>
        <v>21045156</v>
      </c>
      <c r="O30" s="42"/>
    </row>
    <row r="31">
      <c r="A31" s="39" t="str">
        <f t="shared" si="1"/>
        <v>ITC-state</v>
      </c>
      <c r="B31" s="39" t="str">
        <f>IFERROR(__xludf.DUMMYFUNCTION("""COMPUTED_VALUE"""),"awaitingsml")</f>
        <v>awaitingsml</v>
      </c>
      <c r="C31" s="39">
        <f>IFERROR(__xludf.DUMMYFUNCTION("""COMPUTED_VALUE"""),0.5)</f>
        <v>0.5</v>
      </c>
      <c r="D31" s="39">
        <f>IFERROR(__xludf.DUMMYFUNCTION("""COMPUTED_VALUE"""),1.0)</f>
        <v>1</v>
      </c>
      <c r="E31" s="39">
        <f>IFERROR(__xludf.DUMMYFUNCTION("""COMPUTED_VALUE"""),9.0)</f>
        <v>9</v>
      </c>
      <c r="F31" s="39">
        <f>IFERROR(__xludf.DUMMYFUNCTION("""COMPUTED_VALUE"""),845.667084932327)</f>
        <v>845.6670849</v>
      </c>
      <c r="G31" s="39">
        <f>IFERROR(__xludf.DUMMYFUNCTION("""COMPUTED_VALUE"""),931.345431327819)</f>
        <v>931.3454313</v>
      </c>
      <c r="H31" s="39">
        <f>IFERROR(__xludf.DUMMYFUNCTION("FILTER(constraints_counts!E$2:E$76,constraints_counts!$A$2:$A$76=$B31,constraints_counts!$C$2:$C$76=$C31,constraints_counts!$D$2:$D$76=$D31)"),4588.0)</f>
        <v>4588</v>
      </c>
      <c r="I31" s="39">
        <f>IFERROR(__xludf.DUMMYFUNCTION("FILTER(constraints_counts!F$2:F$76,constraints_counts!$A$2:$A$76=B31,constraints_counts!$C$2:$C$76=C31,constraints_counts!$D$2:$D$76=D31)"),2.1045156E7)</f>
        <v>21045156</v>
      </c>
      <c r="O31" s="42"/>
    </row>
    <row r="32">
      <c r="A32" s="39" t="str">
        <f t="shared" si="1"/>
        <v>ITC-state</v>
      </c>
      <c r="B32" s="39" t="str">
        <f>IFERROR(__xludf.DUMMYFUNCTION("""COMPUTED_VALUE"""),"awaitingsml")</f>
        <v>awaitingsml</v>
      </c>
      <c r="C32" s="39">
        <f>IFERROR(__xludf.DUMMYFUNCTION("""COMPUTED_VALUE"""),0.5)</f>
        <v>0.5</v>
      </c>
      <c r="D32" s="39">
        <f>IFERROR(__xludf.DUMMYFUNCTION("""COMPUTED_VALUE"""),1.0)</f>
        <v>1</v>
      </c>
      <c r="E32" s="39">
        <f>IFERROR(__xludf.DUMMYFUNCTION("""COMPUTED_VALUE"""),10.0)</f>
        <v>10</v>
      </c>
      <c r="F32" s="39">
        <f>IFERROR(__xludf.DUMMYFUNCTION("""COMPUTED_VALUE"""),194.071803569793)</f>
        <v>194.0718036</v>
      </c>
      <c r="G32" s="39">
        <f>IFERROR(__xludf.DUMMYFUNCTION("""COMPUTED_VALUE"""),279.803638219833)</f>
        <v>279.8036382</v>
      </c>
      <c r="H32" s="39">
        <f>IFERROR(__xludf.DUMMYFUNCTION("FILTER(constraints_counts!E$2:E$76,constraints_counts!$A$2:$A$76=$B32,constraints_counts!$C$2:$C$76=$C32,constraints_counts!$D$2:$D$76=$D32)"),4588.0)</f>
        <v>4588</v>
      </c>
      <c r="I32" s="39">
        <f>IFERROR(__xludf.DUMMYFUNCTION("FILTER(constraints_counts!F$2:F$76,constraints_counts!$A$2:$A$76=B32,constraints_counts!$C$2:$C$76=C32,constraints_counts!$D$2:$D$76=D32)"),2.1045156E7)</f>
        <v>21045156</v>
      </c>
      <c r="O32" s="42"/>
    </row>
    <row r="33">
      <c r="A33" s="39" t="str">
        <f t="shared" si="1"/>
        <v>ITC-state</v>
      </c>
      <c r="B33" s="39" t="str">
        <f>IFERROR(__xludf.DUMMYFUNCTION("""COMPUTED_VALUE"""),"awaitingsml")</f>
        <v>awaitingsml</v>
      </c>
      <c r="C33" s="39">
        <f>IFERROR(__xludf.DUMMYFUNCTION("""COMPUTED_VALUE"""),0.75)</f>
        <v>0.75</v>
      </c>
      <c r="D33" s="39">
        <f>IFERROR(__xludf.DUMMYFUNCTION("""COMPUTED_VALUE"""),1.0)</f>
        <v>1</v>
      </c>
      <c r="E33" s="39">
        <f>IFERROR(__xludf.DUMMYFUNCTION("""COMPUTED_VALUE"""),1.0)</f>
        <v>1</v>
      </c>
      <c r="F33" s="39">
        <f>IFERROR(__xludf.DUMMYFUNCTION("""COMPUTED_VALUE"""),127.612248897552)</f>
        <v>127.6122489</v>
      </c>
      <c r="G33" s="39">
        <f>IFERROR(__xludf.DUMMYFUNCTION("""COMPUTED_VALUE"""),198.37413740158)</f>
        <v>198.3741374</v>
      </c>
      <c r="H33" s="39">
        <f>IFERROR(__xludf.DUMMYFUNCTION("FILTER(constraints_counts!E$2:E$76,constraints_counts!$A$2:$A$76=$B33,constraints_counts!$C$2:$C$76=$C33,constraints_counts!$D$2:$D$76=$D33)"),5305.0)</f>
        <v>5305</v>
      </c>
      <c r="I33" s="39">
        <f>IFERROR(__xludf.DUMMYFUNCTION("FILTER(constraints_counts!F$2:F$76,constraints_counts!$A$2:$A$76=B33,constraints_counts!$C$2:$C$76=C33,constraints_counts!$D$2:$D$76=D33)"),2.813772E7)</f>
        <v>28137720</v>
      </c>
      <c r="O33" s="42"/>
    </row>
    <row r="34">
      <c r="A34" s="39" t="str">
        <f t="shared" si="1"/>
        <v>ITC-state</v>
      </c>
      <c r="B34" s="39" t="str">
        <f>IFERROR(__xludf.DUMMYFUNCTION("""COMPUTED_VALUE"""),"awaitingsml")</f>
        <v>awaitingsml</v>
      </c>
      <c r="C34" s="39">
        <f>IFERROR(__xludf.DUMMYFUNCTION("""COMPUTED_VALUE"""),0.75)</f>
        <v>0.75</v>
      </c>
      <c r="D34" s="39">
        <f>IFERROR(__xludf.DUMMYFUNCTION("""COMPUTED_VALUE"""),1.0)</f>
        <v>1</v>
      </c>
      <c r="E34" s="39">
        <f>IFERROR(__xludf.DUMMYFUNCTION("""COMPUTED_VALUE"""),2.0)</f>
        <v>2</v>
      </c>
      <c r="F34" s="39">
        <f>IFERROR(__xludf.DUMMYFUNCTION("""COMPUTED_VALUE"""),230.548645496368)</f>
        <v>230.5486455</v>
      </c>
      <c r="G34" s="39">
        <f>IFERROR(__xludf.DUMMYFUNCTION("""COMPUTED_VALUE"""),315.963236570358)</f>
        <v>315.9632366</v>
      </c>
      <c r="H34" s="39">
        <f>IFERROR(__xludf.DUMMYFUNCTION("FILTER(constraints_counts!E$2:E$76,constraints_counts!$A$2:$A$76=$B34,constraints_counts!$C$2:$C$76=$C34,constraints_counts!$D$2:$D$76=$D34)"),5305.0)</f>
        <v>5305</v>
      </c>
      <c r="I34" s="39">
        <f>IFERROR(__xludf.DUMMYFUNCTION("FILTER(constraints_counts!F$2:F$76,constraints_counts!$A$2:$A$76=B34,constraints_counts!$C$2:$C$76=C34,constraints_counts!$D$2:$D$76=D34)"),2.813772E7)</f>
        <v>28137720</v>
      </c>
      <c r="O34" s="42"/>
    </row>
    <row r="35">
      <c r="A35" s="39" t="str">
        <f t="shared" si="1"/>
        <v>ITC-state</v>
      </c>
      <c r="B35" s="39" t="str">
        <f>IFERROR(__xludf.DUMMYFUNCTION("""COMPUTED_VALUE"""),"awaitingsml")</f>
        <v>awaitingsml</v>
      </c>
      <c r="C35" s="39">
        <f>IFERROR(__xludf.DUMMYFUNCTION("""COMPUTED_VALUE"""),0.75)</f>
        <v>0.75</v>
      </c>
      <c r="D35" s="39">
        <f>IFERROR(__xludf.DUMMYFUNCTION("""COMPUTED_VALUE"""),1.0)</f>
        <v>1</v>
      </c>
      <c r="E35" s="39">
        <f>IFERROR(__xludf.DUMMYFUNCTION("""COMPUTED_VALUE"""),3.0)</f>
        <v>3</v>
      </c>
      <c r="F35" s="39">
        <f>IFERROR(__xludf.DUMMYFUNCTION("""COMPUTED_VALUE"""),190.110229492187)</f>
        <v>190.1102295</v>
      </c>
      <c r="G35" s="39">
        <f>IFERROR(__xludf.DUMMYFUNCTION("""COMPUTED_VALUE"""),264.742893218994)</f>
        <v>264.7428932</v>
      </c>
      <c r="H35" s="39">
        <f>IFERROR(__xludf.DUMMYFUNCTION("FILTER(constraints_counts!E$2:E$76,constraints_counts!$A$2:$A$76=$B35,constraints_counts!$C$2:$C$76=$C35,constraints_counts!$D$2:$D$76=$D35)"),5305.0)</f>
        <v>5305</v>
      </c>
      <c r="I35" s="39">
        <f>IFERROR(__xludf.DUMMYFUNCTION("FILTER(constraints_counts!F$2:F$76,constraints_counts!$A$2:$A$76=B35,constraints_counts!$C$2:$C$76=C35,constraints_counts!$D$2:$D$76=D35)"),2.813772E7)</f>
        <v>28137720</v>
      </c>
      <c r="O35" s="42"/>
    </row>
    <row r="36">
      <c r="A36" s="39" t="str">
        <f t="shared" si="1"/>
        <v>ITC-state</v>
      </c>
      <c r="B36" s="39" t="str">
        <f>IFERROR(__xludf.DUMMYFUNCTION("""COMPUTED_VALUE"""),"awaitingsml")</f>
        <v>awaitingsml</v>
      </c>
      <c r="C36" s="39">
        <f>IFERROR(__xludf.DUMMYFUNCTION("""COMPUTED_VALUE"""),0.75)</f>
        <v>0.75</v>
      </c>
      <c r="D36" s="39">
        <f>IFERROR(__xludf.DUMMYFUNCTION("""COMPUTED_VALUE"""),1.0)</f>
        <v>1</v>
      </c>
      <c r="E36" s="39">
        <f>IFERROR(__xludf.DUMMYFUNCTION("""COMPUTED_VALUE"""),4.0)</f>
        <v>4</v>
      </c>
      <c r="F36" s="39">
        <f>IFERROR(__xludf.DUMMYFUNCTION("""COMPUTED_VALUE"""),138.609330654144)</f>
        <v>138.6093307</v>
      </c>
      <c r="G36" s="39">
        <f>IFERROR(__xludf.DUMMYFUNCTION("""COMPUTED_VALUE"""),192.156899690628)</f>
        <v>192.1568997</v>
      </c>
      <c r="H36" s="39">
        <f>IFERROR(__xludf.DUMMYFUNCTION("FILTER(constraints_counts!E$2:E$76,constraints_counts!$A$2:$A$76=$B36,constraints_counts!$C$2:$C$76=$C36,constraints_counts!$D$2:$D$76=$D36)"),5305.0)</f>
        <v>5305</v>
      </c>
      <c r="I36" s="39">
        <f>IFERROR(__xludf.DUMMYFUNCTION("FILTER(constraints_counts!F$2:F$76,constraints_counts!$A$2:$A$76=B36,constraints_counts!$C$2:$C$76=C36,constraints_counts!$D$2:$D$76=D36)"),2.813772E7)</f>
        <v>28137720</v>
      </c>
      <c r="O36" s="42"/>
    </row>
    <row r="37">
      <c r="A37" s="39" t="str">
        <f t="shared" si="1"/>
        <v>ITC-state</v>
      </c>
      <c r="B37" s="39" t="str">
        <f>IFERROR(__xludf.DUMMYFUNCTION("""COMPUTED_VALUE"""),"awaitingsml")</f>
        <v>awaitingsml</v>
      </c>
      <c r="C37" s="39">
        <f>IFERROR(__xludf.DUMMYFUNCTION("""COMPUTED_VALUE"""),0.75)</f>
        <v>0.75</v>
      </c>
      <c r="D37" s="39">
        <f>IFERROR(__xludf.DUMMYFUNCTION("""COMPUTED_VALUE"""),1.0)</f>
        <v>1</v>
      </c>
      <c r="E37" s="39">
        <f>IFERROR(__xludf.DUMMYFUNCTION("""COMPUTED_VALUE"""),5.0)</f>
        <v>5</v>
      </c>
      <c r="F37" s="39">
        <f>IFERROR(__xludf.DUMMYFUNCTION("""COMPUTED_VALUE"""),182.748615980148)</f>
        <v>182.748616</v>
      </c>
      <c r="G37" s="39">
        <f>IFERROR(__xludf.DUMMYFUNCTION("""COMPUTED_VALUE"""),261.267032623291)</f>
        <v>261.2670326</v>
      </c>
      <c r="H37" s="39">
        <f>IFERROR(__xludf.DUMMYFUNCTION("FILTER(constraints_counts!E$2:E$76,constraints_counts!$A$2:$A$76=$B37,constraints_counts!$C$2:$C$76=$C37,constraints_counts!$D$2:$D$76=$D37)"),5305.0)</f>
        <v>5305</v>
      </c>
      <c r="I37" s="39">
        <f>IFERROR(__xludf.DUMMYFUNCTION("FILTER(constraints_counts!F$2:F$76,constraints_counts!$A$2:$A$76=B37,constraints_counts!$C$2:$C$76=C37,constraints_counts!$D$2:$D$76=D37)"),2.813772E7)</f>
        <v>28137720</v>
      </c>
      <c r="O37" s="42"/>
    </row>
    <row r="38">
      <c r="A38" s="39" t="str">
        <f t="shared" si="1"/>
        <v>ITC-state</v>
      </c>
      <c r="B38" s="39" t="str">
        <f>IFERROR(__xludf.DUMMYFUNCTION("""COMPUTED_VALUE"""),"awaitingsml")</f>
        <v>awaitingsml</v>
      </c>
      <c r="C38" s="39">
        <f>IFERROR(__xludf.DUMMYFUNCTION("""COMPUTED_VALUE"""),0.75)</f>
        <v>0.75</v>
      </c>
      <c r="D38" s="39">
        <f>IFERROR(__xludf.DUMMYFUNCTION("""COMPUTED_VALUE"""),1.0)</f>
        <v>1</v>
      </c>
      <c r="E38" s="39">
        <f>IFERROR(__xludf.DUMMYFUNCTION("""COMPUTED_VALUE"""),6.0)</f>
        <v>6</v>
      </c>
      <c r="F38" s="39">
        <f>IFERROR(__xludf.DUMMYFUNCTION("""COMPUTED_VALUE"""),162.045854091644)</f>
        <v>162.0458541</v>
      </c>
      <c r="G38" s="39">
        <f>IFERROR(__xludf.DUMMYFUNCTION("""COMPUTED_VALUE"""),238.553506374359)</f>
        <v>238.5535064</v>
      </c>
      <c r="H38" s="39">
        <f>IFERROR(__xludf.DUMMYFUNCTION("FILTER(constraints_counts!E$2:E$76,constraints_counts!$A$2:$A$76=$B38,constraints_counts!$C$2:$C$76=$C38,constraints_counts!$D$2:$D$76=$D38)"),5305.0)</f>
        <v>5305</v>
      </c>
      <c r="I38" s="39">
        <f>IFERROR(__xludf.DUMMYFUNCTION("FILTER(constraints_counts!F$2:F$76,constraints_counts!$A$2:$A$76=B38,constraints_counts!$C$2:$C$76=C38,constraints_counts!$D$2:$D$76=D38)"),2.813772E7)</f>
        <v>28137720</v>
      </c>
      <c r="O38" s="42"/>
    </row>
    <row r="39">
      <c r="A39" s="39" t="str">
        <f t="shared" si="1"/>
        <v>ITC-state</v>
      </c>
      <c r="B39" s="39" t="str">
        <f>IFERROR(__xludf.DUMMYFUNCTION("""COMPUTED_VALUE"""),"awaitingsml")</f>
        <v>awaitingsml</v>
      </c>
      <c r="C39" s="39">
        <f>IFERROR(__xludf.DUMMYFUNCTION("""COMPUTED_VALUE"""),0.75)</f>
        <v>0.75</v>
      </c>
      <c r="D39" s="39">
        <f>IFERROR(__xludf.DUMMYFUNCTION("""COMPUTED_VALUE"""),1.0)</f>
        <v>1</v>
      </c>
      <c r="E39" s="39">
        <f>IFERROR(__xludf.DUMMYFUNCTION("""COMPUTED_VALUE"""),7.0)</f>
        <v>7</v>
      </c>
      <c r="F39" s="39">
        <f>IFERROR(__xludf.DUMMYFUNCTION("""COMPUTED_VALUE"""),124.652461767196)</f>
        <v>124.6524618</v>
      </c>
      <c r="G39" s="39">
        <f>IFERROR(__xludf.DUMMYFUNCTION("""COMPUTED_VALUE"""),184.311017513275)</f>
        <v>184.3110175</v>
      </c>
      <c r="H39" s="39">
        <f>IFERROR(__xludf.DUMMYFUNCTION("FILTER(constraints_counts!E$2:E$76,constraints_counts!$A$2:$A$76=$B39,constraints_counts!$C$2:$C$76=$C39,constraints_counts!$D$2:$D$76=$D39)"),5305.0)</f>
        <v>5305</v>
      </c>
      <c r="I39" s="39">
        <f>IFERROR(__xludf.DUMMYFUNCTION("FILTER(constraints_counts!F$2:F$76,constraints_counts!$A$2:$A$76=B39,constraints_counts!$C$2:$C$76=C39,constraints_counts!$D$2:$D$76=D39)"),2.813772E7)</f>
        <v>28137720</v>
      </c>
      <c r="O39" s="42"/>
    </row>
    <row r="40">
      <c r="A40" s="39" t="str">
        <f t="shared" si="1"/>
        <v>ITC-state</v>
      </c>
      <c r="B40" s="39" t="str">
        <f>IFERROR(__xludf.DUMMYFUNCTION("""COMPUTED_VALUE"""),"awaitingsml")</f>
        <v>awaitingsml</v>
      </c>
      <c r="C40" s="39">
        <f>IFERROR(__xludf.DUMMYFUNCTION("""COMPUTED_VALUE"""),0.75)</f>
        <v>0.75</v>
      </c>
      <c r="D40" s="39">
        <f>IFERROR(__xludf.DUMMYFUNCTION("""COMPUTED_VALUE"""),1.0)</f>
        <v>1</v>
      </c>
      <c r="E40" s="39">
        <f>IFERROR(__xludf.DUMMYFUNCTION("""COMPUTED_VALUE"""),8.0)</f>
        <v>8</v>
      </c>
      <c r="F40" s="39">
        <f>IFERROR(__xludf.DUMMYFUNCTION("""COMPUTED_VALUE"""),118.613084554672)</f>
        <v>118.6130846</v>
      </c>
      <c r="G40" s="39">
        <f>IFERROR(__xludf.DUMMYFUNCTION("""COMPUTED_VALUE"""),192.593798875808)</f>
        <v>192.5937989</v>
      </c>
      <c r="H40" s="39">
        <f>IFERROR(__xludf.DUMMYFUNCTION("FILTER(constraints_counts!E$2:E$76,constraints_counts!$A$2:$A$76=$B40,constraints_counts!$C$2:$C$76=$C40,constraints_counts!$D$2:$D$76=$D40)"),5305.0)</f>
        <v>5305</v>
      </c>
      <c r="I40" s="39">
        <f>IFERROR(__xludf.DUMMYFUNCTION("FILTER(constraints_counts!F$2:F$76,constraints_counts!$A$2:$A$76=B40,constraints_counts!$C$2:$C$76=C40,constraints_counts!$D$2:$D$76=D40)"),2.813772E7)</f>
        <v>28137720</v>
      </c>
      <c r="O40" s="42"/>
    </row>
    <row r="41">
      <c r="A41" s="39" t="str">
        <f t="shared" si="1"/>
        <v>ITC-state</v>
      </c>
      <c r="B41" s="39" t="str">
        <f>IFERROR(__xludf.DUMMYFUNCTION("""COMPUTED_VALUE"""),"awaitingsml")</f>
        <v>awaitingsml</v>
      </c>
      <c r="C41" s="39">
        <f>IFERROR(__xludf.DUMMYFUNCTION("""COMPUTED_VALUE"""),0.75)</f>
        <v>0.75</v>
      </c>
      <c r="D41" s="39">
        <f>IFERROR(__xludf.DUMMYFUNCTION("""COMPUTED_VALUE"""),1.0)</f>
        <v>1</v>
      </c>
      <c r="E41" s="39">
        <f>IFERROR(__xludf.DUMMYFUNCTION("""COMPUTED_VALUE"""),9.0)</f>
        <v>9</v>
      </c>
      <c r="F41" s="39">
        <f>IFERROR(__xludf.DUMMYFUNCTION("""COMPUTED_VALUE"""),99.2266225814819)</f>
        <v>99.22662258</v>
      </c>
      <c r="G41" s="39">
        <f>IFERROR(__xludf.DUMMYFUNCTION("""COMPUTED_VALUE"""),169.782907485961)</f>
        <v>169.7829075</v>
      </c>
      <c r="H41" s="39">
        <f>IFERROR(__xludf.DUMMYFUNCTION("FILTER(constraints_counts!E$2:E$76,constraints_counts!$A$2:$A$76=$B41,constraints_counts!$C$2:$C$76=$C41,constraints_counts!$D$2:$D$76=$D41)"),5305.0)</f>
        <v>5305</v>
      </c>
      <c r="I41" s="39">
        <f>IFERROR(__xludf.DUMMYFUNCTION("FILTER(constraints_counts!F$2:F$76,constraints_counts!$A$2:$A$76=B41,constraints_counts!$C$2:$C$76=C41,constraints_counts!$D$2:$D$76=D41)"),2.813772E7)</f>
        <v>28137720</v>
      </c>
      <c r="O41" s="42"/>
    </row>
    <row r="42">
      <c r="A42" s="39" t="str">
        <f t="shared" si="1"/>
        <v>ITC-state</v>
      </c>
      <c r="B42" s="39" t="str">
        <f>IFERROR(__xludf.DUMMYFUNCTION("""COMPUTED_VALUE"""),"awaitingsml")</f>
        <v>awaitingsml</v>
      </c>
      <c r="C42" s="39">
        <f>IFERROR(__xludf.DUMMYFUNCTION("""COMPUTED_VALUE"""),0.75)</f>
        <v>0.75</v>
      </c>
      <c r="D42" s="39">
        <f>IFERROR(__xludf.DUMMYFUNCTION("""COMPUTED_VALUE"""),1.0)</f>
        <v>1</v>
      </c>
      <c r="E42" s="39">
        <f>IFERROR(__xludf.DUMMYFUNCTION("""COMPUTED_VALUE"""),10.0)</f>
        <v>10</v>
      </c>
      <c r="F42" s="39">
        <f>IFERROR(__xludf.DUMMYFUNCTION("""COMPUTED_VALUE"""),105.745595455169)</f>
        <v>105.7455955</v>
      </c>
      <c r="G42" s="39">
        <f>IFERROR(__xludf.DUMMYFUNCTION("""COMPUTED_VALUE"""),179.219873666763)</f>
        <v>179.2198737</v>
      </c>
      <c r="H42" s="39">
        <f>IFERROR(__xludf.DUMMYFUNCTION("FILTER(constraints_counts!E$2:E$76,constraints_counts!$A$2:$A$76=$B42,constraints_counts!$C$2:$C$76=$C42,constraints_counts!$D$2:$D$76=$D42)"),5305.0)</f>
        <v>5305</v>
      </c>
      <c r="I42" s="39">
        <f>IFERROR(__xludf.DUMMYFUNCTION("FILTER(constraints_counts!F$2:F$76,constraints_counts!$A$2:$A$76=B42,constraints_counts!$C$2:$C$76=C42,constraints_counts!$D$2:$D$76=D42)"),2.813772E7)</f>
        <v>28137720</v>
      </c>
      <c r="O42" s="42"/>
    </row>
    <row r="43">
      <c r="A43" s="39" t="str">
        <f t="shared" si="1"/>
        <v>ITC-state</v>
      </c>
      <c r="B43" s="39" t="str">
        <f>IFERROR(__xludf.DUMMYFUNCTION("""COMPUTED_VALUE"""),"awaitingsml")</f>
        <v>awaitingsml</v>
      </c>
      <c r="C43" s="39">
        <f>IFERROR(__xludf.DUMMYFUNCTION("""COMPUTED_VALUE"""),1.0)</f>
        <v>1</v>
      </c>
      <c r="D43" s="39">
        <f>IFERROR(__xludf.DUMMYFUNCTION("""COMPUTED_VALUE"""),1.0)</f>
        <v>1</v>
      </c>
      <c r="E43" s="39">
        <f>IFERROR(__xludf.DUMMYFUNCTION("""COMPUTED_VALUE"""),1.0)</f>
        <v>1</v>
      </c>
      <c r="F43" s="39">
        <f>IFERROR(__xludf.DUMMYFUNCTION("""COMPUTED_VALUE"""),135.68161535263)</f>
        <v>135.6816154</v>
      </c>
      <c r="G43" s="39">
        <f>IFERROR(__xludf.DUMMYFUNCTION("""COMPUTED_VALUE"""),222.888922929763)</f>
        <v>222.8889229</v>
      </c>
      <c r="H43" s="39">
        <f>IFERROR(__xludf.DUMMYFUNCTION("FILTER(constraints_counts!E$2:E$76,constraints_counts!$A$2:$A$76=$B43,constraints_counts!$C$2:$C$76=$C43,constraints_counts!$D$2:$D$76=$D43)"),5825.0)</f>
        <v>5825</v>
      </c>
      <c r="I43" s="39">
        <f>IFERROR(__xludf.DUMMYFUNCTION("FILTER(constraints_counts!F$2:F$76,constraints_counts!$A$2:$A$76=B43,constraints_counts!$C$2:$C$76=C43,constraints_counts!$D$2:$D$76=D43)"),3.39248E7)</f>
        <v>33924800</v>
      </c>
      <c r="O43" s="42"/>
    </row>
    <row r="44">
      <c r="A44" s="39" t="str">
        <f t="shared" si="1"/>
        <v>ITC-state</v>
      </c>
      <c r="B44" s="39" t="str">
        <f>IFERROR(__xludf.DUMMYFUNCTION("""COMPUTED_VALUE"""),"awaitingsml")</f>
        <v>awaitingsml</v>
      </c>
      <c r="C44" s="39">
        <f>IFERROR(__xludf.DUMMYFUNCTION("""COMPUTED_VALUE"""),1.0)</f>
        <v>1</v>
      </c>
      <c r="D44" s="39">
        <f>IFERROR(__xludf.DUMMYFUNCTION("""COMPUTED_VALUE"""),1.0)</f>
        <v>1</v>
      </c>
      <c r="E44" s="39">
        <f>IFERROR(__xludf.DUMMYFUNCTION("""COMPUTED_VALUE"""),2.0)</f>
        <v>2</v>
      </c>
      <c r="F44" s="39">
        <f>IFERROR(__xludf.DUMMYFUNCTION("""COMPUTED_VALUE"""),373.623945236206)</f>
        <v>373.6239452</v>
      </c>
      <c r="G44" s="39">
        <f>IFERROR(__xludf.DUMMYFUNCTION("""COMPUTED_VALUE"""),580.591511011123)</f>
        <v>580.591511</v>
      </c>
      <c r="H44" s="39">
        <f>IFERROR(__xludf.DUMMYFUNCTION("FILTER(constraints_counts!E$2:E$76,constraints_counts!$A$2:$A$76=$B44,constraints_counts!$C$2:$C$76=$C44,constraints_counts!$D$2:$D$76=$D44)"),5825.0)</f>
        <v>5825</v>
      </c>
      <c r="I44" s="39">
        <f>IFERROR(__xludf.DUMMYFUNCTION("FILTER(constraints_counts!F$2:F$76,constraints_counts!$A$2:$A$76=B44,constraints_counts!$C$2:$C$76=C44,constraints_counts!$D$2:$D$76=D44)"),3.39248E7)</f>
        <v>33924800</v>
      </c>
      <c r="O44" s="42"/>
    </row>
    <row r="45">
      <c r="A45" s="39" t="str">
        <f t="shared" si="1"/>
        <v>ITC-state</v>
      </c>
      <c r="B45" s="39" t="str">
        <f>IFERROR(__xludf.DUMMYFUNCTION("""COMPUTED_VALUE"""),"awaitingsml")</f>
        <v>awaitingsml</v>
      </c>
      <c r="C45" s="39">
        <f>IFERROR(__xludf.DUMMYFUNCTION("""COMPUTED_VALUE"""),1.0)</f>
        <v>1</v>
      </c>
      <c r="D45" s="39">
        <f>IFERROR(__xludf.DUMMYFUNCTION("""COMPUTED_VALUE"""),1.0)</f>
        <v>1</v>
      </c>
      <c r="E45" s="39">
        <f>IFERROR(__xludf.DUMMYFUNCTION("""COMPUTED_VALUE"""),3.0)</f>
        <v>3</v>
      </c>
      <c r="F45" s="39">
        <f>IFERROR(__xludf.DUMMYFUNCTION("""COMPUTED_VALUE"""),499.874012708664)</f>
        <v>499.8740127</v>
      </c>
      <c r="G45" s="39">
        <f>IFERROR(__xludf.DUMMYFUNCTION("""COMPUTED_VALUE"""),672.00045132637)</f>
        <v>672.0004513</v>
      </c>
      <c r="H45" s="39">
        <f>IFERROR(__xludf.DUMMYFUNCTION("FILTER(constraints_counts!E$2:E$76,constraints_counts!$A$2:$A$76=$B45,constraints_counts!$C$2:$C$76=$C45,constraints_counts!$D$2:$D$76=$D45)"),5825.0)</f>
        <v>5825</v>
      </c>
      <c r="I45" s="39">
        <f>IFERROR(__xludf.DUMMYFUNCTION("FILTER(constraints_counts!F$2:F$76,constraints_counts!$A$2:$A$76=B45,constraints_counts!$C$2:$C$76=C45,constraints_counts!$D$2:$D$76=D45)"),3.39248E7)</f>
        <v>33924800</v>
      </c>
      <c r="O45" s="42"/>
    </row>
    <row r="46">
      <c r="A46" s="39" t="str">
        <f t="shared" si="1"/>
        <v>ITC-state</v>
      </c>
      <c r="B46" s="39" t="str">
        <f>IFERROR(__xludf.DUMMYFUNCTION("""COMPUTED_VALUE"""),"awaitingsml")</f>
        <v>awaitingsml</v>
      </c>
      <c r="C46" s="39">
        <f>IFERROR(__xludf.DUMMYFUNCTION("""COMPUTED_VALUE"""),1.0)</f>
        <v>1</v>
      </c>
      <c r="D46" s="39">
        <f>IFERROR(__xludf.DUMMYFUNCTION("""COMPUTED_VALUE"""),1.0)</f>
        <v>1</v>
      </c>
      <c r="E46" s="39">
        <f>IFERROR(__xludf.DUMMYFUNCTION("""COMPUTED_VALUE"""),4.0)</f>
        <v>4</v>
      </c>
      <c r="F46" s="39">
        <f>IFERROR(__xludf.DUMMYFUNCTION("""COMPUTED_VALUE"""),167.524534702301)</f>
        <v>167.5245347</v>
      </c>
      <c r="G46" s="39">
        <f>IFERROR(__xludf.DUMMYFUNCTION("""COMPUTED_VALUE"""),221.957741498947)</f>
        <v>221.9577415</v>
      </c>
      <c r="H46" s="39">
        <f>IFERROR(__xludf.DUMMYFUNCTION("FILTER(constraints_counts!E$2:E$76,constraints_counts!$A$2:$A$76=$B46,constraints_counts!$C$2:$C$76=$C46,constraints_counts!$D$2:$D$76=$D46)"),5825.0)</f>
        <v>5825</v>
      </c>
      <c r="I46" s="39">
        <f>IFERROR(__xludf.DUMMYFUNCTION("FILTER(constraints_counts!F$2:F$76,constraints_counts!$A$2:$A$76=B46,constraints_counts!$C$2:$C$76=C46,constraints_counts!$D$2:$D$76=D46)"),3.39248E7)</f>
        <v>33924800</v>
      </c>
      <c r="O46" s="42"/>
    </row>
    <row r="47">
      <c r="A47" s="39" t="str">
        <f t="shared" si="1"/>
        <v>ITC-state</v>
      </c>
      <c r="B47" s="39" t="str">
        <f>IFERROR(__xludf.DUMMYFUNCTION("""COMPUTED_VALUE"""),"awaitingsml")</f>
        <v>awaitingsml</v>
      </c>
      <c r="C47" s="39">
        <f>IFERROR(__xludf.DUMMYFUNCTION("""COMPUTED_VALUE"""),1.0)</f>
        <v>1</v>
      </c>
      <c r="D47" s="39">
        <f>IFERROR(__xludf.DUMMYFUNCTION("""COMPUTED_VALUE"""),1.0)</f>
        <v>1</v>
      </c>
      <c r="E47" s="39">
        <f>IFERROR(__xludf.DUMMYFUNCTION("""COMPUTED_VALUE"""),5.0)</f>
        <v>5</v>
      </c>
      <c r="F47" s="39">
        <f>IFERROR(__xludf.DUMMYFUNCTION("""COMPUTED_VALUE"""),174.456167697906)</f>
        <v>174.4561677</v>
      </c>
      <c r="G47" s="39">
        <f>IFERROR(__xludf.DUMMYFUNCTION("""COMPUTED_VALUE"""),300.919146299362)</f>
        <v>300.9191463</v>
      </c>
      <c r="H47" s="39">
        <f>IFERROR(__xludf.DUMMYFUNCTION("FILTER(constraints_counts!E$2:E$76,constraints_counts!$A$2:$A$76=$B47,constraints_counts!$C$2:$C$76=$C47,constraints_counts!$D$2:$D$76=$D47)"),5825.0)</f>
        <v>5825</v>
      </c>
      <c r="I47" s="39">
        <f>IFERROR(__xludf.DUMMYFUNCTION("FILTER(constraints_counts!F$2:F$76,constraints_counts!$A$2:$A$76=B47,constraints_counts!$C$2:$C$76=C47,constraints_counts!$D$2:$D$76=D47)"),3.39248E7)</f>
        <v>33924800</v>
      </c>
      <c r="O47" s="42"/>
    </row>
    <row r="48">
      <c r="A48" s="39" t="str">
        <f t="shared" si="1"/>
        <v>ITC-state</v>
      </c>
      <c r="B48" s="39" t="str">
        <f>IFERROR(__xludf.DUMMYFUNCTION("""COMPUTED_VALUE"""),"awaitingsml")</f>
        <v>awaitingsml</v>
      </c>
      <c r="C48" s="39">
        <f>IFERROR(__xludf.DUMMYFUNCTION("""COMPUTED_VALUE"""),1.0)</f>
        <v>1</v>
      </c>
      <c r="D48" s="39">
        <f>IFERROR(__xludf.DUMMYFUNCTION("""COMPUTED_VALUE"""),1.0)</f>
        <v>1</v>
      </c>
      <c r="E48" s="39">
        <f>IFERROR(__xludf.DUMMYFUNCTION("""COMPUTED_VALUE"""),6.0)</f>
        <v>6</v>
      </c>
      <c r="F48" s="39">
        <f>IFERROR(__xludf.DUMMYFUNCTION("""COMPUTED_VALUE"""),135.813204288482)</f>
        <v>135.8132043</v>
      </c>
      <c r="G48" s="39">
        <f>IFERROR(__xludf.DUMMYFUNCTION("""COMPUTED_VALUE"""),211.318702220916)</f>
        <v>211.3187022</v>
      </c>
      <c r="H48" s="39">
        <f>IFERROR(__xludf.DUMMYFUNCTION("FILTER(constraints_counts!E$2:E$76,constraints_counts!$A$2:$A$76=$B48,constraints_counts!$C$2:$C$76=$C48,constraints_counts!$D$2:$D$76=$D48)"),5825.0)</f>
        <v>5825</v>
      </c>
      <c r="I48" s="39">
        <f>IFERROR(__xludf.DUMMYFUNCTION("FILTER(constraints_counts!F$2:F$76,constraints_counts!$A$2:$A$76=B48,constraints_counts!$C$2:$C$76=C48,constraints_counts!$D$2:$D$76=D48)"),3.39248E7)</f>
        <v>33924800</v>
      </c>
      <c r="O48" s="42"/>
    </row>
    <row r="49">
      <c r="A49" s="39" t="str">
        <f t="shared" si="1"/>
        <v>ITC-state</v>
      </c>
      <c r="B49" s="39" t="str">
        <f>IFERROR(__xludf.DUMMYFUNCTION("""COMPUTED_VALUE"""),"awaitingsml")</f>
        <v>awaitingsml</v>
      </c>
      <c r="C49" s="39">
        <f>IFERROR(__xludf.DUMMYFUNCTION("""COMPUTED_VALUE"""),1.0)</f>
        <v>1</v>
      </c>
      <c r="D49" s="39">
        <f>IFERROR(__xludf.DUMMYFUNCTION("""COMPUTED_VALUE"""),1.0)</f>
        <v>1</v>
      </c>
      <c r="E49" s="39">
        <f>IFERROR(__xludf.DUMMYFUNCTION("""COMPUTED_VALUE"""),7.0)</f>
        <v>7</v>
      </c>
      <c r="F49" s="39">
        <f>IFERROR(__xludf.DUMMYFUNCTION("""COMPUTED_VALUE"""),208.228002548217)</f>
        <v>208.2280025</v>
      </c>
      <c r="G49" s="39">
        <f>IFERROR(__xludf.DUMMYFUNCTION("""COMPUTED_VALUE"""),355.895695447921)</f>
        <v>355.8956954</v>
      </c>
      <c r="H49" s="39">
        <f>IFERROR(__xludf.DUMMYFUNCTION("FILTER(constraints_counts!E$2:E$76,constraints_counts!$A$2:$A$76=$B49,constraints_counts!$C$2:$C$76=$C49,constraints_counts!$D$2:$D$76=$D49)"),5825.0)</f>
        <v>5825</v>
      </c>
      <c r="I49" s="39">
        <f>IFERROR(__xludf.DUMMYFUNCTION("FILTER(constraints_counts!F$2:F$76,constraints_counts!$A$2:$A$76=B49,constraints_counts!$C$2:$C$76=C49,constraints_counts!$D$2:$D$76=D49)"),3.39248E7)</f>
        <v>33924800</v>
      </c>
      <c r="O49" s="42"/>
    </row>
    <row r="50">
      <c r="A50" s="39" t="str">
        <f t="shared" si="1"/>
        <v>ITC-state</v>
      </c>
      <c r="B50" s="39" t="str">
        <f>IFERROR(__xludf.DUMMYFUNCTION("""COMPUTED_VALUE"""),"awaitingsml")</f>
        <v>awaitingsml</v>
      </c>
      <c r="C50" s="39">
        <f>IFERROR(__xludf.DUMMYFUNCTION("""COMPUTED_VALUE"""),1.0)</f>
        <v>1</v>
      </c>
      <c r="D50" s="39">
        <f>IFERROR(__xludf.DUMMYFUNCTION("""COMPUTED_VALUE"""),1.0)</f>
        <v>1</v>
      </c>
      <c r="E50" s="39">
        <f>IFERROR(__xludf.DUMMYFUNCTION("""COMPUTED_VALUE"""),8.0)</f>
        <v>8</v>
      </c>
      <c r="F50" s="39">
        <f>IFERROR(__xludf.DUMMYFUNCTION("""COMPUTED_VALUE"""),143.577247619628)</f>
        <v>143.5772476</v>
      </c>
      <c r="G50" s="39">
        <f>IFERROR(__xludf.DUMMYFUNCTION("""COMPUTED_VALUE"""),425.0778195858)</f>
        <v>425.0778196</v>
      </c>
      <c r="H50" s="39">
        <f>IFERROR(__xludf.DUMMYFUNCTION("FILTER(constraints_counts!E$2:E$76,constraints_counts!$A$2:$A$76=$B50,constraints_counts!$C$2:$C$76=$C50,constraints_counts!$D$2:$D$76=$D50)"),5825.0)</f>
        <v>5825</v>
      </c>
      <c r="I50" s="39">
        <f>IFERROR(__xludf.DUMMYFUNCTION("FILTER(constraints_counts!F$2:F$76,constraints_counts!$A$2:$A$76=B50,constraints_counts!$C$2:$C$76=C50,constraints_counts!$D$2:$D$76=D50)"),3.39248E7)</f>
        <v>33924800</v>
      </c>
      <c r="O50" s="42"/>
    </row>
    <row r="51">
      <c r="A51" s="39" t="str">
        <f t="shared" si="1"/>
        <v>ITC-state</v>
      </c>
      <c r="B51" s="39" t="str">
        <f>IFERROR(__xludf.DUMMYFUNCTION("""COMPUTED_VALUE"""),"awaitingsml")</f>
        <v>awaitingsml</v>
      </c>
      <c r="C51" s="39">
        <f>IFERROR(__xludf.DUMMYFUNCTION("""COMPUTED_VALUE"""),1.0)</f>
        <v>1</v>
      </c>
      <c r="D51" s="39">
        <f>IFERROR(__xludf.DUMMYFUNCTION("""COMPUTED_VALUE"""),1.0)</f>
        <v>1</v>
      </c>
      <c r="E51" s="39">
        <f>IFERROR(__xludf.DUMMYFUNCTION("""COMPUTED_VALUE"""),9.0)</f>
        <v>9</v>
      </c>
      <c r="F51" s="39">
        <f>IFERROR(__xludf.DUMMYFUNCTION("""COMPUTED_VALUE"""),193.436180353164)</f>
        <v>193.4361804</v>
      </c>
      <c r="G51" s="39">
        <f>IFERROR(__xludf.DUMMYFUNCTION("""COMPUTED_VALUE"""),473.813758611679)</f>
        <v>473.8137586</v>
      </c>
      <c r="H51" s="39">
        <f>IFERROR(__xludf.DUMMYFUNCTION("FILTER(constraints_counts!E$2:E$76,constraints_counts!$A$2:$A$76=$B51,constraints_counts!$C$2:$C$76=$C51,constraints_counts!$D$2:$D$76=$D51)"),5825.0)</f>
        <v>5825</v>
      </c>
      <c r="I51" s="39">
        <f>IFERROR(__xludf.DUMMYFUNCTION("FILTER(constraints_counts!F$2:F$76,constraints_counts!$A$2:$A$76=B51,constraints_counts!$C$2:$C$76=C51,constraints_counts!$D$2:$D$76=D51)"),3.39248E7)</f>
        <v>33924800</v>
      </c>
      <c r="O51" s="42"/>
    </row>
    <row r="52">
      <c r="A52" s="39" t="str">
        <f t="shared" si="1"/>
        <v>ITC-state</v>
      </c>
      <c r="B52" s="39" t="str">
        <f>IFERROR(__xludf.DUMMYFUNCTION("""COMPUTED_VALUE"""),"awaitingsml")</f>
        <v>awaitingsml</v>
      </c>
      <c r="C52" s="39">
        <f>IFERROR(__xludf.DUMMYFUNCTION("""COMPUTED_VALUE"""),1.0)</f>
        <v>1</v>
      </c>
      <c r="D52" s="39">
        <f>IFERROR(__xludf.DUMMYFUNCTION("""COMPUTED_VALUE"""),1.0)</f>
        <v>1</v>
      </c>
      <c r="E52" s="39">
        <f>IFERROR(__xludf.DUMMYFUNCTION("""COMPUTED_VALUE"""),10.0)</f>
        <v>10</v>
      </c>
      <c r="F52" s="39">
        <f>IFERROR(__xludf.DUMMYFUNCTION("""COMPUTED_VALUE"""),371.709399223327)</f>
        <v>371.7093992</v>
      </c>
      <c r="G52" s="39">
        <f>IFERROR(__xludf.DUMMYFUNCTION("""COMPUTED_VALUE"""),568.431106090545)</f>
        <v>568.4311061</v>
      </c>
      <c r="H52" s="39">
        <f>IFERROR(__xludf.DUMMYFUNCTION("FILTER(constraints_counts!E$2:E$76,constraints_counts!$A$2:$A$76=$B52,constraints_counts!$C$2:$C$76=$C52,constraints_counts!$D$2:$D$76=$D52)"),5825.0)</f>
        <v>5825</v>
      </c>
      <c r="I52" s="39">
        <f>IFERROR(__xludf.DUMMYFUNCTION("FILTER(constraints_counts!F$2:F$76,constraints_counts!$A$2:$A$76=B52,constraints_counts!$C$2:$C$76=C52,constraints_counts!$D$2:$D$76=D52)"),3.39248E7)</f>
        <v>33924800</v>
      </c>
      <c r="O52" s="42"/>
    </row>
    <row r="53">
      <c r="A53" s="39" t="str">
        <f t="shared" si="1"/>
        <v>ITC-category</v>
      </c>
      <c r="B53" s="39" t="str">
        <f>IFERROR(__xludf.DUMMYFUNCTION("""COMPUTED_VALUE"""),"easycategs")</f>
        <v>easycategs</v>
      </c>
      <c r="C53" s="39">
        <f>IFERROR(__xludf.DUMMYFUNCTION("""COMPUTED_VALUE"""),0.1)</f>
        <v>0.1</v>
      </c>
      <c r="D53" s="39">
        <f>IFERROR(__xludf.DUMMYFUNCTION("""COMPUTED_VALUE"""),1.0)</f>
        <v>1</v>
      </c>
      <c r="E53" s="39">
        <f>IFERROR(__xludf.DUMMYFUNCTION("""COMPUTED_VALUE"""),1.0)</f>
        <v>1</v>
      </c>
      <c r="F53" s="39">
        <f>IFERROR(__xludf.DUMMYFUNCTION("""COMPUTED_VALUE"""),235.911197423934)</f>
        <v>235.9111974</v>
      </c>
      <c r="G53" s="39">
        <f>IFERROR(__xludf.DUMMYFUNCTION("""COMPUTED_VALUE"""),462.671827793121)</f>
        <v>462.6718278</v>
      </c>
      <c r="H53" s="39">
        <f>IFERROR(__xludf.DUMMYFUNCTION("FILTER(constraints_counts!E$2:E$76,constraints_counts!$A$2:$A$76=$B53,constraints_counts!$C$2:$C$76=$C53,constraints_counts!$D$2:$D$76=$D53)"),1713.0)</f>
        <v>1713</v>
      </c>
      <c r="I53" s="39">
        <f>IFERROR(__xludf.DUMMYFUNCTION("FILTER(constraints_counts!F$2:F$76,constraints_counts!$A$2:$A$76=B53,constraints_counts!$C$2:$C$76=C53,constraints_counts!$D$2:$D$76=D53)"),2932656.0)</f>
        <v>2932656</v>
      </c>
      <c r="O53" s="42"/>
    </row>
    <row r="54">
      <c r="A54" s="39" t="str">
        <f t="shared" si="1"/>
        <v>ITC-category</v>
      </c>
      <c r="B54" s="39" t="str">
        <f>IFERROR(__xludf.DUMMYFUNCTION("""COMPUTED_VALUE"""),"easycategs")</f>
        <v>easycategs</v>
      </c>
      <c r="C54" s="39">
        <f>IFERROR(__xludf.DUMMYFUNCTION("""COMPUTED_VALUE"""),0.1)</f>
        <v>0.1</v>
      </c>
      <c r="D54" s="39">
        <f>IFERROR(__xludf.DUMMYFUNCTION("""COMPUTED_VALUE"""),1.0)</f>
        <v>1</v>
      </c>
      <c r="E54" s="39">
        <f>IFERROR(__xludf.DUMMYFUNCTION("""COMPUTED_VALUE"""),2.0)</f>
        <v>2</v>
      </c>
      <c r="F54" s="39">
        <f>IFERROR(__xludf.DUMMYFUNCTION("""COMPUTED_VALUE"""),227.172108650207)</f>
        <v>227.1721087</v>
      </c>
      <c r="G54" s="39">
        <f>IFERROR(__xludf.DUMMYFUNCTION("""COMPUTED_VALUE"""),453.529304742813)</f>
        <v>453.5293047</v>
      </c>
      <c r="H54" s="39">
        <f>IFERROR(__xludf.DUMMYFUNCTION("FILTER(constraints_counts!E$2:E$76,constraints_counts!$A$2:$A$76=$B54,constraints_counts!$C$2:$C$76=$C54,constraints_counts!$D$2:$D$76=$D54)"),1713.0)</f>
        <v>1713</v>
      </c>
      <c r="I54" s="39">
        <f>IFERROR(__xludf.DUMMYFUNCTION("FILTER(constraints_counts!F$2:F$76,constraints_counts!$A$2:$A$76=B54,constraints_counts!$C$2:$C$76=C54,constraints_counts!$D$2:$D$76=D54)"),2932656.0)</f>
        <v>2932656</v>
      </c>
      <c r="O54" s="42"/>
    </row>
    <row r="55">
      <c r="A55" s="39" t="str">
        <f t="shared" si="1"/>
        <v>ITC-category</v>
      </c>
      <c r="B55" s="39" t="str">
        <f>IFERROR(__xludf.DUMMYFUNCTION("""COMPUTED_VALUE"""),"easycategs")</f>
        <v>easycategs</v>
      </c>
      <c r="C55" s="39">
        <f>IFERROR(__xludf.DUMMYFUNCTION("""COMPUTED_VALUE"""),0.1)</f>
        <v>0.1</v>
      </c>
      <c r="D55" s="39">
        <f>IFERROR(__xludf.DUMMYFUNCTION("""COMPUTED_VALUE"""),1.0)</f>
        <v>1</v>
      </c>
      <c r="E55" s="39">
        <f>IFERROR(__xludf.DUMMYFUNCTION("""COMPUTED_VALUE"""),3.0)</f>
        <v>3</v>
      </c>
      <c r="F55" s="39">
        <f>IFERROR(__xludf.DUMMYFUNCTION("""COMPUTED_VALUE"""),266.299456357956)</f>
        <v>266.2994564</v>
      </c>
      <c r="G55" s="39">
        <f>IFERROR(__xludf.DUMMYFUNCTION("""COMPUTED_VALUE"""),481.855017900466)</f>
        <v>481.8550179</v>
      </c>
      <c r="H55" s="39">
        <f>IFERROR(__xludf.DUMMYFUNCTION("FILTER(constraints_counts!E$2:E$76,constraints_counts!$A$2:$A$76=$B55,constraints_counts!$C$2:$C$76=$C55,constraints_counts!$D$2:$D$76=$D55)"),1713.0)</f>
        <v>1713</v>
      </c>
      <c r="I55" s="39">
        <f>IFERROR(__xludf.DUMMYFUNCTION("FILTER(constraints_counts!F$2:F$76,constraints_counts!$A$2:$A$76=B55,constraints_counts!$C$2:$C$76=C55,constraints_counts!$D$2:$D$76=D55)"),2932656.0)</f>
        <v>2932656</v>
      </c>
      <c r="O55" s="42"/>
    </row>
    <row r="56">
      <c r="A56" s="39" t="str">
        <f t="shared" si="1"/>
        <v>ITC-category</v>
      </c>
      <c r="B56" s="39" t="str">
        <f>IFERROR(__xludf.DUMMYFUNCTION("""COMPUTED_VALUE"""),"easycategs")</f>
        <v>easycategs</v>
      </c>
      <c r="C56" s="39">
        <f>IFERROR(__xludf.DUMMYFUNCTION("""COMPUTED_VALUE"""),0.1)</f>
        <v>0.1</v>
      </c>
      <c r="D56" s="39">
        <f>IFERROR(__xludf.DUMMYFUNCTION("""COMPUTED_VALUE"""),1.0)</f>
        <v>1</v>
      </c>
      <c r="E56" s="39">
        <f>IFERROR(__xludf.DUMMYFUNCTION("""COMPUTED_VALUE"""),4.0)</f>
        <v>4</v>
      </c>
      <c r="F56" s="39">
        <f>IFERROR(__xludf.DUMMYFUNCTION("""COMPUTED_VALUE"""),277.294998407363)</f>
        <v>277.2949984</v>
      </c>
      <c r="G56" s="39">
        <f>IFERROR(__xludf.DUMMYFUNCTION("""COMPUTED_VALUE"""),480.877892971038)</f>
        <v>480.877893</v>
      </c>
      <c r="H56" s="39">
        <f>IFERROR(__xludf.DUMMYFUNCTION("FILTER(constraints_counts!E$2:E$76,constraints_counts!$A$2:$A$76=$B56,constraints_counts!$C$2:$C$76=$C56,constraints_counts!$D$2:$D$76=$D56)"),1713.0)</f>
        <v>1713</v>
      </c>
      <c r="I56" s="39">
        <f>IFERROR(__xludf.DUMMYFUNCTION("FILTER(constraints_counts!F$2:F$76,constraints_counts!$A$2:$A$76=B56,constraints_counts!$C$2:$C$76=C56,constraints_counts!$D$2:$D$76=D56)"),2932656.0)</f>
        <v>2932656</v>
      </c>
      <c r="O56" s="42"/>
    </row>
    <row r="57">
      <c r="A57" s="39" t="str">
        <f t="shared" si="1"/>
        <v>ITC-category</v>
      </c>
      <c r="B57" s="39" t="str">
        <f>IFERROR(__xludf.DUMMYFUNCTION("""COMPUTED_VALUE"""),"easycategs")</f>
        <v>easycategs</v>
      </c>
      <c r="C57" s="39">
        <f>IFERROR(__xludf.DUMMYFUNCTION("""COMPUTED_VALUE"""),0.1)</f>
        <v>0.1</v>
      </c>
      <c r="D57" s="39">
        <f>IFERROR(__xludf.DUMMYFUNCTION("""COMPUTED_VALUE"""),1.0)</f>
        <v>1</v>
      </c>
      <c r="E57" s="39">
        <f>IFERROR(__xludf.DUMMYFUNCTION("""COMPUTED_VALUE"""),5.0)</f>
        <v>5</v>
      </c>
      <c r="F57" s="39">
        <f>IFERROR(__xludf.DUMMYFUNCTION("""COMPUTED_VALUE"""),159.190403461456)</f>
        <v>159.1904035</v>
      </c>
      <c r="G57" s="39">
        <f>IFERROR(__xludf.DUMMYFUNCTION("""COMPUTED_VALUE"""),359.908591747283)</f>
        <v>359.9085917</v>
      </c>
      <c r="H57" s="39">
        <f>IFERROR(__xludf.DUMMYFUNCTION("FILTER(constraints_counts!E$2:E$76,constraints_counts!$A$2:$A$76=$B57,constraints_counts!$C$2:$C$76=$C57,constraints_counts!$D$2:$D$76=$D57)"),1713.0)</f>
        <v>1713</v>
      </c>
      <c r="I57" s="39">
        <f>IFERROR(__xludf.DUMMYFUNCTION("FILTER(constraints_counts!F$2:F$76,constraints_counts!$A$2:$A$76=B57,constraints_counts!$C$2:$C$76=C57,constraints_counts!$D$2:$D$76=D57)"),2932656.0)</f>
        <v>2932656</v>
      </c>
      <c r="O57" s="42"/>
    </row>
    <row r="58">
      <c r="A58" s="39" t="str">
        <f t="shared" si="1"/>
        <v>ITC-category</v>
      </c>
      <c r="B58" s="39" t="str">
        <f>IFERROR(__xludf.DUMMYFUNCTION("""COMPUTED_VALUE"""),"easycategs")</f>
        <v>easycategs</v>
      </c>
      <c r="C58" s="39">
        <f>IFERROR(__xludf.DUMMYFUNCTION("""COMPUTED_VALUE"""),0.1)</f>
        <v>0.1</v>
      </c>
      <c r="D58" s="39">
        <f>IFERROR(__xludf.DUMMYFUNCTION("""COMPUTED_VALUE"""),1.0)</f>
        <v>1</v>
      </c>
      <c r="E58" s="39">
        <f>IFERROR(__xludf.DUMMYFUNCTION("""COMPUTED_VALUE"""),6.0)</f>
        <v>6</v>
      </c>
      <c r="F58" s="39">
        <f>IFERROR(__xludf.DUMMYFUNCTION("""COMPUTED_VALUE"""),280.709618806839)</f>
        <v>280.7096188</v>
      </c>
      <c r="G58" s="39">
        <f>IFERROR(__xludf.DUMMYFUNCTION("""COMPUTED_VALUE"""),481.949177980423)</f>
        <v>481.949178</v>
      </c>
      <c r="H58" s="39">
        <f>IFERROR(__xludf.DUMMYFUNCTION("FILTER(constraints_counts!E$2:E$76,constraints_counts!$A$2:$A$76=$B58,constraints_counts!$C$2:$C$76=$C58,constraints_counts!$D$2:$D$76=$D58)"),1713.0)</f>
        <v>1713</v>
      </c>
      <c r="I58" s="39">
        <f>IFERROR(__xludf.DUMMYFUNCTION("FILTER(constraints_counts!F$2:F$76,constraints_counts!$A$2:$A$76=B58,constraints_counts!$C$2:$C$76=C58,constraints_counts!$D$2:$D$76=D58)"),2932656.0)</f>
        <v>2932656</v>
      </c>
      <c r="O58" s="42"/>
    </row>
    <row r="59">
      <c r="A59" s="39" t="str">
        <f t="shared" si="1"/>
        <v>ITC-category</v>
      </c>
      <c r="B59" s="39" t="str">
        <f>IFERROR(__xludf.DUMMYFUNCTION("""COMPUTED_VALUE"""),"easycategs")</f>
        <v>easycategs</v>
      </c>
      <c r="C59" s="39">
        <f>IFERROR(__xludf.DUMMYFUNCTION("""COMPUTED_VALUE"""),0.1)</f>
        <v>0.1</v>
      </c>
      <c r="D59" s="39">
        <f>IFERROR(__xludf.DUMMYFUNCTION("""COMPUTED_VALUE"""),1.0)</f>
        <v>1</v>
      </c>
      <c r="E59" s="39">
        <f>IFERROR(__xludf.DUMMYFUNCTION("""COMPUTED_VALUE"""),7.0)</f>
        <v>7</v>
      </c>
      <c r="F59" s="39">
        <f>IFERROR(__xludf.DUMMYFUNCTION("""COMPUTED_VALUE"""),361.880808353424)</f>
        <v>361.8808084</v>
      </c>
      <c r="G59" s="39">
        <f>IFERROR(__xludf.DUMMYFUNCTION("""COMPUTED_VALUE"""),504.27281999588)</f>
        <v>504.27282</v>
      </c>
      <c r="H59" s="39">
        <f>IFERROR(__xludf.DUMMYFUNCTION("FILTER(constraints_counts!E$2:E$76,constraints_counts!$A$2:$A$76=$B59,constraints_counts!$C$2:$C$76=$C59,constraints_counts!$D$2:$D$76=$D59)"),1713.0)</f>
        <v>1713</v>
      </c>
      <c r="I59" s="39">
        <f>IFERROR(__xludf.DUMMYFUNCTION("FILTER(constraints_counts!F$2:F$76,constraints_counts!$A$2:$A$76=B59,constraints_counts!$C$2:$C$76=C59,constraints_counts!$D$2:$D$76=D59)"),2932656.0)</f>
        <v>2932656</v>
      </c>
      <c r="O59" s="42"/>
    </row>
    <row r="60">
      <c r="A60" s="39" t="str">
        <f t="shared" si="1"/>
        <v>ITC-category</v>
      </c>
      <c r="B60" s="39" t="str">
        <f>IFERROR(__xludf.DUMMYFUNCTION("""COMPUTED_VALUE"""),"easycategs")</f>
        <v>easycategs</v>
      </c>
      <c r="C60" s="39">
        <f>IFERROR(__xludf.DUMMYFUNCTION("""COMPUTED_VALUE"""),0.1)</f>
        <v>0.1</v>
      </c>
      <c r="D60" s="39">
        <f>IFERROR(__xludf.DUMMYFUNCTION("""COMPUTED_VALUE"""),1.0)</f>
        <v>1</v>
      </c>
      <c r="E60" s="39">
        <f>IFERROR(__xludf.DUMMYFUNCTION("""COMPUTED_VALUE"""),8.0)</f>
        <v>8</v>
      </c>
      <c r="F60" s="39">
        <f>IFERROR(__xludf.DUMMYFUNCTION("""COMPUTED_VALUE"""),260.250849485397)</f>
        <v>260.2508495</v>
      </c>
      <c r="G60" s="39">
        <f>IFERROR(__xludf.DUMMYFUNCTION("""COMPUTED_VALUE"""),483.360709190368)</f>
        <v>483.3607092</v>
      </c>
      <c r="H60" s="39">
        <f>IFERROR(__xludf.DUMMYFUNCTION("FILTER(constraints_counts!E$2:E$76,constraints_counts!$A$2:$A$76=$B60,constraints_counts!$C$2:$C$76=$C60,constraints_counts!$D$2:$D$76=$D60)"),1713.0)</f>
        <v>1713</v>
      </c>
      <c r="I60" s="39">
        <f>IFERROR(__xludf.DUMMYFUNCTION("FILTER(constraints_counts!F$2:F$76,constraints_counts!$A$2:$A$76=B60,constraints_counts!$C$2:$C$76=C60,constraints_counts!$D$2:$D$76=D60)"),2932656.0)</f>
        <v>2932656</v>
      </c>
      <c r="O60" s="42"/>
    </row>
    <row r="61">
      <c r="A61" s="39" t="str">
        <f t="shared" si="1"/>
        <v>ITC-category</v>
      </c>
      <c r="B61" s="39" t="str">
        <f>IFERROR(__xludf.DUMMYFUNCTION("""COMPUTED_VALUE"""),"easycategs")</f>
        <v>easycategs</v>
      </c>
      <c r="C61" s="39">
        <f>IFERROR(__xludf.DUMMYFUNCTION("""COMPUTED_VALUE"""),0.1)</f>
        <v>0.1</v>
      </c>
      <c r="D61" s="39">
        <f>IFERROR(__xludf.DUMMYFUNCTION("""COMPUTED_VALUE"""),1.0)</f>
        <v>1</v>
      </c>
      <c r="E61" s="39">
        <f>IFERROR(__xludf.DUMMYFUNCTION("""COMPUTED_VALUE"""),9.0)</f>
        <v>9</v>
      </c>
      <c r="F61" s="39">
        <f>IFERROR(__xludf.DUMMYFUNCTION("""COMPUTED_VALUE"""),169.645334482193)</f>
        <v>169.6453345</v>
      </c>
      <c r="G61" s="39">
        <f>IFERROR(__xludf.DUMMYFUNCTION("""COMPUTED_VALUE"""),393.288240432739)</f>
        <v>393.2882404</v>
      </c>
      <c r="H61" s="39">
        <f>IFERROR(__xludf.DUMMYFUNCTION("FILTER(constraints_counts!E$2:E$76,constraints_counts!$A$2:$A$76=$B61,constraints_counts!$C$2:$C$76=$C61,constraints_counts!$D$2:$D$76=$D61)"),1713.0)</f>
        <v>1713</v>
      </c>
      <c r="I61" s="39">
        <f>IFERROR(__xludf.DUMMYFUNCTION("FILTER(constraints_counts!F$2:F$76,constraints_counts!$A$2:$A$76=B61,constraints_counts!$C$2:$C$76=C61,constraints_counts!$D$2:$D$76=D61)"),2932656.0)</f>
        <v>2932656</v>
      </c>
      <c r="O61" s="42"/>
    </row>
    <row r="62">
      <c r="A62" s="39" t="str">
        <f t="shared" si="1"/>
        <v>ITC-category</v>
      </c>
      <c r="B62" s="39" t="str">
        <f>IFERROR(__xludf.DUMMYFUNCTION("""COMPUTED_VALUE"""),"easycategs")</f>
        <v>easycategs</v>
      </c>
      <c r="C62" s="39">
        <f>IFERROR(__xludf.DUMMYFUNCTION("""COMPUTED_VALUE"""),0.1)</f>
        <v>0.1</v>
      </c>
      <c r="D62" s="39">
        <f>IFERROR(__xludf.DUMMYFUNCTION("""COMPUTED_VALUE"""),1.0)</f>
        <v>1</v>
      </c>
      <c r="E62" s="39">
        <f>IFERROR(__xludf.DUMMYFUNCTION("""COMPUTED_VALUE"""),10.0)</f>
        <v>10</v>
      </c>
      <c r="F62" s="39">
        <f>IFERROR(__xludf.DUMMYFUNCTION("""COMPUTED_VALUE"""),257.427646160125)</f>
        <v>257.4276462</v>
      </c>
      <c r="G62" s="39">
        <f>IFERROR(__xludf.DUMMYFUNCTION("""COMPUTED_VALUE"""),453.626081943511)</f>
        <v>453.6260819</v>
      </c>
      <c r="H62" s="39">
        <f>IFERROR(__xludf.DUMMYFUNCTION("FILTER(constraints_counts!E$2:E$76,constraints_counts!$A$2:$A$76=$B62,constraints_counts!$C$2:$C$76=$C62,constraints_counts!$D$2:$D$76=$D62)"),1713.0)</f>
        <v>1713</v>
      </c>
      <c r="I62" s="39">
        <f>IFERROR(__xludf.DUMMYFUNCTION("FILTER(constraints_counts!F$2:F$76,constraints_counts!$A$2:$A$76=B62,constraints_counts!$C$2:$C$76=C62,constraints_counts!$D$2:$D$76=D62)"),2932656.0)</f>
        <v>2932656</v>
      </c>
      <c r="O62" s="42"/>
    </row>
    <row r="63">
      <c r="A63" s="39" t="str">
        <f t="shared" si="1"/>
        <v>ITC-category</v>
      </c>
      <c r="B63" s="39" t="str">
        <f>IFERROR(__xludf.DUMMYFUNCTION("""COMPUTED_VALUE"""),"easycategs")</f>
        <v>easycategs</v>
      </c>
      <c r="C63" s="39">
        <f>IFERROR(__xludf.DUMMYFUNCTION("""COMPUTED_VALUE"""),0.25)</f>
        <v>0.25</v>
      </c>
      <c r="D63" s="39">
        <f>IFERROR(__xludf.DUMMYFUNCTION("""COMPUTED_VALUE"""),1.0)</f>
        <v>1</v>
      </c>
      <c r="E63" s="39">
        <f>IFERROR(__xludf.DUMMYFUNCTION("""COMPUTED_VALUE"""),1.0)</f>
        <v>1</v>
      </c>
      <c r="F63" s="39">
        <f>IFERROR(__xludf.DUMMYFUNCTION("""COMPUTED_VALUE"""),109.652988672256)</f>
        <v>109.6529887</v>
      </c>
      <c r="G63" s="39">
        <f>IFERROR(__xludf.DUMMYFUNCTION("""COMPUTED_VALUE"""),363.559841156005)</f>
        <v>363.5598412</v>
      </c>
      <c r="H63" s="39">
        <f>IFERROR(__xludf.DUMMYFUNCTION("FILTER(constraints_counts!E$2:E$76,constraints_counts!$A$2:$A$76=$B63,constraints_counts!$C$2:$C$76=$C63,constraints_counts!$D$2:$D$76=$D63)"),2127.0)</f>
        <v>2127</v>
      </c>
      <c r="I63" s="39">
        <f>IFERROR(__xludf.DUMMYFUNCTION("FILTER(constraints_counts!F$2:F$76,constraints_counts!$A$2:$A$76=B63,constraints_counts!$C$2:$C$76=C63,constraints_counts!$D$2:$D$76=D63)"),4522002.0)</f>
        <v>4522002</v>
      </c>
      <c r="O63" s="42"/>
    </row>
    <row r="64">
      <c r="A64" s="39" t="str">
        <f t="shared" si="1"/>
        <v>ITC-category</v>
      </c>
      <c r="B64" s="39" t="str">
        <f>IFERROR(__xludf.DUMMYFUNCTION("""COMPUTED_VALUE"""),"easycategs")</f>
        <v>easycategs</v>
      </c>
      <c r="C64" s="39">
        <f>IFERROR(__xludf.DUMMYFUNCTION("""COMPUTED_VALUE"""),0.25)</f>
        <v>0.25</v>
      </c>
      <c r="D64" s="39">
        <f>IFERROR(__xludf.DUMMYFUNCTION("""COMPUTED_VALUE"""),1.0)</f>
        <v>1</v>
      </c>
      <c r="E64" s="39">
        <f>IFERROR(__xludf.DUMMYFUNCTION("""COMPUTED_VALUE"""),2.0)</f>
        <v>2</v>
      </c>
      <c r="F64" s="39">
        <f>IFERROR(__xludf.DUMMYFUNCTION("""COMPUTED_VALUE"""),110.543283939361)</f>
        <v>110.5432839</v>
      </c>
      <c r="G64" s="39">
        <f>IFERROR(__xludf.DUMMYFUNCTION("""COMPUTED_VALUE"""),387.534325361251)</f>
        <v>387.5343254</v>
      </c>
      <c r="H64" s="39">
        <f>IFERROR(__xludf.DUMMYFUNCTION("FILTER(constraints_counts!E$2:E$76,constraints_counts!$A$2:$A$76=$B64,constraints_counts!$C$2:$C$76=$C64,constraints_counts!$D$2:$D$76=$D64)"),2127.0)</f>
        <v>2127</v>
      </c>
      <c r="I64" s="39">
        <f>IFERROR(__xludf.DUMMYFUNCTION("FILTER(constraints_counts!F$2:F$76,constraints_counts!$A$2:$A$76=B64,constraints_counts!$C$2:$C$76=C64,constraints_counts!$D$2:$D$76=D64)"),4522002.0)</f>
        <v>4522002</v>
      </c>
      <c r="O64" s="42"/>
    </row>
    <row r="65">
      <c r="A65" s="39" t="str">
        <f t="shared" si="1"/>
        <v>ITC-category</v>
      </c>
      <c r="B65" s="39" t="str">
        <f>IFERROR(__xludf.DUMMYFUNCTION("""COMPUTED_VALUE"""),"easycategs")</f>
        <v>easycategs</v>
      </c>
      <c r="C65" s="39">
        <f>IFERROR(__xludf.DUMMYFUNCTION("""COMPUTED_VALUE"""),0.25)</f>
        <v>0.25</v>
      </c>
      <c r="D65" s="39">
        <f>IFERROR(__xludf.DUMMYFUNCTION("""COMPUTED_VALUE"""),1.0)</f>
        <v>1</v>
      </c>
      <c r="E65" s="39">
        <f>IFERROR(__xludf.DUMMYFUNCTION("""COMPUTED_VALUE"""),3.0)</f>
        <v>3</v>
      </c>
      <c r="F65" s="39">
        <f>IFERROR(__xludf.DUMMYFUNCTION("""COMPUTED_VALUE"""),111.274337053298)</f>
        <v>111.2743371</v>
      </c>
      <c r="G65" s="39">
        <f>IFERROR(__xludf.DUMMYFUNCTION("""COMPUTED_VALUE"""),266.76355266571)</f>
        <v>266.7635527</v>
      </c>
      <c r="H65" s="39">
        <f>IFERROR(__xludf.DUMMYFUNCTION("FILTER(constraints_counts!E$2:E$76,constraints_counts!$A$2:$A$76=$B65,constraints_counts!$C$2:$C$76=$C65,constraints_counts!$D$2:$D$76=$D65)"),2127.0)</f>
        <v>2127</v>
      </c>
      <c r="I65" s="39">
        <f>IFERROR(__xludf.DUMMYFUNCTION("FILTER(constraints_counts!F$2:F$76,constraints_counts!$A$2:$A$76=B65,constraints_counts!$C$2:$C$76=C65,constraints_counts!$D$2:$D$76=D65)"),4522002.0)</f>
        <v>4522002</v>
      </c>
      <c r="O65" s="42"/>
    </row>
    <row r="66">
      <c r="A66" s="39" t="str">
        <f t="shared" si="1"/>
        <v>ITC-category</v>
      </c>
      <c r="B66" s="39" t="str">
        <f>IFERROR(__xludf.DUMMYFUNCTION("""COMPUTED_VALUE"""),"easycategs")</f>
        <v>easycategs</v>
      </c>
      <c r="C66" s="39">
        <f>IFERROR(__xludf.DUMMYFUNCTION("""COMPUTED_VALUE"""),0.25)</f>
        <v>0.25</v>
      </c>
      <c r="D66" s="39">
        <f>IFERROR(__xludf.DUMMYFUNCTION("""COMPUTED_VALUE"""),1.0)</f>
        <v>1</v>
      </c>
      <c r="E66" s="39">
        <f>IFERROR(__xludf.DUMMYFUNCTION("""COMPUTED_VALUE"""),4.0)</f>
        <v>4</v>
      </c>
      <c r="F66" s="39">
        <f>IFERROR(__xludf.DUMMYFUNCTION("""COMPUTED_VALUE"""),100.115062952041)</f>
        <v>100.115063</v>
      </c>
      <c r="G66" s="39">
        <f>IFERROR(__xludf.DUMMYFUNCTION("""COMPUTED_VALUE"""),265.973017454147)</f>
        <v>265.9730175</v>
      </c>
      <c r="H66" s="39">
        <f>IFERROR(__xludf.DUMMYFUNCTION("FILTER(constraints_counts!E$2:E$76,constraints_counts!$A$2:$A$76=$B66,constraints_counts!$C$2:$C$76=$C66,constraints_counts!$D$2:$D$76=$D66)"),2127.0)</f>
        <v>2127</v>
      </c>
      <c r="I66" s="39">
        <f>IFERROR(__xludf.DUMMYFUNCTION("FILTER(constraints_counts!F$2:F$76,constraints_counts!$A$2:$A$76=B66,constraints_counts!$C$2:$C$76=C66,constraints_counts!$D$2:$D$76=D66)"),4522002.0)</f>
        <v>4522002</v>
      </c>
      <c r="O66" s="42"/>
    </row>
    <row r="67">
      <c r="A67" s="39" t="str">
        <f t="shared" si="1"/>
        <v>ITC-category</v>
      </c>
      <c r="B67" s="39" t="str">
        <f>IFERROR(__xludf.DUMMYFUNCTION("""COMPUTED_VALUE"""),"easycategs")</f>
        <v>easycategs</v>
      </c>
      <c r="C67" s="39">
        <f>IFERROR(__xludf.DUMMYFUNCTION("""COMPUTED_VALUE"""),0.25)</f>
        <v>0.25</v>
      </c>
      <c r="D67" s="39">
        <f>IFERROR(__xludf.DUMMYFUNCTION("""COMPUTED_VALUE"""),1.0)</f>
        <v>1</v>
      </c>
      <c r="E67" s="39">
        <f>IFERROR(__xludf.DUMMYFUNCTION("""COMPUTED_VALUE"""),5.0)</f>
        <v>5</v>
      </c>
      <c r="F67" s="39">
        <f>IFERROR(__xludf.DUMMYFUNCTION("""COMPUTED_VALUE"""),99.3994591236114)</f>
        <v>99.39945912</v>
      </c>
      <c r="G67" s="39">
        <f>IFERROR(__xludf.DUMMYFUNCTION("""COMPUTED_VALUE"""),317.836824893951)</f>
        <v>317.8368249</v>
      </c>
      <c r="H67" s="39">
        <f>IFERROR(__xludf.DUMMYFUNCTION("FILTER(constraints_counts!E$2:E$76,constraints_counts!$A$2:$A$76=$B67,constraints_counts!$C$2:$C$76=$C67,constraints_counts!$D$2:$D$76=$D67)"),2127.0)</f>
        <v>2127</v>
      </c>
      <c r="I67" s="39">
        <f>IFERROR(__xludf.DUMMYFUNCTION("FILTER(constraints_counts!F$2:F$76,constraints_counts!$A$2:$A$76=B67,constraints_counts!$C$2:$C$76=C67,constraints_counts!$D$2:$D$76=D67)"),4522002.0)</f>
        <v>4522002</v>
      </c>
      <c r="O67" s="42"/>
    </row>
    <row r="68">
      <c r="A68" s="39" t="str">
        <f t="shared" si="1"/>
        <v>ITC-category</v>
      </c>
      <c r="B68" s="39" t="str">
        <f>IFERROR(__xludf.DUMMYFUNCTION("""COMPUTED_VALUE"""),"easycategs")</f>
        <v>easycategs</v>
      </c>
      <c r="C68" s="39">
        <f>IFERROR(__xludf.DUMMYFUNCTION("""COMPUTED_VALUE"""),0.25)</f>
        <v>0.25</v>
      </c>
      <c r="D68" s="39">
        <f>IFERROR(__xludf.DUMMYFUNCTION("""COMPUTED_VALUE"""),1.0)</f>
        <v>1</v>
      </c>
      <c r="E68" s="39">
        <f>IFERROR(__xludf.DUMMYFUNCTION("""COMPUTED_VALUE"""),6.0)</f>
        <v>6</v>
      </c>
      <c r="F68" s="39">
        <f>IFERROR(__xludf.DUMMYFUNCTION("""COMPUTED_VALUE"""),116.707978248596)</f>
        <v>116.7079782</v>
      </c>
      <c r="G68" s="39">
        <f>IFERROR(__xludf.DUMMYFUNCTION("""COMPUTED_VALUE"""),407.004263401031)</f>
        <v>407.0042634</v>
      </c>
      <c r="H68" s="39">
        <f>IFERROR(__xludf.DUMMYFUNCTION("FILTER(constraints_counts!E$2:E$76,constraints_counts!$A$2:$A$76=$B68,constraints_counts!$C$2:$C$76=$C68,constraints_counts!$D$2:$D$76=$D68)"),2127.0)</f>
        <v>2127</v>
      </c>
      <c r="I68" s="39">
        <f>IFERROR(__xludf.DUMMYFUNCTION("FILTER(constraints_counts!F$2:F$76,constraints_counts!$A$2:$A$76=B68,constraints_counts!$C$2:$C$76=C68,constraints_counts!$D$2:$D$76=D68)"),4522002.0)</f>
        <v>4522002</v>
      </c>
      <c r="O68" s="42"/>
    </row>
    <row r="69">
      <c r="A69" s="39" t="str">
        <f t="shared" si="1"/>
        <v>ITC-category</v>
      </c>
      <c r="B69" s="39" t="str">
        <f>IFERROR(__xludf.DUMMYFUNCTION("""COMPUTED_VALUE"""),"easycategs")</f>
        <v>easycategs</v>
      </c>
      <c r="C69" s="39">
        <f>IFERROR(__xludf.DUMMYFUNCTION("""COMPUTED_VALUE"""),0.25)</f>
        <v>0.25</v>
      </c>
      <c r="D69" s="39">
        <f>IFERROR(__xludf.DUMMYFUNCTION("""COMPUTED_VALUE"""),1.0)</f>
        <v>1</v>
      </c>
      <c r="E69" s="39">
        <f>IFERROR(__xludf.DUMMYFUNCTION("""COMPUTED_VALUE"""),7.0)</f>
        <v>7</v>
      </c>
      <c r="F69" s="39">
        <f>IFERROR(__xludf.DUMMYFUNCTION("""COMPUTED_VALUE"""),118.466178655624)</f>
        <v>118.4661787</v>
      </c>
      <c r="G69" s="39">
        <f>IFERROR(__xludf.DUMMYFUNCTION("""COMPUTED_VALUE"""),404.229379177093)</f>
        <v>404.2293792</v>
      </c>
      <c r="H69" s="39">
        <f>IFERROR(__xludf.DUMMYFUNCTION("FILTER(constraints_counts!E$2:E$76,constraints_counts!$A$2:$A$76=$B69,constraints_counts!$C$2:$C$76=$C69,constraints_counts!$D$2:$D$76=$D69)"),2127.0)</f>
        <v>2127</v>
      </c>
      <c r="I69" s="39">
        <f>IFERROR(__xludf.DUMMYFUNCTION("FILTER(constraints_counts!F$2:F$76,constraints_counts!$A$2:$A$76=B69,constraints_counts!$C$2:$C$76=C69,constraints_counts!$D$2:$D$76=D69)"),4522002.0)</f>
        <v>4522002</v>
      </c>
      <c r="O69" s="42"/>
    </row>
    <row r="70">
      <c r="A70" s="39" t="str">
        <f t="shared" si="1"/>
        <v>ITC-category</v>
      </c>
      <c r="B70" s="39" t="str">
        <f>IFERROR(__xludf.DUMMYFUNCTION("""COMPUTED_VALUE"""),"easycategs")</f>
        <v>easycategs</v>
      </c>
      <c r="C70" s="39">
        <f>IFERROR(__xludf.DUMMYFUNCTION("""COMPUTED_VALUE"""),0.25)</f>
        <v>0.25</v>
      </c>
      <c r="D70" s="39">
        <f>IFERROR(__xludf.DUMMYFUNCTION("""COMPUTED_VALUE"""),1.0)</f>
        <v>1</v>
      </c>
      <c r="E70" s="39">
        <f>IFERROR(__xludf.DUMMYFUNCTION("""COMPUTED_VALUE"""),8.0)</f>
        <v>8</v>
      </c>
      <c r="F70" s="39">
        <f>IFERROR(__xludf.DUMMYFUNCTION("""COMPUTED_VALUE"""),101.926994085311)</f>
        <v>101.9269941</v>
      </c>
      <c r="G70" s="39">
        <f>IFERROR(__xludf.DUMMYFUNCTION("""COMPUTED_VALUE"""),328.835237503051)</f>
        <v>328.8352375</v>
      </c>
      <c r="H70" s="39">
        <f>IFERROR(__xludf.DUMMYFUNCTION("FILTER(constraints_counts!E$2:E$76,constraints_counts!$A$2:$A$76=$B70,constraints_counts!$C$2:$C$76=$C70,constraints_counts!$D$2:$D$76=$D70)"),2127.0)</f>
        <v>2127</v>
      </c>
      <c r="I70" s="39">
        <f>IFERROR(__xludf.DUMMYFUNCTION("FILTER(constraints_counts!F$2:F$76,constraints_counts!$A$2:$A$76=B70,constraints_counts!$C$2:$C$76=C70,constraints_counts!$D$2:$D$76=D70)"),4522002.0)</f>
        <v>4522002</v>
      </c>
      <c r="O70" s="42"/>
    </row>
    <row r="71">
      <c r="A71" s="39" t="str">
        <f t="shared" si="1"/>
        <v>ITC-category</v>
      </c>
      <c r="B71" s="39" t="str">
        <f>IFERROR(__xludf.DUMMYFUNCTION("""COMPUTED_VALUE"""),"easycategs")</f>
        <v>easycategs</v>
      </c>
      <c r="C71" s="39">
        <f>IFERROR(__xludf.DUMMYFUNCTION("""COMPUTED_VALUE"""),0.25)</f>
        <v>0.25</v>
      </c>
      <c r="D71" s="39">
        <f>IFERROR(__xludf.DUMMYFUNCTION("""COMPUTED_VALUE"""),1.0)</f>
        <v>1</v>
      </c>
      <c r="E71" s="39">
        <f>IFERROR(__xludf.DUMMYFUNCTION("""COMPUTED_VALUE"""),9.0)</f>
        <v>9</v>
      </c>
      <c r="F71" s="39">
        <f>IFERROR(__xludf.DUMMYFUNCTION("""COMPUTED_VALUE"""),88.3773019313812)</f>
        <v>88.37730193</v>
      </c>
      <c r="G71" s="39">
        <f>IFERROR(__xludf.DUMMYFUNCTION("""COMPUTED_VALUE"""),291.92569231987)</f>
        <v>291.9256923</v>
      </c>
      <c r="H71" s="39">
        <f>IFERROR(__xludf.DUMMYFUNCTION("FILTER(constraints_counts!E$2:E$76,constraints_counts!$A$2:$A$76=$B71,constraints_counts!$C$2:$C$76=$C71,constraints_counts!$D$2:$D$76=$D71)"),2127.0)</f>
        <v>2127</v>
      </c>
      <c r="I71" s="39">
        <f>IFERROR(__xludf.DUMMYFUNCTION("FILTER(constraints_counts!F$2:F$76,constraints_counts!$A$2:$A$76=B71,constraints_counts!$C$2:$C$76=C71,constraints_counts!$D$2:$D$76=D71)"),4522002.0)</f>
        <v>4522002</v>
      </c>
      <c r="O71" s="42"/>
    </row>
    <row r="72">
      <c r="A72" s="39" t="str">
        <f t="shared" si="1"/>
        <v>ITC-category</v>
      </c>
      <c r="B72" s="39" t="str">
        <f>IFERROR(__xludf.DUMMYFUNCTION("""COMPUTED_VALUE"""),"easycategs")</f>
        <v>easycategs</v>
      </c>
      <c r="C72" s="39">
        <f>IFERROR(__xludf.DUMMYFUNCTION("""COMPUTED_VALUE"""),0.25)</f>
        <v>0.25</v>
      </c>
      <c r="D72" s="39">
        <f>IFERROR(__xludf.DUMMYFUNCTION("""COMPUTED_VALUE"""),1.0)</f>
        <v>1</v>
      </c>
      <c r="E72" s="39">
        <f>IFERROR(__xludf.DUMMYFUNCTION("""COMPUTED_VALUE"""),10.0)</f>
        <v>10</v>
      </c>
      <c r="F72" s="39">
        <f>IFERROR(__xludf.DUMMYFUNCTION("""COMPUTED_VALUE"""),117.206786870956)</f>
        <v>117.2067869</v>
      </c>
      <c r="G72" s="39">
        <f>IFERROR(__xludf.DUMMYFUNCTION("""COMPUTED_VALUE"""),342.313971281051)</f>
        <v>342.3139713</v>
      </c>
      <c r="H72" s="39">
        <f>IFERROR(__xludf.DUMMYFUNCTION("FILTER(constraints_counts!E$2:E$76,constraints_counts!$A$2:$A$76=$B72,constraints_counts!$C$2:$C$76=$C72,constraints_counts!$D$2:$D$76=$D72)"),2127.0)</f>
        <v>2127</v>
      </c>
      <c r="I72" s="39">
        <f>IFERROR(__xludf.DUMMYFUNCTION("FILTER(constraints_counts!F$2:F$76,constraints_counts!$A$2:$A$76=B72,constraints_counts!$C$2:$C$76=C72,constraints_counts!$D$2:$D$76=D72)"),4522002.0)</f>
        <v>4522002</v>
      </c>
      <c r="O72" s="42"/>
    </row>
    <row r="73">
      <c r="A73" s="39" t="str">
        <f t="shared" si="1"/>
        <v>ITC-category</v>
      </c>
      <c r="B73" s="39" t="str">
        <f>IFERROR(__xludf.DUMMYFUNCTION("""COMPUTED_VALUE"""),"easycategs")</f>
        <v>easycategs</v>
      </c>
      <c r="C73" s="39">
        <f>IFERROR(__xludf.DUMMYFUNCTION("""COMPUTED_VALUE"""),0.5)</f>
        <v>0.5</v>
      </c>
      <c r="D73" s="39">
        <f>IFERROR(__xludf.DUMMYFUNCTION("""COMPUTED_VALUE"""),1.0)</f>
        <v>1</v>
      </c>
      <c r="E73" s="39">
        <f>IFERROR(__xludf.DUMMYFUNCTION("""COMPUTED_VALUE"""),1.0)</f>
        <v>1</v>
      </c>
      <c r="F73" s="39">
        <f>IFERROR(__xludf.DUMMYFUNCTION("""COMPUTED_VALUE"""),353.120420932769)</f>
        <v>353.1204209</v>
      </c>
      <c r="G73" s="39">
        <f>IFERROR(__xludf.DUMMYFUNCTION("""COMPUTED_VALUE"""),471.438350439071)</f>
        <v>471.4383504</v>
      </c>
      <c r="H73" s="39">
        <f>IFERROR(__xludf.DUMMYFUNCTION("FILTER(constraints_counts!E$2:E$76,constraints_counts!$A$2:$A$76=$B73,constraints_counts!$C$2:$C$76=$C73,constraints_counts!$D$2:$D$76=$D73)"),5407.0)</f>
        <v>5407</v>
      </c>
      <c r="I73" s="39">
        <f>IFERROR(__xludf.DUMMYFUNCTION("FILTER(constraints_counts!F$2:F$76,constraints_counts!$A$2:$A$76=B73,constraints_counts!$C$2:$C$76=C73,constraints_counts!$D$2:$D$76=D73)"),2.9230242E7)</f>
        <v>29230242</v>
      </c>
      <c r="O73" s="42"/>
    </row>
    <row r="74">
      <c r="A74" s="39" t="str">
        <f t="shared" si="1"/>
        <v>ITC-category</v>
      </c>
      <c r="B74" s="39" t="str">
        <f>IFERROR(__xludf.DUMMYFUNCTION("""COMPUTED_VALUE"""),"easycategs")</f>
        <v>easycategs</v>
      </c>
      <c r="C74" s="39">
        <f>IFERROR(__xludf.DUMMYFUNCTION("""COMPUTED_VALUE"""),0.5)</f>
        <v>0.5</v>
      </c>
      <c r="D74" s="39">
        <f>IFERROR(__xludf.DUMMYFUNCTION("""COMPUTED_VALUE"""),1.0)</f>
        <v>1</v>
      </c>
      <c r="E74" s="39">
        <f>IFERROR(__xludf.DUMMYFUNCTION("""COMPUTED_VALUE"""),2.0)</f>
        <v>2</v>
      </c>
      <c r="F74" s="39">
        <f>IFERROR(__xludf.DUMMYFUNCTION("""COMPUTED_VALUE"""),336.047327041626)</f>
        <v>336.047327</v>
      </c>
      <c r="G74" s="39">
        <f>IFERROR(__xludf.DUMMYFUNCTION("""COMPUTED_VALUE"""),432.426969766616)</f>
        <v>432.4269698</v>
      </c>
      <c r="H74" s="39">
        <f>IFERROR(__xludf.DUMMYFUNCTION("FILTER(constraints_counts!E$2:E$76,constraints_counts!$A$2:$A$76=$B74,constraints_counts!$C$2:$C$76=$C74,constraints_counts!$D$2:$D$76=$D74)"),5407.0)</f>
        <v>5407</v>
      </c>
      <c r="I74" s="39">
        <f>IFERROR(__xludf.DUMMYFUNCTION("FILTER(constraints_counts!F$2:F$76,constraints_counts!$A$2:$A$76=B74,constraints_counts!$C$2:$C$76=C74,constraints_counts!$D$2:$D$76=D74)"),2.9230242E7)</f>
        <v>29230242</v>
      </c>
      <c r="O74" s="42"/>
    </row>
    <row r="75">
      <c r="A75" s="39" t="str">
        <f t="shared" si="1"/>
        <v>ITC-category</v>
      </c>
      <c r="B75" s="39" t="str">
        <f>IFERROR(__xludf.DUMMYFUNCTION("""COMPUTED_VALUE"""),"easycategs")</f>
        <v>easycategs</v>
      </c>
      <c r="C75" s="39">
        <f>IFERROR(__xludf.DUMMYFUNCTION("""COMPUTED_VALUE"""),0.5)</f>
        <v>0.5</v>
      </c>
      <c r="D75" s="39">
        <f>IFERROR(__xludf.DUMMYFUNCTION("""COMPUTED_VALUE"""),1.0)</f>
        <v>1</v>
      </c>
      <c r="E75" s="39">
        <f>IFERROR(__xludf.DUMMYFUNCTION("""COMPUTED_VALUE"""),3.0)</f>
        <v>3</v>
      </c>
      <c r="F75" s="39">
        <f>IFERROR(__xludf.DUMMYFUNCTION("""COMPUTED_VALUE"""),342.925747394561)</f>
        <v>342.9257474</v>
      </c>
      <c r="G75" s="39">
        <f>IFERROR(__xludf.DUMMYFUNCTION("""COMPUTED_VALUE"""),461.990093708038)</f>
        <v>461.9900937</v>
      </c>
      <c r="H75" s="39">
        <f>IFERROR(__xludf.DUMMYFUNCTION("FILTER(constraints_counts!E$2:E$76,constraints_counts!$A$2:$A$76=$B75,constraints_counts!$C$2:$C$76=$C75,constraints_counts!$D$2:$D$76=$D75)"),5407.0)</f>
        <v>5407</v>
      </c>
      <c r="I75" s="39">
        <f>IFERROR(__xludf.DUMMYFUNCTION("FILTER(constraints_counts!F$2:F$76,constraints_counts!$A$2:$A$76=B75,constraints_counts!$C$2:$C$76=C75,constraints_counts!$D$2:$D$76=D75)"),2.9230242E7)</f>
        <v>29230242</v>
      </c>
      <c r="O75" s="42"/>
    </row>
    <row r="76">
      <c r="A76" s="39" t="str">
        <f t="shared" si="1"/>
        <v>ITC-category</v>
      </c>
      <c r="B76" s="39" t="str">
        <f>IFERROR(__xludf.DUMMYFUNCTION("""COMPUTED_VALUE"""),"easycategs")</f>
        <v>easycategs</v>
      </c>
      <c r="C76" s="39">
        <f>IFERROR(__xludf.DUMMYFUNCTION("""COMPUTED_VALUE"""),0.5)</f>
        <v>0.5</v>
      </c>
      <c r="D76" s="39">
        <f>IFERROR(__xludf.DUMMYFUNCTION("""COMPUTED_VALUE"""),1.0)</f>
        <v>1</v>
      </c>
      <c r="E76" s="39">
        <f>IFERROR(__xludf.DUMMYFUNCTION("""COMPUTED_VALUE"""),4.0)</f>
        <v>4</v>
      </c>
      <c r="F76" s="39">
        <f>IFERROR(__xludf.DUMMYFUNCTION("""COMPUTED_VALUE"""),312.909291267394)</f>
        <v>312.9092913</v>
      </c>
      <c r="G76" s="39">
        <f>IFERROR(__xludf.DUMMYFUNCTION("""COMPUTED_VALUE"""),414.432337999343)</f>
        <v>414.432338</v>
      </c>
      <c r="H76" s="39">
        <f>IFERROR(__xludf.DUMMYFUNCTION("FILTER(constraints_counts!E$2:E$76,constraints_counts!$A$2:$A$76=$B76,constraints_counts!$C$2:$C$76=$C76,constraints_counts!$D$2:$D$76=$D76)"),5407.0)</f>
        <v>5407</v>
      </c>
      <c r="I76" s="39">
        <f>IFERROR(__xludf.DUMMYFUNCTION("FILTER(constraints_counts!F$2:F$76,constraints_counts!$A$2:$A$76=B76,constraints_counts!$C$2:$C$76=C76,constraints_counts!$D$2:$D$76=D76)"),2.9230242E7)</f>
        <v>29230242</v>
      </c>
      <c r="O76" s="42"/>
    </row>
    <row r="77">
      <c r="A77" s="39" t="str">
        <f t="shared" si="1"/>
        <v>ITC-category</v>
      </c>
      <c r="B77" s="39" t="str">
        <f>IFERROR(__xludf.DUMMYFUNCTION("""COMPUTED_VALUE"""),"easycategs")</f>
        <v>easycategs</v>
      </c>
      <c r="C77" s="39">
        <f>IFERROR(__xludf.DUMMYFUNCTION("""COMPUTED_VALUE"""),0.5)</f>
        <v>0.5</v>
      </c>
      <c r="D77" s="39">
        <f>IFERROR(__xludf.DUMMYFUNCTION("""COMPUTED_VALUE"""),1.0)</f>
        <v>1</v>
      </c>
      <c r="E77" s="39">
        <f>IFERROR(__xludf.DUMMYFUNCTION("""COMPUTED_VALUE"""),5.0)</f>
        <v>5</v>
      </c>
      <c r="F77" s="39">
        <f>IFERROR(__xludf.DUMMYFUNCTION("""COMPUTED_VALUE"""),261.646429777145)</f>
        <v>261.6464298</v>
      </c>
      <c r="G77" s="39">
        <f>IFERROR(__xludf.DUMMYFUNCTION("""COMPUTED_VALUE"""),372.576365232467)</f>
        <v>372.5763652</v>
      </c>
      <c r="H77" s="39">
        <f>IFERROR(__xludf.DUMMYFUNCTION("FILTER(constraints_counts!E$2:E$76,constraints_counts!$A$2:$A$76=$B77,constraints_counts!$C$2:$C$76=$C77,constraints_counts!$D$2:$D$76=$D77)"),5407.0)</f>
        <v>5407</v>
      </c>
      <c r="I77" s="39">
        <f>IFERROR(__xludf.DUMMYFUNCTION("FILTER(constraints_counts!F$2:F$76,constraints_counts!$A$2:$A$76=B77,constraints_counts!$C$2:$C$76=C77,constraints_counts!$D$2:$D$76=D77)"),2.9230242E7)</f>
        <v>29230242</v>
      </c>
      <c r="O77" s="42"/>
    </row>
    <row r="78">
      <c r="A78" s="39" t="str">
        <f t="shared" si="1"/>
        <v>ITC-category</v>
      </c>
      <c r="B78" s="39" t="str">
        <f>IFERROR(__xludf.DUMMYFUNCTION("""COMPUTED_VALUE"""),"easycategs")</f>
        <v>easycategs</v>
      </c>
      <c r="C78" s="39">
        <f>IFERROR(__xludf.DUMMYFUNCTION("""COMPUTED_VALUE"""),0.5)</f>
        <v>0.5</v>
      </c>
      <c r="D78" s="39">
        <f>IFERROR(__xludf.DUMMYFUNCTION("""COMPUTED_VALUE"""),1.0)</f>
        <v>1</v>
      </c>
      <c r="E78" s="39">
        <f>IFERROR(__xludf.DUMMYFUNCTION("""COMPUTED_VALUE"""),6.0)</f>
        <v>6</v>
      </c>
      <c r="F78" s="39">
        <f>IFERROR(__xludf.DUMMYFUNCTION("""COMPUTED_VALUE"""),312.845899581909)</f>
        <v>312.8458996</v>
      </c>
      <c r="G78" s="39">
        <f>IFERROR(__xludf.DUMMYFUNCTION("""COMPUTED_VALUE"""),423.939998149871)</f>
        <v>423.9399981</v>
      </c>
      <c r="H78" s="39">
        <f>IFERROR(__xludf.DUMMYFUNCTION("FILTER(constraints_counts!E$2:E$76,constraints_counts!$A$2:$A$76=$B78,constraints_counts!$C$2:$C$76=$C78,constraints_counts!$D$2:$D$76=$D78)"),5407.0)</f>
        <v>5407</v>
      </c>
      <c r="I78" s="39">
        <f>IFERROR(__xludf.DUMMYFUNCTION("FILTER(constraints_counts!F$2:F$76,constraints_counts!$A$2:$A$76=B78,constraints_counts!$C$2:$C$76=C78,constraints_counts!$D$2:$D$76=D78)"),2.9230242E7)</f>
        <v>29230242</v>
      </c>
      <c r="O78" s="42"/>
    </row>
    <row r="79">
      <c r="A79" s="39" t="str">
        <f t="shared" si="1"/>
        <v>ITC-category</v>
      </c>
      <c r="B79" s="39" t="str">
        <f>IFERROR(__xludf.DUMMYFUNCTION("""COMPUTED_VALUE"""),"easycategs")</f>
        <v>easycategs</v>
      </c>
      <c r="C79" s="39">
        <f>IFERROR(__xludf.DUMMYFUNCTION("""COMPUTED_VALUE"""),0.5)</f>
        <v>0.5</v>
      </c>
      <c r="D79" s="39">
        <f>IFERROR(__xludf.DUMMYFUNCTION("""COMPUTED_VALUE"""),1.0)</f>
        <v>1</v>
      </c>
      <c r="E79" s="39">
        <f>IFERROR(__xludf.DUMMYFUNCTION("""COMPUTED_VALUE"""),7.0)</f>
        <v>7</v>
      </c>
      <c r="F79" s="39">
        <f>IFERROR(__xludf.DUMMYFUNCTION("""COMPUTED_VALUE"""),320.771704196929)</f>
        <v>320.7717042</v>
      </c>
      <c r="G79" s="39">
        <f>IFERROR(__xludf.DUMMYFUNCTION("""COMPUTED_VALUE"""),414.092035531997)</f>
        <v>414.0920355</v>
      </c>
      <c r="H79" s="39">
        <f>IFERROR(__xludf.DUMMYFUNCTION("FILTER(constraints_counts!E$2:E$76,constraints_counts!$A$2:$A$76=$B79,constraints_counts!$C$2:$C$76=$C79,constraints_counts!$D$2:$D$76=$D79)"),5407.0)</f>
        <v>5407</v>
      </c>
      <c r="I79" s="39">
        <f>IFERROR(__xludf.DUMMYFUNCTION("FILTER(constraints_counts!F$2:F$76,constraints_counts!$A$2:$A$76=B79,constraints_counts!$C$2:$C$76=C79,constraints_counts!$D$2:$D$76=D79)"),2.9230242E7)</f>
        <v>29230242</v>
      </c>
      <c r="O79" s="42"/>
    </row>
    <row r="80">
      <c r="A80" s="39" t="str">
        <f t="shared" si="1"/>
        <v>ITC-category</v>
      </c>
      <c r="B80" s="39" t="str">
        <f>IFERROR(__xludf.DUMMYFUNCTION("""COMPUTED_VALUE"""),"easycategs")</f>
        <v>easycategs</v>
      </c>
      <c r="C80" s="39">
        <f>IFERROR(__xludf.DUMMYFUNCTION("""COMPUTED_VALUE"""),0.5)</f>
        <v>0.5</v>
      </c>
      <c r="D80" s="39">
        <f>IFERROR(__xludf.DUMMYFUNCTION("""COMPUTED_VALUE"""),1.0)</f>
        <v>1</v>
      </c>
      <c r="E80" s="39">
        <f>IFERROR(__xludf.DUMMYFUNCTION("""COMPUTED_VALUE"""),8.0)</f>
        <v>8</v>
      </c>
      <c r="F80" s="39">
        <f>IFERROR(__xludf.DUMMYFUNCTION("""COMPUTED_VALUE"""),367.621818780899)</f>
        <v>367.6218188</v>
      </c>
      <c r="G80" s="39">
        <f>IFERROR(__xludf.DUMMYFUNCTION("""COMPUTED_VALUE"""),486.803414821624)</f>
        <v>486.8034148</v>
      </c>
      <c r="H80" s="39">
        <f>IFERROR(__xludf.DUMMYFUNCTION("FILTER(constraints_counts!E$2:E$76,constraints_counts!$A$2:$A$76=$B80,constraints_counts!$C$2:$C$76=$C80,constraints_counts!$D$2:$D$76=$D80)"),5407.0)</f>
        <v>5407</v>
      </c>
      <c r="I80" s="39">
        <f>IFERROR(__xludf.DUMMYFUNCTION("FILTER(constraints_counts!F$2:F$76,constraints_counts!$A$2:$A$76=B80,constraints_counts!$C$2:$C$76=C80,constraints_counts!$D$2:$D$76=D80)"),2.9230242E7)</f>
        <v>29230242</v>
      </c>
      <c r="O80" s="42"/>
    </row>
    <row r="81">
      <c r="A81" s="39" t="str">
        <f t="shared" si="1"/>
        <v>ITC-category</v>
      </c>
      <c r="B81" s="39" t="str">
        <f>IFERROR(__xludf.DUMMYFUNCTION("""COMPUTED_VALUE"""),"easycategs")</f>
        <v>easycategs</v>
      </c>
      <c r="C81" s="39">
        <f>IFERROR(__xludf.DUMMYFUNCTION("""COMPUTED_VALUE"""),0.5)</f>
        <v>0.5</v>
      </c>
      <c r="D81" s="39">
        <f>IFERROR(__xludf.DUMMYFUNCTION("""COMPUTED_VALUE"""),1.0)</f>
        <v>1</v>
      </c>
      <c r="E81" s="39">
        <f>IFERROR(__xludf.DUMMYFUNCTION("""COMPUTED_VALUE"""),9.0)</f>
        <v>9</v>
      </c>
      <c r="F81" s="39">
        <f>IFERROR(__xludf.DUMMYFUNCTION("""COMPUTED_VALUE"""),329.375871181488)</f>
        <v>329.3758712</v>
      </c>
      <c r="G81" s="39">
        <f>IFERROR(__xludf.DUMMYFUNCTION("""COMPUTED_VALUE"""),441.950152158737)</f>
        <v>441.9501522</v>
      </c>
      <c r="H81" s="39">
        <f>IFERROR(__xludf.DUMMYFUNCTION("FILTER(constraints_counts!E$2:E$76,constraints_counts!$A$2:$A$76=$B81,constraints_counts!$C$2:$C$76=$C81,constraints_counts!$D$2:$D$76=$D81)"),5407.0)</f>
        <v>5407</v>
      </c>
      <c r="I81" s="39">
        <f>IFERROR(__xludf.DUMMYFUNCTION("FILTER(constraints_counts!F$2:F$76,constraints_counts!$A$2:$A$76=B81,constraints_counts!$C$2:$C$76=C81,constraints_counts!$D$2:$D$76=D81)"),2.9230242E7)</f>
        <v>29230242</v>
      </c>
      <c r="O81" s="42"/>
    </row>
    <row r="82">
      <c r="A82" s="39" t="str">
        <f t="shared" si="1"/>
        <v>ITC-category</v>
      </c>
      <c r="B82" s="39" t="str">
        <f>IFERROR(__xludf.DUMMYFUNCTION("""COMPUTED_VALUE"""),"easycategs")</f>
        <v>easycategs</v>
      </c>
      <c r="C82" s="39">
        <f>IFERROR(__xludf.DUMMYFUNCTION("""COMPUTED_VALUE"""),0.5)</f>
        <v>0.5</v>
      </c>
      <c r="D82" s="39">
        <f>IFERROR(__xludf.DUMMYFUNCTION("""COMPUTED_VALUE"""),1.0)</f>
        <v>1</v>
      </c>
      <c r="E82" s="39">
        <f>IFERROR(__xludf.DUMMYFUNCTION("""COMPUTED_VALUE"""),10.0)</f>
        <v>10</v>
      </c>
      <c r="F82" s="39">
        <f>IFERROR(__xludf.DUMMYFUNCTION("""COMPUTED_VALUE"""),329.066320896148)</f>
        <v>329.0663209</v>
      </c>
      <c r="G82" s="39">
        <f>IFERROR(__xludf.DUMMYFUNCTION("""COMPUTED_VALUE"""),450.746163606643)</f>
        <v>450.7461636</v>
      </c>
      <c r="H82" s="39">
        <f>IFERROR(__xludf.DUMMYFUNCTION("FILTER(constraints_counts!E$2:E$76,constraints_counts!$A$2:$A$76=$B82,constraints_counts!$C$2:$C$76=$C82,constraints_counts!$D$2:$D$76=$D82)"),5407.0)</f>
        <v>5407</v>
      </c>
      <c r="I82" s="39">
        <f>IFERROR(__xludf.DUMMYFUNCTION("FILTER(constraints_counts!F$2:F$76,constraints_counts!$A$2:$A$76=B82,constraints_counts!$C$2:$C$76=C82,constraints_counts!$D$2:$D$76=D82)"),2.9230242E7)</f>
        <v>29230242</v>
      </c>
      <c r="O82" s="42"/>
    </row>
    <row r="83">
      <c r="A83" s="39" t="str">
        <f t="shared" si="1"/>
        <v>ITC-category</v>
      </c>
      <c r="B83" s="39" t="str">
        <f>IFERROR(__xludf.DUMMYFUNCTION("""COMPUTED_VALUE"""),"easycategs")</f>
        <v>easycategs</v>
      </c>
      <c r="C83" s="39">
        <f>IFERROR(__xludf.DUMMYFUNCTION("""COMPUTED_VALUE"""),0.75)</f>
        <v>0.75</v>
      </c>
      <c r="D83" s="39">
        <f>IFERROR(__xludf.DUMMYFUNCTION("""COMPUTED_VALUE"""),1.0)</f>
        <v>1</v>
      </c>
      <c r="E83" s="39">
        <f>IFERROR(__xludf.DUMMYFUNCTION("""COMPUTED_VALUE"""),1.0)</f>
        <v>1</v>
      </c>
      <c r="F83" s="39">
        <f>IFERROR(__xludf.DUMMYFUNCTION("""COMPUTED_VALUE"""),194.765792369842)</f>
        <v>194.7657924</v>
      </c>
      <c r="G83" s="39">
        <f>IFERROR(__xludf.DUMMYFUNCTION("""COMPUTED_VALUE"""),311.855508327484)</f>
        <v>311.8555083</v>
      </c>
      <c r="H83" s="39">
        <f>IFERROR(__xludf.DUMMYFUNCTION("FILTER(constraints_counts!E$2:E$76,constraints_counts!$A$2:$A$76=$B83,constraints_counts!$C$2:$C$76=$C83,constraints_counts!$D$2:$D$76=$D83)"),5530.0)</f>
        <v>5530</v>
      </c>
      <c r="I83" s="39">
        <f>IFERROR(__xludf.DUMMYFUNCTION("FILTER(constraints_counts!F$2:F$76,constraints_counts!$A$2:$A$76=B83,constraints_counts!$C$2:$C$76=C83,constraints_counts!$D$2:$D$76=D83)"),3.057537E7)</f>
        <v>30575370</v>
      </c>
      <c r="O83" s="42"/>
    </row>
    <row r="84">
      <c r="A84" s="39" t="str">
        <f t="shared" si="1"/>
        <v>ITC-category</v>
      </c>
      <c r="B84" s="39" t="str">
        <f>IFERROR(__xludf.DUMMYFUNCTION("""COMPUTED_VALUE"""),"easycategs")</f>
        <v>easycategs</v>
      </c>
      <c r="C84" s="39">
        <f>IFERROR(__xludf.DUMMYFUNCTION("""COMPUTED_VALUE"""),0.75)</f>
        <v>0.75</v>
      </c>
      <c r="D84" s="39">
        <f>IFERROR(__xludf.DUMMYFUNCTION("""COMPUTED_VALUE"""),1.0)</f>
        <v>1</v>
      </c>
      <c r="E84" s="39">
        <f>IFERROR(__xludf.DUMMYFUNCTION("""COMPUTED_VALUE"""),2.0)</f>
        <v>2</v>
      </c>
      <c r="F84" s="39">
        <f>IFERROR(__xludf.DUMMYFUNCTION("""COMPUTED_VALUE"""),201.594264030456)</f>
        <v>201.594264</v>
      </c>
      <c r="G84" s="39">
        <f>IFERROR(__xludf.DUMMYFUNCTION("""COMPUTED_VALUE"""),459.312465429306)</f>
        <v>459.3124654</v>
      </c>
      <c r="H84" s="39">
        <f>IFERROR(__xludf.DUMMYFUNCTION("FILTER(constraints_counts!E$2:E$76,constraints_counts!$A$2:$A$76=$B84,constraints_counts!$C$2:$C$76=$C84,constraints_counts!$D$2:$D$76=$D84)"),5530.0)</f>
        <v>5530</v>
      </c>
      <c r="I84" s="39">
        <f>IFERROR(__xludf.DUMMYFUNCTION("FILTER(constraints_counts!F$2:F$76,constraints_counts!$A$2:$A$76=B84,constraints_counts!$C$2:$C$76=C84,constraints_counts!$D$2:$D$76=D84)"),3.057537E7)</f>
        <v>30575370</v>
      </c>
      <c r="O84" s="42"/>
    </row>
    <row r="85">
      <c r="A85" s="39" t="str">
        <f t="shared" si="1"/>
        <v>ITC-category</v>
      </c>
      <c r="B85" s="39" t="str">
        <f>IFERROR(__xludf.DUMMYFUNCTION("""COMPUTED_VALUE"""),"easycategs")</f>
        <v>easycategs</v>
      </c>
      <c r="C85" s="39">
        <f>IFERROR(__xludf.DUMMYFUNCTION("""COMPUTED_VALUE"""),0.75)</f>
        <v>0.75</v>
      </c>
      <c r="D85" s="39">
        <f>IFERROR(__xludf.DUMMYFUNCTION("""COMPUTED_VALUE"""),1.0)</f>
        <v>1</v>
      </c>
      <c r="E85" s="39">
        <f>IFERROR(__xludf.DUMMYFUNCTION("""COMPUTED_VALUE"""),3.0)</f>
        <v>3</v>
      </c>
      <c r="F85" s="39">
        <f>IFERROR(__xludf.DUMMYFUNCTION("""COMPUTED_VALUE"""),210.385781288146)</f>
        <v>210.3857813</v>
      </c>
      <c r="G85" s="39">
        <f>IFERROR(__xludf.DUMMYFUNCTION("""COMPUTED_VALUE"""),357.138406276702)</f>
        <v>357.1384063</v>
      </c>
      <c r="H85" s="39">
        <f>IFERROR(__xludf.DUMMYFUNCTION("FILTER(constraints_counts!E$2:E$76,constraints_counts!$A$2:$A$76=$B85,constraints_counts!$C$2:$C$76=$C85,constraints_counts!$D$2:$D$76=$D85)"),5530.0)</f>
        <v>5530</v>
      </c>
      <c r="I85" s="39">
        <f>IFERROR(__xludf.DUMMYFUNCTION("FILTER(constraints_counts!F$2:F$76,constraints_counts!$A$2:$A$76=B85,constraints_counts!$C$2:$C$76=C85,constraints_counts!$D$2:$D$76=D85)"),3.057537E7)</f>
        <v>30575370</v>
      </c>
      <c r="O85" s="42"/>
    </row>
    <row r="86">
      <c r="A86" s="39" t="str">
        <f t="shared" si="1"/>
        <v>ITC-category</v>
      </c>
      <c r="B86" s="39" t="str">
        <f>IFERROR(__xludf.DUMMYFUNCTION("""COMPUTED_VALUE"""),"easycategs")</f>
        <v>easycategs</v>
      </c>
      <c r="C86" s="39">
        <f>IFERROR(__xludf.DUMMYFUNCTION("""COMPUTED_VALUE"""),0.75)</f>
        <v>0.75</v>
      </c>
      <c r="D86" s="39">
        <f>IFERROR(__xludf.DUMMYFUNCTION("""COMPUTED_VALUE"""),1.0)</f>
        <v>1</v>
      </c>
      <c r="E86" s="39">
        <f>IFERROR(__xludf.DUMMYFUNCTION("""COMPUTED_VALUE"""),4.0)</f>
        <v>4</v>
      </c>
      <c r="F86" s="39">
        <f>IFERROR(__xludf.DUMMYFUNCTION("""COMPUTED_VALUE"""),187.532502174377)</f>
        <v>187.5325022</v>
      </c>
      <c r="G86" s="39">
        <f>IFERROR(__xludf.DUMMYFUNCTION("""COMPUTED_VALUE"""),433.720848798751)</f>
        <v>433.7208488</v>
      </c>
      <c r="H86" s="39">
        <f>IFERROR(__xludf.DUMMYFUNCTION("FILTER(constraints_counts!E$2:E$76,constraints_counts!$A$2:$A$76=$B86,constraints_counts!$C$2:$C$76=$C86,constraints_counts!$D$2:$D$76=$D86)"),5530.0)</f>
        <v>5530</v>
      </c>
      <c r="I86" s="39">
        <f>IFERROR(__xludf.DUMMYFUNCTION("FILTER(constraints_counts!F$2:F$76,constraints_counts!$A$2:$A$76=B86,constraints_counts!$C$2:$C$76=C86,constraints_counts!$D$2:$D$76=D86)"),3.057537E7)</f>
        <v>30575370</v>
      </c>
      <c r="O86" s="42"/>
    </row>
    <row r="87">
      <c r="A87" s="39" t="str">
        <f t="shared" si="1"/>
        <v>ITC-category</v>
      </c>
      <c r="B87" s="39" t="str">
        <f>IFERROR(__xludf.DUMMYFUNCTION("""COMPUTED_VALUE"""),"easycategs")</f>
        <v>easycategs</v>
      </c>
      <c r="C87" s="39">
        <f>IFERROR(__xludf.DUMMYFUNCTION("""COMPUTED_VALUE"""),0.75)</f>
        <v>0.75</v>
      </c>
      <c r="D87" s="39">
        <f>IFERROR(__xludf.DUMMYFUNCTION("""COMPUTED_VALUE"""),1.0)</f>
        <v>1</v>
      </c>
      <c r="E87" s="39">
        <f>IFERROR(__xludf.DUMMYFUNCTION("""COMPUTED_VALUE"""),5.0)</f>
        <v>5</v>
      </c>
      <c r="F87" s="39">
        <f>IFERROR(__xludf.DUMMYFUNCTION("""COMPUTED_VALUE"""),176.284972190856)</f>
        <v>176.2849722</v>
      </c>
      <c r="G87" s="39">
        <f>IFERROR(__xludf.DUMMYFUNCTION("""COMPUTED_VALUE"""),406.696353197097)</f>
        <v>406.6963532</v>
      </c>
      <c r="H87" s="39">
        <f>IFERROR(__xludf.DUMMYFUNCTION("FILTER(constraints_counts!E$2:E$76,constraints_counts!$A$2:$A$76=$B87,constraints_counts!$C$2:$C$76=$C87,constraints_counts!$D$2:$D$76=$D87)"),5530.0)</f>
        <v>5530</v>
      </c>
      <c r="I87" s="39">
        <f>IFERROR(__xludf.DUMMYFUNCTION("FILTER(constraints_counts!F$2:F$76,constraints_counts!$A$2:$A$76=B87,constraints_counts!$C$2:$C$76=C87,constraints_counts!$D$2:$D$76=D87)"),3.057537E7)</f>
        <v>30575370</v>
      </c>
      <c r="O87" s="42"/>
    </row>
    <row r="88">
      <c r="A88" s="39" t="str">
        <f t="shared" si="1"/>
        <v>ITC-category</v>
      </c>
      <c r="B88" s="39" t="str">
        <f>IFERROR(__xludf.DUMMYFUNCTION("""COMPUTED_VALUE"""),"easycategs")</f>
        <v>easycategs</v>
      </c>
      <c r="C88" s="39">
        <f>IFERROR(__xludf.DUMMYFUNCTION("""COMPUTED_VALUE"""),0.75)</f>
        <v>0.75</v>
      </c>
      <c r="D88" s="39">
        <f>IFERROR(__xludf.DUMMYFUNCTION("""COMPUTED_VALUE"""),1.0)</f>
        <v>1</v>
      </c>
      <c r="E88" s="39">
        <f>IFERROR(__xludf.DUMMYFUNCTION("""COMPUTED_VALUE"""),6.0)</f>
        <v>6</v>
      </c>
      <c r="F88" s="39">
        <f>IFERROR(__xludf.DUMMYFUNCTION("""COMPUTED_VALUE"""),183.046081781387)</f>
        <v>183.0460818</v>
      </c>
      <c r="G88" s="39">
        <f>IFERROR(__xludf.DUMMYFUNCTION("""COMPUTED_VALUE"""),434.50284576416)</f>
        <v>434.5028458</v>
      </c>
      <c r="H88" s="39">
        <f>IFERROR(__xludf.DUMMYFUNCTION("FILTER(constraints_counts!E$2:E$76,constraints_counts!$A$2:$A$76=$B88,constraints_counts!$C$2:$C$76=$C88,constraints_counts!$D$2:$D$76=$D88)"),5530.0)</f>
        <v>5530</v>
      </c>
      <c r="I88" s="39">
        <f>IFERROR(__xludf.DUMMYFUNCTION("FILTER(constraints_counts!F$2:F$76,constraints_counts!$A$2:$A$76=B88,constraints_counts!$C$2:$C$76=C88,constraints_counts!$D$2:$D$76=D88)"),3.057537E7)</f>
        <v>30575370</v>
      </c>
      <c r="O88" s="42"/>
    </row>
    <row r="89">
      <c r="A89" s="39" t="str">
        <f t="shared" si="1"/>
        <v>ITC-category</v>
      </c>
      <c r="B89" s="39" t="str">
        <f>IFERROR(__xludf.DUMMYFUNCTION("""COMPUTED_VALUE"""),"easycategs")</f>
        <v>easycategs</v>
      </c>
      <c r="C89" s="39">
        <f>IFERROR(__xludf.DUMMYFUNCTION("""COMPUTED_VALUE"""),0.75)</f>
        <v>0.75</v>
      </c>
      <c r="D89" s="39">
        <f>IFERROR(__xludf.DUMMYFUNCTION("""COMPUTED_VALUE"""),1.0)</f>
        <v>1</v>
      </c>
      <c r="E89" s="39">
        <f>IFERROR(__xludf.DUMMYFUNCTION("""COMPUTED_VALUE"""),7.0)</f>
        <v>7</v>
      </c>
      <c r="F89" s="39">
        <f>IFERROR(__xludf.DUMMYFUNCTION("""COMPUTED_VALUE"""),186.820026636123)</f>
        <v>186.8200266</v>
      </c>
      <c r="G89" s="39">
        <f>IFERROR(__xludf.DUMMYFUNCTION("""COMPUTED_VALUE"""),340.135957002639)</f>
        <v>340.135957</v>
      </c>
      <c r="H89" s="39">
        <f>IFERROR(__xludf.DUMMYFUNCTION("FILTER(constraints_counts!E$2:E$76,constraints_counts!$A$2:$A$76=$B89,constraints_counts!$C$2:$C$76=$C89,constraints_counts!$D$2:$D$76=$D89)"),5530.0)</f>
        <v>5530</v>
      </c>
      <c r="I89" s="39">
        <f>IFERROR(__xludf.DUMMYFUNCTION("FILTER(constraints_counts!F$2:F$76,constraints_counts!$A$2:$A$76=B89,constraints_counts!$C$2:$C$76=C89,constraints_counts!$D$2:$D$76=D89)"),3.057537E7)</f>
        <v>30575370</v>
      </c>
      <c r="O89" s="42"/>
    </row>
    <row r="90">
      <c r="A90" s="39" t="str">
        <f t="shared" si="1"/>
        <v>ITC-category</v>
      </c>
      <c r="B90" s="39" t="str">
        <f>IFERROR(__xludf.DUMMYFUNCTION("""COMPUTED_VALUE"""),"easycategs")</f>
        <v>easycategs</v>
      </c>
      <c r="C90" s="39">
        <f>IFERROR(__xludf.DUMMYFUNCTION("""COMPUTED_VALUE"""),0.75)</f>
        <v>0.75</v>
      </c>
      <c r="D90" s="39">
        <f>IFERROR(__xludf.DUMMYFUNCTION("""COMPUTED_VALUE"""),1.0)</f>
        <v>1</v>
      </c>
      <c r="E90" s="39">
        <f>IFERROR(__xludf.DUMMYFUNCTION("""COMPUTED_VALUE"""),8.0)</f>
        <v>8</v>
      </c>
      <c r="F90" s="39">
        <f>IFERROR(__xludf.DUMMYFUNCTION("""COMPUTED_VALUE"""),185.727962493896)</f>
        <v>185.7279625</v>
      </c>
      <c r="G90" s="39">
        <f>IFERROR(__xludf.DUMMYFUNCTION("""COMPUTED_VALUE"""),288.417627811431)</f>
        <v>288.4176278</v>
      </c>
      <c r="H90" s="39">
        <f>IFERROR(__xludf.DUMMYFUNCTION("FILTER(constraints_counts!E$2:E$76,constraints_counts!$A$2:$A$76=$B90,constraints_counts!$C$2:$C$76=$C90,constraints_counts!$D$2:$D$76=$D90)"),5530.0)</f>
        <v>5530</v>
      </c>
      <c r="I90" s="39">
        <f>IFERROR(__xludf.DUMMYFUNCTION("FILTER(constraints_counts!F$2:F$76,constraints_counts!$A$2:$A$76=B90,constraints_counts!$C$2:$C$76=C90,constraints_counts!$D$2:$D$76=D90)"),3.057537E7)</f>
        <v>30575370</v>
      </c>
      <c r="O90" s="42"/>
    </row>
    <row r="91">
      <c r="A91" s="39" t="str">
        <f t="shared" si="1"/>
        <v>ITC-category</v>
      </c>
      <c r="B91" s="39" t="str">
        <f>IFERROR(__xludf.DUMMYFUNCTION("""COMPUTED_VALUE"""),"easycategs")</f>
        <v>easycategs</v>
      </c>
      <c r="C91" s="39">
        <f>IFERROR(__xludf.DUMMYFUNCTION("""COMPUTED_VALUE"""),0.75)</f>
        <v>0.75</v>
      </c>
      <c r="D91" s="39">
        <f>IFERROR(__xludf.DUMMYFUNCTION("""COMPUTED_VALUE"""),1.0)</f>
        <v>1</v>
      </c>
      <c r="E91" s="39">
        <f>IFERROR(__xludf.DUMMYFUNCTION("""COMPUTED_VALUE"""),9.0)</f>
        <v>9</v>
      </c>
      <c r="F91" s="39">
        <f>IFERROR(__xludf.DUMMYFUNCTION("""COMPUTED_VALUE"""),181.248447418212)</f>
        <v>181.2484474</v>
      </c>
      <c r="G91" s="39">
        <f>IFERROR(__xludf.DUMMYFUNCTION("""COMPUTED_VALUE"""),282.349870920181)</f>
        <v>282.3498709</v>
      </c>
      <c r="H91" s="39">
        <f>IFERROR(__xludf.DUMMYFUNCTION("FILTER(constraints_counts!E$2:E$76,constraints_counts!$A$2:$A$76=$B91,constraints_counts!$C$2:$C$76=$C91,constraints_counts!$D$2:$D$76=$D91)"),5530.0)</f>
        <v>5530</v>
      </c>
      <c r="I91" s="39">
        <f>IFERROR(__xludf.DUMMYFUNCTION("FILTER(constraints_counts!F$2:F$76,constraints_counts!$A$2:$A$76=B91,constraints_counts!$C$2:$C$76=C91,constraints_counts!$D$2:$D$76=D91)"),3.057537E7)</f>
        <v>30575370</v>
      </c>
      <c r="O91" s="42"/>
    </row>
    <row r="92">
      <c r="A92" s="39" t="str">
        <f t="shared" si="1"/>
        <v>ITC-category</v>
      </c>
      <c r="B92" s="39" t="str">
        <f>IFERROR(__xludf.DUMMYFUNCTION("""COMPUTED_VALUE"""),"easycategs")</f>
        <v>easycategs</v>
      </c>
      <c r="C92" s="39">
        <f>IFERROR(__xludf.DUMMYFUNCTION("""COMPUTED_VALUE"""),0.75)</f>
        <v>0.75</v>
      </c>
      <c r="D92" s="39">
        <f>IFERROR(__xludf.DUMMYFUNCTION("""COMPUTED_VALUE"""),1.0)</f>
        <v>1</v>
      </c>
      <c r="E92" s="39">
        <f>IFERROR(__xludf.DUMMYFUNCTION("""COMPUTED_VALUE"""),10.0)</f>
        <v>10</v>
      </c>
      <c r="F92" s="39">
        <f>IFERROR(__xludf.DUMMYFUNCTION("""COMPUTED_VALUE"""),186.871155261993)</f>
        <v>186.8711553</v>
      </c>
      <c r="G92" s="39">
        <f>IFERROR(__xludf.DUMMYFUNCTION("""COMPUTED_VALUE"""),410.498412847518)</f>
        <v>410.4984128</v>
      </c>
      <c r="H92" s="39">
        <f>IFERROR(__xludf.DUMMYFUNCTION("FILTER(constraints_counts!E$2:E$76,constraints_counts!$A$2:$A$76=$B92,constraints_counts!$C$2:$C$76=$C92,constraints_counts!$D$2:$D$76=$D92)"),5530.0)</f>
        <v>5530</v>
      </c>
      <c r="I92" s="39">
        <f>IFERROR(__xludf.DUMMYFUNCTION("FILTER(constraints_counts!F$2:F$76,constraints_counts!$A$2:$A$76=B92,constraints_counts!$C$2:$C$76=C92,constraints_counts!$D$2:$D$76=D92)"),3.057537E7)</f>
        <v>30575370</v>
      </c>
      <c r="O92" s="42"/>
    </row>
    <row r="93">
      <c r="A93" s="39" t="str">
        <f t="shared" si="1"/>
        <v>ITC-category</v>
      </c>
      <c r="B93" s="39" t="str">
        <f>IFERROR(__xludf.DUMMYFUNCTION("""COMPUTED_VALUE"""),"easycategs")</f>
        <v>easycategs</v>
      </c>
      <c r="C93" s="39">
        <f>IFERROR(__xludf.DUMMYFUNCTION("""COMPUTED_VALUE"""),1.0)</f>
        <v>1</v>
      </c>
      <c r="D93" s="39">
        <f>IFERROR(__xludf.DUMMYFUNCTION("""COMPUTED_VALUE"""),1.0)</f>
        <v>1</v>
      </c>
      <c r="E93" s="39">
        <f>IFERROR(__xludf.DUMMYFUNCTION("""COMPUTED_VALUE"""),1.0)</f>
        <v>1</v>
      </c>
      <c r="F93" s="39">
        <f>IFERROR(__xludf.DUMMYFUNCTION("""COMPUTED_VALUE"""),270.569198608398)</f>
        <v>270.5691986</v>
      </c>
      <c r="G93" s="39">
        <f>IFERROR(__xludf.DUMMYFUNCTION("""COMPUTED_VALUE"""),378.067452430725)</f>
        <v>378.0674524</v>
      </c>
      <c r="H93" s="39">
        <f>IFERROR(__xludf.DUMMYFUNCTION("FILTER(constraints_counts!E$2:E$76,constraints_counts!$A$2:$A$76=$B93,constraints_counts!$C$2:$C$76=$C93,constraints_counts!$D$2:$D$76=$D93)"),5606.0)</f>
        <v>5606</v>
      </c>
      <c r="I93" s="39">
        <f>IFERROR(__xludf.DUMMYFUNCTION("FILTER(constraints_counts!F$2:F$76,constraints_counts!$A$2:$A$76=B93,constraints_counts!$C$2:$C$76=C93,constraints_counts!$D$2:$D$76=D93)"),3.142163E7)</f>
        <v>31421630</v>
      </c>
      <c r="O93" s="42"/>
    </row>
    <row r="94">
      <c r="A94" s="39" t="str">
        <f t="shared" si="1"/>
        <v>ITC-category</v>
      </c>
      <c r="B94" s="39" t="str">
        <f>IFERROR(__xludf.DUMMYFUNCTION("""COMPUTED_VALUE"""),"easycategs")</f>
        <v>easycategs</v>
      </c>
      <c r="C94" s="39">
        <f>IFERROR(__xludf.DUMMYFUNCTION("""COMPUTED_VALUE"""),1.0)</f>
        <v>1</v>
      </c>
      <c r="D94" s="39">
        <f>IFERROR(__xludf.DUMMYFUNCTION("""COMPUTED_VALUE"""),1.0)</f>
        <v>1</v>
      </c>
      <c r="E94" s="39">
        <f>IFERROR(__xludf.DUMMYFUNCTION("""COMPUTED_VALUE"""),2.0)</f>
        <v>2</v>
      </c>
      <c r="F94" s="39">
        <f>IFERROR(__xludf.DUMMYFUNCTION("""COMPUTED_VALUE"""),214.700687885284)</f>
        <v>214.7006879</v>
      </c>
      <c r="G94" s="39">
        <f>IFERROR(__xludf.DUMMYFUNCTION("""COMPUTED_VALUE"""),329.265131473541)</f>
        <v>329.2651315</v>
      </c>
      <c r="H94" s="39">
        <f>IFERROR(__xludf.DUMMYFUNCTION("FILTER(constraints_counts!E$2:E$76,constraints_counts!$A$2:$A$76=$B94,constraints_counts!$C$2:$C$76=$C94,constraints_counts!$D$2:$D$76=$D94)"),5606.0)</f>
        <v>5606</v>
      </c>
      <c r="I94" s="39">
        <f>IFERROR(__xludf.DUMMYFUNCTION("FILTER(constraints_counts!F$2:F$76,constraints_counts!$A$2:$A$76=B94,constraints_counts!$C$2:$C$76=C94,constraints_counts!$D$2:$D$76=D94)"),3.142163E7)</f>
        <v>31421630</v>
      </c>
      <c r="O94" s="42"/>
    </row>
    <row r="95">
      <c r="A95" s="39" t="str">
        <f t="shared" si="1"/>
        <v>ITC-category</v>
      </c>
      <c r="B95" s="39" t="str">
        <f>IFERROR(__xludf.DUMMYFUNCTION("""COMPUTED_VALUE"""),"easycategs")</f>
        <v>easycategs</v>
      </c>
      <c r="C95" s="39">
        <f>IFERROR(__xludf.DUMMYFUNCTION("""COMPUTED_VALUE"""),1.0)</f>
        <v>1</v>
      </c>
      <c r="D95" s="39">
        <f>IFERROR(__xludf.DUMMYFUNCTION("""COMPUTED_VALUE"""),1.0)</f>
        <v>1</v>
      </c>
      <c r="E95" s="39">
        <f>IFERROR(__xludf.DUMMYFUNCTION("""COMPUTED_VALUE"""),3.0)</f>
        <v>3</v>
      </c>
      <c r="F95" s="39">
        <f>IFERROR(__xludf.DUMMYFUNCTION("""COMPUTED_VALUE"""),172.768208503723)</f>
        <v>172.7682085</v>
      </c>
      <c r="G95" s="39">
        <f>IFERROR(__xludf.DUMMYFUNCTION("""COMPUTED_VALUE"""),312.354523658752)</f>
        <v>312.3545237</v>
      </c>
      <c r="H95" s="39">
        <f>IFERROR(__xludf.DUMMYFUNCTION("FILTER(constraints_counts!E$2:E$76,constraints_counts!$A$2:$A$76=$B95,constraints_counts!$C$2:$C$76=$C95,constraints_counts!$D$2:$D$76=$D95)"),5606.0)</f>
        <v>5606</v>
      </c>
      <c r="I95" s="39">
        <f>IFERROR(__xludf.DUMMYFUNCTION("FILTER(constraints_counts!F$2:F$76,constraints_counts!$A$2:$A$76=B95,constraints_counts!$C$2:$C$76=C95,constraints_counts!$D$2:$D$76=D95)"),3.142163E7)</f>
        <v>31421630</v>
      </c>
      <c r="O95" s="42"/>
    </row>
    <row r="96">
      <c r="A96" s="39" t="str">
        <f t="shared" si="1"/>
        <v>ITC-category</v>
      </c>
      <c r="B96" s="39" t="str">
        <f>IFERROR(__xludf.DUMMYFUNCTION("""COMPUTED_VALUE"""),"easycategs")</f>
        <v>easycategs</v>
      </c>
      <c r="C96" s="39">
        <f>IFERROR(__xludf.DUMMYFUNCTION("""COMPUTED_VALUE"""),1.0)</f>
        <v>1</v>
      </c>
      <c r="D96" s="39">
        <f>IFERROR(__xludf.DUMMYFUNCTION("""COMPUTED_VALUE"""),1.0)</f>
        <v>1</v>
      </c>
      <c r="E96" s="39">
        <f>IFERROR(__xludf.DUMMYFUNCTION("""COMPUTED_VALUE"""),4.0)</f>
        <v>4</v>
      </c>
      <c r="F96" s="39">
        <f>IFERROR(__xludf.DUMMYFUNCTION("""COMPUTED_VALUE"""),168.025162458419)</f>
        <v>168.0251625</v>
      </c>
      <c r="G96" s="39">
        <f>IFERROR(__xludf.DUMMYFUNCTION("""COMPUTED_VALUE"""),294.645714521408)</f>
        <v>294.6457145</v>
      </c>
      <c r="H96" s="39">
        <f>IFERROR(__xludf.DUMMYFUNCTION("FILTER(constraints_counts!E$2:E$76,constraints_counts!$A$2:$A$76=$B96,constraints_counts!$C$2:$C$76=$C96,constraints_counts!$D$2:$D$76=$D96)"),5606.0)</f>
        <v>5606</v>
      </c>
      <c r="I96" s="39">
        <f>IFERROR(__xludf.DUMMYFUNCTION("FILTER(constraints_counts!F$2:F$76,constraints_counts!$A$2:$A$76=B96,constraints_counts!$C$2:$C$76=C96,constraints_counts!$D$2:$D$76=D96)"),3.142163E7)</f>
        <v>31421630</v>
      </c>
      <c r="O96" s="42"/>
    </row>
    <row r="97">
      <c r="A97" s="39" t="str">
        <f t="shared" si="1"/>
        <v>ITC-category</v>
      </c>
      <c r="B97" s="39" t="str">
        <f>IFERROR(__xludf.DUMMYFUNCTION("""COMPUTED_VALUE"""),"easycategs")</f>
        <v>easycategs</v>
      </c>
      <c r="C97" s="39">
        <f>IFERROR(__xludf.DUMMYFUNCTION("""COMPUTED_VALUE"""),1.0)</f>
        <v>1</v>
      </c>
      <c r="D97" s="39">
        <f>IFERROR(__xludf.DUMMYFUNCTION("""COMPUTED_VALUE"""),1.0)</f>
        <v>1</v>
      </c>
      <c r="E97" s="39">
        <f>IFERROR(__xludf.DUMMYFUNCTION("""COMPUTED_VALUE"""),5.0)</f>
        <v>5</v>
      </c>
      <c r="F97" s="39">
        <f>IFERROR(__xludf.DUMMYFUNCTION("""COMPUTED_VALUE"""),164.576686620712)</f>
        <v>164.5766866</v>
      </c>
      <c r="G97" s="39">
        <f>IFERROR(__xludf.DUMMYFUNCTION("""COMPUTED_VALUE"""),293.930285692214)</f>
        <v>293.9302857</v>
      </c>
      <c r="H97" s="39">
        <f>IFERROR(__xludf.DUMMYFUNCTION("FILTER(constraints_counts!E$2:E$76,constraints_counts!$A$2:$A$76=$B97,constraints_counts!$C$2:$C$76=$C97,constraints_counts!$D$2:$D$76=$D97)"),5606.0)</f>
        <v>5606</v>
      </c>
      <c r="I97" s="39">
        <f>IFERROR(__xludf.DUMMYFUNCTION("FILTER(constraints_counts!F$2:F$76,constraints_counts!$A$2:$A$76=B97,constraints_counts!$C$2:$C$76=C97,constraints_counts!$D$2:$D$76=D97)"),3.142163E7)</f>
        <v>31421630</v>
      </c>
      <c r="O97" s="42"/>
    </row>
    <row r="98">
      <c r="A98" s="39" t="str">
        <f t="shared" si="1"/>
        <v>ITC-category</v>
      </c>
      <c r="B98" s="39" t="str">
        <f>IFERROR(__xludf.DUMMYFUNCTION("""COMPUTED_VALUE"""),"easycategs")</f>
        <v>easycategs</v>
      </c>
      <c r="C98" s="39">
        <f>IFERROR(__xludf.DUMMYFUNCTION("""COMPUTED_VALUE"""),1.0)</f>
        <v>1</v>
      </c>
      <c r="D98" s="39">
        <f>IFERROR(__xludf.DUMMYFUNCTION("""COMPUTED_VALUE"""),1.0)</f>
        <v>1</v>
      </c>
      <c r="E98" s="39">
        <f>IFERROR(__xludf.DUMMYFUNCTION("""COMPUTED_VALUE"""),6.0)</f>
        <v>6</v>
      </c>
      <c r="F98" s="39">
        <f>IFERROR(__xludf.DUMMYFUNCTION("""COMPUTED_VALUE"""),163.723563671112)</f>
        <v>163.7235637</v>
      </c>
      <c r="G98" s="39">
        <f>IFERROR(__xludf.DUMMYFUNCTION("""COMPUTED_VALUE"""),303.872636318206)</f>
        <v>303.8726363</v>
      </c>
      <c r="H98" s="39">
        <f>IFERROR(__xludf.DUMMYFUNCTION("FILTER(constraints_counts!E$2:E$76,constraints_counts!$A$2:$A$76=$B98,constraints_counts!$C$2:$C$76=$C98,constraints_counts!$D$2:$D$76=$D98)"),5606.0)</f>
        <v>5606</v>
      </c>
      <c r="I98" s="39">
        <f>IFERROR(__xludf.DUMMYFUNCTION("FILTER(constraints_counts!F$2:F$76,constraints_counts!$A$2:$A$76=B98,constraints_counts!$C$2:$C$76=C98,constraints_counts!$D$2:$D$76=D98)"),3.142163E7)</f>
        <v>31421630</v>
      </c>
      <c r="O98" s="42"/>
    </row>
    <row r="99">
      <c r="A99" s="39" t="str">
        <f t="shared" si="1"/>
        <v>ITC-category</v>
      </c>
      <c r="B99" s="39" t="str">
        <f>IFERROR(__xludf.DUMMYFUNCTION("""COMPUTED_VALUE"""),"easycategs")</f>
        <v>easycategs</v>
      </c>
      <c r="C99" s="39">
        <f>IFERROR(__xludf.DUMMYFUNCTION("""COMPUTED_VALUE"""),1.0)</f>
        <v>1</v>
      </c>
      <c r="D99" s="39">
        <f>IFERROR(__xludf.DUMMYFUNCTION("""COMPUTED_VALUE"""),1.0)</f>
        <v>1</v>
      </c>
      <c r="E99" s="39">
        <f>IFERROR(__xludf.DUMMYFUNCTION("""COMPUTED_VALUE"""),7.0)</f>
        <v>7</v>
      </c>
      <c r="F99" s="39">
        <f>IFERROR(__xludf.DUMMYFUNCTION("""COMPUTED_VALUE"""),122.695158958435)</f>
        <v>122.695159</v>
      </c>
      <c r="G99" s="39">
        <f>IFERROR(__xludf.DUMMYFUNCTION("""COMPUTED_VALUE"""),256.375929594039)</f>
        <v>256.3759296</v>
      </c>
      <c r="H99" s="39">
        <f>IFERROR(__xludf.DUMMYFUNCTION("FILTER(constraints_counts!E$2:E$76,constraints_counts!$A$2:$A$76=$B99,constraints_counts!$C$2:$C$76=$C99,constraints_counts!$D$2:$D$76=$D99)"),5606.0)</f>
        <v>5606</v>
      </c>
      <c r="I99" s="39">
        <f>IFERROR(__xludf.DUMMYFUNCTION("FILTER(constraints_counts!F$2:F$76,constraints_counts!$A$2:$A$76=B99,constraints_counts!$C$2:$C$76=C99,constraints_counts!$D$2:$D$76=D99)"),3.142163E7)</f>
        <v>31421630</v>
      </c>
      <c r="O99" s="42"/>
    </row>
    <row r="100">
      <c r="A100" s="39" t="str">
        <f t="shared" si="1"/>
        <v>ITC-category</v>
      </c>
      <c r="B100" s="39" t="str">
        <f>IFERROR(__xludf.DUMMYFUNCTION("""COMPUTED_VALUE"""),"easycategs")</f>
        <v>easycategs</v>
      </c>
      <c r="C100" s="39">
        <f>IFERROR(__xludf.DUMMYFUNCTION("""COMPUTED_VALUE"""),1.0)</f>
        <v>1</v>
      </c>
      <c r="D100" s="39">
        <f>IFERROR(__xludf.DUMMYFUNCTION("""COMPUTED_VALUE"""),1.0)</f>
        <v>1</v>
      </c>
      <c r="E100" s="39">
        <f>IFERROR(__xludf.DUMMYFUNCTION("""COMPUTED_VALUE"""),8.0)</f>
        <v>8</v>
      </c>
      <c r="F100" s="39">
        <f>IFERROR(__xludf.DUMMYFUNCTION("""COMPUTED_VALUE"""),125.308767557144)</f>
        <v>125.3087676</v>
      </c>
      <c r="G100" s="39">
        <f>IFERROR(__xludf.DUMMYFUNCTION("""COMPUTED_VALUE"""),244.424751043319)</f>
        <v>244.424751</v>
      </c>
      <c r="H100" s="39">
        <f>IFERROR(__xludf.DUMMYFUNCTION("FILTER(constraints_counts!E$2:E$76,constraints_counts!$A$2:$A$76=$B100,constraints_counts!$C$2:$C$76=$C100,constraints_counts!$D$2:$D$76=$D100)"),5606.0)</f>
        <v>5606</v>
      </c>
      <c r="I100" s="39">
        <f>IFERROR(__xludf.DUMMYFUNCTION("FILTER(constraints_counts!F$2:F$76,constraints_counts!$A$2:$A$76=B100,constraints_counts!$C$2:$C$76=C100,constraints_counts!$D$2:$D$76=D100)"),3.142163E7)</f>
        <v>31421630</v>
      </c>
      <c r="O100" s="42"/>
    </row>
    <row r="101">
      <c r="A101" s="39" t="str">
        <f t="shared" si="1"/>
        <v>ITC-category</v>
      </c>
      <c r="B101" s="39" t="str">
        <f>IFERROR(__xludf.DUMMYFUNCTION("""COMPUTED_VALUE"""),"easycategs")</f>
        <v>easycategs</v>
      </c>
      <c r="C101" s="39">
        <f>IFERROR(__xludf.DUMMYFUNCTION("""COMPUTED_VALUE"""),1.0)</f>
        <v>1</v>
      </c>
      <c r="D101" s="39">
        <f>IFERROR(__xludf.DUMMYFUNCTION("""COMPUTED_VALUE"""),1.0)</f>
        <v>1</v>
      </c>
      <c r="E101" s="39">
        <f>IFERROR(__xludf.DUMMYFUNCTION("""COMPUTED_VALUE"""),9.0)</f>
        <v>9</v>
      </c>
      <c r="F101" s="39">
        <f>IFERROR(__xludf.DUMMYFUNCTION("""COMPUTED_VALUE"""),188.953474283218)</f>
        <v>188.9534743</v>
      </c>
      <c r="G101" s="39">
        <f>IFERROR(__xludf.DUMMYFUNCTION("""COMPUTED_VALUE"""),332.688544034957)</f>
        <v>332.688544</v>
      </c>
      <c r="H101" s="39">
        <f>IFERROR(__xludf.DUMMYFUNCTION("FILTER(constraints_counts!E$2:E$76,constraints_counts!$A$2:$A$76=$B101,constraints_counts!$C$2:$C$76=$C101,constraints_counts!$D$2:$D$76=$D101)"),5606.0)</f>
        <v>5606</v>
      </c>
      <c r="I101" s="39">
        <f>IFERROR(__xludf.DUMMYFUNCTION("FILTER(constraints_counts!F$2:F$76,constraints_counts!$A$2:$A$76=B101,constraints_counts!$C$2:$C$76=C101,constraints_counts!$D$2:$D$76=D101)"),3.142163E7)</f>
        <v>31421630</v>
      </c>
      <c r="O101" s="42"/>
    </row>
    <row r="102">
      <c r="A102" s="39" t="str">
        <f t="shared" si="1"/>
        <v>ITC-category</v>
      </c>
      <c r="B102" s="39" t="str">
        <f>IFERROR(__xludf.DUMMYFUNCTION("""COMPUTED_VALUE"""),"easycategs")</f>
        <v>easycategs</v>
      </c>
      <c r="C102" s="39">
        <f>IFERROR(__xludf.DUMMYFUNCTION("""COMPUTED_VALUE"""),1.0)</f>
        <v>1</v>
      </c>
      <c r="D102" s="39">
        <f>IFERROR(__xludf.DUMMYFUNCTION("""COMPUTED_VALUE"""),1.0)</f>
        <v>1</v>
      </c>
      <c r="E102" s="39">
        <f>IFERROR(__xludf.DUMMYFUNCTION("""COMPUTED_VALUE"""),10.0)</f>
        <v>10</v>
      </c>
      <c r="F102" s="39">
        <f>IFERROR(__xludf.DUMMYFUNCTION("""COMPUTED_VALUE"""),141.304396629333)</f>
        <v>141.3043966</v>
      </c>
      <c r="G102" s="39">
        <f>IFERROR(__xludf.DUMMYFUNCTION("""COMPUTED_VALUE"""),260.652831554412)</f>
        <v>260.6528316</v>
      </c>
      <c r="H102" s="39">
        <f>IFERROR(__xludf.DUMMYFUNCTION("FILTER(constraints_counts!E$2:E$76,constraints_counts!$A$2:$A$76=$B102,constraints_counts!$C$2:$C$76=$C102,constraints_counts!$D$2:$D$76=$D102)"),5606.0)</f>
        <v>5606</v>
      </c>
      <c r="I102" s="39">
        <f>IFERROR(__xludf.DUMMYFUNCTION("FILTER(constraints_counts!F$2:F$76,constraints_counts!$A$2:$A$76=B102,constraints_counts!$C$2:$C$76=C102,constraints_counts!$D$2:$D$76=D102)"),3.142163E7)</f>
        <v>31421630</v>
      </c>
      <c r="O102" s="42"/>
    </row>
    <row r="103">
      <c r="A103" s="39" t="str">
        <f t="shared" si="1"/>
        <v>ITC-priority</v>
      </c>
      <c r="B103" s="39" t="str">
        <f>IFERROR(__xludf.DUMMYFUNCTION("""COMPUTED_VALUE"""),"priority12x3x4")</f>
        <v>priority12x3x4</v>
      </c>
      <c r="C103" s="39">
        <f>IFERROR(__xludf.DUMMYFUNCTION("""COMPUTED_VALUE"""),0.1)</f>
        <v>0.1</v>
      </c>
      <c r="D103" s="39">
        <f>IFERROR(__xludf.DUMMYFUNCTION("""COMPUTED_VALUE"""),1.0)</f>
        <v>1</v>
      </c>
      <c r="E103" s="39">
        <f>IFERROR(__xludf.DUMMYFUNCTION("""COMPUTED_VALUE"""),1.0)</f>
        <v>1</v>
      </c>
      <c r="F103" s="39">
        <f>IFERROR(__xludf.DUMMYFUNCTION("""COMPUTED_VALUE"""),53657.3532354831)</f>
        <v>53657.35324</v>
      </c>
      <c r="G103" s="39">
        <f>IFERROR(__xludf.DUMMYFUNCTION("""COMPUTED_VALUE"""),53846.6258544921)</f>
        <v>53846.62585</v>
      </c>
      <c r="H103" s="39">
        <f>IFERROR(__xludf.DUMMYFUNCTION("FILTER(constraints_counts!E$2:E$76,constraints_counts!$A$2:$A$76=$B103,constraints_counts!$C$2:$C$76=$C103,constraints_counts!$D$2:$D$76=$D103)"),11564.0)</f>
        <v>11564</v>
      </c>
      <c r="I103" s="39">
        <f>IFERROR(__xludf.DUMMYFUNCTION("FILTER(constraints_counts!F$2:F$76,constraints_counts!$A$2:$A$76=B103,constraints_counts!$C$2:$C$76=C103,constraints_counts!$D$2:$D$76=D103)"),4402520.0)</f>
        <v>4402520</v>
      </c>
      <c r="O103" s="42"/>
    </row>
    <row r="104">
      <c r="A104" s="39" t="str">
        <f t="shared" si="1"/>
        <v>ITC-priority</v>
      </c>
      <c r="B104" s="39" t="str">
        <f>IFERROR(__xludf.DUMMYFUNCTION("""COMPUTED_VALUE"""),"priority12x3x4")</f>
        <v>priority12x3x4</v>
      </c>
      <c r="C104" s="39">
        <f>IFERROR(__xludf.DUMMYFUNCTION("""COMPUTED_VALUE"""),0.1)</f>
        <v>0.1</v>
      </c>
      <c r="D104" s="39">
        <f>IFERROR(__xludf.DUMMYFUNCTION("""COMPUTED_VALUE"""),1.0)</f>
        <v>1</v>
      </c>
      <c r="E104" s="39">
        <f>IFERROR(__xludf.DUMMYFUNCTION("""COMPUTED_VALUE"""),2.0)</f>
        <v>2</v>
      </c>
      <c r="F104" s="39">
        <f>IFERROR(__xludf.DUMMYFUNCTION("""COMPUTED_VALUE"""),35955.0384788513)</f>
        <v>35955.03848</v>
      </c>
      <c r="G104" s="39">
        <f>IFERROR(__xludf.DUMMYFUNCTION("""COMPUTED_VALUE"""),36125.6152944564)</f>
        <v>36125.61529</v>
      </c>
      <c r="H104" s="39">
        <f>IFERROR(__xludf.DUMMYFUNCTION("FILTER(constraints_counts!E$2:E$76,constraints_counts!$A$2:$A$76=$B104,constraints_counts!$C$2:$C$76=$C104,constraints_counts!$D$2:$D$76=$D104)"),11564.0)</f>
        <v>11564</v>
      </c>
      <c r="I104" s="39">
        <f>IFERROR(__xludf.DUMMYFUNCTION("FILTER(constraints_counts!F$2:F$76,constraints_counts!$A$2:$A$76=B104,constraints_counts!$C$2:$C$76=C104,constraints_counts!$D$2:$D$76=D104)"),4402520.0)</f>
        <v>4402520</v>
      </c>
      <c r="O104" s="42"/>
    </row>
    <row r="105">
      <c r="A105" s="39" t="str">
        <f t="shared" si="1"/>
        <v>ITC-priority</v>
      </c>
      <c r="B105" s="39" t="str">
        <f>IFERROR(__xludf.DUMMYFUNCTION("""COMPUTED_VALUE"""),"priority12x3x4")</f>
        <v>priority12x3x4</v>
      </c>
      <c r="C105" s="39">
        <f>IFERROR(__xludf.DUMMYFUNCTION("""COMPUTED_VALUE"""),0.1)</f>
        <v>0.1</v>
      </c>
      <c r="D105" s="39">
        <f>IFERROR(__xludf.DUMMYFUNCTION("""COMPUTED_VALUE"""),1.0)</f>
        <v>1</v>
      </c>
      <c r="E105" s="39">
        <f>IFERROR(__xludf.DUMMYFUNCTION("""COMPUTED_VALUE"""),3.0)</f>
        <v>3</v>
      </c>
      <c r="F105" s="39">
        <f>IFERROR(__xludf.DUMMYFUNCTION("""COMPUTED_VALUE"""),32083.9910240173)</f>
        <v>32083.99102</v>
      </c>
      <c r="G105" s="39">
        <f>IFERROR(__xludf.DUMMYFUNCTION("""COMPUTED_VALUE"""),32266.100017786)</f>
        <v>32266.10002</v>
      </c>
      <c r="H105" s="39">
        <f>IFERROR(__xludf.DUMMYFUNCTION("FILTER(constraints_counts!E$2:E$76,constraints_counts!$A$2:$A$76=$B105,constraints_counts!$C$2:$C$76=$C105,constraints_counts!$D$2:$D$76=$D105)"),11564.0)</f>
        <v>11564</v>
      </c>
      <c r="I105" s="39">
        <f>IFERROR(__xludf.DUMMYFUNCTION("FILTER(constraints_counts!F$2:F$76,constraints_counts!$A$2:$A$76=B105,constraints_counts!$C$2:$C$76=C105,constraints_counts!$D$2:$D$76=D105)"),4402520.0)</f>
        <v>4402520</v>
      </c>
      <c r="O105" s="42"/>
    </row>
    <row r="106">
      <c r="A106" s="39" t="str">
        <f t="shared" si="1"/>
        <v>ITC-priority</v>
      </c>
      <c r="B106" s="39" t="str">
        <f>IFERROR(__xludf.DUMMYFUNCTION("""COMPUTED_VALUE"""),"priority12x3x4")</f>
        <v>priority12x3x4</v>
      </c>
      <c r="C106" s="39">
        <f>IFERROR(__xludf.DUMMYFUNCTION("""COMPUTED_VALUE"""),0.1)</f>
        <v>0.1</v>
      </c>
      <c r="D106" s="39">
        <f>IFERROR(__xludf.DUMMYFUNCTION("""COMPUTED_VALUE"""),1.0)</f>
        <v>1</v>
      </c>
      <c r="E106" s="39">
        <f>IFERROR(__xludf.DUMMYFUNCTION("""COMPUTED_VALUE"""),4.0)</f>
        <v>4</v>
      </c>
      <c r="F106" s="39">
        <f>IFERROR(__xludf.DUMMYFUNCTION("""COMPUTED_VALUE"""),30006.9178638458)</f>
        <v>30006.91786</v>
      </c>
      <c r="G106" s="39">
        <f>IFERROR(__xludf.DUMMYFUNCTION("""COMPUTED_VALUE"""),30185.9318861961)</f>
        <v>30185.93189</v>
      </c>
      <c r="H106" s="39">
        <f>IFERROR(__xludf.DUMMYFUNCTION("FILTER(constraints_counts!E$2:E$76,constraints_counts!$A$2:$A$76=$B106,constraints_counts!$C$2:$C$76=$C106,constraints_counts!$D$2:$D$76=$D106)"),11564.0)</f>
        <v>11564</v>
      </c>
      <c r="I106" s="39">
        <f>IFERROR(__xludf.DUMMYFUNCTION("FILTER(constraints_counts!F$2:F$76,constraints_counts!$A$2:$A$76=B106,constraints_counts!$C$2:$C$76=C106,constraints_counts!$D$2:$D$76=D106)"),4402520.0)</f>
        <v>4402520</v>
      </c>
      <c r="O106" s="42"/>
    </row>
    <row r="107">
      <c r="A107" s="39" t="str">
        <f t="shared" si="1"/>
        <v>ITC-priority</v>
      </c>
      <c r="B107" s="39" t="str">
        <f>IFERROR(__xludf.DUMMYFUNCTION("""COMPUTED_VALUE"""),"priority12x3x4")</f>
        <v>priority12x3x4</v>
      </c>
      <c r="C107" s="39">
        <f>IFERROR(__xludf.DUMMYFUNCTION("""COMPUTED_VALUE"""),0.1)</f>
        <v>0.1</v>
      </c>
      <c r="D107" s="39">
        <f>IFERROR(__xludf.DUMMYFUNCTION("""COMPUTED_VALUE"""),1.0)</f>
        <v>1</v>
      </c>
      <c r="E107" s="39">
        <f>IFERROR(__xludf.DUMMYFUNCTION("""COMPUTED_VALUE"""),5.0)</f>
        <v>5</v>
      </c>
      <c r="F107" s="39">
        <f>IFERROR(__xludf.DUMMYFUNCTION("""COMPUTED_VALUE"""),36269.9566404819)</f>
        <v>36269.95664</v>
      </c>
      <c r="G107" s="39">
        <f>IFERROR(__xludf.DUMMYFUNCTION("""COMPUTED_VALUE"""),36439.8609833717)</f>
        <v>36439.86098</v>
      </c>
      <c r="H107" s="39">
        <f>IFERROR(__xludf.DUMMYFUNCTION("FILTER(constraints_counts!E$2:E$76,constraints_counts!$A$2:$A$76=$B107,constraints_counts!$C$2:$C$76=$C107,constraints_counts!$D$2:$D$76=$D107)"),11564.0)</f>
        <v>11564</v>
      </c>
      <c r="I107" s="39">
        <f>IFERROR(__xludf.DUMMYFUNCTION("FILTER(constraints_counts!F$2:F$76,constraints_counts!$A$2:$A$76=B107,constraints_counts!$C$2:$C$76=C107,constraints_counts!$D$2:$D$76=D107)"),4402520.0)</f>
        <v>4402520</v>
      </c>
      <c r="O107" s="42"/>
    </row>
    <row r="108">
      <c r="A108" s="39" t="str">
        <f t="shared" si="1"/>
        <v>ITC-priority</v>
      </c>
      <c r="B108" s="39" t="str">
        <f>IFERROR(__xludf.DUMMYFUNCTION("""COMPUTED_VALUE"""),"priority12x3x4")</f>
        <v>priority12x3x4</v>
      </c>
      <c r="C108" s="39">
        <f>IFERROR(__xludf.DUMMYFUNCTION("""COMPUTED_VALUE"""),0.1)</f>
        <v>0.1</v>
      </c>
      <c r="D108" s="39">
        <f>IFERROR(__xludf.DUMMYFUNCTION("""COMPUTED_VALUE"""),1.0)</f>
        <v>1</v>
      </c>
      <c r="E108" s="39">
        <f>IFERROR(__xludf.DUMMYFUNCTION("""COMPUTED_VALUE"""),6.0)</f>
        <v>6</v>
      </c>
      <c r="F108" s="39">
        <f>IFERROR(__xludf.DUMMYFUNCTION("""COMPUTED_VALUE"""),25464.0790688991)</f>
        <v>25464.07907</v>
      </c>
      <c r="G108" s="39">
        <f>IFERROR(__xludf.DUMMYFUNCTION("""COMPUTED_VALUE"""),25647.0076787471)</f>
        <v>25647.00768</v>
      </c>
      <c r="H108" s="39">
        <f>IFERROR(__xludf.DUMMYFUNCTION("FILTER(constraints_counts!E$2:E$76,constraints_counts!$A$2:$A$76=$B108,constraints_counts!$C$2:$C$76=$C108,constraints_counts!$D$2:$D$76=$D108)"),11564.0)</f>
        <v>11564</v>
      </c>
      <c r="I108" s="39">
        <f>IFERROR(__xludf.DUMMYFUNCTION("FILTER(constraints_counts!F$2:F$76,constraints_counts!$A$2:$A$76=B108,constraints_counts!$C$2:$C$76=C108,constraints_counts!$D$2:$D$76=D108)"),4402520.0)</f>
        <v>4402520</v>
      </c>
      <c r="O108" s="42"/>
    </row>
    <row r="109">
      <c r="A109" s="39" t="str">
        <f t="shared" si="1"/>
        <v>ITC-priority</v>
      </c>
      <c r="B109" s="39" t="str">
        <f>IFERROR(__xludf.DUMMYFUNCTION("""COMPUTED_VALUE"""),"priority12x3x4")</f>
        <v>priority12x3x4</v>
      </c>
      <c r="C109" s="39">
        <f>IFERROR(__xludf.DUMMYFUNCTION("""COMPUTED_VALUE"""),0.1)</f>
        <v>0.1</v>
      </c>
      <c r="D109" s="39">
        <f>IFERROR(__xludf.DUMMYFUNCTION("""COMPUTED_VALUE"""),1.0)</f>
        <v>1</v>
      </c>
      <c r="E109" s="39">
        <f>IFERROR(__xludf.DUMMYFUNCTION("""COMPUTED_VALUE"""),7.0)</f>
        <v>7</v>
      </c>
      <c r="F109" s="39">
        <f>IFERROR(__xludf.DUMMYFUNCTION("""COMPUTED_VALUE"""),68052.3547749519)</f>
        <v>68052.35477</v>
      </c>
      <c r="G109" s="39">
        <f>IFERROR(__xludf.DUMMYFUNCTION("""COMPUTED_VALUE"""),68239.3694684505)</f>
        <v>68239.36947</v>
      </c>
      <c r="H109" s="39">
        <f>IFERROR(__xludf.DUMMYFUNCTION("FILTER(constraints_counts!E$2:E$76,constraints_counts!$A$2:$A$76=$B109,constraints_counts!$C$2:$C$76=$C109,constraints_counts!$D$2:$D$76=$D109)"),11564.0)</f>
        <v>11564</v>
      </c>
      <c r="I109" s="39">
        <f>IFERROR(__xludf.DUMMYFUNCTION("FILTER(constraints_counts!F$2:F$76,constraints_counts!$A$2:$A$76=B109,constraints_counts!$C$2:$C$76=C109,constraints_counts!$D$2:$D$76=D109)"),4402520.0)</f>
        <v>4402520</v>
      </c>
      <c r="O109" s="42"/>
    </row>
    <row r="110">
      <c r="A110" s="39" t="str">
        <f t="shared" si="1"/>
        <v>ITC-priority</v>
      </c>
      <c r="B110" s="39" t="str">
        <f>IFERROR(__xludf.DUMMYFUNCTION("""COMPUTED_VALUE"""),"priority12x3x4")</f>
        <v>priority12x3x4</v>
      </c>
      <c r="C110" s="39">
        <f>IFERROR(__xludf.DUMMYFUNCTION("""COMPUTED_VALUE"""),0.1)</f>
        <v>0.1</v>
      </c>
      <c r="D110" s="39">
        <f>IFERROR(__xludf.DUMMYFUNCTION("""COMPUTED_VALUE"""),1.0)</f>
        <v>1</v>
      </c>
      <c r="E110" s="39">
        <f>IFERROR(__xludf.DUMMYFUNCTION("""COMPUTED_VALUE"""),8.0)</f>
        <v>8</v>
      </c>
      <c r="F110" s="39">
        <f>IFERROR(__xludf.DUMMYFUNCTION("""COMPUTED_VALUE"""),51190.7381756305)</f>
        <v>51190.73818</v>
      </c>
      <c r="G110" s="39">
        <f>IFERROR(__xludf.DUMMYFUNCTION("""COMPUTED_VALUE"""),51375.2369613647)</f>
        <v>51375.23696</v>
      </c>
      <c r="H110" s="39">
        <f>IFERROR(__xludf.DUMMYFUNCTION("FILTER(constraints_counts!E$2:E$76,constraints_counts!$A$2:$A$76=$B110,constraints_counts!$C$2:$C$76=$C110,constraints_counts!$D$2:$D$76=$D110)"),11564.0)</f>
        <v>11564</v>
      </c>
      <c r="I110" s="39">
        <f>IFERROR(__xludf.DUMMYFUNCTION("FILTER(constraints_counts!F$2:F$76,constraints_counts!$A$2:$A$76=B110,constraints_counts!$C$2:$C$76=C110,constraints_counts!$D$2:$D$76=D110)"),4402520.0)</f>
        <v>4402520</v>
      </c>
      <c r="O110" s="42"/>
    </row>
    <row r="111">
      <c r="A111" s="39" t="str">
        <f t="shared" si="1"/>
        <v>ITC-priority</v>
      </c>
      <c r="B111" s="39" t="str">
        <f>IFERROR(__xludf.DUMMYFUNCTION("""COMPUTED_VALUE"""),"priority12x3x4")</f>
        <v>priority12x3x4</v>
      </c>
      <c r="C111" s="39">
        <f>IFERROR(__xludf.DUMMYFUNCTION("""COMPUTED_VALUE"""),0.1)</f>
        <v>0.1</v>
      </c>
      <c r="D111" s="39">
        <f>IFERROR(__xludf.DUMMYFUNCTION("""COMPUTED_VALUE"""),1.0)</f>
        <v>1</v>
      </c>
      <c r="E111" s="39">
        <f>IFERROR(__xludf.DUMMYFUNCTION("""COMPUTED_VALUE"""),9.0)</f>
        <v>9</v>
      </c>
      <c r="F111" s="39">
        <f>IFERROR(__xludf.DUMMYFUNCTION("""COMPUTED_VALUE"""),35770.7052388191)</f>
        <v>35770.70524</v>
      </c>
      <c r="G111" s="39">
        <f>IFERROR(__xludf.DUMMYFUNCTION("""COMPUTED_VALUE"""),35942.0824768543)</f>
        <v>35942.08248</v>
      </c>
      <c r="H111" s="39">
        <f>IFERROR(__xludf.DUMMYFUNCTION("FILTER(constraints_counts!E$2:E$76,constraints_counts!$A$2:$A$76=$B111,constraints_counts!$C$2:$C$76=$C111,constraints_counts!$D$2:$D$76=$D111)"),11564.0)</f>
        <v>11564</v>
      </c>
      <c r="I111" s="39">
        <f>IFERROR(__xludf.DUMMYFUNCTION("FILTER(constraints_counts!F$2:F$76,constraints_counts!$A$2:$A$76=B111,constraints_counts!$C$2:$C$76=C111,constraints_counts!$D$2:$D$76=D111)"),4402520.0)</f>
        <v>4402520</v>
      </c>
      <c r="O111" s="42"/>
    </row>
    <row r="112">
      <c r="A112" s="39" t="str">
        <f t="shared" si="1"/>
        <v>ITC-priority</v>
      </c>
      <c r="B112" s="39" t="str">
        <f>IFERROR(__xludf.DUMMYFUNCTION("""COMPUTED_VALUE"""),"priority12x3x4")</f>
        <v>priority12x3x4</v>
      </c>
      <c r="C112" s="39">
        <f>IFERROR(__xludf.DUMMYFUNCTION("""COMPUTED_VALUE"""),0.1)</f>
        <v>0.1</v>
      </c>
      <c r="D112" s="39">
        <f>IFERROR(__xludf.DUMMYFUNCTION("""COMPUTED_VALUE"""),1.0)</f>
        <v>1</v>
      </c>
      <c r="E112" s="39">
        <f>IFERROR(__xludf.DUMMYFUNCTION("""COMPUTED_VALUE"""),10.0)</f>
        <v>10</v>
      </c>
      <c r="F112" s="39">
        <f>IFERROR(__xludf.DUMMYFUNCTION("""COMPUTED_VALUE"""),81692.5249876976)</f>
        <v>81692.52499</v>
      </c>
      <c r="G112" s="39">
        <f>IFERROR(__xludf.DUMMYFUNCTION("""COMPUTED_VALUE"""),81862.1060149669)</f>
        <v>81862.10601</v>
      </c>
      <c r="H112" s="39">
        <f>IFERROR(__xludf.DUMMYFUNCTION("FILTER(constraints_counts!E$2:E$76,constraints_counts!$A$2:$A$76=$B112,constraints_counts!$C$2:$C$76=$C112,constraints_counts!$D$2:$D$76=$D112)"),11564.0)</f>
        <v>11564</v>
      </c>
      <c r="I112" s="39">
        <f>IFERROR(__xludf.DUMMYFUNCTION("FILTER(constraints_counts!F$2:F$76,constraints_counts!$A$2:$A$76=B112,constraints_counts!$C$2:$C$76=C112,constraints_counts!$D$2:$D$76=D112)"),4402520.0)</f>
        <v>4402520</v>
      </c>
      <c r="O112" s="42"/>
    </row>
    <row r="113">
      <c r="A113" s="39" t="str">
        <f t="shared" si="1"/>
        <v>ITC-priority</v>
      </c>
      <c r="B113" s="39" t="str">
        <f>IFERROR(__xludf.DUMMYFUNCTION("""COMPUTED_VALUE"""),"priority12x3x4")</f>
        <v>priority12x3x4</v>
      </c>
      <c r="C113" s="39">
        <f>IFERROR(__xludf.DUMMYFUNCTION("""COMPUTED_VALUE"""),0.25)</f>
        <v>0.25</v>
      </c>
      <c r="D113" s="39">
        <f>IFERROR(__xludf.DUMMYFUNCTION("""COMPUTED_VALUE"""),1.0)</f>
        <v>1</v>
      </c>
      <c r="E113" s="39">
        <f>IFERROR(__xludf.DUMMYFUNCTION("""COMPUTED_VALUE"""),1.0)</f>
        <v>1</v>
      </c>
      <c r="F113" s="39">
        <f>IFERROR(__xludf.DUMMYFUNCTION("""COMPUTED_VALUE"""),446522.512668132)</f>
        <v>446522.5127</v>
      </c>
      <c r="G113" s="39">
        <f>IFERROR(__xludf.DUMMYFUNCTION("""COMPUTED_VALUE"""),446696.025070428)</f>
        <v>446696.0251</v>
      </c>
      <c r="H113" s="39">
        <f>IFERROR(__xludf.DUMMYFUNCTION("FILTER(constraints_counts!E$2:E$76,constraints_counts!$A$2:$A$76=$B113,constraints_counts!$C$2:$C$76=$C113,constraints_counts!$D$2:$D$76=$D113)"),15900.0)</f>
        <v>15900</v>
      </c>
      <c r="I113" s="39">
        <f>IFERROR(__xludf.DUMMYFUNCTION("FILTER(constraints_counts!F$2:F$76,constraints_counts!$A$2:$A$76=B113,constraints_counts!$C$2:$C$76=C113,constraints_counts!$D$2:$D$76=D113)"),1.368828E7)</f>
        <v>13688280</v>
      </c>
      <c r="O113" s="42"/>
    </row>
    <row r="114">
      <c r="A114" s="39" t="str">
        <f t="shared" si="1"/>
        <v>ITC-priority</v>
      </c>
      <c r="B114" s="39" t="str">
        <f>IFERROR(__xludf.DUMMYFUNCTION("""COMPUTED_VALUE"""),"priority12x3x4")</f>
        <v>priority12x3x4</v>
      </c>
      <c r="C114" s="39">
        <f>IFERROR(__xludf.DUMMYFUNCTION("""COMPUTED_VALUE"""),0.25)</f>
        <v>0.25</v>
      </c>
      <c r="D114" s="39">
        <f>IFERROR(__xludf.DUMMYFUNCTION("""COMPUTED_VALUE"""),1.0)</f>
        <v>1</v>
      </c>
      <c r="E114" s="39">
        <f>IFERROR(__xludf.DUMMYFUNCTION("""COMPUTED_VALUE"""),2.0)</f>
        <v>2</v>
      </c>
      <c r="F114" s="39">
        <f>IFERROR(__xludf.DUMMYFUNCTION("""COMPUTED_VALUE"""),163385.049338102)</f>
        <v>163385.0493</v>
      </c>
      <c r="G114" s="39">
        <f>IFERROR(__xludf.DUMMYFUNCTION("""COMPUTED_VALUE"""),163571.506623506)</f>
        <v>163571.5066</v>
      </c>
      <c r="H114" s="39">
        <f>IFERROR(__xludf.DUMMYFUNCTION("FILTER(constraints_counts!E$2:E$76,constraints_counts!$A$2:$A$76=$B114,constraints_counts!$C$2:$C$76=$C114,constraints_counts!$D$2:$D$76=$D114)"),15900.0)</f>
        <v>15900</v>
      </c>
      <c r="I114" s="39">
        <f>IFERROR(__xludf.DUMMYFUNCTION("FILTER(constraints_counts!F$2:F$76,constraints_counts!$A$2:$A$76=B114,constraints_counts!$C$2:$C$76=C114,constraints_counts!$D$2:$D$76=D114)"),1.368828E7)</f>
        <v>13688280</v>
      </c>
      <c r="O114" s="42"/>
    </row>
    <row r="115">
      <c r="A115" s="39" t="str">
        <f t="shared" si="1"/>
        <v>ITC-priority</v>
      </c>
      <c r="B115" s="39" t="str">
        <f>IFERROR(__xludf.DUMMYFUNCTION("""COMPUTED_VALUE"""),"priority12x3x4")</f>
        <v>priority12x3x4</v>
      </c>
      <c r="C115" s="39">
        <f>IFERROR(__xludf.DUMMYFUNCTION("""COMPUTED_VALUE"""),0.25)</f>
        <v>0.25</v>
      </c>
      <c r="D115" s="39">
        <f>IFERROR(__xludf.DUMMYFUNCTION("""COMPUTED_VALUE"""),1.0)</f>
        <v>1</v>
      </c>
      <c r="E115" s="39">
        <f>IFERROR(__xludf.DUMMYFUNCTION("""COMPUTED_VALUE"""),3.0)</f>
        <v>3</v>
      </c>
      <c r="F115" s="39">
        <f>IFERROR(__xludf.DUMMYFUNCTION("""COMPUTED_VALUE"""),164582.383958339)</f>
        <v>164582.384</v>
      </c>
      <c r="G115" s="39">
        <f>IFERROR(__xludf.DUMMYFUNCTION("""COMPUTED_VALUE"""),164760.09065175)</f>
        <v>164760.0907</v>
      </c>
      <c r="H115" s="39">
        <f>IFERROR(__xludf.DUMMYFUNCTION("FILTER(constraints_counts!E$2:E$76,constraints_counts!$A$2:$A$76=$B115,constraints_counts!$C$2:$C$76=$C115,constraints_counts!$D$2:$D$76=$D115)"),15900.0)</f>
        <v>15900</v>
      </c>
      <c r="I115" s="39">
        <f>IFERROR(__xludf.DUMMYFUNCTION("FILTER(constraints_counts!F$2:F$76,constraints_counts!$A$2:$A$76=B115,constraints_counts!$C$2:$C$76=C115,constraints_counts!$D$2:$D$76=D115)"),1.368828E7)</f>
        <v>13688280</v>
      </c>
      <c r="O115" s="42"/>
    </row>
    <row r="116">
      <c r="A116" s="39" t="str">
        <f t="shared" si="1"/>
        <v>ITC-priority</v>
      </c>
      <c r="B116" s="39" t="str">
        <f>IFERROR(__xludf.DUMMYFUNCTION("""COMPUTED_VALUE"""),"priority12x3x4")</f>
        <v>priority12x3x4</v>
      </c>
      <c r="C116" s="39">
        <f>IFERROR(__xludf.DUMMYFUNCTION("""COMPUTED_VALUE"""),0.25)</f>
        <v>0.25</v>
      </c>
      <c r="D116" s="39">
        <f>IFERROR(__xludf.DUMMYFUNCTION("""COMPUTED_VALUE"""),1.0)</f>
        <v>1</v>
      </c>
      <c r="E116" s="39">
        <f>IFERROR(__xludf.DUMMYFUNCTION("""COMPUTED_VALUE"""),4.0)</f>
        <v>4</v>
      </c>
      <c r="F116" s="39">
        <f>IFERROR(__xludf.DUMMYFUNCTION("""COMPUTED_VALUE"""),260374.075270652)</f>
        <v>260374.0753</v>
      </c>
      <c r="G116" s="39">
        <f>IFERROR(__xludf.DUMMYFUNCTION("""COMPUTED_VALUE"""),260565.885775089)</f>
        <v>260565.8858</v>
      </c>
      <c r="H116" s="39">
        <f>IFERROR(__xludf.DUMMYFUNCTION("FILTER(constraints_counts!E$2:E$76,constraints_counts!$A$2:$A$76=$B116,constraints_counts!$C$2:$C$76=$C116,constraints_counts!$D$2:$D$76=$D116)"),15900.0)</f>
        <v>15900</v>
      </c>
      <c r="I116" s="39">
        <f>IFERROR(__xludf.DUMMYFUNCTION("FILTER(constraints_counts!F$2:F$76,constraints_counts!$A$2:$A$76=B116,constraints_counts!$C$2:$C$76=C116,constraints_counts!$D$2:$D$76=D116)"),1.368828E7)</f>
        <v>13688280</v>
      </c>
      <c r="O116" s="42"/>
    </row>
    <row r="117">
      <c r="A117" s="39" t="str">
        <f t="shared" si="1"/>
        <v>ITC-priority</v>
      </c>
      <c r="B117" s="39" t="str">
        <f>IFERROR(__xludf.DUMMYFUNCTION("""COMPUTED_VALUE"""),"priority12x3x4")</f>
        <v>priority12x3x4</v>
      </c>
      <c r="C117" s="39">
        <f>IFERROR(__xludf.DUMMYFUNCTION("""COMPUTED_VALUE"""),0.25)</f>
        <v>0.25</v>
      </c>
      <c r="D117" s="39">
        <f>IFERROR(__xludf.DUMMYFUNCTION("""COMPUTED_VALUE"""),1.0)</f>
        <v>1</v>
      </c>
      <c r="E117" s="39">
        <f>IFERROR(__xludf.DUMMYFUNCTION("""COMPUTED_VALUE"""),5.0)</f>
        <v>5</v>
      </c>
      <c r="F117" s="39">
        <f>IFERROR(__xludf.DUMMYFUNCTION("""COMPUTED_VALUE"""),228918.089368581)</f>
        <v>228918.0894</v>
      </c>
      <c r="G117" s="39">
        <f>IFERROR(__xludf.DUMMYFUNCTION("""COMPUTED_VALUE"""),229106.770157337)</f>
        <v>229106.7702</v>
      </c>
      <c r="H117" s="39">
        <f>IFERROR(__xludf.DUMMYFUNCTION("FILTER(constraints_counts!E$2:E$76,constraints_counts!$A$2:$A$76=$B117,constraints_counts!$C$2:$C$76=$C117,constraints_counts!$D$2:$D$76=$D117)"),15900.0)</f>
        <v>15900</v>
      </c>
      <c r="I117" s="39">
        <f>IFERROR(__xludf.DUMMYFUNCTION("FILTER(constraints_counts!F$2:F$76,constraints_counts!$A$2:$A$76=B117,constraints_counts!$C$2:$C$76=C117,constraints_counts!$D$2:$D$76=D117)"),1.368828E7)</f>
        <v>13688280</v>
      </c>
      <c r="O117" s="42"/>
    </row>
    <row r="118">
      <c r="A118" s="39" t="str">
        <f t="shared" si="1"/>
        <v>ITC-priority</v>
      </c>
      <c r="B118" s="39" t="str">
        <f>IFERROR(__xludf.DUMMYFUNCTION("""COMPUTED_VALUE"""),"priority12x3x4")</f>
        <v>priority12x3x4</v>
      </c>
      <c r="C118" s="39">
        <f>IFERROR(__xludf.DUMMYFUNCTION("""COMPUTED_VALUE"""),0.25)</f>
        <v>0.25</v>
      </c>
      <c r="D118" s="39">
        <f>IFERROR(__xludf.DUMMYFUNCTION("""COMPUTED_VALUE"""),1.0)</f>
        <v>1</v>
      </c>
      <c r="E118" s="39">
        <f>IFERROR(__xludf.DUMMYFUNCTION("""COMPUTED_VALUE"""),6.0)</f>
        <v>6</v>
      </c>
      <c r="F118" s="39">
        <f>IFERROR(__xludf.DUMMYFUNCTION("""COMPUTED_VALUE"""),165103.679033279)</f>
        <v>165103.679</v>
      </c>
      <c r="G118" s="39">
        <f>IFERROR(__xludf.DUMMYFUNCTION("""COMPUTED_VALUE"""),165292.925558567)</f>
        <v>165292.9256</v>
      </c>
      <c r="H118" s="39">
        <f>IFERROR(__xludf.DUMMYFUNCTION("FILTER(constraints_counts!E$2:E$76,constraints_counts!$A$2:$A$76=$B118,constraints_counts!$C$2:$C$76=$C118,constraints_counts!$D$2:$D$76=$D118)"),15900.0)</f>
        <v>15900</v>
      </c>
      <c r="I118" s="39">
        <f>IFERROR(__xludf.DUMMYFUNCTION("FILTER(constraints_counts!F$2:F$76,constraints_counts!$A$2:$A$76=B118,constraints_counts!$C$2:$C$76=C118,constraints_counts!$D$2:$D$76=D118)"),1.368828E7)</f>
        <v>13688280</v>
      </c>
      <c r="O118" s="42"/>
    </row>
    <row r="119">
      <c r="A119" s="39" t="str">
        <f t="shared" si="1"/>
        <v>ITC-priority</v>
      </c>
      <c r="B119" s="39" t="str">
        <f>IFERROR(__xludf.DUMMYFUNCTION("""COMPUTED_VALUE"""),"priority12x3x4")</f>
        <v>priority12x3x4</v>
      </c>
      <c r="C119" s="39">
        <f>IFERROR(__xludf.DUMMYFUNCTION("""COMPUTED_VALUE"""),0.25)</f>
        <v>0.25</v>
      </c>
      <c r="D119" s="39">
        <f>IFERROR(__xludf.DUMMYFUNCTION("""COMPUTED_VALUE"""),1.0)</f>
        <v>1</v>
      </c>
      <c r="E119" s="39">
        <f>IFERROR(__xludf.DUMMYFUNCTION("""COMPUTED_VALUE"""),7.0)</f>
        <v>7</v>
      </c>
      <c r="F119" s="39">
        <f>IFERROR(__xludf.DUMMYFUNCTION("""COMPUTED_VALUE"""),226275.690117359)</f>
        <v>226275.6901</v>
      </c>
      <c r="G119" s="39">
        <f>IFERROR(__xludf.DUMMYFUNCTION("""COMPUTED_VALUE"""),226378.941763162)</f>
        <v>226378.9418</v>
      </c>
      <c r="H119" s="39">
        <f>IFERROR(__xludf.DUMMYFUNCTION("FILTER(constraints_counts!E$2:E$76,constraints_counts!$A$2:$A$76=$B119,constraints_counts!$C$2:$C$76=$C119,constraints_counts!$D$2:$D$76=$D119)"),15900.0)</f>
        <v>15900</v>
      </c>
      <c r="I119" s="39">
        <f>IFERROR(__xludf.DUMMYFUNCTION("FILTER(constraints_counts!F$2:F$76,constraints_counts!$A$2:$A$76=B119,constraints_counts!$C$2:$C$76=C119,constraints_counts!$D$2:$D$76=D119)"),1.368828E7)</f>
        <v>13688280</v>
      </c>
      <c r="O119" s="42"/>
    </row>
    <row r="120">
      <c r="A120" s="39" t="str">
        <f t="shared" si="1"/>
        <v>ITC-priority</v>
      </c>
      <c r="B120" s="39" t="str">
        <f>IFERROR(__xludf.DUMMYFUNCTION("""COMPUTED_VALUE"""),"priority12x3x4")</f>
        <v>priority12x3x4</v>
      </c>
      <c r="C120" s="39">
        <f>IFERROR(__xludf.DUMMYFUNCTION("""COMPUTED_VALUE"""),0.25)</f>
        <v>0.25</v>
      </c>
      <c r="D120" s="39">
        <f>IFERROR(__xludf.DUMMYFUNCTION("""COMPUTED_VALUE"""),1.0)</f>
        <v>1</v>
      </c>
      <c r="E120" s="39">
        <f>IFERROR(__xludf.DUMMYFUNCTION("""COMPUTED_VALUE"""),8.0)</f>
        <v>8</v>
      </c>
      <c r="F120" s="39">
        <f>IFERROR(__xludf.DUMMYFUNCTION("""COMPUTED_VALUE"""),144845.669525861)</f>
        <v>144845.6695</v>
      </c>
      <c r="G120" s="39">
        <f>IFERROR(__xludf.DUMMYFUNCTION("""COMPUTED_VALUE"""),145020.185190439)</f>
        <v>145020.1852</v>
      </c>
      <c r="H120" s="39">
        <f>IFERROR(__xludf.DUMMYFUNCTION("FILTER(constraints_counts!E$2:E$76,constraints_counts!$A$2:$A$76=$B120,constraints_counts!$C$2:$C$76=$C120,constraints_counts!$D$2:$D$76=$D120)"),15900.0)</f>
        <v>15900</v>
      </c>
      <c r="I120" s="39">
        <f>IFERROR(__xludf.DUMMYFUNCTION("FILTER(constraints_counts!F$2:F$76,constraints_counts!$A$2:$A$76=B120,constraints_counts!$C$2:$C$76=C120,constraints_counts!$D$2:$D$76=D120)"),1.368828E7)</f>
        <v>13688280</v>
      </c>
      <c r="O120" s="42"/>
    </row>
    <row r="121">
      <c r="A121" s="39" t="str">
        <f t="shared" si="1"/>
        <v>ITC-priority</v>
      </c>
      <c r="B121" s="39" t="str">
        <f>IFERROR(__xludf.DUMMYFUNCTION("""COMPUTED_VALUE"""),"priority12x3x4")</f>
        <v>priority12x3x4</v>
      </c>
      <c r="C121" s="39">
        <f>IFERROR(__xludf.DUMMYFUNCTION("""COMPUTED_VALUE"""),0.25)</f>
        <v>0.25</v>
      </c>
      <c r="D121" s="39">
        <f>IFERROR(__xludf.DUMMYFUNCTION("""COMPUTED_VALUE"""),1.0)</f>
        <v>1</v>
      </c>
      <c r="E121" s="39">
        <f>IFERROR(__xludf.DUMMYFUNCTION("""COMPUTED_VALUE"""),9.0)</f>
        <v>9</v>
      </c>
      <c r="F121" s="39">
        <f>IFERROR(__xludf.DUMMYFUNCTION("""COMPUTED_VALUE"""),196672.237146854)</f>
        <v>196672.2371</v>
      </c>
      <c r="G121" s="39">
        <f>IFERROR(__xludf.DUMMYFUNCTION("""COMPUTED_VALUE"""),196843.994508981)</f>
        <v>196843.9945</v>
      </c>
      <c r="H121" s="39">
        <f>IFERROR(__xludf.DUMMYFUNCTION("FILTER(constraints_counts!E$2:E$76,constraints_counts!$A$2:$A$76=$B121,constraints_counts!$C$2:$C$76=$C121,constraints_counts!$D$2:$D$76=$D121)"),15900.0)</f>
        <v>15900</v>
      </c>
      <c r="I121" s="39">
        <f>IFERROR(__xludf.DUMMYFUNCTION("FILTER(constraints_counts!F$2:F$76,constraints_counts!$A$2:$A$76=B121,constraints_counts!$C$2:$C$76=C121,constraints_counts!$D$2:$D$76=D121)"),1.368828E7)</f>
        <v>13688280</v>
      </c>
      <c r="O121" s="42"/>
    </row>
    <row r="122">
      <c r="A122" s="39" t="str">
        <f t="shared" si="1"/>
        <v>ITC-priority</v>
      </c>
      <c r="B122" s="39" t="str">
        <f>IFERROR(__xludf.DUMMYFUNCTION("""COMPUTED_VALUE"""),"priority12x3x4")</f>
        <v>priority12x3x4</v>
      </c>
      <c r="C122" s="39">
        <f>IFERROR(__xludf.DUMMYFUNCTION("""COMPUTED_VALUE"""),0.25)</f>
        <v>0.25</v>
      </c>
      <c r="D122" s="39">
        <f>IFERROR(__xludf.DUMMYFUNCTION("""COMPUTED_VALUE"""),1.0)</f>
        <v>1</v>
      </c>
      <c r="E122" s="39">
        <f>IFERROR(__xludf.DUMMYFUNCTION("""COMPUTED_VALUE"""),10.0)</f>
        <v>10</v>
      </c>
      <c r="F122" s="39">
        <f>IFERROR(__xludf.DUMMYFUNCTION("""COMPUTED_VALUE"""),259100.207547664)</f>
        <v>259100.2075</v>
      </c>
      <c r="G122" s="39">
        <f>IFERROR(__xludf.DUMMYFUNCTION("""COMPUTED_VALUE"""),259280.093940019)</f>
        <v>259280.0939</v>
      </c>
      <c r="H122" s="39">
        <f>IFERROR(__xludf.DUMMYFUNCTION("FILTER(constraints_counts!E$2:E$76,constraints_counts!$A$2:$A$76=$B122,constraints_counts!$C$2:$C$76=$C122,constraints_counts!$D$2:$D$76=$D122)"),15900.0)</f>
        <v>15900</v>
      </c>
      <c r="I122" s="39">
        <f>IFERROR(__xludf.DUMMYFUNCTION("FILTER(constraints_counts!F$2:F$76,constraints_counts!$A$2:$A$76=B122,constraints_counts!$C$2:$C$76=C122,constraints_counts!$D$2:$D$76=D122)"),1.368828E7)</f>
        <v>13688280</v>
      </c>
      <c r="O122" s="42"/>
    </row>
    <row r="123">
      <c r="A123" s="39" t="str">
        <f t="shared" si="1"/>
        <v>ITC-priority</v>
      </c>
      <c r="B123" s="39" t="str">
        <f>IFERROR(__xludf.DUMMYFUNCTION("""COMPUTED_VALUE"""),"priority12x3x4")</f>
        <v>priority12x3x4</v>
      </c>
      <c r="C123" s="39">
        <f>IFERROR(__xludf.DUMMYFUNCTION("""COMPUTED_VALUE"""),0.5)</f>
        <v>0.5</v>
      </c>
      <c r="D123" s="39">
        <f>IFERROR(__xludf.DUMMYFUNCTION("""COMPUTED_VALUE"""),1.0)</f>
        <v>1</v>
      </c>
      <c r="E123" s="39">
        <f>IFERROR(__xludf.DUMMYFUNCTION("""COMPUTED_VALUE"""),1.0)</f>
        <v>1</v>
      </c>
      <c r="F123" s="39">
        <f>IFERROR(__xludf.DUMMYFUNCTION("""COMPUTED_VALUE"""),465451.233842611)</f>
        <v>465451.2338</v>
      </c>
      <c r="G123" s="39">
        <f>IFERROR(__xludf.DUMMYFUNCTION("""COMPUTED_VALUE"""),465551.311827897)</f>
        <v>465551.3118</v>
      </c>
      <c r="H123" s="39">
        <f>IFERROR(__xludf.DUMMYFUNCTION("FILTER(constraints_counts!E$2:E$76,constraints_counts!$A$2:$A$76=$B123,constraints_counts!$C$2:$C$76=$C123,constraints_counts!$D$2:$D$76=$D123)"),21556.0)</f>
        <v>21556</v>
      </c>
      <c r="I123" s="39">
        <f>IFERROR(__xludf.DUMMYFUNCTION("FILTER(constraints_counts!F$2:F$76,constraints_counts!$A$2:$A$76=B123,constraints_counts!$C$2:$C$76=C123,constraints_counts!$D$2:$D$76=D123)"),2.9441194E7)</f>
        <v>29441194</v>
      </c>
      <c r="O123" s="42"/>
    </row>
    <row r="124">
      <c r="A124" s="39" t="str">
        <f t="shared" si="1"/>
        <v>ITC-priority</v>
      </c>
      <c r="B124" s="39" t="str">
        <f>IFERROR(__xludf.DUMMYFUNCTION("""COMPUTED_VALUE"""),"priority12x3x4")</f>
        <v>priority12x3x4</v>
      </c>
      <c r="C124" s="39">
        <f>IFERROR(__xludf.DUMMYFUNCTION("""COMPUTED_VALUE"""),0.5)</f>
        <v>0.5</v>
      </c>
      <c r="D124" s="39">
        <f>IFERROR(__xludf.DUMMYFUNCTION("""COMPUTED_VALUE"""),1.0)</f>
        <v>1</v>
      </c>
      <c r="E124" s="39">
        <f>IFERROR(__xludf.DUMMYFUNCTION("""COMPUTED_VALUE"""),2.0)</f>
        <v>2</v>
      </c>
      <c r="F124" s="39">
        <f>IFERROR(__xludf.DUMMYFUNCTION("""COMPUTED_VALUE"""),546858.341347694)</f>
        <v>546858.3413</v>
      </c>
      <c r="G124" s="39">
        <f>IFERROR(__xludf.DUMMYFUNCTION("""COMPUTED_VALUE"""),546993.146243572)</f>
        <v>546993.1462</v>
      </c>
      <c r="H124" s="39">
        <f>IFERROR(__xludf.DUMMYFUNCTION("FILTER(constraints_counts!E$2:E$76,constraints_counts!$A$2:$A$76=$B124,constraints_counts!$C$2:$C$76=$C124,constraints_counts!$D$2:$D$76=$D124)"),21556.0)</f>
        <v>21556</v>
      </c>
      <c r="I124" s="39">
        <f>IFERROR(__xludf.DUMMYFUNCTION("FILTER(constraints_counts!F$2:F$76,constraints_counts!$A$2:$A$76=B124,constraints_counts!$C$2:$C$76=C124,constraints_counts!$D$2:$D$76=D124)"),2.9441194E7)</f>
        <v>29441194</v>
      </c>
      <c r="O124" s="42"/>
    </row>
    <row r="125">
      <c r="A125" s="39" t="str">
        <f t="shared" si="1"/>
        <v>ITC-priority</v>
      </c>
      <c r="B125" s="39" t="str">
        <f>IFERROR(__xludf.DUMMYFUNCTION("""COMPUTED_VALUE"""),"priority12x3x4")</f>
        <v>priority12x3x4</v>
      </c>
      <c r="C125" s="39">
        <f>IFERROR(__xludf.DUMMYFUNCTION("""COMPUTED_VALUE"""),0.5)</f>
        <v>0.5</v>
      </c>
      <c r="D125" s="39">
        <f>IFERROR(__xludf.DUMMYFUNCTION("""COMPUTED_VALUE"""),1.0)</f>
        <v>1</v>
      </c>
      <c r="E125" s="39">
        <f>IFERROR(__xludf.DUMMYFUNCTION("""COMPUTED_VALUE"""),3.0)</f>
        <v>3</v>
      </c>
      <c r="F125" s="39">
        <f>IFERROR(__xludf.DUMMYFUNCTION("""COMPUTED_VALUE"""),462451.395061969)</f>
        <v>462451.3951</v>
      </c>
      <c r="G125" s="39">
        <f>IFERROR(__xludf.DUMMYFUNCTION("""COMPUTED_VALUE"""),462604.534721612)</f>
        <v>462604.5347</v>
      </c>
      <c r="H125" s="39">
        <f>IFERROR(__xludf.DUMMYFUNCTION("FILTER(constraints_counts!E$2:E$76,constraints_counts!$A$2:$A$76=$B125,constraints_counts!$C$2:$C$76=$C125,constraints_counts!$D$2:$D$76=$D125)"),21556.0)</f>
        <v>21556</v>
      </c>
      <c r="I125" s="39">
        <f>IFERROR(__xludf.DUMMYFUNCTION("FILTER(constraints_counts!F$2:F$76,constraints_counts!$A$2:$A$76=B125,constraints_counts!$C$2:$C$76=C125,constraints_counts!$D$2:$D$76=D125)"),2.9441194E7)</f>
        <v>29441194</v>
      </c>
      <c r="O125" s="42"/>
    </row>
    <row r="126">
      <c r="A126" s="39" t="str">
        <f t="shared" si="1"/>
        <v>ITC-priority</v>
      </c>
      <c r="B126" s="39" t="str">
        <f>IFERROR(__xludf.DUMMYFUNCTION("""COMPUTED_VALUE"""),"priority12x3x4")</f>
        <v>priority12x3x4</v>
      </c>
      <c r="C126" s="39">
        <f>IFERROR(__xludf.DUMMYFUNCTION("""COMPUTED_VALUE"""),0.5)</f>
        <v>0.5</v>
      </c>
      <c r="D126" s="39">
        <f>IFERROR(__xludf.DUMMYFUNCTION("""COMPUTED_VALUE"""),1.0)</f>
        <v>1</v>
      </c>
      <c r="E126" s="39">
        <f>IFERROR(__xludf.DUMMYFUNCTION("""COMPUTED_VALUE"""),4.0)</f>
        <v>4</v>
      </c>
      <c r="F126" s="39">
        <f>IFERROR(__xludf.DUMMYFUNCTION("""COMPUTED_VALUE"""),557242.085991144)</f>
        <v>557242.086</v>
      </c>
      <c r="G126" s="39">
        <f>IFERROR(__xludf.DUMMYFUNCTION("""COMPUTED_VALUE"""),557387.094096422)</f>
        <v>557387.0941</v>
      </c>
      <c r="H126" s="39">
        <f>IFERROR(__xludf.DUMMYFUNCTION("FILTER(constraints_counts!E$2:E$76,constraints_counts!$A$2:$A$76=$B126,constraints_counts!$C$2:$C$76=$C126,constraints_counts!$D$2:$D$76=$D126)"),21556.0)</f>
        <v>21556</v>
      </c>
      <c r="I126" s="39">
        <f>IFERROR(__xludf.DUMMYFUNCTION("FILTER(constraints_counts!F$2:F$76,constraints_counts!$A$2:$A$76=B126,constraints_counts!$C$2:$C$76=C126,constraints_counts!$D$2:$D$76=D126)"),2.9441194E7)</f>
        <v>29441194</v>
      </c>
      <c r="O126" s="42"/>
    </row>
    <row r="127">
      <c r="A127" s="39" t="str">
        <f t="shared" si="1"/>
        <v>ITC-priority</v>
      </c>
      <c r="B127" s="39" t="str">
        <f>IFERROR(__xludf.DUMMYFUNCTION("""COMPUTED_VALUE"""),"priority12x3x4")</f>
        <v>priority12x3x4</v>
      </c>
      <c r="C127" s="39">
        <f>IFERROR(__xludf.DUMMYFUNCTION("""COMPUTED_VALUE"""),0.5)</f>
        <v>0.5</v>
      </c>
      <c r="D127" s="39">
        <f>IFERROR(__xludf.DUMMYFUNCTION("""COMPUTED_VALUE"""),1.0)</f>
        <v>1</v>
      </c>
      <c r="E127" s="39">
        <f>IFERROR(__xludf.DUMMYFUNCTION("""COMPUTED_VALUE"""),5.0)</f>
        <v>5</v>
      </c>
      <c r="F127" s="39">
        <f>IFERROR(__xludf.DUMMYFUNCTION("""COMPUTED_VALUE"""),685707.365572929)</f>
        <v>685707.3656</v>
      </c>
      <c r="G127" s="39">
        <f>IFERROR(__xludf.DUMMYFUNCTION("""COMPUTED_VALUE"""),685764.503119707)</f>
        <v>685764.5031</v>
      </c>
      <c r="H127" s="39">
        <f>IFERROR(__xludf.DUMMYFUNCTION("FILTER(constraints_counts!E$2:E$76,constraints_counts!$A$2:$A$76=$B127,constraints_counts!$C$2:$C$76=$C127,constraints_counts!$D$2:$D$76=$D127)"),21556.0)</f>
        <v>21556</v>
      </c>
      <c r="I127" s="39">
        <f>IFERROR(__xludf.DUMMYFUNCTION("FILTER(constraints_counts!F$2:F$76,constraints_counts!$A$2:$A$76=B127,constraints_counts!$C$2:$C$76=C127,constraints_counts!$D$2:$D$76=D127)"),2.9441194E7)</f>
        <v>29441194</v>
      </c>
      <c r="O127" s="42"/>
    </row>
    <row r="128">
      <c r="A128" s="39" t="str">
        <f t="shared" si="1"/>
        <v>ITC-priority</v>
      </c>
      <c r="B128" s="39" t="str">
        <f>IFERROR(__xludf.DUMMYFUNCTION("""COMPUTED_VALUE"""),"priority12x3x4")</f>
        <v>priority12x3x4</v>
      </c>
      <c r="C128" s="39">
        <f>IFERROR(__xludf.DUMMYFUNCTION("""COMPUTED_VALUE"""),0.5)</f>
        <v>0.5</v>
      </c>
      <c r="D128" s="39">
        <f>IFERROR(__xludf.DUMMYFUNCTION("""COMPUTED_VALUE"""),1.0)</f>
        <v>1</v>
      </c>
      <c r="E128" s="39">
        <f>IFERROR(__xludf.DUMMYFUNCTION("""COMPUTED_VALUE"""),6.0)</f>
        <v>6</v>
      </c>
      <c r="F128" s="39">
        <f>IFERROR(__xludf.DUMMYFUNCTION("""COMPUTED_VALUE"""),555517.110677957)</f>
        <v>555517.1107</v>
      </c>
      <c r="G128" s="39">
        <f>IFERROR(__xludf.DUMMYFUNCTION("""COMPUTED_VALUE"""),555651.594188213)</f>
        <v>555651.5942</v>
      </c>
      <c r="H128" s="39">
        <f>IFERROR(__xludf.DUMMYFUNCTION("FILTER(constraints_counts!E$2:E$76,constraints_counts!$A$2:$A$76=$B128,constraints_counts!$C$2:$C$76=$C128,constraints_counts!$D$2:$D$76=$D128)"),21556.0)</f>
        <v>21556</v>
      </c>
      <c r="I128" s="39">
        <f>IFERROR(__xludf.DUMMYFUNCTION("FILTER(constraints_counts!F$2:F$76,constraints_counts!$A$2:$A$76=B128,constraints_counts!$C$2:$C$76=C128,constraints_counts!$D$2:$D$76=D128)"),2.9441194E7)</f>
        <v>29441194</v>
      </c>
      <c r="O128" s="42"/>
    </row>
    <row r="129">
      <c r="A129" s="39" t="str">
        <f t="shared" si="1"/>
        <v>ITC-priority</v>
      </c>
      <c r="B129" s="39" t="str">
        <f>IFERROR(__xludf.DUMMYFUNCTION("""COMPUTED_VALUE"""),"priority12x3x4")</f>
        <v>priority12x3x4</v>
      </c>
      <c r="C129" s="39">
        <f>IFERROR(__xludf.DUMMYFUNCTION("""COMPUTED_VALUE"""),0.5)</f>
        <v>0.5</v>
      </c>
      <c r="D129" s="39">
        <f>IFERROR(__xludf.DUMMYFUNCTION("""COMPUTED_VALUE"""),1.0)</f>
        <v>1</v>
      </c>
      <c r="E129" s="39">
        <f>IFERROR(__xludf.DUMMYFUNCTION("""COMPUTED_VALUE"""),7.0)</f>
        <v>7</v>
      </c>
      <c r="F129" s="39">
        <f>IFERROR(__xludf.DUMMYFUNCTION("""COMPUTED_VALUE"""),472031.413210868)</f>
        <v>472031.4132</v>
      </c>
      <c r="G129" s="39">
        <f>IFERROR(__xludf.DUMMYFUNCTION("""COMPUTED_VALUE"""),472190.913679599)</f>
        <v>472190.9137</v>
      </c>
      <c r="H129" s="39">
        <f>IFERROR(__xludf.DUMMYFUNCTION("FILTER(constraints_counts!E$2:E$76,constraints_counts!$A$2:$A$76=$B129,constraints_counts!$C$2:$C$76=$C129,constraints_counts!$D$2:$D$76=$D129)"),21556.0)</f>
        <v>21556</v>
      </c>
      <c r="I129" s="39">
        <f>IFERROR(__xludf.DUMMYFUNCTION("FILTER(constraints_counts!F$2:F$76,constraints_counts!$A$2:$A$76=B129,constraints_counts!$C$2:$C$76=C129,constraints_counts!$D$2:$D$76=D129)"),2.9441194E7)</f>
        <v>29441194</v>
      </c>
      <c r="O129" s="42"/>
    </row>
    <row r="130">
      <c r="A130" s="39" t="str">
        <f t="shared" si="1"/>
        <v>ITC-priority</v>
      </c>
      <c r="B130" s="39" t="str">
        <f>IFERROR(__xludf.DUMMYFUNCTION("""COMPUTED_VALUE"""),"priority12x3x4")</f>
        <v>priority12x3x4</v>
      </c>
      <c r="C130" s="39">
        <f>IFERROR(__xludf.DUMMYFUNCTION("""COMPUTED_VALUE"""),0.5)</f>
        <v>0.5</v>
      </c>
      <c r="D130" s="39">
        <f>IFERROR(__xludf.DUMMYFUNCTION("""COMPUTED_VALUE"""),1.0)</f>
        <v>1</v>
      </c>
      <c r="E130" s="39">
        <f>IFERROR(__xludf.DUMMYFUNCTION("""COMPUTED_VALUE"""),8.0)</f>
        <v>8</v>
      </c>
      <c r="F130" s="39">
        <f>IFERROR(__xludf.DUMMYFUNCTION("""COMPUTED_VALUE"""),426389.824999332)</f>
        <v>426389.825</v>
      </c>
      <c r="G130" s="39">
        <f>IFERROR(__xludf.DUMMYFUNCTION("""COMPUTED_VALUE"""),426486.278591156)</f>
        <v>426486.2786</v>
      </c>
      <c r="H130" s="39">
        <f>IFERROR(__xludf.DUMMYFUNCTION("FILTER(constraints_counts!E$2:E$76,constraints_counts!$A$2:$A$76=$B130,constraints_counts!$C$2:$C$76=$C130,constraints_counts!$D$2:$D$76=$D130)"),21556.0)</f>
        <v>21556</v>
      </c>
      <c r="I130" s="39">
        <f>IFERROR(__xludf.DUMMYFUNCTION("FILTER(constraints_counts!F$2:F$76,constraints_counts!$A$2:$A$76=B130,constraints_counts!$C$2:$C$76=C130,constraints_counts!$D$2:$D$76=D130)"),2.9441194E7)</f>
        <v>29441194</v>
      </c>
      <c r="O130" s="42"/>
    </row>
    <row r="131">
      <c r="A131" s="39" t="str">
        <f t="shared" si="1"/>
        <v>ITC-priority</v>
      </c>
      <c r="B131" s="39" t="str">
        <f>IFERROR(__xludf.DUMMYFUNCTION("""COMPUTED_VALUE"""),"priority12x3x4")</f>
        <v>priority12x3x4</v>
      </c>
      <c r="C131" s="39">
        <f>IFERROR(__xludf.DUMMYFUNCTION("""COMPUTED_VALUE"""),0.5)</f>
        <v>0.5</v>
      </c>
      <c r="D131" s="39">
        <f>IFERROR(__xludf.DUMMYFUNCTION("""COMPUTED_VALUE"""),1.0)</f>
        <v>1</v>
      </c>
      <c r="E131" s="39">
        <f>IFERROR(__xludf.DUMMYFUNCTION("""COMPUTED_VALUE"""),9.0)</f>
        <v>9</v>
      </c>
      <c r="F131" s="39">
        <f>IFERROR(__xludf.DUMMYFUNCTION("""COMPUTED_VALUE"""),389056.12673521)</f>
        <v>389056.1267</v>
      </c>
      <c r="G131" s="39">
        <f>IFERROR(__xludf.DUMMYFUNCTION("""COMPUTED_VALUE"""),389143.078240394)</f>
        <v>389143.0782</v>
      </c>
      <c r="H131" s="39">
        <f>IFERROR(__xludf.DUMMYFUNCTION("FILTER(constraints_counts!E$2:E$76,constraints_counts!$A$2:$A$76=$B131,constraints_counts!$C$2:$C$76=$C131,constraints_counts!$D$2:$D$76=$D131)"),21556.0)</f>
        <v>21556</v>
      </c>
      <c r="I131" s="39">
        <f>IFERROR(__xludf.DUMMYFUNCTION("FILTER(constraints_counts!F$2:F$76,constraints_counts!$A$2:$A$76=B131,constraints_counts!$C$2:$C$76=C131,constraints_counts!$D$2:$D$76=D131)"),2.9441194E7)</f>
        <v>29441194</v>
      </c>
      <c r="O131" s="42"/>
    </row>
    <row r="132">
      <c r="A132" s="39" t="str">
        <f t="shared" si="1"/>
        <v>ITC-priority</v>
      </c>
      <c r="B132" s="39" t="str">
        <f>IFERROR(__xludf.DUMMYFUNCTION("""COMPUTED_VALUE"""),"priority12x3x4")</f>
        <v>priority12x3x4</v>
      </c>
      <c r="C132" s="39">
        <f>IFERROR(__xludf.DUMMYFUNCTION("""COMPUTED_VALUE"""),0.5)</f>
        <v>0.5</v>
      </c>
      <c r="D132" s="39">
        <f>IFERROR(__xludf.DUMMYFUNCTION("""COMPUTED_VALUE"""),1.0)</f>
        <v>1</v>
      </c>
      <c r="E132" s="39">
        <f>IFERROR(__xludf.DUMMYFUNCTION("""COMPUTED_VALUE"""),10.0)</f>
        <v>10</v>
      </c>
      <c r="F132" s="39">
        <f>IFERROR(__xludf.DUMMYFUNCTION("""COMPUTED_VALUE"""),557262.11345458)</f>
        <v>557262.1135</v>
      </c>
      <c r="G132" s="39">
        <f>IFERROR(__xludf.DUMMYFUNCTION("""COMPUTED_VALUE"""),557399.179974556)</f>
        <v>557399.18</v>
      </c>
      <c r="H132" s="39">
        <f>IFERROR(__xludf.DUMMYFUNCTION("FILTER(constraints_counts!E$2:E$76,constraints_counts!$A$2:$A$76=$B132,constraints_counts!$C$2:$C$76=$C132,constraints_counts!$D$2:$D$76=$D132)"),21556.0)</f>
        <v>21556</v>
      </c>
      <c r="I132" s="39">
        <f>IFERROR(__xludf.DUMMYFUNCTION("FILTER(constraints_counts!F$2:F$76,constraints_counts!$A$2:$A$76=B132,constraints_counts!$C$2:$C$76=C132,constraints_counts!$D$2:$D$76=D132)"),2.9441194E7)</f>
        <v>29441194</v>
      </c>
      <c r="O132" s="42"/>
    </row>
    <row r="133">
      <c r="A133" s="39" t="str">
        <f t="shared" si="1"/>
        <v>ITC-priority</v>
      </c>
      <c r="B133" s="39" t="str">
        <f>IFERROR(__xludf.DUMMYFUNCTION("""COMPUTED_VALUE"""),"priority12x3x4")</f>
        <v>priority12x3x4</v>
      </c>
      <c r="C133" s="39">
        <f>IFERROR(__xludf.DUMMYFUNCTION("""COMPUTED_VALUE"""),0.75)</f>
        <v>0.75</v>
      </c>
      <c r="D133" s="39">
        <f>IFERROR(__xludf.DUMMYFUNCTION("""COMPUTED_VALUE"""),1.0)</f>
        <v>1</v>
      </c>
      <c r="E133" s="39">
        <f>IFERROR(__xludf.DUMMYFUNCTION("""COMPUTED_VALUE"""),1.0)</f>
        <v>1</v>
      </c>
      <c r="F133" s="39">
        <f>IFERROR(__xludf.DUMMYFUNCTION("""COMPUTED_VALUE"""),665749.836199045)</f>
        <v>665749.8362</v>
      </c>
      <c r="G133" s="39">
        <f>IFERROR(__xludf.DUMMYFUNCTION("""COMPUTED_VALUE"""),665827.701756954)</f>
        <v>665827.7018</v>
      </c>
      <c r="H133" s="39">
        <f>IFERROR(__xludf.DUMMYFUNCTION("FILTER(constraints_counts!E$2:E$76,constraints_counts!$A$2:$A$76=$B133,constraints_counts!$C$2:$C$76=$C133,constraints_counts!$D$2:$D$76=$D133)"),23089.0)</f>
        <v>23089</v>
      </c>
      <c r="I133" s="39">
        <f>IFERROR(__xludf.DUMMYFUNCTION("FILTER(constraints_counts!F$2:F$76,constraints_counts!$A$2:$A$76=B133,constraints_counts!$C$2:$C$76=C133,constraints_counts!$D$2:$D$76=D133)"),4.4009342E7)</f>
        <v>44009342</v>
      </c>
      <c r="O133" s="42"/>
    </row>
    <row r="134">
      <c r="A134" s="39" t="str">
        <f t="shared" si="1"/>
        <v>ITC-priority</v>
      </c>
      <c r="B134" s="39" t="str">
        <f>IFERROR(__xludf.DUMMYFUNCTION("""COMPUTED_VALUE"""),"priority12x3x4")</f>
        <v>priority12x3x4</v>
      </c>
      <c r="C134" s="39">
        <f>IFERROR(__xludf.DUMMYFUNCTION("""COMPUTED_VALUE"""),0.75)</f>
        <v>0.75</v>
      </c>
      <c r="D134" s="39">
        <f>IFERROR(__xludf.DUMMYFUNCTION("""COMPUTED_VALUE"""),1.0)</f>
        <v>1</v>
      </c>
      <c r="E134" s="39">
        <f>IFERROR(__xludf.DUMMYFUNCTION("""COMPUTED_VALUE"""),2.0)</f>
        <v>2</v>
      </c>
      <c r="F134" s="39">
        <f>IFERROR(__xludf.DUMMYFUNCTION("""COMPUTED_VALUE"""),748742.013345718)</f>
        <v>748742.0133</v>
      </c>
      <c r="G134" s="39">
        <f>IFERROR(__xludf.DUMMYFUNCTION("""COMPUTED_VALUE"""),748799.574396133)</f>
        <v>748799.5744</v>
      </c>
      <c r="H134" s="39">
        <f>IFERROR(__xludf.DUMMYFUNCTION("FILTER(constraints_counts!E$2:E$76,constraints_counts!$A$2:$A$76=$B134,constraints_counts!$C$2:$C$76=$C134,constraints_counts!$D$2:$D$76=$D134)"),23089.0)</f>
        <v>23089</v>
      </c>
      <c r="I134" s="39">
        <f>IFERROR(__xludf.DUMMYFUNCTION("FILTER(constraints_counts!F$2:F$76,constraints_counts!$A$2:$A$76=B134,constraints_counts!$C$2:$C$76=C134,constraints_counts!$D$2:$D$76=D134)"),4.4009342E7)</f>
        <v>44009342</v>
      </c>
      <c r="O134" s="42"/>
    </row>
    <row r="135">
      <c r="A135" s="39" t="str">
        <f t="shared" si="1"/>
        <v>ITC-priority</v>
      </c>
      <c r="B135" s="39" t="str">
        <f>IFERROR(__xludf.DUMMYFUNCTION("""COMPUTED_VALUE"""),"priority12x3x4")</f>
        <v>priority12x3x4</v>
      </c>
      <c r="C135" s="39">
        <f>IFERROR(__xludf.DUMMYFUNCTION("""COMPUTED_VALUE"""),0.75)</f>
        <v>0.75</v>
      </c>
      <c r="D135" s="39">
        <f>IFERROR(__xludf.DUMMYFUNCTION("""COMPUTED_VALUE"""),1.0)</f>
        <v>1</v>
      </c>
      <c r="E135" s="39">
        <f>IFERROR(__xludf.DUMMYFUNCTION("""COMPUTED_VALUE"""),3.0)</f>
        <v>3</v>
      </c>
      <c r="F135" s="39">
        <f>IFERROR(__xludf.DUMMYFUNCTION("""COMPUTED_VALUE"""),744211.859444141)</f>
        <v>744211.8594</v>
      </c>
      <c r="G135" s="39">
        <f>IFERROR(__xludf.DUMMYFUNCTION("""COMPUTED_VALUE"""),744274.855061292)</f>
        <v>744274.8551</v>
      </c>
      <c r="H135" s="39">
        <f>IFERROR(__xludf.DUMMYFUNCTION("FILTER(constraints_counts!E$2:E$76,constraints_counts!$A$2:$A$76=$B135,constraints_counts!$C$2:$C$76=$C135,constraints_counts!$D$2:$D$76=$D135)"),23089.0)</f>
        <v>23089</v>
      </c>
      <c r="I135" s="39">
        <f>IFERROR(__xludf.DUMMYFUNCTION("FILTER(constraints_counts!F$2:F$76,constraints_counts!$A$2:$A$76=B135,constraints_counts!$C$2:$C$76=C135,constraints_counts!$D$2:$D$76=D135)"),4.4009342E7)</f>
        <v>44009342</v>
      </c>
      <c r="O135" s="42"/>
    </row>
    <row r="136">
      <c r="A136" s="39" t="str">
        <f t="shared" si="1"/>
        <v>ITC-priority</v>
      </c>
      <c r="B136" s="39" t="str">
        <f>IFERROR(__xludf.DUMMYFUNCTION("""COMPUTED_VALUE"""),"priority12x3x4")</f>
        <v>priority12x3x4</v>
      </c>
      <c r="C136" s="39">
        <f>IFERROR(__xludf.DUMMYFUNCTION("""COMPUTED_VALUE"""),0.75)</f>
        <v>0.75</v>
      </c>
      <c r="D136" s="39">
        <f>IFERROR(__xludf.DUMMYFUNCTION("""COMPUTED_VALUE"""),1.0)</f>
        <v>1</v>
      </c>
      <c r="E136" s="39">
        <f>IFERROR(__xludf.DUMMYFUNCTION("""COMPUTED_VALUE"""),4.0)</f>
        <v>4</v>
      </c>
      <c r="F136" s="39">
        <f>IFERROR(__xludf.DUMMYFUNCTION("""COMPUTED_VALUE"""),195362.284733533)</f>
        <v>195362.2847</v>
      </c>
      <c r="G136" s="39">
        <f>IFERROR(__xludf.DUMMYFUNCTION("""COMPUTED_VALUE"""),195404.057067632)</f>
        <v>195404.0571</v>
      </c>
      <c r="H136" s="39">
        <f>IFERROR(__xludf.DUMMYFUNCTION("FILTER(constraints_counts!E$2:E$76,constraints_counts!$A$2:$A$76=$B136,constraints_counts!$C$2:$C$76=$C136,constraints_counts!$D$2:$D$76=$D136)"),23089.0)</f>
        <v>23089</v>
      </c>
      <c r="I136" s="39">
        <f>IFERROR(__xludf.DUMMYFUNCTION("FILTER(constraints_counts!F$2:F$76,constraints_counts!$A$2:$A$76=B136,constraints_counts!$C$2:$C$76=C136,constraints_counts!$D$2:$D$76=D136)"),4.4009342E7)</f>
        <v>44009342</v>
      </c>
      <c r="O136" s="42"/>
    </row>
    <row r="137">
      <c r="A137" s="39" t="str">
        <f t="shared" si="1"/>
        <v>ITC-priority</v>
      </c>
      <c r="B137" s="39" t="str">
        <f>IFERROR(__xludf.DUMMYFUNCTION("""COMPUTED_VALUE"""),"priority12x3x4")</f>
        <v>priority12x3x4</v>
      </c>
      <c r="C137" s="39">
        <f>IFERROR(__xludf.DUMMYFUNCTION("""COMPUTED_VALUE"""),0.75)</f>
        <v>0.75</v>
      </c>
      <c r="D137" s="39">
        <f>IFERROR(__xludf.DUMMYFUNCTION("""COMPUTED_VALUE"""),1.0)</f>
        <v>1</v>
      </c>
      <c r="E137" s="39">
        <f>IFERROR(__xludf.DUMMYFUNCTION("""COMPUTED_VALUE"""),5.0)</f>
        <v>5</v>
      </c>
      <c r="F137" s="39">
        <f>IFERROR(__xludf.DUMMYFUNCTION("""COMPUTED_VALUE"""),224725.665579557)</f>
        <v>224725.6656</v>
      </c>
      <c r="G137" s="39">
        <f>IFERROR(__xludf.DUMMYFUNCTION("""COMPUTED_VALUE"""),224767.51840043)</f>
        <v>224767.5184</v>
      </c>
      <c r="H137" s="39">
        <f>IFERROR(__xludf.DUMMYFUNCTION("FILTER(constraints_counts!E$2:E$76,constraints_counts!$A$2:$A$76=$B137,constraints_counts!$C$2:$C$76=$C137,constraints_counts!$D$2:$D$76=$D137)"),23089.0)</f>
        <v>23089</v>
      </c>
      <c r="I137" s="39">
        <f>IFERROR(__xludf.DUMMYFUNCTION("FILTER(constraints_counts!F$2:F$76,constraints_counts!$A$2:$A$76=B137,constraints_counts!$C$2:$C$76=C137,constraints_counts!$D$2:$D$76=D137)"),4.4009342E7)</f>
        <v>44009342</v>
      </c>
      <c r="O137" s="42"/>
    </row>
    <row r="138">
      <c r="A138" s="39" t="str">
        <f t="shared" si="1"/>
        <v>ITC-priority</v>
      </c>
      <c r="B138" s="39" t="str">
        <f>IFERROR(__xludf.DUMMYFUNCTION("""COMPUTED_VALUE"""),"priority12x3x4")</f>
        <v>priority12x3x4</v>
      </c>
      <c r="C138" s="39">
        <f>IFERROR(__xludf.DUMMYFUNCTION("""COMPUTED_VALUE"""),0.75)</f>
        <v>0.75</v>
      </c>
      <c r="D138" s="39">
        <f>IFERROR(__xludf.DUMMYFUNCTION("""COMPUTED_VALUE"""),1.0)</f>
        <v>1</v>
      </c>
      <c r="E138" s="39">
        <f>IFERROR(__xludf.DUMMYFUNCTION("""COMPUTED_VALUE"""),6.0)</f>
        <v>6</v>
      </c>
      <c r="F138" s="39">
        <f>IFERROR(__xludf.DUMMYFUNCTION("""COMPUTED_VALUE"""),559232.871399164)</f>
        <v>559232.8714</v>
      </c>
      <c r="G138" s="39">
        <f>IFERROR(__xludf.DUMMYFUNCTION("""COMPUTED_VALUE"""),559333.713432312)</f>
        <v>559333.7134</v>
      </c>
      <c r="H138" s="39">
        <f>IFERROR(__xludf.DUMMYFUNCTION("FILTER(constraints_counts!E$2:E$76,constraints_counts!$A$2:$A$76=$B138,constraints_counts!$C$2:$C$76=$C138,constraints_counts!$D$2:$D$76=$D138)"),23089.0)</f>
        <v>23089</v>
      </c>
      <c r="I138" s="39">
        <f>IFERROR(__xludf.DUMMYFUNCTION("FILTER(constraints_counts!F$2:F$76,constraints_counts!$A$2:$A$76=B138,constraints_counts!$C$2:$C$76=C138,constraints_counts!$D$2:$D$76=D138)"),4.4009342E7)</f>
        <v>44009342</v>
      </c>
      <c r="O138" s="42"/>
    </row>
    <row r="139">
      <c r="A139" s="39" t="str">
        <f t="shared" si="1"/>
        <v>ITC-priority</v>
      </c>
      <c r="B139" s="39" t="str">
        <f>IFERROR(__xludf.DUMMYFUNCTION("""COMPUTED_VALUE"""),"priority12x3x4")</f>
        <v>priority12x3x4</v>
      </c>
      <c r="C139" s="39">
        <f>IFERROR(__xludf.DUMMYFUNCTION("""COMPUTED_VALUE"""),0.75)</f>
        <v>0.75</v>
      </c>
      <c r="D139" s="39">
        <f>IFERROR(__xludf.DUMMYFUNCTION("""COMPUTED_VALUE"""),1.0)</f>
        <v>1</v>
      </c>
      <c r="E139" s="39">
        <f>IFERROR(__xludf.DUMMYFUNCTION("""COMPUTED_VALUE"""),7.0)</f>
        <v>7</v>
      </c>
      <c r="F139" s="39">
        <f>IFERROR(__xludf.DUMMYFUNCTION("""COMPUTED_VALUE"""),635364.206895828)</f>
        <v>635364.2069</v>
      </c>
      <c r="G139" s="39">
        <f>IFERROR(__xludf.DUMMYFUNCTION("""COMPUTED_VALUE"""),635457.036026954)</f>
        <v>635457.036</v>
      </c>
      <c r="H139" s="39">
        <f>IFERROR(__xludf.DUMMYFUNCTION("FILTER(constraints_counts!E$2:E$76,constraints_counts!$A$2:$A$76=$B139,constraints_counts!$C$2:$C$76=$C139,constraints_counts!$D$2:$D$76=$D139)"),23089.0)</f>
        <v>23089</v>
      </c>
      <c r="I139" s="39">
        <f>IFERROR(__xludf.DUMMYFUNCTION("FILTER(constraints_counts!F$2:F$76,constraints_counts!$A$2:$A$76=B139,constraints_counts!$C$2:$C$76=C139,constraints_counts!$D$2:$D$76=D139)"),4.4009342E7)</f>
        <v>44009342</v>
      </c>
      <c r="O139" s="42"/>
    </row>
    <row r="140">
      <c r="A140" s="39" t="str">
        <f t="shared" si="1"/>
        <v>ITC-priority</v>
      </c>
      <c r="B140" s="39" t="str">
        <f>IFERROR(__xludf.DUMMYFUNCTION("""COMPUTED_VALUE"""),"priority12x3x4")</f>
        <v>priority12x3x4</v>
      </c>
      <c r="C140" s="39">
        <f>IFERROR(__xludf.DUMMYFUNCTION("""COMPUTED_VALUE"""),0.75)</f>
        <v>0.75</v>
      </c>
      <c r="D140" s="39">
        <f>IFERROR(__xludf.DUMMYFUNCTION("""COMPUTED_VALUE"""),1.0)</f>
        <v>1</v>
      </c>
      <c r="E140" s="39">
        <f>IFERROR(__xludf.DUMMYFUNCTION("""COMPUTED_VALUE"""),8.0)</f>
        <v>8</v>
      </c>
      <c r="F140" s="39">
        <f>IFERROR(__xludf.DUMMYFUNCTION("""COMPUTED_VALUE"""),703507.497809886)</f>
        <v>703507.4978</v>
      </c>
      <c r="G140" s="39">
        <f>IFERROR(__xludf.DUMMYFUNCTION("""COMPUTED_VALUE"""),703573.218670845)</f>
        <v>703573.2187</v>
      </c>
      <c r="H140" s="39">
        <f>IFERROR(__xludf.DUMMYFUNCTION("FILTER(constraints_counts!E$2:E$76,constraints_counts!$A$2:$A$76=$B140,constraints_counts!$C$2:$C$76=$C140,constraints_counts!$D$2:$D$76=$D140)"),23089.0)</f>
        <v>23089</v>
      </c>
      <c r="I140" s="39">
        <f>IFERROR(__xludf.DUMMYFUNCTION("FILTER(constraints_counts!F$2:F$76,constraints_counts!$A$2:$A$76=B140,constraints_counts!$C$2:$C$76=C140,constraints_counts!$D$2:$D$76=D140)"),4.4009342E7)</f>
        <v>44009342</v>
      </c>
      <c r="O140" s="42"/>
    </row>
    <row r="141">
      <c r="A141" s="39" t="str">
        <f t="shared" si="1"/>
        <v>ITC-priority</v>
      </c>
      <c r="B141" s="39" t="str">
        <f>IFERROR(__xludf.DUMMYFUNCTION("""COMPUTED_VALUE"""),"priority12x3x4")</f>
        <v>priority12x3x4</v>
      </c>
      <c r="C141" s="39">
        <f>IFERROR(__xludf.DUMMYFUNCTION("""COMPUTED_VALUE"""),0.75)</f>
        <v>0.75</v>
      </c>
      <c r="D141" s="39">
        <f>IFERROR(__xludf.DUMMYFUNCTION("""COMPUTED_VALUE"""),1.0)</f>
        <v>1</v>
      </c>
      <c r="E141" s="39">
        <f>IFERROR(__xludf.DUMMYFUNCTION("""COMPUTED_VALUE"""),9.0)</f>
        <v>9</v>
      </c>
      <c r="F141" s="39">
        <f>IFERROR(__xludf.DUMMYFUNCTION("""COMPUTED_VALUE"""),613995.932194232)</f>
        <v>613995.9322</v>
      </c>
      <c r="G141" s="39">
        <f>IFERROR(__xludf.DUMMYFUNCTION("""COMPUTED_VALUE"""),614086.771057605)</f>
        <v>614086.7711</v>
      </c>
      <c r="H141" s="39">
        <f>IFERROR(__xludf.DUMMYFUNCTION("FILTER(constraints_counts!E$2:E$76,constraints_counts!$A$2:$A$76=$B141,constraints_counts!$C$2:$C$76=$C141,constraints_counts!$D$2:$D$76=$D141)"),23089.0)</f>
        <v>23089</v>
      </c>
      <c r="I141" s="39">
        <f>IFERROR(__xludf.DUMMYFUNCTION("FILTER(constraints_counts!F$2:F$76,constraints_counts!$A$2:$A$76=B141,constraints_counts!$C$2:$C$76=C141,constraints_counts!$D$2:$D$76=D141)"),4.4009342E7)</f>
        <v>44009342</v>
      </c>
      <c r="O141" s="42"/>
    </row>
    <row r="142">
      <c r="A142" s="39" t="str">
        <f t="shared" si="1"/>
        <v>ITC-priority</v>
      </c>
      <c r="B142" s="39" t="str">
        <f>IFERROR(__xludf.DUMMYFUNCTION("""COMPUTED_VALUE"""),"priority12x3x4")</f>
        <v>priority12x3x4</v>
      </c>
      <c r="C142" s="39">
        <f>IFERROR(__xludf.DUMMYFUNCTION("""COMPUTED_VALUE"""),0.75)</f>
        <v>0.75</v>
      </c>
      <c r="D142" s="39">
        <f>IFERROR(__xludf.DUMMYFUNCTION("""COMPUTED_VALUE"""),1.0)</f>
        <v>1</v>
      </c>
      <c r="E142" s="39">
        <f>IFERROR(__xludf.DUMMYFUNCTION("""COMPUTED_VALUE"""),10.0)</f>
        <v>10</v>
      </c>
      <c r="F142" s="39">
        <f>IFERROR(__xludf.DUMMYFUNCTION("""COMPUTED_VALUE"""),531510.176014423)</f>
        <v>531510.176</v>
      </c>
      <c r="G142" s="39">
        <f>IFERROR(__xludf.DUMMYFUNCTION("""COMPUTED_VALUE"""),531601.581300973)</f>
        <v>531601.5813</v>
      </c>
      <c r="H142" s="39">
        <f>IFERROR(__xludf.DUMMYFUNCTION("FILTER(constraints_counts!E$2:E$76,constraints_counts!$A$2:$A$76=$B142,constraints_counts!$C$2:$C$76=$C142,constraints_counts!$D$2:$D$76=$D142)"),23089.0)</f>
        <v>23089</v>
      </c>
      <c r="I142" s="39">
        <f>IFERROR(__xludf.DUMMYFUNCTION("FILTER(constraints_counts!F$2:F$76,constraints_counts!$A$2:$A$76=B142,constraints_counts!$C$2:$C$76=C142,constraints_counts!$D$2:$D$76=D142)"),4.4009342E7)</f>
        <v>44009342</v>
      </c>
      <c r="O142" s="42"/>
    </row>
    <row r="143">
      <c r="A143" s="39" t="str">
        <f t="shared" si="1"/>
        <v>ITC-priority</v>
      </c>
      <c r="B143" s="39" t="str">
        <f>IFERROR(__xludf.DUMMYFUNCTION("""COMPUTED_VALUE"""),"priority12x3x4")</f>
        <v>priority12x3x4</v>
      </c>
      <c r="C143" s="39">
        <f>IFERROR(__xludf.DUMMYFUNCTION("""COMPUTED_VALUE"""),1.0)</f>
        <v>1</v>
      </c>
      <c r="D143" s="39">
        <f>IFERROR(__xludf.DUMMYFUNCTION("""COMPUTED_VALUE"""),1.0)</f>
        <v>1</v>
      </c>
      <c r="E143" s="39">
        <f>IFERROR(__xludf.DUMMYFUNCTION("""COMPUTED_VALUE"""),1.0)</f>
        <v>1</v>
      </c>
      <c r="F143" s="39">
        <f>IFERROR(__xludf.DUMMYFUNCTION("""COMPUTED_VALUE"""),249526.761805057)</f>
        <v>249526.7618</v>
      </c>
      <c r="G143" s="39">
        <f>IFERROR(__xludf.DUMMYFUNCTION("""COMPUTED_VALUE"""),249562.024068355)</f>
        <v>249562.0241</v>
      </c>
      <c r="H143" s="39">
        <f>IFERROR(__xludf.DUMMYFUNCTION("FILTER(constraints_counts!E$2:E$76,constraints_counts!$A$2:$A$76=$B143,constraints_counts!$C$2:$C$76=$C143,constraints_counts!$D$2:$D$76=$D143)"),24551.0)</f>
        <v>24551</v>
      </c>
      <c r="I143" s="39">
        <f>IFERROR(__xludf.DUMMYFUNCTION("FILTER(constraints_counts!F$2:F$76,constraints_counts!$A$2:$A$76=B143,constraints_counts!$C$2:$C$76=C143,constraints_counts!$D$2:$D$76=D143)"),5.4665868E7)</f>
        <v>54665868</v>
      </c>
      <c r="O143" s="42"/>
    </row>
    <row r="144">
      <c r="A144" s="39" t="str">
        <f t="shared" si="1"/>
        <v>ITC-priority</v>
      </c>
      <c r="B144" s="39" t="str">
        <f>IFERROR(__xludf.DUMMYFUNCTION("""COMPUTED_VALUE"""),"priority12x3x4")</f>
        <v>priority12x3x4</v>
      </c>
      <c r="C144" s="39">
        <f>IFERROR(__xludf.DUMMYFUNCTION("""COMPUTED_VALUE"""),1.0)</f>
        <v>1</v>
      </c>
      <c r="D144" s="39">
        <f>IFERROR(__xludf.DUMMYFUNCTION("""COMPUTED_VALUE"""),1.0)</f>
        <v>1</v>
      </c>
      <c r="E144" s="39">
        <f>IFERROR(__xludf.DUMMYFUNCTION("""COMPUTED_VALUE"""),2.0)</f>
        <v>2</v>
      </c>
      <c r="F144" s="39">
        <f>IFERROR(__xludf.DUMMYFUNCTION("""COMPUTED_VALUE"""),382427.986510276)</f>
        <v>382427.9865</v>
      </c>
      <c r="G144" s="39">
        <f>IFERROR(__xludf.DUMMYFUNCTION("""COMPUTED_VALUE"""),382453.663122892)</f>
        <v>382453.6631</v>
      </c>
      <c r="H144" s="39">
        <f>IFERROR(__xludf.DUMMYFUNCTION("FILTER(constraints_counts!E$2:E$76,constraints_counts!$A$2:$A$76=$B144,constraints_counts!$C$2:$C$76=$C144,constraints_counts!$D$2:$D$76=$D144)"),24551.0)</f>
        <v>24551</v>
      </c>
      <c r="I144" s="39">
        <f>IFERROR(__xludf.DUMMYFUNCTION("FILTER(constraints_counts!F$2:F$76,constraints_counts!$A$2:$A$76=B144,constraints_counts!$C$2:$C$76=C144,constraints_counts!$D$2:$D$76=D144)"),5.4665868E7)</f>
        <v>54665868</v>
      </c>
      <c r="O144" s="42"/>
    </row>
    <row r="145">
      <c r="A145" s="39" t="str">
        <f t="shared" si="1"/>
        <v>ITC-priority</v>
      </c>
      <c r="B145" s="39" t="str">
        <f>IFERROR(__xludf.DUMMYFUNCTION("""COMPUTED_VALUE"""),"priority12x3x4")</f>
        <v>priority12x3x4</v>
      </c>
      <c r="C145" s="39">
        <f>IFERROR(__xludf.DUMMYFUNCTION("""COMPUTED_VALUE"""),1.0)</f>
        <v>1</v>
      </c>
      <c r="D145" s="39">
        <f>IFERROR(__xludf.DUMMYFUNCTION("""COMPUTED_VALUE"""),1.0)</f>
        <v>1</v>
      </c>
      <c r="E145" s="39">
        <f>IFERROR(__xludf.DUMMYFUNCTION("""COMPUTED_VALUE"""),3.0)</f>
        <v>3</v>
      </c>
      <c r="F145" s="39">
        <f>IFERROR(__xludf.DUMMYFUNCTION("""COMPUTED_VALUE"""),290597.295782566)</f>
        <v>290597.2958</v>
      </c>
      <c r="G145" s="39">
        <f>IFERROR(__xludf.DUMMYFUNCTION("""COMPUTED_VALUE"""),290628.335658788)</f>
        <v>290628.3357</v>
      </c>
      <c r="H145" s="39">
        <f>IFERROR(__xludf.DUMMYFUNCTION("FILTER(constraints_counts!E$2:E$76,constraints_counts!$A$2:$A$76=$B145,constraints_counts!$C$2:$C$76=$C145,constraints_counts!$D$2:$D$76=$D145)"),24551.0)</f>
        <v>24551</v>
      </c>
      <c r="I145" s="39">
        <f>IFERROR(__xludf.DUMMYFUNCTION("FILTER(constraints_counts!F$2:F$76,constraints_counts!$A$2:$A$76=B145,constraints_counts!$C$2:$C$76=C145,constraints_counts!$D$2:$D$76=D145)"),5.4665868E7)</f>
        <v>54665868</v>
      </c>
      <c r="O145" s="42"/>
    </row>
    <row r="146">
      <c r="A146" s="39" t="str">
        <f t="shared" si="1"/>
        <v>ITC-priority</v>
      </c>
      <c r="B146" s="39" t="str">
        <f>IFERROR(__xludf.DUMMYFUNCTION("""COMPUTED_VALUE"""),"priority12x3x4")</f>
        <v>priority12x3x4</v>
      </c>
      <c r="C146" s="39">
        <f>IFERROR(__xludf.DUMMYFUNCTION("""COMPUTED_VALUE"""),1.0)</f>
        <v>1</v>
      </c>
      <c r="D146" s="39">
        <f>IFERROR(__xludf.DUMMYFUNCTION("""COMPUTED_VALUE"""),1.0)</f>
        <v>1</v>
      </c>
      <c r="E146" s="39">
        <f>IFERROR(__xludf.DUMMYFUNCTION("""COMPUTED_VALUE"""),4.0)</f>
        <v>4</v>
      </c>
      <c r="F146" s="39">
        <f>IFERROR(__xludf.DUMMYFUNCTION("""COMPUTED_VALUE"""),271807.097122669)</f>
        <v>271807.0971</v>
      </c>
      <c r="G146" s="39">
        <f>IFERROR(__xludf.DUMMYFUNCTION("""COMPUTED_VALUE"""),271839.112937212)</f>
        <v>271839.1129</v>
      </c>
      <c r="H146" s="39">
        <f>IFERROR(__xludf.DUMMYFUNCTION("FILTER(constraints_counts!E$2:E$76,constraints_counts!$A$2:$A$76=$B146,constraints_counts!$C$2:$C$76=$C146,constraints_counts!$D$2:$D$76=$D146)"),24551.0)</f>
        <v>24551</v>
      </c>
      <c r="I146" s="39">
        <f>IFERROR(__xludf.DUMMYFUNCTION("FILTER(constraints_counts!F$2:F$76,constraints_counts!$A$2:$A$76=B146,constraints_counts!$C$2:$C$76=C146,constraints_counts!$D$2:$D$76=D146)"),5.4665868E7)</f>
        <v>54665868</v>
      </c>
      <c r="O146" s="42"/>
    </row>
    <row r="147">
      <c r="A147" s="39" t="str">
        <f t="shared" si="1"/>
        <v>ITC-priority</v>
      </c>
      <c r="B147" s="39" t="str">
        <f>IFERROR(__xludf.DUMMYFUNCTION("""COMPUTED_VALUE"""),"priority12x3x4")</f>
        <v>priority12x3x4</v>
      </c>
      <c r="C147" s="39">
        <f>IFERROR(__xludf.DUMMYFUNCTION("""COMPUTED_VALUE"""),1.0)</f>
        <v>1</v>
      </c>
      <c r="D147" s="39">
        <f>IFERROR(__xludf.DUMMYFUNCTION("""COMPUTED_VALUE"""),1.0)</f>
        <v>1</v>
      </c>
      <c r="E147" s="39">
        <f>IFERROR(__xludf.DUMMYFUNCTION("""COMPUTED_VALUE"""),5.0)</f>
        <v>5</v>
      </c>
      <c r="F147" s="39">
        <f>IFERROR(__xludf.DUMMYFUNCTION("""COMPUTED_VALUE"""),248278.498148679)</f>
        <v>248278.4981</v>
      </c>
      <c r="G147" s="39">
        <f>IFERROR(__xludf.DUMMYFUNCTION("""COMPUTED_VALUE"""),248316.815762519)</f>
        <v>248316.8158</v>
      </c>
      <c r="H147" s="39">
        <f>IFERROR(__xludf.DUMMYFUNCTION("FILTER(constraints_counts!E$2:E$76,constraints_counts!$A$2:$A$76=$B147,constraints_counts!$C$2:$C$76=$C147,constraints_counts!$D$2:$D$76=$D147)"),24551.0)</f>
        <v>24551</v>
      </c>
      <c r="I147" s="39">
        <f>IFERROR(__xludf.DUMMYFUNCTION("FILTER(constraints_counts!F$2:F$76,constraints_counts!$A$2:$A$76=B147,constraints_counts!$C$2:$C$76=C147,constraints_counts!$D$2:$D$76=D147)"),5.4665868E7)</f>
        <v>54665868</v>
      </c>
      <c r="O147" s="42"/>
    </row>
    <row r="148">
      <c r="A148" s="39" t="str">
        <f t="shared" si="1"/>
        <v>ITC-priority</v>
      </c>
      <c r="B148" s="39" t="str">
        <f>IFERROR(__xludf.DUMMYFUNCTION("""COMPUTED_VALUE"""),"priority12x3x4")</f>
        <v>priority12x3x4</v>
      </c>
      <c r="C148" s="39">
        <f>IFERROR(__xludf.DUMMYFUNCTION("""COMPUTED_VALUE"""),1.0)</f>
        <v>1</v>
      </c>
      <c r="D148" s="39">
        <f>IFERROR(__xludf.DUMMYFUNCTION("""COMPUTED_VALUE"""),1.0)</f>
        <v>1</v>
      </c>
      <c r="E148" s="39">
        <f>IFERROR(__xludf.DUMMYFUNCTION("""COMPUTED_VALUE"""),6.0)</f>
        <v>6</v>
      </c>
      <c r="F148" s="39">
        <f>IFERROR(__xludf.DUMMYFUNCTION("""COMPUTED_VALUE"""),252316.944482326)</f>
        <v>252316.9445</v>
      </c>
      <c r="G148" s="39">
        <f>IFERROR(__xludf.DUMMYFUNCTION("""COMPUTED_VALUE"""),252350.442779064)</f>
        <v>252350.4428</v>
      </c>
      <c r="H148" s="39">
        <f>IFERROR(__xludf.DUMMYFUNCTION("FILTER(constraints_counts!E$2:E$76,constraints_counts!$A$2:$A$76=$B148,constraints_counts!$C$2:$C$76=$C148,constraints_counts!$D$2:$D$76=$D148)"),24551.0)</f>
        <v>24551</v>
      </c>
      <c r="I148" s="39">
        <f>IFERROR(__xludf.DUMMYFUNCTION("FILTER(constraints_counts!F$2:F$76,constraints_counts!$A$2:$A$76=B148,constraints_counts!$C$2:$C$76=C148,constraints_counts!$D$2:$D$76=D148)"),5.4665868E7)</f>
        <v>54665868</v>
      </c>
      <c r="O148" s="42"/>
    </row>
    <row r="149">
      <c r="A149" s="39" t="str">
        <f t="shared" si="1"/>
        <v>ITC-priority</v>
      </c>
      <c r="B149" s="39" t="str">
        <f>IFERROR(__xludf.DUMMYFUNCTION("""COMPUTED_VALUE"""),"priority12x3x4")</f>
        <v>priority12x3x4</v>
      </c>
      <c r="C149" s="39">
        <f>IFERROR(__xludf.DUMMYFUNCTION("""COMPUTED_VALUE"""),1.0)</f>
        <v>1</v>
      </c>
      <c r="D149" s="39">
        <f>IFERROR(__xludf.DUMMYFUNCTION("""COMPUTED_VALUE"""),1.0)</f>
        <v>1</v>
      </c>
      <c r="E149" s="39">
        <f>IFERROR(__xludf.DUMMYFUNCTION("""COMPUTED_VALUE"""),7.0)</f>
        <v>7</v>
      </c>
      <c r="F149" s="39">
        <f>IFERROR(__xludf.DUMMYFUNCTION("""COMPUTED_VALUE"""),744099.496178388)</f>
        <v>744099.4962</v>
      </c>
      <c r="G149" s="39">
        <f>IFERROR(__xludf.DUMMYFUNCTION("""COMPUTED_VALUE"""),744161.06334877)</f>
        <v>744161.0633</v>
      </c>
      <c r="H149" s="39">
        <f>IFERROR(__xludf.DUMMYFUNCTION("FILTER(constraints_counts!E$2:E$76,constraints_counts!$A$2:$A$76=$B149,constraints_counts!$C$2:$C$76=$C149,constraints_counts!$D$2:$D$76=$D149)"),24551.0)</f>
        <v>24551</v>
      </c>
      <c r="I149" s="39">
        <f>IFERROR(__xludf.DUMMYFUNCTION("FILTER(constraints_counts!F$2:F$76,constraints_counts!$A$2:$A$76=B149,constraints_counts!$C$2:$C$76=C149,constraints_counts!$D$2:$D$76=D149)"),5.4665868E7)</f>
        <v>54665868</v>
      </c>
      <c r="O149" s="42"/>
    </row>
    <row r="150">
      <c r="A150" s="39" t="str">
        <f t="shared" si="1"/>
        <v>ITC-priority</v>
      </c>
      <c r="B150" s="39" t="str">
        <f>IFERROR(__xludf.DUMMYFUNCTION("""COMPUTED_VALUE"""),"priority12x3x4")</f>
        <v>priority12x3x4</v>
      </c>
      <c r="C150" s="39">
        <f>IFERROR(__xludf.DUMMYFUNCTION("""COMPUTED_VALUE"""),1.0)</f>
        <v>1</v>
      </c>
      <c r="D150" s="39">
        <f>IFERROR(__xludf.DUMMYFUNCTION("""COMPUTED_VALUE"""),1.0)</f>
        <v>1</v>
      </c>
      <c r="E150" s="39">
        <f>IFERROR(__xludf.DUMMYFUNCTION("""COMPUTED_VALUE"""),8.0)</f>
        <v>8</v>
      </c>
      <c r="F150" s="39">
        <f>IFERROR(__xludf.DUMMYFUNCTION("""COMPUTED_VALUE"""),667272.866902589)</f>
        <v>667272.8669</v>
      </c>
      <c r="G150" s="39">
        <f>IFERROR(__xludf.DUMMYFUNCTION("""COMPUTED_VALUE"""),667348.306070327)</f>
        <v>667348.3061</v>
      </c>
      <c r="H150" s="39">
        <f>IFERROR(__xludf.DUMMYFUNCTION("FILTER(constraints_counts!E$2:E$76,constraints_counts!$A$2:$A$76=$B150,constraints_counts!$C$2:$C$76=$C150,constraints_counts!$D$2:$D$76=$D150)"),24551.0)</f>
        <v>24551</v>
      </c>
      <c r="I150" s="39">
        <f>IFERROR(__xludf.DUMMYFUNCTION("FILTER(constraints_counts!F$2:F$76,constraints_counts!$A$2:$A$76=B150,constraints_counts!$C$2:$C$76=C150,constraints_counts!$D$2:$D$76=D150)"),5.4665868E7)</f>
        <v>54665868</v>
      </c>
      <c r="O150" s="42"/>
    </row>
    <row r="151">
      <c r="A151" s="43" t="str">
        <f t="shared" si="1"/>
        <v>ITC-priority</v>
      </c>
      <c r="B151" s="39" t="str">
        <f>IFERROR(__xludf.DUMMYFUNCTION("""COMPUTED_VALUE"""),"priority12x3x4")</f>
        <v>priority12x3x4</v>
      </c>
      <c r="C151" s="39">
        <f>IFERROR(__xludf.DUMMYFUNCTION("""COMPUTED_VALUE"""),1.0)</f>
        <v>1</v>
      </c>
      <c r="D151" s="39">
        <f>IFERROR(__xludf.DUMMYFUNCTION("""COMPUTED_VALUE"""),1.0)</f>
        <v>1</v>
      </c>
      <c r="E151" s="39">
        <f>IFERROR(__xludf.DUMMYFUNCTION("""COMPUTED_VALUE"""),9.0)</f>
        <v>9</v>
      </c>
      <c r="F151" s="39">
        <f>IFERROR(__xludf.DUMMYFUNCTION("""COMPUTED_VALUE"""),662786.697679758)</f>
        <v>662786.6977</v>
      </c>
      <c r="G151" s="39">
        <f>IFERROR(__xludf.DUMMYFUNCTION("""COMPUTED_VALUE"""),662858.93170619)</f>
        <v>662858.9317</v>
      </c>
      <c r="H151" s="39">
        <f>IFERROR(__xludf.DUMMYFUNCTION("FILTER(constraints_counts!E$2:E$76,constraints_counts!$A$2:$A$76=$B151,constraints_counts!$C$2:$C$76=$C151,constraints_counts!$D$2:$D$76=$D151)"),24551.0)</f>
        <v>24551</v>
      </c>
      <c r="I151" s="39">
        <f>IFERROR(__xludf.DUMMYFUNCTION("FILTER(constraints_counts!F$2:F$76,constraints_counts!$A$2:$A$76=B151,constraints_counts!$C$2:$C$76=C151,constraints_counts!$D$2:$D$76=D151)"),5.4665868E7)</f>
        <v>54665868</v>
      </c>
      <c r="O151" s="42"/>
    </row>
    <row r="152">
      <c r="A152" s="43" t="str">
        <f t="shared" si="1"/>
        <v>ITC-priority</v>
      </c>
      <c r="B152" s="39" t="str">
        <f>IFERROR(__xludf.DUMMYFUNCTION("""COMPUTED_VALUE"""),"priority12x3x4")</f>
        <v>priority12x3x4</v>
      </c>
      <c r="C152" s="39">
        <f>IFERROR(__xludf.DUMMYFUNCTION("""COMPUTED_VALUE"""),1.0)</f>
        <v>1</v>
      </c>
      <c r="D152" s="39">
        <f>IFERROR(__xludf.DUMMYFUNCTION("""COMPUTED_VALUE"""),1.0)</f>
        <v>1</v>
      </c>
      <c r="E152" s="39">
        <f>IFERROR(__xludf.DUMMYFUNCTION("""COMPUTED_VALUE"""),10.0)</f>
        <v>10</v>
      </c>
      <c r="F152" s="39">
        <f>IFERROR(__xludf.DUMMYFUNCTION("""COMPUTED_VALUE"""),359500.074583292)</f>
        <v>359500.0746</v>
      </c>
      <c r="G152" s="39">
        <f>IFERROR(__xludf.DUMMYFUNCTION("""COMPUTED_VALUE"""),359525.286989688)</f>
        <v>359525.287</v>
      </c>
      <c r="H152" s="39">
        <f>IFERROR(__xludf.DUMMYFUNCTION("FILTER(constraints_counts!E$2:E$76,constraints_counts!$A$2:$A$76=$B152,constraints_counts!$C$2:$C$76=$C152,constraints_counts!$D$2:$D$76=$D152)"),24551.0)</f>
        <v>24551</v>
      </c>
      <c r="I152" s="39">
        <f>IFERROR(__xludf.DUMMYFUNCTION("FILTER(constraints_counts!F$2:F$76,constraints_counts!$A$2:$A$76=B152,constraints_counts!$C$2:$C$76=C152,constraints_counts!$D$2:$D$76=D152)"),5.4665868E7)</f>
        <v>54665868</v>
      </c>
      <c r="O152" s="42"/>
    </row>
  </sheetData>
  <mergeCells count="2">
    <mergeCell ref="A1:I1"/>
    <mergeCell ref="K1: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27.63"/>
    <col customWidth="1" min="9" max="9" width="4.63"/>
    <col customWidth="1" min="22" max="22" width="5.0"/>
    <col customWidth="1" min="23" max="23" width="3.63"/>
  </cols>
  <sheetData>
    <row r="1">
      <c r="A1" s="44"/>
      <c r="B1" s="35" t="s">
        <v>777</v>
      </c>
      <c r="J1" s="34"/>
      <c r="K1" s="34" t="s">
        <v>789</v>
      </c>
    </row>
    <row r="2">
      <c r="A2" s="46">
        <f t="shared" ref="A2:A201" si="1">IF(B2="ITC-state",5,IF(B2="ITC-priority",4,IF(B2="ITC-category",3,IF(B2="CTC",2,1))))</f>
        <v>5</v>
      </c>
      <c r="B2" s="43" t="str">
        <f t="shared" ref="B2:B201" si="2">IF(C2="awaitingsml","ITC-state",IF(C2="easycategs","ITC-category",IF(C2="priority12x3x4","ITC-priority",IF(C2="kmeans","CTC",IF(C2="kmeans-iter","CTC-ITER",NA())))))</f>
        <v>ITC-state</v>
      </c>
      <c r="J2" s="26" t="s">
        <v>0</v>
      </c>
      <c r="K2" s="26" t="s">
        <v>790</v>
      </c>
      <c r="L2" s="26" t="s">
        <v>778</v>
      </c>
      <c r="M2" s="48" t="s">
        <v>779</v>
      </c>
      <c r="N2" s="48" t="s">
        <v>780</v>
      </c>
      <c r="O2" s="48" t="s">
        <v>4</v>
      </c>
      <c r="P2" s="35" t="s">
        <v>791</v>
      </c>
      <c r="Q2" s="49" t="s">
        <v>792</v>
      </c>
      <c r="R2" s="49" t="s">
        <v>793</v>
      </c>
      <c r="S2" s="49" t="s">
        <v>794</v>
      </c>
      <c r="T2" s="49" t="s">
        <v>795</v>
      </c>
      <c r="U2" s="49" t="s">
        <v>796</v>
      </c>
      <c r="W2" s="35" t="s">
        <v>4</v>
      </c>
      <c r="X2" s="45" t="str">
        <f>IFERROR(__xludf.DUMMYFUNCTION("TRANSPOSE(UNIQUE(K3:K202))"),"CTC-ITER")</f>
        <v>CTC-ITER</v>
      </c>
      <c r="Y2" s="45" t="str">
        <f>IFERROR(__xludf.DUMMYFUNCTION("""COMPUTED_VALUE"""),"CTC")</f>
        <v>CTC</v>
      </c>
      <c r="Z2" s="45" t="str">
        <f>IFERROR(__xludf.DUMMYFUNCTION("""COMPUTED_VALUE"""),"ITC-category")</f>
        <v>ITC-category</v>
      </c>
      <c r="AA2" s="45" t="str">
        <f>IFERROR(__xludf.DUMMYFUNCTION("""COMPUTED_VALUE"""),"ITC-priority")</f>
        <v>ITC-priority</v>
      </c>
      <c r="AB2" s="45" t="str">
        <f>IFERROR(__xludf.DUMMYFUNCTION("""COMPUTED_VALUE"""),"ITC-state")</f>
        <v>ITC-state</v>
      </c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>
      <c r="A3" s="46">
        <f t="shared" si="1"/>
        <v>5</v>
      </c>
      <c r="B3" s="43" t="str">
        <f t="shared" si="2"/>
        <v>ITC-state</v>
      </c>
      <c r="J3" s="39">
        <f>IFERROR(__xludf.DUMMYFUNCTION("SORT(UNIQUE(A2:F202),1,TRUE)"),1.0)</f>
        <v>1</v>
      </c>
      <c r="K3" t="str">
        <f>IFERROR(__xludf.DUMMYFUNCTION("""COMPUTED_VALUE"""),"CTC-ITER")</f>
        <v>CTC-ITER</v>
      </c>
      <c r="L3" s="39" t="str">
        <f>IFERROR(__xludf.DUMMYFUNCTION("""COMPUTED_VALUE"""),"kmeans-iter")</f>
        <v>kmeans-iter</v>
      </c>
      <c r="M3" s="39">
        <f>IFERROR(__xludf.DUMMYFUNCTION("""COMPUTED_VALUE"""),0.0)</f>
        <v>0</v>
      </c>
      <c r="N3" s="39">
        <f>IFERROR(__xludf.DUMMYFUNCTION("""COMPUTED_VALUE"""),0.0)</f>
        <v>0</v>
      </c>
      <c r="O3" s="39">
        <f>IFERROR(__xludf.DUMMYFUNCTION("""COMPUTED_VALUE"""),1.0)</f>
        <v>1</v>
      </c>
      <c r="P3" s="39">
        <f>IFERROR(__xludf.DUMMYFUNCTION("COUNT(FILTER(H:H,B:B=K3,D:D=M3,E:E=N3,F:F=O3))"),5.0)</f>
        <v>5</v>
      </c>
      <c r="Q3" s="47">
        <f>IFERROR(__xludf.DUMMYFUNCTION("AVERAGE(FILTER(H:H,B:B=K3,D:D=M3,E:E=N3,F:F=O3))"),0.6245779964422209)</f>
        <v>0.6245779964</v>
      </c>
      <c r="R3" s="47">
        <f>IFERROR(__xludf.DUMMYFUNCTION("MIN(FILTER(H:H,B:B=K3,D:D=M3,E:E=N3,F:F=O3))"),0.0446210941659551)</f>
        <v>0.04462109417</v>
      </c>
      <c r="S3" s="47">
        <f>IFERROR(__xludf.DUMMYFUNCTION("MAX(FILTER(H:H,B:B=K3,D:D=M3,E:E=N3,F:F=O3))"),0.789207519381099)</f>
        <v>0.7892075194</v>
      </c>
      <c r="T3" s="39">
        <f>IFERROR(__xludf.DUMMYFUNCTION("QUARTILE(FILTER(H:H,B:B=K3,D:D=M3,E:E=N3,F:F=O3),1)"),0.760221667041484)</f>
        <v>0.760221667</v>
      </c>
      <c r="U3" s="39">
        <f>IFERROR(__xludf.DUMMYFUNCTION("QUARTILE(FILTER(H:H,B:B=K3,D:D=M3,E:E=N3,F:F=O3),3)"),0.764774222587685)</f>
        <v>0.7647742226</v>
      </c>
      <c r="W3" s="39">
        <f t="shared" ref="W3:W42" si="4">O3</f>
        <v>1</v>
      </c>
      <c r="X3" s="47">
        <f t="shared" ref="X3:X42" si="5">IF(X$2=$K3,$Q3,NA())</f>
        <v>0.6245779964</v>
      </c>
      <c r="Y3" s="39" t="str">
        <f t="shared" ref="Y3:AB3" si="3">IF(Y$2=$J3,$Q3,NA())</f>
        <v>#N/A</v>
      </c>
      <c r="Z3" s="39" t="str">
        <f t="shared" si="3"/>
        <v>#N/A</v>
      </c>
      <c r="AA3" s="39" t="str">
        <f t="shared" si="3"/>
        <v>#N/A</v>
      </c>
      <c r="AB3" s="39" t="str">
        <f t="shared" si="3"/>
        <v>#N/A</v>
      </c>
    </row>
    <row r="4">
      <c r="A4" s="46">
        <f t="shared" si="1"/>
        <v>5</v>
      </c>
      <c r="B4" s="43" t="str">
        <f t="shared" si="2"/>
        <v>ITC-state</v>
      </c>
      <c r="J4" s="39">
        <f>IFERROR(__xludf.DUMMYFUNCTION("""COMPUTED_VALUE"""),2.0)</f>
        <v>2</v>
      </c>
      <c r="K4" s="39" t="str">
        <f>IFERROR(__xludf.DUMMYFUNCTION("""COMPUTED_VALUE"""),"CTC")</f>
        <v>CTC</v>
      </c>
      <c r="L4" s="39" t="str">
        <f>IFERROR(__xludf.DUMMYFUNCTION("""COMPUTED_VALUE"""),"kmeans")</f>
        <v>kmeans</v>
      </c>
      <c r="M4" s="39">
        <f>IFERROR(__xludf.DUMMYFUNCTION("""COMPUTED_VALUE"""),0.0)</f>
        <v>0</v>
      </c>
      <c r="N4" s="39">
        <f>IFERROR(__xludf.DUMMYFUNCTION("""COMPUTED_VALUE"""),0.0)</f>
        <v>0</v>
      </c>
      <c r="O4" s="39">
        <f>IFERROR(__xludf.DUMMYFUNCTION("""COMPUTED_VALUE"""),2.0)</f>
        <v>2</v>
      </c>
      <c r="P4" s="39">
        <f>IFERROR(__xludf.DUMMYFUNCTION("COUNT(FILTER(H:H,B:B=K4,D:D=M4,E:E=N4,F:F=O4))"),5.0)</f>
        <v>5</v>
      </c>
      <c r="Q4" s="47">
        <f>IFERROR(__xludf.DUMMYFUNCTION("AVERAGE(FILTER(H:H,B:B=K4,D:D=M4,E:E=N4,F:F=O4))"),0.6210353269916786)</f>
        <v>0.621035327</v>
      </c>
      <c r="R4" s="47">
        <f>IFERROR(__xludf.DUMMYFUNCTION("MIN(FILTER(H:H,B:B=K4,D:D=M4,E:E=N4,F:F=O4))"),0.0452799104937451)</f>
        <v>0.04527991049</v>
      </c>
      <c r="S4" s="47">
        <f>IFERROR(__xludf.DUMMYFUNCTION("MAX(FILTER(H:H,B:B=K4,D:D=M4,E:E=N4,F:F=O4))"),0.789224602700892)</f>
        <v>0.7892246027</v>
      </c>
      <c r="T4" s="39">
        <f>IFERROR(__xludf.DUMMYFUNCTION("QUARTILE(FILTER(H:H,B:B=K4,D:D=M4,E:E=N4,F:F=O4),1)"),0.745274560813746)</f>
        <v>0.7452745608</v>
      </c>
      <c r="U4" s="39">
        <f>IFERROR(__xludf.DUMMYFUNCTION("QUARTILE(FILTER(H:H,B:B=K4,D:D=M4,E:E=N4,F:F=O4),3)"),0.765594436966386)</f>
        <v>0.765594437</v>
      </c>
      <c r="W4" s="39">
        <f t="shared" si="4"/>
        <v>2</v>
      </c>
      <c r="X4" s="39" t="str">
        <f t="shared" si="5"/>
        <v>#N/A</v>
      </c>
      <c r="Y4" s="47">
        <f t="shared" ref="Y4:AB4" si="6">IF(Y$2=$K4,$Q4,NA())</f>
        <v>0.621035327</v>
      </c>
      <c r="Z4" s="39" t="str">
        <f t="shared" si="6"/>
        <v>#N/A</v>
      </c>
      <c r="AA4" s="39" t="str">
        <f t="shared" si="6"/>
        <v>#N/A</v>
      </c>
      <c r="AB4" s="39" t="str">
        <f t="shared" si="6"/>
        <v>#N/A</v>
      </c>
    </row>
    <row r="5">
      <c r="A5" s="46">
        <f t="shared" si="1"/>
        <v>5</v>
      </c>
      <c r="B5" s="43" t="str">
        <f t="shared" si="2"/>
        <v>ITC-state</v>
      </c>
      <c r="J5" s="39">
        <f>IFERROR(__xludf.DUMMYFUNCTION("""COMPUTED_VALUE"""),2.0)</f>
        <v>2</v>
      </c>
      <c r="K5" s="39" t="str">
        <f>IFERROR(__xludf.DUMMYFUNCTION("""COMPUTED_VALUE"""),"CTC")</f>
        <v>CTC</v>
      </c>
      <c r="L5" s="39" t="str">
        <f>IFERROR(__xludf.DUMMYFUNCTION("""COMPUTED_VALUE"""),"kmeans")</f>
        <v>kmeans</v>
      </c>
      <c r="M5" s="39">
        <f>IFERROR(__xludf.DUMMYFUNCTION("""COMPUTED_VALUE"""),0.0)</f>
        <v>0</v>
      </c>
      <c r="N5" s="39">
        <f>IFERROR(__xludf.DUMMYFUNCTION("""COMPUTED_VALUE"""),0.0)</f>
        <v>0</v>
      </c>
      <c r="O5" s="39">
        <f>IFERROR(__xludf.DUMMYFUNCTION("""COMPUTED_VALUE"""),3.0)</f>
        <v>3</v>
      </c>
      <c r="P5" s="39">
        <f>IFERROR(__xludf.DUMMYFUNCTION("COUNT(FILTER(H:H,B:B=K5,D:D=M5,E:E=N5,F:F=O5))"),5.0)</f>
        <v>5</v>
      </c>
      <c r="Q5" s="47">
        <f>IFERROR(__xludf.DUMMYFUNCTION("AVERAGE(FILTER(H:H,B:B=K5,D:D=M5,E:E=N5,F:F=O5))"),0.6136725716607296)</f>
        <v>0.6136725717</v>
      </c>
      <c r="R5" s="47">
        <f>IFERROR(__xludf.DUMMYFUNCTION("MIN(FILTER(H:H,B:B=K5,D:D=M5,E:E=N5,F:F=O5))"),0.0393627915428402)</f>
        <v>0.03936279154</v>
      </c>
      <c r="S5" s="47">
        <f>IFERROR(__xludf.DUMMYFUNCTION("MAX(FILTER(H:H,B:B=K5,D:D=M5,E:E=N5,F:F=O5))"),0.789217754796202)</f>
        <v>0.7892177548</v>
      </c>
      <c r="T5" s="39">
        <f>IFERROR(__xludf.DUMMYFUNCTION("QUARTILE(FILTER(H:H,B:B=K5,D:D=M5,E:E=N5,F:F=O5),1)"),0.713604585977239)</f>
        <v>0.713604586</v>
      </c>
      <c r="U5" s="39">
        <f>IFERROR(__xludf.DUMMYFUNCTION("QUARTILE(FILTER(H:H,B:B=K5,D:D=M5,E:E=N5,F:F=O5),3)"),0.7644789629097)</f>
        <v>0.7644789629</v>
      </c>
      <c r="W5" s="39">
        <f t="shared" si="4"/>
        <v>3</v>
      </c>
      <c r="X5" s="39" t="str">
        <f t="shared" si="5"/>
        <v>#N/A</v>
      </c>
      <c r="Y5" s="47">
        <f t="shared" ref="Y5:AB5" si="7">IF(Y$2=$K5,$Q5,NA())</f>
        <v>0.6136725717</v>
      </c>
      <c r="Z5" s="39" t="str">
        <f t="shared" si="7"/>
        <v>#N/A</v>
      </c>
      <c r="AA5" s="39" t="str">
        <f t="shared" si="7"/>
        <v>#N/A</v>
      </c>
      <c r="AB5" s="39" t="str">
        <f t="shared" si="7"/>
        <v>#N/A</v>
      </c>
    </row>
    <row r="6">
      <c r="A6" s="46">
        <f t="shared" si="1"/>
        <v>5</v>
      </c>
      <c r="B6" s="43" t="str">
        <f t="shared" si="2"/>
        <v>ITC-state</v>
      </c>
      <c r="J6" s="39">
        <f>IFERROR(__xludf.DUMMYFUNCTION("""COMPUTED_VALUE"""),2.0)</f>
        <v>2</v>
      </c>
      <c r="K6" s="39" t="str">
        <f>IFERROR(__xludf.DUMMYFUNCTION("""COMPUTED_VALUE"""),"CTC")</f>
        <v>CTC</v>
      </c>
      <c r="L6" s="39" t="str">
        <f>IFERROR(__xludf.DUMMYFUNCTION("""COMPUTED_VALUE"""),"kmeans")</f>
        <v>kmeans</v>
      </c>
      <c r="M6" s="39">
        <f>IFERROR(__xludf.DUMMYFUNCTION("""COMPUTED_VALUE"""),0.0)</f>
        <v>0</v>
      </c>
      <c r="N6" s="39">
        <f>IFERROR(__xludf.DUMMYFUNCTION("""COMPUTED_VALUE"""),0.0)</f>
        <v>0</v>
      </c>
      <c r="O6" s="39">
        <f>IFERROR(__xludf.DUMMYFUNCTION("""COMPUTED_VALUE"""),4.0)</f>
        <v>4</v>
      </c>
      <c r="P6" s="39">
        <f>IFERROR(__xludf.DUMMYFUNCTION("COUNT(FILTER(H:H,B:B=K6,D:D=M6,E:E=N6,F:F=O6))"),5.0)</f>
        <v>5</v>
      </c>
      <c r="Q6" s="47">
        <f>IFERROR(__xludf.DUMMYFUNCTION("AVERAGE(FILTER(H:H,B:B=K6,D:D=M6,E:E=N6,F:F=O6))"),0.6194326332732853)</f>
        <v>0.6194326333</v>
      </c>
      <c r="R6" s="47">
        <f>IFERROR(__xludf.DUMMYFUNCTION("MIN(FILTER(H:H,B:B=K6,D:D=M6,E:E=N6,F:F=O6))"),0.0611812739330086)</f>
        <v>0.06118127393</v>
      </c>
      <c r="S6" s="47">
        <f>IFERROR(__xludf.DUMMYFUNCTION("MAX(FILTER(H:H,B:B=K6,D:D=M6,E:E=N6,F:F=O6))"),0.799216396002928)</f>
        <v>0.799216396</v>
      </c>
      <c r="T6" s="39">
        <f>IFERROR(__xludf.DUMMYFUNCTION("QUARTILE(FILTER(H:H,B:B=K6,D:D=M6,E:E=N6,F:F=O6),1)"),0.711048400334964)</f>
        <v>0.7110484003</v>
      </c>
      <c r="U6" s="39">
        <f>IFERROR(__xludf.DUMMYFUNCTION("QUARTILE(FILTER(H:H,B:B=K6,D:D=M6,E:E=N6,F:F=O6),3)"),0.764710431533)</f>
        <v>0.7647104315</v>
      </c>
      <c r="W6" s="39">
        <f t="shared" si="4"/>
        <v>4</v>
      </c>
      <c r="X6" s="39" t="str">
        <f t="shared" si="5"/>
        <v>#N/A</v>
      </c>
      <c r="Y6" s="47">
        <f t="shared" ref="Y6:AB6" si="8">IF(Y$2=$K6,$Q6,NA())</f>
        <v>0.6194326333</v>
      </c>
      <c r="Z6" s="39" t="str">
        <f t="shared" si="8"/>
        <v>#N/A</v>
      </c>
      <c r="AA6" s="39" t="str">
        <f t="shared" si="8"/>
        <v>#N/A</v>
      </c>
      <c r="AB6" s="39" t="str">
        <f t="shared" si="8"/>
        <v>#N/A</v>
      </c>
    </row>
    <row r="7">
      <c r="A7" s="46">
        <f t="shared" si="1"/>
        <v>5</v>
      </c>
      <c r="B7" s="43" t="str">
        <f t="shared" si="2"/>
        <v>ITC-state</v>
      </c>
      <c r="J7" s="39">
        <f>IFERROR(__xludf.DUMMYFUNCTION("""COMPUTED_VALUE"""),2.0)</f>
        <v>2</v>
      </c>
      <c r="K7" s="39" t="str">
        <f>IFERROR(__xludf.DUMMYFUNCTION("""COMPUTED_VALUE"""),"CTC")</f>
        <v>CTC</v>
      </c>
      <c r="L7" s="39" t="str">
        <f>IFERROR(__xludf.DUMMYFUNCTION("""COMPUTED_VALUE"""),"kmeans")</f>
        <v>kmeans</v>
      </c>
      <c r="M7" s="39">
        <f>IFERROR(__xludf.DUMMYFUNCTION("""COMPUTED_VALUE"""),0.0)</f>
        <v>0</v>
      </c>
      <c r="N7" s="39">
        <f>IFERROR(__xludf.DUMMYFUNCTION("""COMPUTED_VALUE"""),0.0)</f>
        <v>0</v>
      </c>
      <c r="O7" s="39">
        <f>IFERROR(__xludf.DUMMYFUNCTION("""COMPUTED_VALUE"""),5.0)</f>
        <v>5</v>
      </c>
      <c r="P7" s="39">
        <f>IFERROR(__xludf.DUMMYFUNCTION("COUNT(FILTER(H:H,B:B=K7,D:D=M7,E:E=N7,F:F=O7))"),5.0)</f>
        <v>5</v>
      </c>
      <c r="Q7" s="47">
        <f>IFERROR(__xludf.DUMMYFUNCTION("AVERAGE(FILTER(H:H,B:B=K7,D:D=M7,E:E=N7,F:F=O7))"),0.6136725716607296)</f>
        <v>0.6136725717</v>
      </c>
      <c r="R7" s="47">
        <f>IFERROR(__xludf.DUMMYFUNCTION("MIN(FILTER(H:H,B:B=K7,D:D=M7,E:E=N7,F:F=O7))"),0.0393627915428402)</f>
        <v>0.03936279154</v>
      </c>
      <c r="S7" s="47">
        <f>IFERROR(__xludf.DUMMYFUNCTION("MAX(FILTER(H:H,B:B=K7,D:D=M7,E:E=N7,F:F=O7))"),0.789217754796202)</f>
        <v>0.7892177548</v>
      </c>
      <c r="T7" s="39">
        <f>IFERROR(__xludf.DUMMYFUNCTION("QUARTILE(FILTER(H:H,B:B=K7,D:D=M7,E:E=N7,F:F=O7),1)"),0.713604585977239)</f>
        <v>0.713604586</v>
      </c>
      <c r="U7" s="39">
        <f>IFERROR(__xludf.DUMMYFUNCTION("QUARTILE(FILTER(H:H,B:B=K7,D:D=M7,E:E=N7,F:F=O7),3)"),0.7644789629097)</f>
        <v>0.7644789629</v>
      </c>
      <c r="W7" s="39">
        <f t="shared" si="4"/>
        <v>5</v>
      </c>
      <c r="X7" s="39" t="str">
        <f t="shared" si="5"/>
        <v>#N/A</v>
      </c>
      <c r="Y7" s="47">
        <f t="shared" ref="Y7:AB7" si="9">IF(Y$2=$K7,$Q7,NA())</f>
        <v>0.6136725717</v>
      </c>
      <c r="Z7" s="39" t="str">
        <f t="shared" si="9"/>
        <v>#N/A</v>
      </c>
      <c r="AA7" s="39" t="str">
        <f t="shared" si="9"/>
        <v>#N/A</v>
      </c>
      <c r="AB7" s="39" t="str">
        <f t="shared" si="9"/>
        <v>#N/A</v>
      </c>
    </row>
    <row r="8">
      <c r="A8" s="46">
        <f t="shared" si="1"/>
        <v>5</v>
      </c>
      <c r="B8" s="43" t="str">
        <f t="shared" si="2"/>
        <v>ITC-state</v>
      </c>
      <c r="J8" s="39">
        <f>IFERROR(__xludf.DUMMYFUNCTION("""COMPUTED_VALUE"""),2.0)</f>
        <v>2</v>
      </c>
      <c r="K8" s="39" t="str">
        <f>IFERROR(__xludf.DUMMYFUNCTION("""COMPUTED_VALUE"""),"CTC")</f>
        <v>CTC</v>
      </c>
      <c r="L8" s="39" t="str">
        <f>IFERROR(__xludf.DUMMYFUNCTION("""COMPUTED_VALUE"""),"kmeans")</f>
        <v>kmeans</v>
      </c>
      <c r="M8" s="39">
        <f>IFERROR(__xludf.DUMMYFUNCTION("""COMPUTED_VALUE"""),0.0)</f>
        <v>0</v>
      </c>
      <c r="N8" s="39">
        <f>IFERROR(__xludf.DUMMYFUNCTION("""COMPUTED_VALUE"""),0.0)</f>
        <v>0</v>
      </c>
      <c r="O8" s="39">
        <f>IFERROR(__xludf.DUMMYFUNCTION("""COMPUTED_VALUE"""),6.0)</f>
        <v>6</v>
      </c>
      <c r="P8" s="39">
        <f>IFERROR(__xludf.DUMMYFUNCTION("COUNT(FILTER(H:H,B:B=K8,D:D=M8,E:E=N8,F:F=O8))"),5.0)</f>
        <v>5</v>
      </c>
      <c r="Q8" s="47">
        <f>IFERROR(__xludf.DUMMYFUNCTION("AVERAGE(FILTER(H:H,B:B=K8,D:D=M8,E:E=N8,F:F=O8))"),0.6374207623156789)</f>
        <v>0.6374207623</v>
      </c>
      <c r="R8" s="47">
        <f>IFERROR(__xludf.DUMMYFUNCTION("MIN(FILTER(H:H,B:B=K8,D:D=M8,E:E=N8,F:F=O8))"),0.0448682391488601)</f>
        <v>0.04486823915</v>
      </c>
      <c r="S8" s="47">
        <f>IFERROR(__xludf.DUMMYFUNCTION("MAX(FILTER(H:H,B:B=K8,D:D=M8,E:E=N8,F:F=O8))"),0.82874623791087)</f>
        <v>0.8287462379</v>
      </c>
      <c r="T8" s="39">
        <f>IFERROR(__xludf.DUMMYFUNCTION("QUARTILE(FILTER(H:H,B:B=K8,D:D=M8,E:E=N8,F:F=O8),1)"),0.760000982256521)</f>
        <v>0.7600009823</v>
      </c>
      <c r="U8" s="39">
        <f>IFERROR(__xludf.DUMMYFUNCTION("QUARTILE(FILTER(H:H,B:B=K8,D:D=M8,E:E=N8,F:F=O8),3)"),0.789247444720326)</f>
        <v>0.7892474447</v>
      </c>
      <c r="W8" s="39">
        <f t="shared" si="4"/>
        <v>6</v>
      </c>
      <c r="X8" s="39" t="str">
        <f t="shared" si="5"/>
        <v>#N/A</v>
      </c>
      <c r="Y8" s="47">
        <f t="shared" ref="Y8:AB8" si="10">IF(Y$2=$K8,$Q8,NA())</f>
        <v>0.6374207623</v>
      </c>
      <c r="Z8" s="39" t="str">
        <f t="shared" si="10"/>
        <v>#N/A</v>
      </c>
      <c r="AA8" s="39" t="str">
        <f t="shared" si="10"/>
        <v>#N/A</v>
      </c>
      <c r="AB8" s="39" t="str">
        <f t="shared" si="10"/>
        <v>#N/A</v>
      </c>
    </row>
    <row r="9">
      <c r="A9" s="46">
        <f t="shared" si="1"/>
        <v>5</v>
      </c>
      <c r="B9" s="43" t="str">
        <f t="shared" si="2"/>
        <v>ITC-state</v>
      </c>
      <c r="J9" s="39">
        <f>IFERROR(__xludf.DUMMYFUNCTION("""COMPUTED_VALUE"""),2.0)</f>
        <v>2</v>
      </c>
      <c r="K9" s="39" t="str">
        <f>IFERROR(__xludf.DUMMYFUNCTION("""COMPUTED_VALUE"""),"CTC")</f>
        <v>CTC</v>
      </c>
      <c r="L9" s="39" t="str">
        <f>IFERROR(__xludf.DUMMYFUNCTION("""COMPUTED_VALUE"""),"kmeans")</f>
        <v>kmeans</v>
      </c>
      <c r="M9" s="39">
        <f>IFERROR(__xludf.DUMMYFUNCTION("""COMPUTED_VALUE"""),0.0)</f>
        <v>0</v>
      </c>
      <c r="N9" s="39">
        <f>IFERROR(__xludf.DUMMYFUNCTION("""COMPUTED_VALUE"""),0.0)</f>
        <v>0</v>
      </c>
      <c r="O9" s="39">
        <f>IFERROR(__xludf.DUMMYFUNCTION("""COMPUTED_VALUE"""),7.0)</f>
        <v>7</v>
      </c>
      <c r="P9" s="39">
        <f>IFERROR(__xludf.DUMMYFUNCTION("COUNT(FILTER(H:H,B:B=K9,D:D=M9,E:E=N9,F:F=O9))"),5.0)</f>
        <v>5</v>
      </c>
      <c r="Q9" s="47">
        <f>IFERROR(__xludf.DUMMYFUNCTION("AVERAGE(FILTER(H:H,B:B=K9,D:D=M9,E:E=N9,F:F=O9))"),0.6229473170694734)</f>
        <v>0.6229473171</v>
      </c>
      <c r="R9" s="47">
        <f>IFERROR(__xludf.DUMMYFUNCTION("MIN(FILTER(H:H,B:B=K9,D:D=M9,E:E=N9,F:F=O9))"),0.0610971304004684)</f>
        <v>0.0610971304</v>
      </c>
      <c r="S9" s="47">
        <f>IFERROR(__xludf.DUMMYFUNCTION("MAX(FILTER(H:H,B:B=K9,D:D=M9,E:E=N9,F:F=O9))"),0.815658615241251)</f>
        <v>0.8156586152</v>
      </c>
      <c r="T9" s="39">
        <f>IFERROR(__xludf.DUMMYFUNCTION("QUARTILE(FILTER(H:H,B:B=K9,D:D=M9,E:E=N9,F:F=O9),1)"),0.712135770149678)</f>
        <v>0.7121357701</v>
      </c>
      <c r="U9" s="39">
        <f>IFERROR(__xludf.DUMMYFUNCTION("QUARTILE(FILTER(H:H,B:B=K9,D:D=M9,E:E=N9,F:F=O9),3)"),0.76414687960107)</f>
        <v>0.7641468796</v>
      </c>
      <c r="W9" s="39">
        <f t="shared" si="4"/>
        <v>7</v>
      </c>
      <c r="X9" s="39" t="str">
        <f t="shared" si="5"/>
        <v>#N/A</v>
      </c>
      <c r="Y9" s="47">
        <f t="shared" ref="Y9:AB9" si="11">IF(Y$2=$K9,$Q9,NA())</f>
        <v>0.6229473171</v>
      </c>
      <c r="Z9" s="39" t="str">
        <f t="shared" si="11"/>
        <v>#N/A</v>
      </c>
      <c r="AA9" s="39" t="str">
        <f t="shared" si="11"/>
        <v>#N/A</v>
      </c>
      <c r="AB9" s="39" t="str">
        <f t="shared" si="11"/>
        <v>#N/A</v>
      </c>
    </row>
    <row r="10">
      <c r="A10" s="46">
        <f t="shared" si="1"/>
        <v>5</v>
      </c>
      <c r="B10" s="43" t="str">
        <f t="shared" si="2"/>
        <v>ITC-state</v>
      </c>
      <c r="J10" s="39">
        <f>IFERROR(__xludf.DUMMYFUNCTION("""COMPUTED_VALUE"""),2.0)</f>
        <v>2</v>
      </c>
      <c r="K10" s="39" t="str">
        <f>IFERROR(__xludf.DUMMYFUNCTION("""COMPUTED_VALUE"""),"CTC")</f>
        <v>CTC</v>
      </c>
      <c r="L10" s="39" t="str">
        <f>IFERROR(__xludf.DUMMYFUNCTION("""COMPUTED_VALUE"""),"kmeans")</f>
        <v>kmeans</v>
      </c>
      <c r="M10" s="39">
        <f>IFERROR(__xludf.DUMMYFUNCTION("""COMPUTED_VALUE"""),0.0)</f>
        <v>0</v>
      </c>
      <c r="N10" s="39">
        <f>IFERROR(__xludf.DUMMYFUNCTION("""COMPUTED_VALUE"""),0.0)</f>
        <v>0</v>
      </c>
      <c r="O10" s="39">
        <f>IFERROR(__xludf.DUMMYFUNCTION("""COMPUTED_VALUE"""),8.0)</f>
        <v>8</v>
      </c>
      <c r="P10" s="39">
        <f>IFERROR(__xludf.DUMMYFUNCTION("COUNT(FILTER(H:H,B:B=K10,D:D=M10,E:E=N10,F:F=O10))"),5.0)</f>
        <v>5</v>
      </c>
      <c r="Q10" s="47">
        <f>IFERROR(__xludf.DUMMYFUNCTION("AVERAGE(FILTER(H:H,B:B=K10,D:D=M10,E:E=N10,F:F=O10))"),0.6315057768258978)</f>
        <v>0.6315057768</v>
      </c>
      <c r="R10" s="47">
        <f>IFERROR(__xludf.DUMMYFUNCTION("MIN(FILTER(H:H,B:B=K10,D:D=M10,E:E=N10,F:F=O10))"),0.0440375182505731)</f>
        <v>0.04403751825</v>
      </c>
      <c r="S10" s="47">
        <f>IFERROR(__xludf.DUMMYFUNCTION("MAX(FILTER(H:H,B:B=K10,D:D=M10,E:E=N10,F:F=O10))"),0.800515985925824)</f>
        <v>0.8005159859</v>
      </c>
      <c r="T10" s="39">
        <f>IFERROR(__xludf.DUMMYFUNCTION("QUARTILE(FILTER(H:H,B:B=K10,D:D=M10,E:E=N10,F:F=O10),1)"),0.759591961585983)</f>
        <v>0.7595919616</v>
      </c>
      <c r="U10" s="39">
        <f>IFERROR(__xludf.DUMMYFUNCTION("QUARTILE(FILTER(H:H,B:B=K10,D:D=M10,E:E=N10,F:F=O10),3)"),0.789093964739579)</f>
        <v>0.7890939647</v>
      </c>
      <c r="W10" s="39">
        <f t="shared" si="4"/>
        <v>8</v>
      </c>
      <c r="X10" s="39" t="str">
        <f t="shared" si="5"/>
        <v>#N/A</v>
      </c>
      <c r="Y10" s="47">
        <f t="shared" ref="Y10:AB10" si="12">IF(Y$2=$K10,$Q10,NA())</f>
        <v>0.6315057768</v>
      </c>
      <c r="Z10" s="39" t="str">
        <f t="shared" si="12"/>
        <v>#N/A</v>
      </c>
      <c r="AA10" s="39" t="str">
        <f t="shared" si="12"/>
        <v>#N/A</v>
      </c>
      <c r="AB10" s="39" t="str">
        <f t="shared" si="12"/>
        <v>#N/A</v>
      </c>
    </row>
    <row r="11">
      <c r="A11" s="46">
        <f t="shared" si="1"/>
        <v>5</v>
      </c>
      <c r="B11" s="43" t="str">
        <f t="shared" si="2"/>
        <v>ITC-state</v>
      </c>
      <c r="J11" s="39">
        <f>IFERROR(__xludf.DUMMYFUNCTION("""COMPUTED_VALUE"""),2.0)</f>
        <v>2</v>
      </c>
      <c r="K11" s="39" t="str">
        <f>IFERROR(__xludf.DUMMYFUNCTION("""COMPUTED_VALUE"""),"CTC")</f>
        <v>CTC</v>
      </c>
      <c r="L11" s="39" t="str">
        <f>IFERROR(__xludf.DUMMYFUNCTION("""COMPUTED_VALUE"""),"kmeans")</f>
        <v>kmeans</v>
      </c>
      <c r="M11" s="39">
        <f>IFERROR(__xludf.DUMMYFUNCTION("""COMPUTED_VALUE"""),0.0)</f>
        <v>0</v>
      </c>
      <c r="N11" s="39">
        <f>IFERROR(__xludf.DUMMYFUNCTION("""COMPUTED_VALUE"""),0.0)</f>
        <v>0</v>
      </c>
      <c r="O11" s="39">
        <f>IFERROR(__xludf.DUMMYFUNCTION("""COMPUTED_VALUE"""),9.0)</f>
        <v>9</v>
      </c>
      <c r="P11" s="39">
        <f>IFERROR(__xludf.DUMMYFUNCTION("COUNT(FILTER(H:H,B:B=K11,D:D=M11,E:E=N11,F:F=O11))"),5.0)</f>
        <v>5</v>
      </c>
      <c r="Q11" s="47">
        <f>IFERROR(__xludf.DUMMYFUNCTION("AVERAGE(FILTER(H:H,B:B=K11,D:D=M11,E:E=N11,F:F=O11))"),0.6288075985210925)</f>
        <v>0.6288075985</v>
      </c>
      <c r="R11" s="47">
        <f>IFERROR(__xludf.DUMMYFUNCTION("MIN(FILTER(H:H,B:B=K11,D:D=M11,E:E=N11,F:F=O11))"),0.0515649884983158)</f>
        <v>0.0515649885</v>
      </c>
      <c r="S11" s="47">
        <f>IFERROR(__xludf.DUMMYFUNCTION("MAX(FILTER(H:H,B:B=K11,D:D=M11,E:E=N11,F:F=O11))"),0.828167673108892)</f>
        <v>0.8281676731</v>
      </c>
      <c r="T11" s="39">
        <f>IFERROR(__xludf.DUMMYFUNCTION("QUARTILE(FILTER(H:H,B:B=K11,D:D=M11,E:E=N11,F:F=O11),1)"),0.713441759670361)</f>
        <v>0.7134417597</v>
      </c>
      <c r="U11" s="39">
        <f>IFERROR(__xludf.DUMMYFUNCTION("QUARTILE(FILTER(H:H,B:B=K11,D:D=M11,E:E=N11,F:F=O11),3)"),0.78915289070255)</f>
        <v>0.7891528907</v>
      </c>
      <c r="W11" s="39">
        <f t="shared" si="4"/>
        <v>9</v>
      </c>
      <c r="X11" s="39" t="str">
        <f t="shared" si="5"/>
        <v>#N/A</v>
      </c>
      <c r="Y11" s="47">
        <f t="shared" ref="Y11:AB11" si="13">IF(Y$2=$K11,$Q11,NA())</f>
        <v>0.6288075985</v>
      </c>
      <c r="Z11" s="39" t="str">
        <f t="shared" si="13"/>
        <v>#N/A</v>
      </c>
      <c r="AA11" s="39" t="str">
        <f t="shared" si="13"/>
        <v>#N/A</v>
      </c>
      <c r="AB11" s="39" t="str">
        <f t="shared" si="13"/>
        <v>#N/A</v>
      </c>
    </row>
    <row r="12">
      <c r="A12" s="46">
        <f t="shared" si="1"/>
        <v>5</v>
      </c>
      <c r="B12" s="43" t="str">
        <f t="shared" si="2"/>
        <v>ITC-state</v>
      </c>
      <c r="J12" s="39">
        <f>IFERROR(__xludf.DUMMYFUNCTION("""COMPUTED_VALUE"""),2.0)</f>
        <v>2</v>
      </c>
      <c r="K12" s="39" t="str">
        <f>IFERROR(__xludf.DUMMYFUNCTION("""COMPUTED_VALUE"""),"CTC")</f>
        <v>CTC</v>
      </c>
      <c r="L12" s="39" t="str">
        <f>IFERROR(__xludf.DUMMYFUNCTION("""COMPUTED_VALUE"""),"kmeans")</f>
        <v>kmeans</v>
      </c>
      <c r="M12" s="39">
        <f>IFERROR(__xludf.DUMMYFUNCTION("""COMPUTED_VALUE"""),0.0)</f>
        <v>0</v>
      </c>
      <c r="N12" s="39">
        <f>IFERROR(__xludf.DUMMYFUNCTION("""COMPUTED_VALUE"""),0.0)</f>
        <v>0</v>
      </c>
      <c r="O12" s="39">
        <f>IFERROR(__xludf.DUMMYFUNCTION("""COMPUTED_VALUE"""),10.0)</f>
        <v>10</v>
      </c>
      <c r="P12" s="39">
        <f>IFERROR(__xludf.DUMMYFUNCTION("COUNT(FILTER(H:H,B:B=K12,D:D=M12,E:E=N12,F:F=O12))"),5.0)</f>
        <v>5</v>
      </c>
      <c r="Q12" s="47">
        <f>IFERROR(__xludf.DUMMYFUNCTION("AVERAGE(FILTER(H:H,B:B=K12,D:D=M12,E:E=N12,F:F=O12))"),0.6136725716607296)</f>
        <v>0.6136725717</v>
      </c>
      <c r="R12" s="47">
        <f>IFERROR(__xludf.DUMMYFUNCTION("MIN(FILTER(H:H,B:B=K12,D:D=M12,E:E=N12,F:F=O12))"),0.0393627915428402)</f>
        <v>0.03936279154</v>
      </c>
      <c r="S12" s="47">
        <f>IFERROR(__xludf.DUMMYFUNCTION("MAX(FILTER(H:H,B:B=K12,D:D=M12,E:E=N12,F:F=O12))"),0.789217754796202)</f>
        <v>0.7892177548</v>
      </c>
      <c r="T12" s="39">
        <f>IFERROR(__xludf.DUMMYFUNCTION("QUARTILE(FILTER(H:H,B:B=K12,D:D=M12,E:E=N12,F:F=O12),1)"),0.713604585977239)</f>
        <v>0.713604586</v>
      </c>
      <c r="U12" s="39">
        <f>IFERROR(__xludf.DUMMYFUNCTION("QUARTILE(FILTER(H:H,B:B=K12,D:D=M12,E:E=N12,F:F=O12),3)"),0.7644789629097)</f>
        <v>0.7644789629</v>
      </c>
      <c r="W12" s="39">
        <f t="shared" si="4"/>
        <v>10</v>
      </c>
      <c r="X12" s="39" t="str">
        <f t="shared" si="5"/>
        <v>#N/A</v>
      </c>
      <c r="Y12" s="47">
        <f t="shared" ref="Y12:AB12" si="14">IF(Y$2=$K12,$Q12,NA())</f>
        <v>0.6136725717</v>
      </c>
      <c r="Z12" s="39" t="str">
        <f t="shared" si="14"/>
        <v>#N/A</v>
      </c>
      <c r="AA12" s="39" t="str">
        <f t="shared" si="14"/>
        <v>#N/A</v>
      </c>
      <c r="AB12" s="39" t="str">
        <f t="shared" si="14"/>
        <v>#N/A</v>
      </c>
    </row>
    <row r="13">
      <c r="A13" s="46">
        <f t="shared" si="1"/>
        <v>5</v>
      </c>
      <c r="B13" s="43" t="str">
        <f t="shared" si="2"/>
        <v>ITC-state</v>
      </c>
      <c r="J13" s="39">
        <f>IFERROR(__xludf.DUMMYFUNCTION("""COMPUTED_VALUE"""),3.0)</f>
        <v>3</v>
      </c>
      <c r="K13" s="39" t="str">
        <f>IFERROR(__xludf.DUMMYFUNCTION("""COMPUTED_VALUE"""),"ITC-category")</f>
        <v>ITC-category</v>
      </c>
      <c r="L13" s="39" t="str">
        <f>IFERROR(__xludf.DUMMYFUNCTION("""COMPUTED_VALUE"""),"easycategs")</f>
        <v>easycategs</v>
      </c>
      <c r="M13" s="39">
        <f>IFERROR(__xludf.DUMMYFUNCTION("""COMPUTED_VALUE"""),1.0)</f>
        <v>1</v>
      </c>
      <c r="N13" s="39">
        <f>IFERROR(__xludf.DUMMYFUNCTION("""COMPUTED_VALUE"""),1.0)</f>
        <v>1</v>
      </c>
      <c r="O13" s="39">
        <f>IFERROR(__xludf.DUMMYFUNCTION("""COMPUTED_VALUE"""),1.0)</f>
        <v>1</v>
      </c>
      <c r="P13" s="39">
        <f>IFERROR(__xludf.DUMMYFUNCTION("COUNT(FILTER(H:H,B:B=K13,D:D=M13,E:E=N13,F:F=O13))"),5.0)</f>
        <v>5</v>
      </c>
      <c r="Q13" s="47">
        <f>IFERROR(__xludf.DUMMYFUNCTION("AVERAGE(FILTER(H:H,B:B=K13,D:D=M13,E:E=N13,F:F=O13))"),0.44085499173458303)</f>
        <v>0.4408549917</v>
      </c>
      <c r="R13" s="47">
        <f>IFERROR(__xludf.DUMMYFUNCTION("MIN(FILTER(H:H,B:B=K13,D:D=M13,E:E=N13,F:F=O13))"),0.0545065683029871)</f>
        <v>0.0545065683</v>
      </c>
      <c r="S13" s="47">
        <f>IFERROR(__xludf.DUMMYFUNCTION("MAX(FILTER(H:H,B:B=K13,D:D=M13,E:E=N13,F:F=O13))"),0.833621846841819)</f>
        <v>0.8336218468</v>
      </c>
      <c r="T13" s="39">
        <f>IFERROR(__xludf.DUMMYFUNCTION("QUARTILE(FILTER(H:H,B:B=K13,D:D=M13,E:E=N13,F:F=O13),1)"),0.216385479353188)</f>
        <v>0.2163854794</v>
      </c>
      <c r="U13" s="39">
        <f>IFERROR(__xludf.DUMMYFUNCTION("QUARTILE(FILTER(H:H,B:B=K13,D:D=M13,E:E=N13,F:F=O13),3)"),0.763202385816633)</f>
        <v>0.7632023858</v>
      </c>
      <c r="W13" s="39">
        <f t="shared" si="4"/>
        <v>1</v>
      </c>
      <c r="X13" s="39" t="str">
        <f t="shared" si="5"/>
        <v>#N/A</v>
      </c>
      <c r="Y13" s="39" t="str">
        <f t="shared" ref="Y13:AB13" si="15">IF(Y$2=$K13,$Q13,NA())</f>
        <v>#N/A</v>
      </c>
      <c r="Z13" s="47">
        <f t="shared" si="15"/>
        <v>0.4408549917</v>
      </c>
      <c r="AA13" s="39" t="str">
        <f t="shared" si="15"/>
        <v>#N/A</v>
      </c>
      <c r="AB13" s="39" t="str">
        <f t="shared" si="15"/>
        <v>#N/A</v>
      </c>
    </row>
    <row r="14">
      <c r="A14" s="46">
        <f t="shared" si="1"/>
        <v>5</v>
      </c>
      <c r="B14" s="43" t="str">
        <f t="shared" si="2"/>
        <v>ITC-state</v>
      </c>
      <c r="J14" s="39">
        <f>IFERROR(__xludf.DUMMYFUNCTION("""COMPUTED_VALUE"""),3.0)</f>
        <v>3</v>
      </c>
      <c r="K14" s="39" t="str">
        <f>IFERROR(__xludf.DUMMYFUNCTION("""COMPUTED_VALUE"""),"ITC-category")</f>
        <v>ITC-category</v>
      </c>
      <c r="L14" s="39" t="str">
        <f>IFERROR(__xludf.DUMMYFUNCTION("""COMPUTED_VALUE"""),"easycategs")</f>
        <v>easycategs</v>
      </c>
      <c r="M14" s="39">
        <f>IFERROR(__xludf.DUMMYFUNCTION("""COMPUTED_VALUE"""),1.0)</f>
        <v>1</v>
      </c>
      <c r="N14" s="39">
        <f>IFERROR(__xludf.DUMMYFUNCTION("""COMPUTED_VALUE"""),1.0)</f>
        <v>1</v>
      </c>
      <c r="O14" s="39">
        <f>IFERROR(__xludf.DUMMYFUNCTION("""COMPUTED_VALUE"""),2.0)</f>
        <v>2</v>
      </c>
      <c r="P14" s="39">
        <f>IFERROR(__xludf.DUMMYFUNCTION("COUNT(FILTER(H:H,B:B=K14,D:D=M14,E:E=N14,F:F=O14))"),5.0)</f>
        <v>5</v>
      </c>
      <c r="Q14" s="47">
        <f>IFERROR(__xludf.DUMMYFUNCTION("AVERAGE(FILTER(H:H,B:B=K14,D:D=M14,E:E=N14,F:F=O14))"),0.5540234673893049)</f>
        <v>0.5540234674</v>
      </c>
      <c r="R14" s="47">
        <f>IFERROR(__xludf.DUMMYFUNCTION("MIN(FILTER(H:H,B:B=K14,D:D=M14,E:E=N14,F:F=O14))"),0.0813057942309822)</f>
        <v>0.08130579423</v>
      </c>
      <c r="S14" s="47">
        <f>IFERROR(__xludf.DUMMYFUNCTION("MAX(FILTER(H:H,B:B=K14,D:D=M14,E:E=N14,F:F=O14))"),0.834240959550384)</f>
        <v>0.8342409596</v>
      </c>
      <c r="T14" s="39">
        <f>IFERROR(__xludf.DUMMYFUNCTION("QUARTILE(FILTER(H:H,B:B=K14,D:D=M14,E:E=N14,F:F=O14),1)"),0.285985342078364)</f>
        <v>0.2859853421</v>
      </c>
      <c r="U14" s="39">
        <f>IFERROR(__xludf.DUMMYFUNCTION("QUARTILE(FILTER(H:H,B:B=K14,D:D=M14,E:E=N14,F:F=O14),3)"),0.814617730688154)</f>
        <v>0.8146177307</v>
      </c>
      <c r="W14" s="39">
        <f t="shared" si="4"/>
        <v>2</v>
      </c>
      <c r="X14" s="39" t="str">
        <f t="shared" si="5"/>
        <v>#N/A</v>
      </c>
      <c r="Y14" s="39" t="str">
        <f t="shared" ref="Y14:AB14" si="16">IF(Y$2=$K14,$Q14,NA())</f>
        <v>#N/A</v>
      </c>
      <c r="Z14" s="47">
        <f t="shared" si="16"/>
        <v>0.5540234674</v>
      </c>
      <c r="AA14" s="39" t="str">
        <f t="shared" si="16"/>
        <v>#N/A</v>
      </c>
      <c r="AB14" s="39" t="str">
        <f t="shared" si="16"/>
        <v>#N/A</v>
      </c>
    </row>
    <row r="15">
      <c r="A15" s="46">
        <f t="shared" si="1"/>
        <v>5</v>
      </c>
      <c r="B15" s="43" t="str">
        <f t="shared" si="2"/>
        <v>ITC-state</v>
      </c>
      <c r="J15" s="39">
        <f>IFERROR(__xludf.DUMMYFUNCTION("""COMPUTED_VALUE"""),3.0)</f>
        <v>3</v>
      </c>
      <c r="K15" s="39" t="str">
        <f>IFERROR(__xludf.DUMMYFUNCTION("""COMPUTED_VALUE"""),"ITC-category")</f>
        <v>ITC-category</v>
      </c>
      <c r="L15" s="39" t="str">
        <f>IFERROR(__xludf.DUMMYFUNCTION("""COMPUTED_VALUE"""),"easycategs")</f>
        <v>easycategs</v>
      </c>
      <c r="M15" s="39">
        <f>IFERROR(__xludf.DUMMYFUNCTION("""COMPUTED_VALUE"""),1.0)</f>
        <v>1</v>
      </c>
      <c r="N15" s="39">
        <f>IFERROR(__xludf.DUMMYFUNCTION("""COMPUTED_VALUE"""),1.0)</f>
        <v>1</v>
      </c>
      <c r="O15" s="39">
        <f>IFERROR(__xludf.DUMMYFUNCTION("""COMPUTED_VALUE"""),3.0)</f>
        <v>3</v>
      </c>
      <c r="P15" s="39">
        <f>IFERROR(__xludf.DUMMYFUNCTION("COUNT(FILTER(H:H,B:B=K15,D:D=M15,E:E=N15,F:F=O15))"),5.0)</f>
        <v>5</v>
      </c>
      <c r="Q15" s="47">
        <f>IFERROR(__xludf.DUMMYFUNCTION("AVERAGE(FILTER(H:H,B:B=K15,D:D=M15,E:E=N15,F:F=O15))"),0.5601674550092192)</f>
        <v>0.560167455</v>
      </c>
      <c r="R15" s="47">
        <f>IFERROR(__xludf.DUMMYFUNCTION("MIN(FILTER(H:H,B:B=K15,D:D=M15,E:E=N15,F:F=O15))"),0.0982710646215207)</f>
        <v>0.09827106462</v>
      </c>
      <c r="S15" s="47">
        <f>IFERROR(__xludf.DUMMYFUNCTION("MAX(FILTER(H:H,B:B=K15,D:D=M15,E:E=N15,F:F=O15))"),0.864566806860864)</f>
        <v>0.8645668069</v>
      </c>
      <c r="T15" s="39">
        <f>IFERROR(__xludf.DUMMYFUNCTION("QUARTILE(FILTER(H:H,B:B=K15,D:D=M15,E:E=N15,F:F=O15),1)"),0.202886154815475)</f>
        <v>0.2028861548</v>
      </c>
      <c r="U15" s="39">
        <f>IFERROR(__xludf.DUMMYFUNCTION("QUARTILE(FILTER(H:H,B:B=K15,D:D=M15,E:E=N15,F:F=O15),3)"),0.823252447452239)</f>
        <v>0.8232524475</v>
      </c>
      <c r="W15" s="39">
        <f t="shared" si="4"/>
        <v>3</v>
      </c>
      <c r="X15" s="39" t="str">
        <f t="shared" si="5"/>
        <v>#N/A</v>
      </c>
      <c r="Y15" s="39" t="str">
        <f t="shared" ref="Y15:AB15" si="17">IF(Y$2=$K15,$Q15,NA())</f>
        <v>#N/A</v>
      </c>
      <c r="Z15" s="47">
        <f t="shared" si="17"/>
        <v>0.560167455</v>
      </c>
      <c r="AA15" s="39" t="str">
        <f t="shared" si="17"/>
        <v>#N/A</v>
      </c>
      <c r="AB15" s="39" t="str">
        <f t="shared" si="17"/>
        <v>#N/A</v>
      </c>
    </row>
    <row r="16">
      <c r="A16" s="46">
        <f t="shared" si="1"/>
        <v>5</v>
      </c>
      <c r="B16" s="43" t="str">
        <f t="shared" si="2"/>
        <v>ITC-state</v>
      </c>
      <c r="J16" s="39">
        <f>IFERROR(__xludf.DUMMYFUNCTION("""COMPUTED_VALUE"""),3.0)</f>
        <v>3</v>
      </c>
      <c r="K16" s="39" t="str">
        <f>IFERROR(__xludf.DUMMYFUNCTION("""COMPUTED_VALUE"""),"ITC-category")</f>
        <v>ITC-category</v>
      </c>
      <c r="L16" s="39" t="str">
        <f>IFERROR(__xludf.DUMMYFUNCTION("""COMPUTED_VALUE"""),"easycategs")</f>
        <v>easycategs</v>
      </c>
      <c r="M16" s="39">
        <f>IFERROR(__xludf.DUMMYFUNCTION("""COMPUTED_VALUE"""),1.0)</f>
        <v>1</v>
      </c>
      <c r="N16" s="39">
        <f>IFERROR(__xludf.DUMMYFUNCTION("""COMPUTED_VALUE"""),1.0)</f>
        <v>1</v>
      </c>
      <c r="O16" s="39">
        <f>IFERROR(__xludf.DUMMYFUNCTION("""COMPUTED_VALUE"""),4.0)</f>
        <v>4</v>
      </c>
      <c r="P16" s="39">
        <f>IFERROR(__xludf.DUMMYFUNCTION("COUNT(FILTER(H:H,B:B=K16,D:D=M16,E:E=N16,F:F=O16))"),5.0)</f>
        <v>5</v>
      </c>
      <c r="Q16" s="47">
        <f>IFERROR(__xludf.DUMMYFUNCTION("AVERAGE(FILTER(H:H,B:B=K16,D:D=M16,E:E=N16,F:F=O16))"),0.6485056776256055)</f>
        <v>0.6485056776</v>
      </c>
      <c r="R16" s="47">
        <f>IFERROR(__xludf.DUMMYFUNCTION("MIN(FILTER(H:H,B:B=K16,D:D=M16,E:E=N16,F:F=O16))"),0.0711716500549324)</f>
        <v>0.07117165005</v>
      </c>
      <c r="S16" s="47">
        <f>IFERROR(__xludf.DUMMYFUNCTION("MAX(FILTER(H:H,B:B=K16,D:D=M16,E:E=N16,F:F=O16))"),0.865520461172214)</f>
        <v>0.8655204612</v>
      </c>
      <c r="T16" s="39">
        <f>IFERROR(__xludf.DUMMYFUNCTION("QUARTILE(FILTER(H:H,B:B=K16,D:D=M16,E:E=N16,F:F=O16),1)"),0.722026068529759)</f>
        <v>0.7220260685</v>
      </c>
      <c r="U16" s="39">
        <f>IFERROR(__xludf.DUMMYFUNCTION("QUARTILE(FILTER(H:H,B:B=K16,D:D=M16,E:E=N16,F:F=O16),3)"),0.811258130124488)</f>
        <v>0.8112581301</v>
      </c>
      <c r="W16" s="39">
        <f t="shared" si="4"/>
        <v>4</v>
      </c>
      <c r="X16" s="39" t="str">
        <f t="shared" si="5"/>
        <v>#N/A</v>
      </c>
      <c r="Y16" s="39" t="str">
        <f t="shared" ref="Y16:AB16" si="18">IF(Y$2=$K16,$Q16,NA())</f>
        <v>#N/A</v>
      </c>
      <c r="Z16" s="47">
        <f t="shared" si="18"/>
        <v>0.6485056776</v>
      </c>
      <c r="AA16" s="39" t="str">
        <f t="shared" si="18"/>
        <v>#N/A</v>
      </c>
      <c r="AB16" s="39" t="str">
        <f t="shared" si="18"/>
        <v>#N/A</v>
      </c>
    </row>
    <row r="17">
      <c r="A17" s="46">
        <f t="shared" si="1"/>
        <v>5</v>
      </c>
      <c r="B17" s="43" t="str">
        <f t="shared" si="2"/>
        <v>ITC-state</v>
      </c>
      <c r="J17" s="39">
        <f>IFERROR(__xludf.DUMMYFUNCTION("""COMPUTED_VALUE"""),3.0)</f>
        <v>3</v>
      </c>
      <c r="K17" s="39" t="str">
        <f>IFERROR(__xludf.DUMMYFUNCTION("""COMPUTED_VALUE"""),"ITC-category")</f>
        <v>ITC-category</v>
      </c>
      <c r="L17" s="39" t="str">
        <f>IFERROR(__xludf.DUMMYFUNCTION("""COMPUTED_VALUE"""),"easycategs")</f>
        <v>easycategs</v>
      </c>
      <c r="M17" s="39">
        <f>IFERROR(__xludf.DUMMYFUNCTION("""COMPUTED_VALUE"""),1.0)</f>
        <v>1</v>
      </c>
      <c r="N17" s="39">
        <f>IFERROR(__xludf.DUMMYFUNCTION("""COMPUTED_VALUE"""),1.0)</f>
        <v>1</v>
      </c>
      <c r="O17" s="39">
        <f>IFERROR(__xludf.DUMMYFUNCTION("""COMPUTED_VALUE"""),5.0)</f>
        <v>5</v>
      </c>
      <c r="P17" s="39">
        <f>IFERROR(__xludf.DUMMYFUNCTION("COUNT(FILTER(H:H,B:B=K17,D:D=M17,E:E=N17,F:F=O17))"),5.0)</f>
        <v>5</v>
      </c>
      <c r="Q17" s="47">
        <f>IFERROR(__xludf.DUMMYFUNCTION("AVERAGE(FILTER(H:H,B:B=K17,D:D=M17,E:E=N17,F:F=O17))"),0.4692085353013173)</f>
        <v>0.4692085353</v>
      </c>
      <c r="R17" s="47">
        <f>IFERROR(__xludf.DUMMYFUNCTION("MIN(FILTER(H:H,B:B=K17,D:D=M17,E:E=N17,F:F=O17))"),0.0645162994499267)</f>
        <v>0.06451629945</v>
      </c>
      <c r="S17" s="47">
        <f>IFERROR(__xludf.DUMMYFUNCTION("MAX(FILTER(H:H,B:B=K17,D:D=M17,E:E=N17,F:F=O17))"),0.832944167967523)</f>
        <v>0.832944168</v>
      </c>
      <c r="T17" s="39">
        <f>IFERROR(__xludf.DUMMYFUNCTION("QUARTILE(FILTER(H:H,B:B=K17,D:D=M17,E:E=N17,F:F=O17),1)"),0.322294111757702)</f>
        <v>0.3222941118</v>
      </c>
      <c r="U17" s="39">
        <f>IFERROR(__xludf.DUMMYFUNCTION("QUARTILE(FILTER(H:H,B:B=K17,D:D=M17,E:E=N17,F:F=O17),3)"),0.780532969406339)</f>
        <v>0.7805329694</v>
      </c>
      <c r="W17" s="39">
        <f t="shared" si="4"/>
        <v>5</v>
      </c>
      <c r="X17" s="39" t="str">
        <f t="shared" si="5"/>
        <v>#N/A</v>
      </c>
      <c r="Y17" s="39" t="str">
        <f t="shared" ref="Y17:AB17" si="19">IF(Y$2=$K17,$Q17,NA())</f>
        <v>#N/A</v>
      </c>
      <c r="Z17" s="47">
        <f t="shared" si="19"/>
        <v>0.4692085353</v>
      </c>
      <c r="AA17" s="39" t="str">
        <f t="shared" si="19"/>
        <v>#N/A</v>
      </c>
      <c r="AB17" s="39" t="str">
        <f t="shared" si="19"/>
        <v>#N/A</v>
      </c>
    </row>
    <row r="18">
      <c r="A18" s="46">
        <f t="shared" si="1"/>
        <v>5</v>
      </c>
      <c r="B18" s="43" t="str">
        <f t="shared" si="2"/>
        <v>ITC-state</v>
      </c>
      <c r="J18" s="39">
        <f>IFERROR(__xludf.DUMMYFUNCTION("""COMPUTED_VALUE"""),3.0)</f>
        <v>3</v>
      </c>
      <c r="K18" s="39" t="str">
        <f>IFERROR(__xludf.DUMMYFUNCTION("""COMPUTED_VALUE"""),"ITC-category")</f>
        <v>ITC-category</v>
      </c>
      <c r="L18" s="39" t="str">
        <f>IFERROR(__xludf.DUMMYFUNCTION("""COMPUTED_VALUE"""),"easycategs")</f>
        <v>easycategs</v>
      </c>
      <c r="M18" s="39">
        <f>IFERROR(__xludf.DUMMYFUNCTION("""COMPUTED_VALUE"""),1.0)</f>
        <v>1</v>
      </c>
      <c r="N18" s="39">
        <f>IFERROR(__xludf.DUMMYFUNCTION("""COMPUTED_VALUE"""),1.0)</f>
        <v>1</v>
      </c>
      <c r="O18" s="39">
        <f>IFERROR(__xludf.DUMMYFUNCTION("""COMPUTED_VALUE"""),6.0)</f>
        <v>6</v>
      </c>
      <c r="P18" s="39">
        <f>IFERROR(__xludf.DUMMYFUNCTION("COUNT(FILTER(H:H,B:B=K18,D:D=M18,E:E=N18,F:F=O18))"),5.0)</f>
        <v>5</v>
      </c>
      <c r="Q18" s="47">
        <f>IFERROR(__xludf.DUMMYFUNCTION("AVERAGE(FILTER(H:H,B:B=K18,D:D=M18,E:E=N18,F:F=O18))"),0.5294312215777218)</f>
        <v>0.5294312216</v>
      </c>
      <c r="R18" s="47">
        <f>IFERROR(__xludf.DUMMYFUNCTION("MIN(FILTER(H:H,B:B=K18,D:D=M18,E:E=N18,F:F=O18))"),0.100467629406577)</f>
        <v>0.1004676294</v>
      </c>
      <c r="S18" s="47">
        <f>IFERROR(__xludf.DUMMYFUNCTION("MAX(FILTER(H:H,B:B=K18,D:D=M18,E:E=N18,F:F=O18))"),0.811155666988736)</f>
        <v>0.811155667</v>
      </c>
      <c r="T18" s="39">
        <f>IFERROR(__xludf.DUMMYFUNCTION("QUARTILE(FILTER(H:H,B:B=K18,D:D=M18,E:E=N18,F:F=O18),1)"),0.196125284036383)</f>
        <v>0.196125284</v>
      </c>
      <c r="U18" s="39">
        <f>IFERROR(__xludf.DUMMYFUNCTION("QUARTILE(FILTER(H:H,B:B=K18,D:D=M18,E:E=N18,F:F=O18),3)"),0.771254065533069)</f>
        <v>0.7712540655</v>
      </c>
      <c r="W18" s="39">
        <f t="shared" si="4"/>
        <v>6</v>
      </c>
      <c r="X18" s="39" t="str">
        <f t="shared" si="5"/>
        <v>#N/A</v>
      </c>
      <c r="Y18" s="39" t="str">
        <f t="shared" ref="Y18:AB18" si="20">IF(Y$2=$K18,$Q18,NA())</f>
        <v>#N/A</v>
      </c>
      <c r="Z18" s="47">
        <f t="shared" si="20"/>
        <v>0.5294312216</v>
      </c>
      <c r="AA18" s="39" t="str">
        <f t="shared" si="20"/>
        <v>#N/A</v>
      </c>
      <c r="AB18" s="39" t="str">
        <f t="shared" si="20"/>
        <v>#N/A</v>
      </c>
    </row>
    <row r="19">
      <c r="A19" s="46">
        <f t="shared" si="1"/>
        <v>5</v>
      </c>
      <c r="B19" s="43" t="str">
        <f t="shared" si="2"/>
        <v>ITC-state</v>
      </c>
      <c r="J19" s="39">
        <f>IFERROR(__xludf.DUMMYFUNCTION("""COMPUTED_VALUE"""),3.0)</f>
        <v>3</v>
      </c>
      <c r="K19" s="39" t="str">
        <f>IFERROR(__xludf.DUMMYFUNCTION("""COMPUTED_VALUE"""),"ITC-category")</f>
        <v>ITC-category</v>
      </c>
      <c r="L19" s="39" t="str">
        <f>IFERROR(__xludf.DUMMYFUNCTION("""COMPUTED_VALUE"""),"easycategs")</f>
        <v>easycategs</v>
      </c>
      <c r="M19" s="39">
        <f>IFERROR(__xludf.DUMMYFUNCTION("""COMPUTED_VALUE"""),1.0)</f>
        <v>1</v>
      </c>
      <c r="N19" s="39">
        <f>IFERROR(__xludf.DUMMYFUNCTION("""COMPUTED_VALUE"""),1.0)</f>
        <v>1</v>
      </c>
      <c r="O19" s="39">
        <f>IFERROR(__xludf.DUMMYFUNCTION("""COMPUTED_VALUE"""),7.0)</f>
        <v>7</v>
      </c>
      <c r="P19" s="39">
        <f>IFERROR(__xludf.DUMMYFUNCTION("COUNT(FILTER(H:H,B:B=K19,D:D=M19,E:E=N19,F:F=O19))"),5.0)</f>
        <v>5</v>
      </c>
      <c r="Q19" s="47">
        <f>IFERROR(__xludf.DUMMYFUNCTION("AVERAGE(FILTER(H:H,B:B=K19,D:D=M19,E:E=N19,F:F=O19))"),0.5280773433598684)</f>
        <v>0.5280773434</v>
      </c>
      <c r="R19" s="47">
        <f>IFERROR(__xludf.DUMMYFUNCTION("MIN(FILTER(H:H,B:B=K19,D:D=M19,E:E=N19,F:F=O19))"),0.0623437719686842)</f>
        <v>0.06234377197</v>
      </c>
      <c r="S19" s="47">
        <f>IFERROR(__xludf.DUMMYFUNCTION("MAX(FILTER(H:H,B:B=K19,D:D=M19,E:E=N19,F:F=O19))"),0.813800626821295)</f>
        <v>0.8138006268</v>
      </c>
      <c r="T19" s="39">
        <f>IFERROR(__xludf.DUMMYFUNCTION("QUARTILE(FILTER(H:H,B:B=K19,D:D=M19,E:E=N19,F:F=O19),1)"),0.240586149099333)</f>
        <v>0.2405861491</v>
      </c>
      <c r="U19" s="39">
        <f>IFERROR(__xludf.DUMMYFUNCTION("QUARTILE(FILTER(H:H,B:B=K19,D:D=M19,E:E=N19,F:F=O19),3)"),0.773103666298521)</f>
        <v>0.7731036663</v>
      </c>
      <c r="W19" s="39">
        <f t="shared" si="4"/>
        <v>7</v>
      </c>
      <c r="X19" s="39" t="str">
        <f t="shared" si="5"/>
        <v>#N/A</v>
      </c>
      <c r="Y19" s="39" t="str">
        <f t="shared" ref="Y19:AB19" si="21">IF(Y$2=$K19,$Q19,NA())</f>
        <v>#N/A</v>
      </c>
      <c r="Z19" s="47">
        <f t="shared" si="21"/>
        <v>0.5280773434</v>
      </c>
      <c r="AA19" s="39" t="str">
        <f t="shared" si="21"/>
        <v>#N/A</v>
      </c>
      <c r="AB19" s="39" t="str">
        <f t="shared" si="21"/>
        <v>#N/A</v>
      </c>
    </row>
    <row r="20">
      <c r="A20" s="46">
        <f t="shared" si="1"/>
        <v>5</v>
      </c>
      <c r="B20" s="43" t="str">
        <f t="shared" si="2"/>
        <v>ITC-state</v>
      </c>
      <c r="J20" s="39">
        <f>IFERROR(__xludf.DUMMYFUNCTION("""COMPUTED_VALUE"""),3.0)</f>
        <v>3</v>
      </c>
      <c r="K20" s="39" t="str">
        <f>IFERROR(__xludf.DUMMYFUNCTION("""COMPUTED_VALUE"""),"ITC-category")</f>
        <v>ITC-category</v>
      </c>
      <c r="L20" s="39" t="str">
        <f>IFERROR(__xludf.DUMMYFUNCTION("""COMPUTED_VALUE"""),"easycategs")</f>
        <v>easycategs</v>
      </c>
      <c r="M20" s="39">
        <f>IFERROR(__xludf.DUMMYFUNCTION("""COMPUTED_VALUE"""),1.0)</f>
        <v>1</v>
      </c>
      <c r="N20" s="39">
        <f>IFERROR(__xludf.DUMMYFUNCTION("""COMPUTED_VALUE"""),1.0)</f>
        <v>1</v>
      </c>
      <c r="O20" s="39">
        <f>IFERROR(__xludf.DUMMYFUNCTION("""COMPUTED_VALUE"""),8.0)</f>
        <v>8</v>
      </c>
      <c r="P20" s="39">
        <f>IFERROR(__xludf.DUMMYFUNCTION("COUNT(FILTER(H:H,B:B=K20,D:D=M20,E:E=N20,F:F=O20))"),5.0)</f>
        <v>5</v>
      </c>
      <c r="Q20" s="47">
        <f>IFERROR(__xludf.DUMMYFUNCTION("AVERAGE(FILTER(H:H,B:B=K20,D:D=M20,E:E=N20,F:F=O20))"),0.47886583024222273)</f>
        <v>0.4788658302</v>
      </c>
      <c r="R20" s="47">
        <f>IFERROR(__xludf.DUMMYFUNCTION("MIN(FILTER(H:H,B:B=K20,D:D=M20,E:E=N20,F:F=O20))"),0.0914481305778268)</f>
        <v>0.09144813058</v>
      </c>
      <c r="S20" s="47">
        <f>IFERROR(__xludf.DUMMYFUNCTION("MAX(FILTER(H:H,B:B=K20,D:D=M20,E:E=N20,F:F=O20))"),0.823611324152712)</f>
        <v>0.8236113242</v>
      </c>
      <c r="T20" s="39">
        <f>IFERROR(__xludf.DUMMYFUNCTION("QUARTILE(FILTER(H:H,B:B=K20,D:D=M20,E:E=N20,F:F=O20),1)"),0.335587313063743)</f>
        <v>0.3355873131</v>
      </c>
      <c r="U20" s="39">
        <f>IFERROR(__xludf.DUMMYFUNCTION("QUARTILE(FILTER(H:H,B:B=K20,D:D=M20,E:E=N20,F:F=O20),3)"),0.772212029118374)</f>
        <v>0.7722120291</v>
      </c>
      <c r="W20" s="39">
        <f t="shared" si="4"/>
        <v>8</v>
      </c>
      <c r="X20" s="39" t="str">
        <f t="shared" si="5"/>
        <v>#N/A</v>
      </c>
      <c r="Y20" s="39" t="str">
        <f t="shared" ref="Y20:AB20" si="22">IF(Y$2=$K20,$Q20,NA())</f>
        <v>#N/A</v>
      </c>
      <c r="Z20" s="47">
        <f t="shared" si="22"/>
        <v>0.4788658302</v>
      </c>
      <c r="AA20" s="39" t="str">
        <f t="shared" si="22"/>
        <v>#N/A</v>
      </c>
      <c r="AB20" s="39" t="str">
        <f t="shared" si="22"/>
        <v>#N/A</v>
      </c>
    </row>
    <row r="21">
      <c r="A21" s="46">
        <f t="shared" si="1"/>
        <v>5</v>
      </c>
      <c r="B21" s="43" t="str">
        <f t="shared" si="2"/>
        <v>ITC-state</v>
      </c>
      <c r="J21" s="39">
        <f>IFERROR(__xludf.DUMMYFUNCTION("""COMPUTED_VALUE"""),3.0)</f>
        <v>3</v>
      </c>
      <c r="K21" s="39" t="str">
        <f>IFERROR(__xludf.DUMMYFUNCTION("""COMPUTED_VALUE"""),"ITC-category")</f>
        <v>ITC-category</v>
      </c>
      <c r="L21" s="39" t="str">
        <f>IFERROR(__xludf.DUMMYFUNCTION("""COMPUTED_VALUE"""),"easycategs")</f>
        <v>easycategs</v>
      </c>
      <c r="M21" s="39">
        <f>IFERROR(__xludf.DUMMYFUNCTION("""COMPUTED_VALUE"""),1.0)</f>
        <v>1</v>
      </c>
      <c r="N21" s="39">
        <f>IFERROR(__xludf.DUMMYFUNCTION("""COMPUTED_VALUE"""),1.0)</f>
        <v>1</v>
      </c>
      <c r="O21" s="39">
        <f>IFERROR(__xludf.DUMMYFUNCTION("""COMPUTED_VALUE"""),9.0)</f>
        <v>9</v>
      </c>
      <c r="P21" s="39">
        <f>IFERROR(__xludf.DUMMYFUNCTION("COUNT(FILTER(H:H,B:B=K21,D:D=M21,E:E=N21,F:F=O21))"),5.0)</f>
        <v>5</v>
      </c>
      <c r="Q21" s="47">
        <f>IFERROR(__xludf.DUMMYFUNCTION("AVERAGE(FILTER(H:H,B:B=K21,D:D=M21,E:E=N21,F:F=O21))"),0.4518523206650161)</f>
        <v>0.4518523207</v>
      </c>
      <c r="R21" s="47">
        <f>IFERROR(__xludf.DUMMYFUNCTION("MIN(FILTER(H:H,B:B=K21,D:D=M21,E:E=N21,F:F=O21))"),0.0606260605799214)</f>
        <v>0.06062606058</v>
      </c>
      <c r="S21" s="47">
        <f>IFERROR(__xludf.DUMMYFUNCTION("MAX(FILTER(H:H,B:B=K21,D:D=M21,E:E=N21,F:F=O21))"),0.822160145779146)</f>
        <v>0.8221601458</v>
      </c>
      <c r="T21" s="39">
        <f>IFERROR(__xludf.DUMMYFUNCTION("QUARTILE(FILTER(H:H,B:B=K21,D:D=M21,E:E=N21,F:F=O21),1)"),0.337676416154408)</f>
        <v>0.3376764162</v>
      </c>
      <c r="U21" s="39">
        <f>IFERROR(__xludf.DUMMYFUNCTION("QUARTILE(FILTER(H:H,B:B=K21,D:D=M21,E:E=N21,F:F=O21),3)"),0.648467639096194)</f>
        <v>0.6484676391</v>
      </c>
      <c r="W21" s="39">
        <f t="shared" si="4"/>
        <v>9</v>
      </c>
      <c r="X21" s="39" t="str">
        <f t="shared" si="5"/>
        <v>#N/A</v>
      </c>
      <c r="Y21" s="39" t="str">
        <f t="shared" ref="Y21:AB21" si="23">IF(Y$2=$K21,$Q21,NA())</f>
        <v>#N/A</v>
      </c>
      <c r="Z21" s="47">
        <f t="shared" si="23"/>
        <v>0.4518523207</v>
      </c>
      <c r="AA21" s="39" t="str">
        <f t="shared" si="23"/>
        <v>#N/A</v>
      </c>
      <c r="AB21" s="39" t="str">
        <f t="shared" si="23"/>
        <v>#N/A</v>
      </c>
    </row>
    <row r="22">
      <c r="A22" s="46">
        <f t="shared" si="1"/>
        <v>5</v>
      </c>
      <c r="B22" s="43" t="str">
        <f t="shared" si="2"/>
        <v>ITC-state</v>
      </c>
      <c r="J22" s="39">
        <f>IFERROR(__xludf.DUMMYFUNCTION("""COMPUTED_VALUE"""),3.0)</f>
        <v>3</v>
      </c>
      <c r="K22" s="39" t="str">
        <f>IFERROR(__xludf.DUMMYFUNCTION("""COMPUTED_VALUE"""),"ITC-category")</f>
        <v>ITC-category</v>
      </c>
      <c r="L22" s="39" t="str">
        <f>IFERROR(__xludf.DUMMYFUNCTION("""COMPUTED_VALUE"""),"easycategs")</f>
        <v>easycategs</v>
      </c>
      <c r="M22" s="39">
        <f>IFERROR(__xludf.DUMMYFUNCTION("""COMPUTED_VALUE"""),1.0)</f>
        <v>1</v>
      </c>
      <c r="N22" s="39">
        <f>IFERROR(__xludf.DUMMYFUNCTION("""COMPUTED_VALUE"""),1.0)</f>
        <v>1</v>
      </c>
      <c r="O22" s="39">
        <f>IFERROR(__xludf.DUMMYFUNCTION("""COMPUTED_VALUE"""),10.0)</f>
        <v>10</v>
      </c>
      <c r="P22" s="39">
        <f>IFERROR(__xludf.DUMMYFUNCTION("COUNT(FILTER(H:H,B:B=K22,D:D=M22,E:E=N22,F:F=O22))"),5.0)</f>
        <v>5</v>
      </c>
      <c r="Q22" s="47">
        <f>IFERROR(__xludf.DUMMYFUNCTION("AVERAGE(FILTER(H:H,B:B=K22,D:D=M22,E:E=N22,F:F=O22))"),0.4632960132922762)</f>
        <v>0.4632960133</v>
      </c>
      <c r="R22" s="47">
        <f>IFERROR(__xludf.DUMMYFUNCTION("MIN(FILTER(H:H,B:B=K22,D:D=M22,E:E=N22,F:F=O22))"),0.0697149437364861)</f>
        <v>0.06971494374</v>
      </c>
      <c r="S22" s="47">
        <f>IFERROR(__xludf.DUMMYFUNCTION("MAX(FILTER(H:H,B:B=K22,D:D=M22,E:E=N22,F:F=O22))"),0.806953787331746)</f>
        <v>0.8069537873</v>
      </c>
      <c r="T22" s="39">
        <f>IFERROR(__xludf.DUMMYFUNCTION("QUARTILE(FILTER(H:H,B:B=K22,D:D=M22,E:E=N22,F:F=O22),1)"),0.276784678960026)</f>
        <v>0.276784679</v>
      </c>
      <c r="U22" s="39">
        <f>IFERROR(__xludf.DUMMYFUNCTION("QUARTILE(FILTER(H:H,B:B=K22,D:D=M22,E:E=N22,F:F=O22),3)"),0.747677668423088)</f>
        <v>0.7476776684</v>
      </c>
      <c r="W22" s="39">
        <f t="shared" si="4"/>
        <v>10</v>
      </c>
      <c r="X22" s="39" t="str">
        <f t="shared" si="5"/>
        <v>#N/A</v>
      </c>
      <c r="Y22" s="39" t="str">
        <f t="shared" ref="Y22:AB22" si="24">IF(Y$2=$K22,$Q22,NA())</f>
        <v>#N/A</v>
      </c>
      <c r="Z22" s="47">
        <f t="shared" si="24"/>
        <v>0.4632960133</v>
      </c>
      <c r="AA22" s="39" t="str">
        <f t="shared" si="24"/>
        <v>#N/A</v>
      </c>
      <c r="AB22" s="39" t="str">
        <f t="shared" si="24"/>
        <v>#N/A</v>
      </c>
    </row>
    <row r="23">
      <c r="A23" s="46">
        <f t="shared" si="1"/>
        <v>5</v>
      </c>
      <c r="B23" s="43" t="str">
        <f t="shared" si="2"/>
        <v>ITC-state</v>
      </c>
      <c r="J23" s="39">
        <f>IFERROR(__xludf.DUMMYFUNCTION("""COMPUTED_VALUE"""),4.0)</f>
        <v>4</v>
      </c>
      <c r="K23" s="39" t="str">
        <f>IFERROR(__xludf.DUMMYFUNCTION("""COMPUTED_VALUE"""),"ITC-priority")</f>
        <v>ITC-priority</v>
      </c>
      <c r="L23" s="39" t="str">
        <f>IFERROR(__xludf.DUMMYFUNCTION("""COMPUTED_VALUE"""),"priority12x3x4")</f>
        <v>priority12x3x4</v>
      </c>
      <c r="M23" s="39">
        <f>IFERROR(__xludf.DUMMYFUNCTION("""COMPUTED_VALUE"""),1.0)</f>
        <v>1</v>
      </c>
      <c r="N23" s="39">
        <f>IFERROR(__xludf.DUMMYFUNCTION("""COMPUTED_VALUE"""),1.0)</f>
        <v>1</v>
      </c>
      <c r="O23" s="39">
        <f>IFERROR(__xludf.DUMMYFUNCTION("""COMPUTED_VALUE"""),1.0)</f>
        <v>1</v>
      </c>
      <c r="P23" s="39">
        <f>IFERROR(__xludf.DUMMYFUNCTION("COUNT(FILTER(H:H,B:B=K23,D:D=M23,E:E=N23,F:F=O23))"),5.0)</f>
        <v>5</v>
      </c>
      <c r="Q23" s="47">
        <f>IFERROR(__xludf.DUMMYFUNCTION("AVERAGE(FILTER(H:H,B:B=K23,D:D=M23,E:E=N23,F:F=O23))"),0.27375735656359906)</f>
        <v>0.2737573566</v>
      </c>
      <c r="R23" s="47">
        <f>IFERROR(__xludf.DUMMYFUNCTION("MIN(FILTER(H:H,B:B=K23,D:D=M23,E:E=N23,F:F=O23))"),0.00906644145357723)</f>
        <v>0.009066441454</v>
      </c>
      <c r="S23" s="47">
        <f>IFERROR(__xludf.DUMMYFUNCTION("MAX(FILTER(H:H,B:B=K23,D:D=M23,E:E=N23,F:F=O23))"),0.840391772793495)</f>
        <v>0.8403917728</v>
      </c>
      <c r="T23" s="39">
        <f>IFERROR(__xludf.DUMMYFUNCTION("QUARTILE(FILTER(H:H,B:B=K23,D:D=M23,E:E=N23,F:F=O23),1)"),0.0127861459024303)</f>
        <v>0.0127861459</v>
      </c>
      <c r="U23" s="39">
        <f>IFERROR(__xludf.DUMMYFUNCTION("QUARTILE(FILTER(H:H,B:B=K23,D:D=M23,E:E=N23,F:F=O23),3)"),0.345479656629598)</f>
        <v>0.3454796566</v>
      </c>
      <c r="W23" s="39">
        <f t="shared" si="4"/>
        <v>1</v>
      </c>
      <c r="X23" s="39" t="str">
        <f t="shared" si="5"/>
        <v>#N/A</v>
      </c>
      <c r="Y23" s="39" t="str">
        <f t="shared" ref="Y23:AB23" si="25">IF(Y$2=$K23,$Q23,NA())</f>
        <v>#N/A</v>
      </c>
      <c r="Z23" s="39" t="str">
        <f t="shared" si="25"/>
        <v>#N/A</v>
      </c>
      <c r="AA23" s="47">
        <f t="shared" si="25"/>
        <v>0.2737573566</v>
      </c>
      <c r="AB23" s="39" t="str">
        <f t="shared" si="25"/>
        <v>#N/A</v>
      </c>
    </row>
    <row r="24">
      <c r="A24" s="46">
        <f t="shared" si="1"/>
        <v>5</v>
      </c>
      <c r="B24" s="43" t="str">
        <f t="shared" si="2"/>
        <v>ITC-state</v>
      </c>
      <c r="J24" s="39">
        <f>IFERROR(__xludf.DUMMYFUNCTION("""COMPUTED_VALUE"""),4.0)</f>
        <v>4</v>
      </c>
      <c r="K24" s="39" t="str">
        <f>IFERROR(__xludf.DUMMYFUNCTION("""COMPUTED_VALUE"""),"ITC-priority")</f>
        <v>ITC-priority</v>
      </c>
      <c r="L24" s="39" t="str">
        <f>IFERROR(__xludf.DUMMYFUNCTION("""COMPUTED_VALUE"""),"priority12x3x4")</f>
        <v>priority12x3x4</v>
      </c>
      <c r="M24" s="39">
        <f>IFERROR(__xludf.DUMMYFUNCTION("""COMPUTED_VALUE"""),1.0)</f>
        <v>1</v>
      </c>
      <c r="N24" s="39">
        <f>IFERROR(__xludf.DUMMYFUNCTION("""COMPUTED_VALUE"""),1.0)</f>
        <v>1</v>
      </c>
      <c r="O24" s="39">
        <f>IFERROR(__xludf.DUMMYFUNCTION("""COMPUTED_VALUE"""),2.0)</f>
        <v>2</v>
      </c>
      <c r="P24" s="39">
        <f>IFERROR(__xludf.DUMMYFUNCTION("COUNT(FILTER(H:H,B:B=K24,D:D=M24,E:E=N24,F:F=O24))"),5.0)</f>
        <v>5</v>
      </c>
      <c r="Q24" s="47">
        <f>IFERROR(__xludf.DUMMYFUNCTION("AVERAGE(FILTER(H:H,B:B=K24,D:D=M24,E:E=N24,F:F=O24))"),0.37461183506769596)</f>
        <v>0.3746118351</v>
      </c>
      <c r="R24" s="47">
        <f>IFERROR(__xludf.DUMMYFUNCTION("MIN(FILTER(H:H,B:B=K24,D:D=M24,E:E=N24,F:F=O24))"),0.0634352689578747)</f>
        <v>0.06343526896</v>
      </c>
      <c r="S24" s="47">
        <f>IFERROR(__xludf.DUMMYFUNCTION("MAX(FILTER(H:H,B:B=K24,D:D=M24,E:E=N24,F:F=O24))"),0.830616183817645)</f>
        <v>0.8306161838</v>
      </c>
      <c r="T24" s="39">
        <f>IFERROR(__xludf.DUMMYFUNCTION("QUARTILE(FILTER(H:H,B:B=K24,D:D=M24,E:E=N24,F:F=O24),1)"),0.302498372081207)</f>
        <v>0.3024983721</v>
      </c>
      <c r="U24" s="39">
        <f>IFERROR(__xludf.DUMMYFUNCTION("QUARTILE(FILTER(H:H,B:B=K24,D:D=M24,E:E=N24,F:F=O24),3)"),0.362174260505558)</f>
        <v>0.3621742605</v>
      </c>
      <c r="W24" s="39">
        <f t="shared" si="4"/>
        <v>2</v>
      </c>
      <c r="X24" s="39" t="str">
        <f t="shared" si="5"/>
        <v>#N/A</v>
      </c>
      <c r="Y24" s="39" t="str">
        <f t="shared" ref="Y24:AB24" si="26">IF(Y$2=$K24,$Q24,NA())</f>
        <v>#N/A</v>
      </c>
      <c r="Z24" s="39" t="str">
        <f t="shared" si="26"/>
        <v>#N/A</v>
      </c>
      <c r="AA24" s="47">
        <f t="shared" si="26"/>
        <v>0.3746118351</v>
      </c>
      <c r="AB24" s="39" t="str">
        <f t="shared" si="26"/>
        <v>#N/A</v>
      </c>
    </row>
    <row r="25">
      <c r="A25" s="46">
        <f t="shared" si="1"/>
        <v>5</v>
      </c>
      <c r="B25" s="43" t="str">
        <f t="shared" si="2"/>
        <v>ITC-state</v>
      </c>
      <c r="J25" s="39">
        <f>IFERROR(__xludf.DUMMYFUNCTION("""COMPUTED_VALUE"""),4.0)</f>
        <v>4</v>
      </c>
      <c r="K25" s="39" t="str">
        <f>IFERROR(__xludf.DUMMYFUNCTION("""COMPUTED_VALUE"""),"ITC-priority")</f>
        <v>ITC-priority</v>
      </c>
      <c r="L25" s="39" t="str">
        <f>IFERROR(__xludf.DUMMYFUNCTION("""COMPUTED_VALUE"""),"priority12x3x4")</f>
        <v>priority12x3x4</v>
      </c>
      <c r="M25" s="39">
        <f>IFERROR(__xludf.DUMMYFUNCTION("""COMPUTED_VALUE"""),1.0)</f>
        <v>1</v>
      </c>
      <c r="N25" s="39">
        <f>IFERROR(__xludf.DUMMYFUNCTION("""COMPUTED_VALUE"""),1.0)</f>
        <v>1</v>
      </c>
      <c r="O25" s="39">
        <f>IFERROR(__xludf.DUMMYFUNCTION("""COMPUTED_VALUE"""),3.0)</f>
        <v>3</v>
      </c>
      <c r="P25" s="39">
        <f>IFERROR(__xludf.DUMMYFUNCTION("COUNT(FILTER(H:H,B:B=K25,D:D=M25,E:E=N25,F:F=O25))"),5.0)</f>
        <v>5</v>
      </c>
      <c r="Q25" s="47">
        <f>IFERROR(__xludf.DUMMYFUNCTION("AVERAGE(FILTER(H:H,B:B=K25,D:D=M25,E:E=N25,F:F=O25))"),0.28884038639813875)</f>
        <v>0.2888403864</v>
      </c>
      <c r="R25" s="47">
        <f>IFERROR(__xludf.DUMMYFUNCTION("MIN(FILTER(H:H,B:B=K25,D:D=M25,E:E=N25,F:F=O25))"),0.0404374507120608)</f>
        <v>0.04043745071</v>
      </c>
      <c r="S25" s="47">
        <f>IFERROR(__xludf.DUMMYFUNCTION("MAX(FILTER(H:H,B:B=K25,D:D=M25,E:E=N25,F:F=O25))"),0.921414617757189)</f>
        <v>0.9214146178</v>
      </c>
      <c r="T25" s="39">
        <f>IFERROR(__xludf.DUMMYFUNCTION("QUARTILE(FILTER(H:H,B:B=K25,D:D=M25,E:E=N25,F:F=O25),1)"),0.151178440558011)</f>
        <v>0.1511784406</v>
      </c>
      <c r="U25" s="39">
        <f>IFERROR(__xludf.DUMMYFUNCTION("QUARTILE(FILTER(H:H,B:B=K25,D:D=M25,E:E=N25,F:F=O25),3)"),0.170537561827193)</f>
        <v>0.1705375618</v>
      </c>
      <c r="W25" s="39">
        <f t="shared" si="4"/>
        <v>3</v>
      </c>
      <c r="X25" s="39" t="str">
        <f t="shared" si="5"/>
        <v>#N/A</v>
      </c>
      <c r="Y25" s="39" t="str">
        <f t="shared" ref="Y25:AB25" si="27">IF(Y$2=$K25,$Q25,NA())</f>
        <v>#N/A</v>
      </c>
      <c r="Z25" s="39" t="str">
        <f t="shared" si="27"/>
        <v>#N/A</v>
      </c>
      <c r="AA25" s="47">
        <f t="shared" si="27"/>
        <v>0.2888403864</v>
      </c>
      <c r="AB25" s="39" t="str">
        <f t="shared" si="27"/>
        <v>#N/A</v>
      </c>
    </row>
    <row r="26">
      <c r="A26" s="46">
        <f t="shared" si="1"/>
        <v>5</v>
      </c>
      <c r="B26" s="43" t="str">
        <f t="shared" si="2"/>
        <v>ITC-state</v>
      </c>
      <c r="J26" s="39">
        <f>IFERROR(__xludf.DUMMYFUNCTION("""COMPUTED_VALUE"""),4.0)</f>
        <v>4</v>
      </c>
      <c r="K26" s="39" t="str">
        <f>IFERROR(__xludf.DUMMYFUNCTION("""COMPUTED_VALUE"""),"ITC-priority")</f>
        <v>ITC-priority</v>
      </c>
      <c r="L26" s="39" t="str">
        <f>IFERROR(__xludf.DUMMYFUNCTION("""COMPUTED_VALUE"""),"priority12x3x4")</f>
        <v>priority12x3x4</v>
      </c>
      <c r="M26" s="39">
        <f>IFERROR(__xludf.DUMMYFUNCTION("""COMPUTED_VALUE"""),1.0)</f>
        <v>1</v>
      </c>
      <c r="N26" s="39">
        <f>IFERROR(__xludf.DUMMYFUNCTION("""COMPUTED_VALUE"""),1.0)</f>
        <v>1</v>
      </c>
      <c r="O26" s="39">
        <f>IFERROR(__xludf.DUMMYFUNCTION("""COMPUTED_VALUE"""),4.0)</f>
        <v>4</v>
      </c>
      <c r="P26" s="39">
        <f>IFERROR(__xludf.DUMMYFUNCTION("COUNT(FILTER(H:H,B:B=K26,D:D=M26,E:E=N26,F:F=O26))"),5.0)</f>
        <v>5</v>
      </c>
      <c r="Q26" s="47">
        <f>IFERROR(__xludf.DUMMYFUNCTION("AVERAGE(FILTER(H:H,B:B=K26,D:D=M26,E:E=N26,F:F=O26))"),0.3081451141886903)</f>
        <v>0.3081451142</v>
      </c>
      <c r="R26" s="47">
        <f>IFERROR(__xludf.DUMMYFUNCTION("MIN(FILTER(H:H,B:B=K26,D:D=M26,E:E=N26,F:F=O26))"),0.0543780761818427)</f>
        <v>0.05437807618</v>
      </c>
      <c r="S26" s="47">
        <f>IFERROR(__xludf.DUMMYFUNCTION("MAX(FILTER(H:H,B:B=K26,D:D=M26,E:E=N26,F:F=O26))"),0.608551299875435)</f>
        <v>0.6085512999</v>
      </c>
      <c r="T26" s="39">
        <f>IFERROR(__xludf.DUMMYFUNCTION("QUARTILE(FILTER(H:H,B:B=K26,D:D=M26,E:E=N26,F:F=O26),1)"),0.204904173957191)</f>
        <v>0.204904174</v>
      </c>
      <c r="U26" s="39">
        <f>IFERROR(__xludf.DUMMYFUNCTION("QUARTILE(FILTER(H:H,B:B=K26,D:D=M26,E:E=N26,F:F=O26),3)"),0.341519380318163)</f>
        <v>0.3415193803</v>
      </c>
      <c r="W26" s="39">
        <f t="shared" si="4"/>
        <v>4</v>
      </c>
      <c r="X26" s="39" t="str">
        <f t="shared" si="5"/>
        <v>#N/A</v>
      </c>
      <c r="Y26" s="39" t="str">
        <f t="shared" ref="Y26:AB26" si="28">IF(Y$2=$K26,$Q26,NA())</f>
        <v>#N/A</v>
      </c>
      <c r="Z26" s="39" t="str">
        <f t="shared" si="28"/>
        <v>#N/A</v>
      </c>
      <c r="AA26" s="47">
        <f t="shared" si="28"/>
        <v>0.3081451142</v>
      </c>
      <c r="AB26" s="39" t="str">
        <f t="shared" si="28"/>
        <v>#N/A</v>
      </c>
    </row>
    <row r="27">
      <c r="A27" s="46">
        <f t="shared" si="1"/>
        <v>5</v>
      </c>
      <c r="B27" s="43" t="str">
        <f t="shared" si="2"/>
        <v>ITC-state</v>
      </c>
      <c r="J27" s="39">
        <f>IFERROR(__xludf.DUMMYFUNCTION("""COMPUTED_VALUE"""),4.0)</f>
        <v>4</v>
      </c>
      <c r="K27" s="39" t="str">
        <f>IFERROR(__xludf.DUMMYFUNCTION("""COMPUTED_VALUE"""),"ITC-priority")</f>
        <v>ITC-priority</v>
      </c>
      <c r="L27" s="39" t="str">
        <f>IFERROR(__xludf.DUMMYFUNCTION("""COMPUTED_VALUE"""),"priority12x3x4")</f>
        <v>priority12x3x4</v>
      </c>
      <c r="M27" s="39">
        <f>IFERROR(__xludf.DUMMYFUNCTION("""COMPUTED_VALUE"""),1.0)</f>
        <v>1</v>
      </c>
      <c r="N27" s="39">
        <f>IFERROR(__xludf.DUMMYFUNCTION("""COMPUTED_VALUE"""),1.0)</f>
        <v>1</v>
      </c>
      <c r="O27" s="39">
        <f>IFERROR(__xludf.DUMMYFUNCTION("""COMPUTED_VALUE"""),5.0)</f>
        <v>5</v>
      </c>
      <c r="P27" s="39">
        <f>IFERROR(__xludf.DUMMYFUNCTION("COUNT(FILTER(H:H,B:B=K27,D:D=M27,E:E=N27,F:F=O27))"),5.0)</f>
        <v>5</v>
      </c>
      <c r="Q27" s="47">
        <f>IFERROR(__xludf.DUMMYFUNCTION("AVERAGE(FILTER(H:H,B:B=K27,D:D=M27,E:E=N27,F:F=O27))"),0.32073618893392836)</f>
        <v>0.3207361889</v>
      </c>
      <c r="R27" s="47">
        <f>IFERROR(__xludf.DUMMYFUNCTION("MIN(FILTER(H:H,B:B=K27,D:D=M27,E:E=N27,F:F=O27))"),0.0309415350134613)</f>
        <v>0.03094153501</v>
      </c>
      <c r="S27" s="47">
        <f>IFERROR(__xludf.DUMMYFUNCTION("MAX(FILTER(H:H,B:B=K27,D:D=M27,E:E=N27,F:F=O27))"),0.920375438700602)</f>
        <v>0.9203754387</v>
      </c>
      <c r="T27" s="39">
        <f>IFERROR(__xludf.DUMMYFUNCTION("QUARTILE(FILTER(H:H,B:B=K27,D:D=M27,E:E=N27,F:F=O27),1)"),0.0637652187696266)</f>
        <v>0.06376521877</v>
      </c>
      <c r="U27" s="39">
        <f>IFERROR(__xludf.DUMMYFUNCTION("QUARTILE(FILTER(H:H,B:B=K27,D:D=M27,E:E=N27,F:F=O27),3)"),0.425075544792775)</f>
        <v>0.4250755448</v>
      </c>
      <c r="W27" s="39">
        <f t="shared" si="4"/>
        <v>5</v>
      </c>
      <c r="X27" s="39" t="str">
        <f t="shared" si="5"/>
        <v>#N/A</v>
      </c>
      <c r="Y27" s="39" t="str">
        <f t="shared" ref="Y27:AB27" si="29">IF(Y$2=$K27,$Q27,NA())</f>
        <v>#N/A</v>
      </c>
      <c r="Z27" s="39" t="str">
        <f t="shared" si="29"/>
        <v>#N/A</v>
      </c>
      <c r="AA27" s="47">
        <f t="shared" si="29"/>
        <v>0.3207361889</v>
      </c>
      <c r="AB27" s="39" t="str">
        <f t="shared" si="29"/>
        <v>#N/A</v>
      </c>
    </row>
    <row r="28">
      <c r="A28" s="46">
        <f t="shared" si="1"/>
        <v>5</v>
      </c>
      <c r="B28" s="43" t="str">
        <f t="shared" si="2"/>
        <v>ITC-state</v>
      </c>
      <c r="J28" s="39">
        <f>IFERROR(__xludf.DUMMYFUNCTION("""COMPUTED_VALUE"""),4.0)</f>
        <v>4</v>
      </c>
      <c r="K28" s="39" t="str">
        <f>IFERROR(__xludf.DUMMYFUNCTION("""COMPUTED_VALUE"""),"ITC-priority")</f>
        <v>ITC-priority</v>
      </c>
      <c r="L28" s="39" t="str">
        <f>IFERROR(__xludf.DUMMYFUNCTION("""COMPUTED_VALUE"""),"priority12x3x4")</f>
        <v>priority12x3x4</v>
      </c>
      <c r="M28" s="39">
        <f>IFERROR(__xludf.DUMMYFUNCTION("""COMPUTED_VALUE"""),1.0)</f>
        <v>1</v>
      </c>
      <c r="N28" s="39">
        <f>IFERROR(__xludf.DUMMYFUNCTION("""COMPUTED_VALUE"""),1.0)</f>
        <v>1</v>
      </c>
      <c r="O28" s="39">
        <f>IFERROR(__xludf.DUMMYFUNCTION("""COMPUTED_VALUE"""),6.0)</f>
        <v>6</v>
      </c>
      <c r="P28" s="39">
        <f>IFERROR(__xludf.DUMMYFUNCTION("COUNT(FILTER(H:H,B:B=K28,D:D=M28,E:E=N28,F:F=O28))"),5.0)</f>
        <v>5</v>
      </c>
      <c r="Q28" s="47">
        <f>IFERROR(__xludf.DUMMYFUNCTION("AVERAGE(FILTER(H:H,B:B=K28,D:D=M28,E:E=N28,F:F=O28))"),0.24665496063881776)</f>
        <v>0.2466549606</v>
      </c>
      <c r="R28" s="47">
        <f>IFERROR(__xludf.DUMMYFUNCTION("MIN(FILTER(H:H,B:B=K28,D:D=M28,E:E=N28,F:F=O28))"),0.0532650866137)</f>
        <v>0.05326508661</v>
      </c>
      <c r="S28" s="47">
        <f>IFERROR(__xludf.DUMMYFUNCTION("MAX(FILTER(H:H,B:B=K28,D:D=M28,E:E=N28,F:F=O28))"),0.572713605103037)</f>
        <v>0.5727136051</v>
      </c>
      <c r="T28" s="39">
        <f>IFERROR(__xludf.DUMMYFUNCTION("QUARTILE(FILTER(H:H,B:B=K28,D:D=M28,E:E=N28,F:F=O28),1)"),0.0598329755885519)</f>
        <v>0.05983297559</v>
      </c>
      <c r="U28" s="39">
        <f>IFERROR(__xludf.DUMMYFUNCTION("QUARTILE(FILTER(H:H,B:B=K28,D:D=M28,E:E=N28,F:F=O28),3)"),0.443442809513732)</f>
        <v>0.4434428095</v>
      </c>
      <c r="W28" s="39">
        <f t="shared" si="4"/>
        <v>6</v>
      </c>
      <c r="X28" s="39" t="str">
        <f t="shared" si="5"/>
        <v>#N/A</v>
      </c>
      <c r="Y28" s="39" t="str">
        <f t="shared" ref="Y28:AB28" si="30">IF(Y$2=$K28,$Q28,NA())</f>
        <v>#N/A</v>
      </c>
      <c r="Z28" s="39" t="str">
        <f t="shared" si="30"/>
        <v>#N/A</v>
      </c>
      <c r="AA28" s="47">
        <f t="shared" si="30"/>
        <v>0.2466549606</v>
      </c>
      <c r="AB28" s="39" t="str">
        <f t="shared" si="30"/>
        <v>#N/A</v>
      </c>
    </row>
    <row r="29">
      <c r="A29" s="46">
        <f t="shared" si="1"/>
        <v>5</v>
      </c>
      <c r="B29" s="43" t="str">
        <f t="shared" si="2"/>
        <v>ITC-state</v>
      </c>
      <c r="J29" s="39">
        <f>IFERROR(__xludf.DUMMYFUNCTION("""COMPUTED_VALUE"""),4.0)</f>
        <v>4</v>
      </c>
      <c r="K29" s="39" t="str">
        <f>IFERROR(__xludf.DUMMYFUNCTION("""COMPUTED_VALUE"""),"ITC-priority")</f>
        <v>ITC-priority</v>
      </c>
      <c r="L29" s="39" t="str">
        <f>IFERROR(__xludf.DUMMYFUNCTION("""COMPUTED_VALUE"""),"priority12x3x4")</f>
        <v>priority12x3x4</v>
      </c>
      <c r="M29" s="39">
        <f>IFERROR(__xludf.DUMMYFUNCTION("""COMPUTED_VALUE"""),1.0)</f>
        <v>1</v>
      </c>
      <c r="N29" s="39">
        <f>IFERROR(__xludf.DUMMYFUNCTION("""COMPUTED_VALUE"""),1.0)</f>
        <v>1</v>
      </c>
      <c r="O29" s="39">
        <f>IFERROR(__xludf.DUMMYFUNCTION("""COMPUTED_VALUE"""),7.0)</f>
        <v>7</v>
      </c>
      <c r="P29" s="39">
        <f>IFERROR(__xludf.DUMMYFUNCTION("COUNT(FILTER(H:H,B:B=K29,D:D=M29,E:E=N29,F:F=O29))"),5.0)</f>
        <v>5</v>
      </c>
      <c r="Q29" s="47">
        <f>IFERROR(__xludf.DUMMYFUNCTION("AVERAGE(FILTER(H:H,B:B=K29,D:D=M29,E:E=N29,F:F=O29))"),0.21265527006834684)</f>
        <v>0.2126552701</v>
      </c>
      <c r="R29" s="47">
        <f>IFERROR(__xludf.DUMMYFUNCTION("MIN(FILTER(H:H,B:B=K29,D:D=M29,E:E=N29,F:F=O29))"),0.0484750301484662)</f>
        <v>0.04847503015</v>
      </c>
      <c r="S29" s="47">
        <f>IFERROR(__xludf.DUMMYFUNCTION("MAX(FILTER(H:H,B:B=K29,D:D=M29,E:E=N29,F:F=O29))"),0.34454398031161)</f>
        <v>0.3445439803</v>
      </c>
      <c r="T29" s="39">
        <f>IFERROR(__xludf.DUMMYFUNCTION("QUARTILE(FILTER(H:H,B:B=K29,D:D=M29,E:E=N29,F:F=O29),1)"),0.123683879290485)</f>
        <v>0.1236838793</v>
      </c>
      <c r="U29" s="39">
        <f>IFERROR(__xludf.DUMMYFUNCTION("QUARTILE(FILTER(H:H,B:B=K29,D:D=M29,E:E=N29,F:F=O29),3)"),0.326584803328681)</f>
        <v>0.3265848033</v>
      </c>
      <c r="W29" s="39">
        <f t="shared" si="4"/>
        <v>7</v>
      </c>
      <c r="X29" s="39" t="str">
        <f t="shared" si="5"/>
        <v>#N/A</v>
      </c>
      <c r="Y29" s="39" t="str">
        <f t="shared" ref="Y29:AB29" si="31">IF(Y$2=$K29,$Q29,NA())</f>
        <v>#N/A</v>
      </c>
      <c r="Z29" s="39" t="str">
        <f t="shared" si="31"/>
        <v>#N/A</v>
      </c>
      <c r="AA29" s="47">
        <f t="shared" si="31"/>
        <v>0.2126552701</v>
      </c>
      <c r="AB29" s="39" t="str">
        <f t="shared" si="31"/>
        <v>#N/A</v>
      </c>
    </row>
    <row r="30">
      <c r="A30" s="46">
        <f t="shared" si="1"/>
        <v>5</v>
      </c>
      <c r="B30" s="43" t="str">
        <f t="shared" si="2"/>
        <v>ITC-state</v>
      </c>
      <c r="J30" s="39">
        <f>IFERROR(__xludf.DUMMYFUNCTION("""COMPUTED_VALUE"""),4.0)</f>
        <v>4</v>
      </c>
      <c r="K30" s="39" t="str">
        <f>IFERROR(__xludf.DUMMYFUNCTION("""COMPUTED_VALUE"""),"ITC-priority")</f>
        <v>ITC-priority</v>
      </c>
      <c r="L30" s="39" t="str">
        <f>IFERROR(__xludf.DUMMYFUNCTION("""COMPUTED_VALUE"""),"priority12x3x4")</f>
        <v>priority12x3x4</v>
      </c>
      <c r="M30" s="39">
        <f>IFERROR(__xludf.DUMMYFUNCTION("""COMPUTED_VALUE"""),1.0)</f>
        <v>1</v>
      </c>
      <c r="N30" s="39">
        <f>IFERROR(__xludf.DUMMYFUNCTION("""COMPUTED_VALUE"""),1.0)</f>
        <v>1</v>
      </c>
      <c r="O30" s="39">
        <f>IFERROR(__xludf.DUMMYFUNCTION("""COMPUTED_VALUE"""),8.0)</f>
        <v>8</v>
      </c>
      <c r="P30" s="39">
        <f>IFERROR(__xludf.DUMMYFUNCTION("COUNT(FILTER(H:H,B:B=K30,D:D=M30,E:E=N30,F:F=O30))"),5.0)</f>
        <v>5</v>
      </c>
      <c r="Q30" s="47">
        <f>IFERROR(__xludf.DUMMYFUNCTION("AVERAGE(FILTER(H:H,B:B=K30,D:D=M30,E:E=N30,F:F=O30))"),0.21596592512626037)</f>
        <v>0.2159659251</v>
      </c>
      <c r="R30" s="47">
        <f>IFERROR(__xludf.DUMMYFUNCTION("MIN(FILTER(H:H,B:B=K30,D:D=M30,E:E=N30,F:F=O30))"),0.043508176679905)</f>
        <v>0.04350817668</v>
      </c>
      <c r="S30" s="47">
        <f>IFERROR(__xludf.DUMMYFUNCTION("MAX(FILTER(H:H,B:B=K30,D:D=M30,E:E=N30,F:F=O30))"),0.341180050310719)</f>
        <v>0.3411800503</v>
      </c>
      <c r="T30" s="39">
        <f>IFERROR(__xludf.DUMMYFUNCTION("QUARTILE(FILTER(H:H,B:B=K30,D:D=M30,E:E=N30,F:F=O30),1)"),0.0469591045749318)</f>
        <v>0.04695910457</v>
      </c>
      <c r="U30" s="39">
        <f>IFERROR(__xludf.DUMMYFUNCTION("QUARTILE(FILTER(H:H,B:B=K30,D:D=M30,E:E=N30,F:F=O30),3)"),0.32931816734556)</f>
        <v>0.3293181673</v>
      </c>
      <c r="W30" s="39">
        <f t="shared" si="4"/>
        <v>8</v>
      </c>
      <c r="X30" s="39" t="str">
        <f t="shared" si="5"/>
        <v>#N/A</v>
      </c>
      <c r="Y30" s="39" t="str">
        <f t="shared" ref="Y30:AB30" si="32">IF(Y$2=$K30,$Q30,NA())</f>
        <v>#N/A</v>
      </c>
      <c r="Z30" s="39" t="str">
        <f t="shared" si="32"/>
        <v>#N/A</v>
      </c>
      <c r="AA30" s="47">
        <f t="shared" si="32"/>
        <v>0.2159659251</v>
      </c>
      <c r="AB30" s="39" t="str">
        <f t="shared" si="32"/>
        <v>#N/A</v>
      </c>
    </row>
    <row r="31">
      <c r="A31" s="46">
        <f t="shared" si="1"/>
        <v>5</v>
      </c>
      <c r="B31" s="43" t="str">
        <f t="shared" si="2"/>
        <v>ITC-state</v>
      </c>
      <c r="J31" s="39">
        <f>IFERROR(__xludf.DUMMYFUNCTION("""COMPUTED_VALUE"""),4.0)</f>
        <v>4</v>
      </c>
      <c r="K31" s="39" t="str">
        <f>IFERROR(__xludf.DUMMYFUNCTION("""COMPUTED_VALUE"""),"ITC-priority")</f>
        <v>ITC-priority</v>
      </c>
      <c r="L31" s="39" t="str">
        <f>IFERROR(__xludf.DUMMYFUNCTION("""COMPUTED_VALUE"""),"priority12x3x4")</f>
        <v>priority12x3x4</v>
      </c>
      <c r="M31" s="39">
        <f>IFERROR(__xludf.DUMMYFUNCTION("""COMPUTED_VALUE"""),1.0)</f>
        <v>1</v>
      </c>
      <c r="N31" s="39">
        <f>IFERROR(__xludf.DUMMYFUNCTION("""COMPUTED_VALUE"""),1.0)</f>
        <v>1</v>
      </c>
      <c r="O31" s="39">
        <f>IFERROR(__xludf.DUMMYFUNCTION("""COMPUTED_VALUE"""),9.0)</f>
        <v>9</v>
      </c>
      <c r="P31" s="39">
        <f>IFERROR(__xludf.DUMMYFUNCTION("COUNT(FILTER(H:H,B:B=K31,D:D=M31,E:E=N31,F:F=O31))"),5.0)</f>
        <v>5</v>
      </c>
      <c r="Q31" s="47">
        <f>IFERROR(__xludf.DUMMYFUNCTION("AVERAGE(FILTER(H:H,B:B=K31,D:D=M31,E:E=N31,F:F=O31))"),0.21898160849296397)</f>
        <v>0.2189816085</v>
      </c>
      <c r="R31" s="47">
        <f>IFERROR(__xludf.DUMMYFUNCTION("MIN(FILTER(H:H,B:B=K31,D:D=M31,E:E=N31,F:F=O31))"),0.0453257635067036)</f>
        <v>0.04532576351</v>
      </c>
      <c r="S31" s="47">
        <f>IFERROR(__xludf.DUMMYFUNCTION("MAX(FILTER(H:H,B:B=K31,D:D=M31,E:E=N31,F:F=O31))"),0.342289514945514)</f>
        <v>0.3422895149</v>
      </c>
      <c r="T31" s="39">
        <f>IFERROR(__xludf.DUMMYFUNCTION("QUARTILE(FILTER(H:H,B:B=K31,D:D=M31,E:E=N31,F:F=O31),1)"),0.0463583366103502)</f>
        <v>0.04635833661</v>
      </c>
      <c r="U31" s="39">
        <f>IFERROR(__xludf.DUMMYFUNCTION("QUARTILE(FILTER(H:H,B:B=K31,D:D=M31,E:E=N31,F:F=O31),3)"),0.331660122320992)</f>
        <v>0.3316601223</v>
      </c>
      <c r="W31" s="39">
        <f t="shared" si="4"/>
        <v>9</v>
      </c>
      <c r="X31" s="39" t="str">
        <f t="shared" si="5"/>
        <v>#N/A</v>
      </c>
      <c r="Y31" s="39" t="str">
        <f t="shared" ref="Y31:AB31" si="33">IF(Y$2=$K31,$Q31,NA())</f>
        <v>#N/A</v>
      </c>
      <c r="Z31" s="39" t="str">
        <f t="shared" si="33"/>
        <v>#N/A</v>
      </c>
      <c r="AA31" s="47">
        <f t="shared" si="33"/>
        <v>0.2189816085</v>
      </c>
      <c r="AB31" s="39" t="str">
        <f t="shared" si="33"/>
        <v>#N/A</v>
      </c>
    </row>
    <row r="32">
      <c r="A32" s="46">
        <f t="shared" si="1"/>
        <v>5</v>
      </c>
      <c r="B32" s="43" t="str">
        <f t="shared" si="2"/>
        <v>ITC-state</v>
      </c>
      <c r="J32" s="39">
        <f>IFERROR(__xludf.DUMMYFUNCTION("""COMPUTED_VALUE"""),4.0)</f>
        <v>4</v>
      </c>
      <c r="K32" s="39" t="str">
        <f>IFERROR(__xludf.DUMMYFUNCTION("""COMPUTED_VALUE"""),"ITC-priority")</f>
        <v>ITC-priority</v>
      </c>
      <c r="L32" s="39" t="str">
        <f>IFERROR(__xludf.DUMMYFUNCTION("""COMPUTED_VALUE"""),"priority12x3x4")</f>
        <v>priority12x3x4</v>
      </c>
      <c r="M32" s="39">
        <f>IFERROR(__xludf.DUMMYFUNCTION("""COMPUTED_VALUE"""),1.0)</f>
        <v>1</v>
      </c>
      <c r="N32" s="39">
        <f>IFERROR(__xludf.DUMMYFUNCTION("""COMPUTED_VALUE"""),1.0)</f>
        <v>1</v>
      </c>
      <c r="O32" s="39">
        <f>IFERROR(__xludf.DUMMYFUNCTION("""COMPUTED_VALUE"""),10.0)</f>
        <v>10</v>
      </c>
      <c r="P32" s="39">
        <f>IFERROR(__xludf.DUMMYFUNCTION("COUNT(FILTER(H:H,B:B=K32,D:D=M32,E:E=N32,F:F=O32))"),5.0)</f>
        <v>5</v>
      </c>
      <c r="Q32" s="47">
        <f>IFERROR(__xludf.DUMMYFUNCTION("AVERAGE(FILTER(H:H,B:B=K32,D:D=M32,E:E=N32,F:F=O32))"),0.2519205578758437)</f>
        <v>0.2519205579</v>
      </c>
      <c r="R32" s="47">
        <f>IFERROR(__xludf.DUMMYFUNCTION("MIN(FILTER(H:H,B:B=K32,D:D=M32,E:E=N32,F:F=O32))"),0.0415773758818775)</f>
        <v>0.04157737588</v>
      </c>
      <c r="S32" s="47">
        <f>IFERROR(__xludf.DUMMYFUNCTION("MAX(FILTER(H:H,B:B=K32,D:D=M32,E:E=N32,F:F=O32))"),0.525586220583893)</f>
        <v>0.5255862206</v>
      </c>
      <c r="T32" s="39">
        <f>IFERROR(__xludf.DUMMYFUNCTION("QUARTILE(FILTER(H:H,B:B=K32,D:D=M32,E:E=N32,F:F=O32),1)"),0.0689053418645132)</f>
        <v>0.06890534186</v>
      </c>
      <c r="U32" s="39">
        <f>IFERROR(__xludf.DUMMYFUNCTION("QUARTILE(FILTER(H:H,B:B=K32,D:D=M32,E:E=N32,F:F=O32),3)"),0.467788188744274)</f>
        <v>0.4677881887</v>
      </c>
      <c r="W32" s="39">
        <f t="shared" si="4"/>
        <v>10</v>
      </c>
      <c r="X32" s="39" t="str">
        <f t="shared" si="5"/>
        <v>#N/A</v>
      </c>
      <c r="Y32" s="39" t="str">
        <f t="shared" ref="Y32:AB32" si="34">IF(Y$2=$K32,$Q32,NA())</f>
        <v>#N/A</v>
      </c>
      <c r="Z32" s="39" t="str">
        <f t="shared" si="34"/>
        <v>#N/A</v>
      </c>
      <c r="AA32" s="47">
        <f t="shared" si="34"/>
        <v>0.2519205579</v>
      </c>
      <c r="AB32" s="39" t="str">
        <f t="shared" si="34"/>
        <v>#N/A</v>
      </c>
    </row>
    <row r="33">
      <c r="A33" s="46">
        <f t="shared" si="1"/>
        <v>5</v>
      </c>
      <c r="B33" s="43" t="str">
        <f t="shared" si="2"/>
        <v>ITC-state</v>
      </c>
      <c r="J33" s="39">
        <f>IFERROR(__xludf.DUMMYFUNCTION("""COMPUTED_VALUE"""),5.0)</f>
        <v>5</v>
      </c>
      <c r="K33" s="39" t="str">
        <f>IFERROR(__xludf.DUMMYFUNCTION("""COMPUTED_VALUE"""),"ITC-state")</f>
        <v>ITC-state</v>
      </c>
      <c r="L33" s="39" t="str">
        <f>IFERROR(__xludf.DUMMYFUNCTION("""COMPUTED_VALUE"""),"awaitingsml")</f>
        <v>awaitingsml</v>
      </c>
      <c r="M33" s="39">
        <f>IFERROR(__xludf.DUMMYFUNCTION("""COMPUTED_VALUE"""),1.0)</f>
        <v>1</v>
      </c>
      <c r="N33" s="39">
        <f>IFERROR(__xludf.DUMMYFUNCTION("""COMPUTED_VALUE"""),1.0)</f>
        <v>1</v>
      </c>
      <c r="O33" s="39">
        <f>IFERROR(__xludf.DUMMYFUNCTION("""COMPUTED_VALUE"""),1.0)</f>
        <v>1</v>
      </c>
      <c r="P33" s="39">
        <f>IFERROR(__xludf.DUMMYFUNCTION("COUNT(FILTER(H:H,B:B=K33,D:D=M33,E:E=N33,F:F=O33))"),5.0)</f>
        <v>5</v>
      </c>
      <c r="Q33" s="47">
        <f>IFERROR(__xludf.DUMMYFUNCTION("AVERAGE(FILTER(H:H,B:B=K33,D:D=M33,E:E=N33,F:F=O33))"),0.5684544395905136)</f>
        <v>0.5684544396</v>
      </c>
      <c r="R33" s="47">
        <f>IFERROR(__xludf.DUMMYFUNCTION("MIN(FILTER(H:H,B:B=K33,D:D=M33,E:E=N33,F:F=O33))"),-0.0679733636203825)</f>
        <v>-0.06797336362</v>
      </c>
      <c r="S33" s="47">
        <f>IFERROR(__xludf.DUMMYFUNCTION("MAX(FILTER(H:H,B:B=K33,D:D=M33,E:E=N33,F:F=O33))"),0.924382901263788)</f>
        <v>0.9243829013</v>
      </c>
      <c r="T33" s="39">
        <f>IFERROR(__xludf.DUMMYFUNCTION("QUARTILE(FILTER(H:H,B:B=K33,D:D=M33,E:E=N33,F:F=O33),1)"),0.420329390905806)</f>
        <v>0.4203293909</v>
      </c>
      <c r="U33" s="39">
        <f>IFERROR(__xludf.DUMMYFUNCTION("QUARTILE(FILTER(H:H,B:B=K33,D:D=M33,E:E=N33,F:F=O33),3)"),0.818571601465106)</f>
        <v>0.8185716015</v>
      </c>
      <c r="W33" s="39">
        <f t="shared" si="4"/>
        <v>1</v>
      </c>
      <c r="X33" s="39" t="str">
        <f t="shared" si="5"/>
        <v>#N/A</v>
      </c>
      <c r="Y33" s="39" t="str">
        <f t="shared" ref="Y33:AB33" si="35">IF(Y$2=$K33,$Q33,NA())</f>
        <v>#N/A</v>
      </c>
      <c r="Z33" s="39" t="str">
        <f t="shared" si="35"/>
        <v>#N/A</v>
      </c>
      <c r="AA33" s="39" t="str">
        <f t="shared" si="35"/>
        <v>#N/A</v>
      </c>
      <c r="AB33" s="47">
        <f t="shared" si="35"/>
        <v>0.5684544396</v>
      </c>
    </row>
    <row r="34">
      <c r="A34" s="46">
        <f t="shared" si="1"/>
        <v>5</v>
      </c>
      <c r="B34" s="43" t="str">
        <f t="shared" si="2"/>
        <v>ITC-state</v>
      </c>
      <c r="J34" s="39">
        <f>IFERROR(__xludf.DUMMYFUNCTION("""COMPUTED_VALUE"""),5.0)</f>
        <v>5</v>
      </c>
      <c r="K34" s="39" t="str">
        <f>IFERROR(__xludf.DUMMYFUNCTION("""COMPUTED_VALUE"""),"ITC-state")</f>
        <v>ITC-state</v>
      </c>
      <c r="L34" s="39" t="str">
        <f>IFERROR(__xludf.DUMMYFUNCTION("""COMPUTED_VALUE"""),"awaitingsml")</f>
        <v>awaitingsml</v>
      </c>
      <c r="M34" s="39">
        <f>IFERROR(__xludf.DUMMYFUNCTION("""COMPUTED_VALUE"""),1.0)</f>
        <v>1</v>
      </c>
      <c r="N34" s="39">
        <f>IFERROR(__xludf.DUMMYFUNCTION("""COMPUTED_VALUE"""),1.0)</f>
        <v>1</v>
      </c>
      <c r="O34" s="39">
        <f>IFERROR(__xludf.DUMMYFUNCTION("""COMPUTED_VALUE"""),2.0)</f>
        <v>2</v>
      </c>
      <c r="P34" s="39">
        <f>IFERROR(__xludf.DUMMYFUNCTION("COUNT(FILTER(H:H,B:B=K34,D:D=M34,E:E=N34,F:F=O34))"),5.0)</f>
        <v>5</v>
      </c>
      <c r="Q34" s="47">
        <f>IFERROR(__xludf.DUMMYFUNCTION("AVERAGE(FILTER(H:H,B:B=K34,D:D=M34,E:E=N34,F:F=O34))"),0.47527436010943225)</f>
        <v>0.4752743601</v>
      </c>
      <c r="R34" s="47">
        <f>IFERROR(__xludf.DUMMYFUNCTION("MIN(FILTER(H:H,B:B=K34,D:D=M34,E:E=N34,F:F=O34))"),-0.070445595456867)</f>
        <v>-0.07044559546</v>
      </c>
      <c r="S34" s="47">
        <f>IFERROR(__xludf.DUMMYFUNCTION("MAX(FILTER(H:H,B:B=K34,D:D=M34,E:E=N34,F:F=O34))"),0.815593918675359)</f>
        <v>0.8155939187</v>
      </c>
      <c r="T34" s="39">
        <f>IFERROR(__xludf.DUMMYFUNCTION("QUARTILE(FILTER(H:H,B:B=K34,D:D=M34,E:E=N34,F:F=O34),1)"),0.419796345800996)</f>
        <v>0.4197963458</v>
      </c>
      <c r="U34" s="39">
        <f>IFERROR(__xludf.DUMMYFUNCTION("QUARTILE(FILTER(H:H,B:B=K34,D:D=M34,E:E=N34,F:F=O34),3)"),0.747391127735375)</f>
        <v>0.7473911277</v>
      </c>
      <c r="W34" s="39">
        <f t="shared" si="4"/>
        <v>2</v>
      </c>
      <c r="X34" s="39" t="str">
        <f t="shared" si="5"/>
        <v>#N/A</v>
      </c>
      <c r="Y34" s="39" t="str">
        <f t="shared" ref="Y34:AB34" si="36">IF(Y$2=$K34,$Q34,NA())</f>
        <v>#N/A</v>
      </c>
      <c r="Z34" s="39" t="str">
        <f t="shared" si="36"/>
        <v>#N/A</v>
      </c>
      <c r="AA34" s="39" t="str">
        <f t="shared" si="36"/>
        <v>#N/A</v>
      </c>
      <c r="AB34" s="47">
        <f t="shared" si="36"/>
        <v>0.4752743601</v>
      </c>
    </row>
    <row r="35">
      <c r="A35" s="46">
        <f t="shared" si="1"/>
        <v>5</v>
      </c>
      <c r="B35" s="43" t="str">
        <f t="shared" si="2"/>
        <v>ITC-state</v>
      </c>
      <c r="J35" s="39">
        <f>IFERROR(__xludf.DUMMYFUNCTION("""COMPUTED_VALUE"""),5.0)</f>
        <v>5</v>
      </c>
      <c r="K35" s="39" t="str">
        <f>IFERROR(__xludf.DUMMYFUNCTION("""COMPUTED_VALUE"""),"ITC-state")</f>
        <v>ITC-state</v>
      </c>
      <c r="L35" s="39" t="str">
        <f>IFERROR(__xludf.DUMMYFUNCTION("""COMPUTED_VALUE"""),"awaitingsml")</f>
        <v>awaitingsml</v>
      </c>
      <c r="M35" s="39">
        <f>IFERROR(__xludf.DUMMYFUNCTION("""COMPUTED_VALUE"""),1.0)</f>
        <v>1</v>
      </c>
      <c r="N35" s="39">
        <f>IFERROR(__xludf.DUMMYFUNCTION("""COMPUTED_VALUE"""),1.0)</f>
        <v>1</v>
      </c>
      <c r="O35" s="39">
        <f>IFERROR(__xludf.DUMMYFUNCTION("""COMPUTED_VALUE"""),3.0)</f>
        <v>3</v>
      </c>
      <c r="P35" s="39">
        <f>IFERROR(__xludf.DUMMYFUNCTION("COUNT(FILTER(H:H,B:B=K35,D:D=M35,E:E=N35,F:F=O35))"),5.0)</f>
        <v>5</v>
      </c>
      <c r="Q35" s="47">
        <f>IFERROR(__xludf.DUMMYFUNCTION("AVERAGE(FILTER(H:H,B:B=K35,D:D=M35,E:E=N35,F:F=O35))"),0.5616227659027657)</f>
        <v>0.5616227659</v>
      </c>
      <c r="R35" s="47">
        <f>IFERROR(__xludf.DUMMYFUNCTION("MIN(FILTER(H:H,B:B=K35,D:D=M35,E:E=N35,F:F=O35))"),-0.0650019696094682)</f>
        <v>-0.06500196961</v>
      </c>
      <c r="S35" s="47">
        <f>IFERROR(__xludf.DUMMYFUNCTION("MAX(FILTER(H:H,B:B=K35,D:D=M35,E:E=N35,F:F=O35))"),0.818794317201299)</f>
        <v>0.8187943172</v>
      </c>
      <c r="T35" s="39">
        <f>IFERROR(__xludf.DUMMYFUNCTION("QUARTILE(FILTER(H:H,B:B=K35,D:D=M35,E:E=N35,F:F=O35),1)"),0.462784551404416)</f>
        <v>0.4627845514</v>
      </c>
      <c r="U35" s="39">
        <f>IFERROR(__xludf.DUMMYFUNCTION("QUARTILE(FILTER(H:H,B:B=K35,D:D=M35,E:E=N35,F:F=O35),3)"),0.804899505922651)</f>
        <v>0.8048995059</v>
      </c>
      <c r="W35" s="39">
        <f t="shared" si="4"/>
        <v>3</v>
      </c>
      <c r="X35" s="39" t="str">
        <f t="shared" si="5"/>
        <v>#N/A</v>
      </c>
      <c r="Y35" s="39" t="str">
        <f t="shared" ref="Y35:AB35" si="37">IF(Y$2=$K35,$Q35,NA())</f>
        <v>#N/A</v>
      </c>
      <c r="Z35" s="39" t="str">
        <f t="shared" si="37"/>
        <v>#N/A</v>
      </c>
      <c r="AA35" s="39" t="str">
        <f t="shared" si="37"/>
        <v>#N/A</v>
      </c>
      <c r="AB35" s="47">
        <f t="shared" si="37"/>
        <v>0.5616227659</v>
      </c>
    </row>
    <row r="36">
      <c r="A36" s="46">
        <f t="shared" si="1"/>
        <v>5</v>
      </c>
      <c r="B36" s="43" t="str">
        <f t="shared" si="2"/>
        <v>ITC-state</v>
      </c>
      <c r="J36" s="39">
        <f>IFERROR(__xludf.DUMMYFUNCTION("""COMPUTED_VALUE"""),5.0)</f>
        <v>5</v>
      </c>
      <c r="K36" s="39" t="str">
        <f>IFERROR(__xludf.DUMMYFUNCTION("""COMPUTED_VALUE"""),"ITC-state")</f>
        <v>ITC-state</v>
      </c>
      <c r="L36" s="39" t="str">
        <f>IFERROR(__xludf.DUMMYFUNCTION("""COMPUTED_VALUE"""),"awaitingsml")</f>
        <v>awaitingsml</v>
      </c>
      <c r="M36" s="39">
        <f>IFERROR(__xludf.DUMMYFUNCTION("""COMPUTED_VALUE"""),1.0)</f>
        <v>1</v>
      </c>
      <c r="N36" s="39">
        <f>IFERROR(__xludf.DUMMYFUNCTION("""COMPUTED_VALUE"""),1.0)</f>
        <v>1</v>
      </c>
      <c r="O36" s="39">
        <f>IFERROR(__xludf.DUMMYFUNCTION("""COMPUTED_VALUE"""),4.0)</f>
        <v>4</v>
      </c>
      <c r="P36" s="39">
        <f>IFERROR(__xludf.DUMMYFUNCTION("COUNT(FILTER(H:H,B:B=K36,D:D=M36,E:E=N36,F:F=O36))"),5.0)</f>
        <v>5</v>
      </c>
      <c r="Q36" s="47">
        <f>IFERROR(__xludf.DUMMYFUNCTION("AVERAGE(FILTER(H:H,B:B=K36,D:D=M36,E:E=N36,F:F=O36))"),0.5247375589629997)</f>
        <v>0.524737559</v>
      </c>
      <c r="R36" s="47">
        <f>IFERROR(__xludf.DUMMYFUNCTION("MIN(FILTER(H:H,B:B=K36,D:D=M36,E:E=N36,F:F=O36))"),0.0371296646119408)</f>
        <v>0.03712966461</v>
      </c>
      <c r="S36" s="47">
        <f>IFERROR(__xludf.DUMMYFUNCTION("MAX(FILTER(H:H,B:B=K36,D:D=M36,E:E=N36,F:F=O36))"),0.898509415297103)</f>
        <v>0.8985094153</v>
      </c>
      <c r="T36" s="39">
        <f>IFERROR(__xludf.DUMMYFUNCTION("QUARTILE(FILTER(H:H,B:B=K36,D:D=M36,E:E=N36,F:F=O36),1)"),0.0507646585008345)</f>
        <v>0.0507646585</v>
      </c>
      <c r="U36" s="39">
        <f>IFERROR(__xludf.DUMMYFUNCTION("QUARTILE(FILTER(H:H,B:B=K36,D:D=M36,E:E=N36,F:F=O36),3)"),0.822690992604861)</f>
        <v>0.8226909926</v>
      </c>
      <c r="W36" s="39">
        <f t="shared" si="4"/>
        <v>4</v>
      </c>
      <c r="X36" s="39" t="str">
        <f t="shared" si="5"/>
        <v>#N/A</v>
      </c>
      <c r="Y36" s="39" t="str">
        <f t="shared" ref="Y36:AB36" si="38">IF(Y$2=$K36,$Q36,NA())</f>
        <v>#N/A</v>
      </c>
      <c r="Z36" s="39" t="str">
        <f t="shared" si="38"/>
        <v>#N/A</v>
      </c>
      <c r="AA36" s="39" t="str">
        <f t="shared" si="38"/>
        <v>#N/A</v>
      </c>
      <c r="AB36" s="47">
        <f t="shared" si="38"/>
        <v>0.524737559</v>
      </c>
    </row>
    <row r="37">
      <c r="A37" s="46">
        <f t="shared" si="1"/>
        <v>5</v>
      </c>
      <c r="B37" s="43" t="str">
        <f t="shared" si="2"/>
        <v>ITC-state</v>
      </c>
      <c r="J37" s="39">
        <f>IFERROR(__xludf.DUMMYFUNCTION("""COMPUTED_VALUE"""),5.0)</f>
        <v>5</v>
      </c>
      <c r="K37" s="39" t="str">
        <f>IFERROR(__xludf.DUMMYFUNCTION("""COMPUTED_VALUE"""),"ITC-state")</f>
        <v>ITC-state</v>
      </c>
      <c r="L37" s="39" t="str">
        <f>IFERROR(__xludf.DUMMYFUNCTION("""COMPUTED_VALUE"""),"awaitingsml")</f>
        <v>awaitingsml</v>
      </c>
      <c r="M37" s="39">
        <f>IFERROR(__xludf.DUMMYFUNCTION("""COMPUTED_VALUE"""),1.0)</f>
        <v>1</v>
      </c>
      <c r="N37" s="39">
        <f>IFERROR(__xludf.DUMMYFUNCTION("""COMPUTED_VALUE"""),1.0)</f>
        <v>1</v>
      </c>
      <c r="O37" s="39">
        <f>IFERROR(__xludf.DUMMYFUNCTION("""COMPUTED_VALUE"""),5.0)</f>
        <v>5</v>
      </c>
      <c r="P37" s="39">
        <f>IFERROR(__xludf.DUMMYFUNCTION("COUNT(FILTER(H:H,B:B=K37,D:D=M37,E:E=N37,F:F=O37))"),5.0)</f>
        <v>5</v>
      </c>
      <c r="Q37" s="47">
        <f>IFERROR(__xludf.DUMMYFUNCTION("AVERAGE(FILTER(H:H,B:B=K37,D:D=M37,E:E=N37,F:F=O37))"),0.46279246249078365)</f>
        <v>0.4627924625</v>
      </c>
      <c r="R37" s="47">
        <f>IFERROR(__xludf.DUMMYFUNCTION("MIN(FILTER(H:H,B:B=K37,D:D=M37,E:E=N37,F:F=O37))"),-0.0453264054241486)</f>
        <v>-0.04532640542</v>
      </c>
      <c r="S37" s="47">
        <f>IFERROR(__xludf.DUMMYFUNCTION("MAX(FILTER(H:H,B:B=K37,D:D=M37,E:E=N37,F:F=O37))"),0.885541860960893)</f>
        <v>0.885541861</v>
      </c>
      <c r="T37" s="39">
        <f>IFERROR(__xludf.DUMMYFUNCTION("QUARTILE(FILTER(H:H,B:B=K37,D:D=M37,E:E=N37,F:F=O37),1)"),0.306358823987854)</f>
        <v>0.306358824</v>
      </c>
      <c r="U37" s="39">
        <f>IFERROR(__xludf.DUMMYFUNCTION("QUARTILE(FILTER(H:H,B:B=K37,D:D=M37,E:E=N37,F:F=O37),3)"),0.829947864980709)</f>
        <v>0.829947865</v>
      </c>
      <c r="W37" s="39">
        <f t="shared" si="4"/>
        <v>5</v>
      </c>
      <c r="X37" s="39" t="str">
        <f t="shared" si="5"/>
        <v>#N/A</v>
      </c>
      <c r="Y37" s="39" t="str">
        <f t="shared" ref="Y37:AB37" si="39">IF(Y$2=$K37,$Q37,NA())</f>
        <v>#N/A</v>
      </c>
      <c r="Z37" s="39" t="str">
        <f t="shared" si="39"/>
        <v>#N/A</v>
      </c>
      <c r="AA37" s="39" t="str">
        <f t="shared" si="39"/>
        <v>#N/A</v>
      </c>
      <c r="AB37" s="47">
        <f t="shared" si="39"/>
        <v>0.4627924625</v>
      </c>
    </row>
    <row r="38">
      <c r="A38" s="46">
        <f t="shared" si="1"/>
        <v>5</v>
      </c>
      <c r="B38" s="43" t="str">
        <f t="shared" si="2"/>
        <v>ITC-state</v>
      </c>
      <c r="J38" s="39">
        <f>IFERROR(__xludf.DUMMYFUNCTION("""COMPUTED_VALUE"""),5.0)</f>
        <v>5</v>
      </c>
      <c r="K38" s="39" t="str">
        <f>IFERROR(__xludf.DUMMYFUNCTION("""COMPUTED_VALUE"""),"ITC-state")</f>
        <v>ITC-state</v>
      </c>
      <c r="L38" s="39" t="str">
        <f>IFERROR(__xludf.DUMMYFUNCTION("""COMPUTED_VALUE"""),"awaitingsml")</f>
        <v>awaitingsml</v>
      </c>
      <c r="M38" s="39">
        <f>IFERROR(__xludf.DUMMYFUNCTION("""COMPUTED_VALUE"""),1.0)</f>
        <v>1</v>
      </c>
      <c r="N38" s="39">
        <f>IFERROR(__xludf.DUMMYFUNCTION("""COMPUTED_VALUE"""),1.0)</f>
        <v>1</v>
      </c>
      <c r="O38" s="39">
        <f>IFERROR(__xludf.DUMMYFUNCTION("""COMPUTED_VALUE"""),6.0)</f>
        <v>6</v>
      </c>
      <c r="P38" s="39">
        <f>IFERROR(__xludf.DUMMYFUNCTION("COUNT(FILTER(H:H,B:B=K38,D:D=M38,E:E=N38,F:F=O38))"),5.0)</f>
        <v>5</v>
      </c>
      <c r="Q38" s="47">
        <f>IFERROR(__xludf.DUMMYFUNCTION("AVERAGE(FILTER(H:H,B:B=K38,D:D=M38,E:E=N38,F:F=O38))"),0.5168077947020528)</f>
        <v>0.5168077947</v>
      </c>
      <c r="R38" s="47">
        <f>IFERROR(__xludf.DUMMYFUNCTION("MIN(FILTER(H:H,B:B=K38,D:D=M38,E:E=N38,F:F=O38))"),0.0161744356728032)</f>
        <v>0.01617443567</v>
      </c>
      <c r="S38" s="47">
        <f>IFERROR(__xludf.DUMMYFUNCTION("MAX(FILTER(H:H,B:B=K38,D:D=M38,E:E=N38,F:F=O38))"),0.860202540140367)</f>
        <v>0.8602025401</v>
      </c>
      <c r="T38" s="39">
        <f>IFERROR(__xludf.DUMMYFUNCTION("QUARTILE(FILTER(H:H,B:B=K38,D:D=M38,E:E=N38,F:F=O38),1)"),0.20980493387913)</f>
        <v>0.2098049339</v>
      </c>
      <c r="U38" s="39">
        <f>IFERROR(__xludf.DUMMYFUNCTION("QUARTILE(FILTER(H:H,B:B=K38,D:D=M38,E:E=N38,F:F=O38),3)"),0.750684960775389)</f>
        <v>0.7506849608</v>
      </c>
      <c r="W38" s="39">
        <f t="shared" si="4"/>
        <v>6</v>
      </c>
      <c r="X38" s="39" t="str">
        <f t="shared" si="5"/>
        <v>#N/A</v>
      </c>
      <c r="Y38" s="39" t="str">
        <f t="shared" ref="Y38:AB38" si="40">IF(Y$2=$K38,$Q38,NA())</f>
        <v>#N/A</v>
      </c>
      <c r="Z38" s="39" t="str">
        <f t="shared" si="40"/>
        <v>#N/A</v>
      </c>
      <c r="AA38" s="39" t="str">
        <f t="shared" si="40"/>
        <v>#N/A</v>
      </c>
      <c r="AB38" s="47">
        <f t="shared" si="40"/>
        <v>0.5168077947</v>
      </c>
    </row>
    <row r="39">
      <c r="A39" s="46">
        <f t="shared" si="1"/>
        <v>5</v>
      </c>
      <c r="B39" s="43" t="str">
        <f t="shared" si="2"/>
        <v>ITC-state</v>
      </c>
      <c r="J39" s="39">
        <f>IFERROR(__xludf.DUMMYFUNCTION("""COMPUTED_VALUE"""),5.0)</f>
        <v>5</v>
      </c>
      <c r="K39" s="39" t="str">
        <f>IFERROR(__xludf.DUMMYFUNCTION("""COMPUTED_VALUE"""),"ITC-state")</f>
        <v>ITC-state</v>
      </c>
      <c r="L39" s="39" t="str">
        <f>IFERROR(__xludf.DUMMYFUNCTION("""COMPUTED_VALUE"""),"awaitingsml")</f>
        <v>awaitingsml</v>
      </c>
      <c r="M39" s="39">
        <f>IFERROR(__xludf.DUMMYFUNCTION("""COMPUTED_VALUE"""),1.0)</f>
        <v>1</v>
      </c>
      <c r="N39" s="39">
        <f>IFERROR(__xludf.DUMMYFUNCTION("""COMPUTED_VALUE"""),1.0)</f>
        <v>1</v>
      </c>
      <c r="O39" s="39">
        <f>IFERROR(__xludf.DUMMYFUNCTION("""COMPUTED_VALUE"""),7.0)</f>
        <v>7</v>
      </c>
      <c r="P39" s="39">
        <f>IFERROR(__xludf.DUMMYFUNCTION("COUNT(FILTER(H:H,B:B=K39,D:D=M39,E:E=N39,F:F=O39))"),5.0)</f>
        <v>5</v>
      </c>
      <c r="Q39" s="47">
        <f>IFERROR(__xludf.DUMMYFUNCTION("AVERAGE(FILTER(H:H,B:B=K39,D:D=M39,E:E=N39,F:F=O39))"),0.5441762091147078)</f>
        <v>0.5441762091</v>
      </c>
      <c r="R39" s="47">
        <f>IFERROR(__xludf.DUMMYFUNCTION("MIN(FILTER(H:H,B:B=K39,D:D=M39,E:E=N39,F:F=O39))"),-0.0519211273495542)</f>
        <v>-0.05192112735</v>
      </c>
      <c r="S39" s="47">
        <f>IFERROR(__xludf.DUMMYFUNCTION("MAX(FILTER(H:H,B:B=K39,D:D=M39,E:E=N39,F:F=O39))"),0.822956163440959)</f>
        <v>0.8229561634</v>
      </c>
      <c r="T39" s="39">
        <f>IFERROR(__xludf.DUMMYFUNCTION("QUARTILE(FILTER(H:H,B:B=K39,D:D=M39,E:E=N39,F:F=O39),1)"),0.399831680581718)</f>
        <v>0.3998316806</v>
      </c>
      <c r="U39" s="39">
        <f>IFERROR(__xludf.DUMMYFUNCTION("QUARTILE(FILTER(H:H,B:B=K39,D:D=M39,E:E=N39,F:F=O39),3)"),0.80352857958024)</f>
        <v>0.8035285796</v>
      </c>
      <c r="W39" s="39">
        <f t="shared" si="4"/>
        <v>7</v>
      </c>
      <c r="X39" s="39" t="str">
        <f t="shared" si="5"/>
        <v>#N/A</v>
      </c>
      <c r="Y39" s="39" t="str">
        <f t="shared" ref="Y39:AB39" si="41">IF(Y$2=$K39,$Q39,NA())</f>
        <v>#N/A</v>
      </c>
      <c r="Z39" s="39" t="str">
        <f t="shared" si="41"/>
        <v>#N/A</v>
      </c>
      <c r="AA39" s="39" t="str">
        <f t="shared" si="41"/>
        <v>#N/A</v>
      </c>
      <c r="AB39" s="47">
        <f t="shared" si="41"/>
        <v>0.5441762091</v>
      </c>
    </row>
    <row r="40">
      <c r="A40" s="46">
        <f t="shared" si="1"/>
        <v>5</v>
      </c>
      <c r="B40" s="43" t="str">
        <f t="shared" si="2"/>
        <v>ITC-state</v>
      </c>
      <c r="J40" s="39">
        <f>IFERROR(__xludf.DUMMYFUNCTION("""COMPUTED_VALUE"""),5.0)</f>
        <v>5</v>
      </c>
      <c r="K40" s="39" t="str">
        <f>IFERROR(__xludf.DUMMYFUNCTION("""COMPUTED_VALUE"""),"ITC-state")</f>
        <v>ITC-state</v>
      </c>
      <c r="L40" s="39" t="str">
        <f>IFERROR(__xludf.DUMMYFUNCTION("""COMPUTED_VALUE"""),"awaitingsml")</f>
        <v>awaitingsml</v>
      </c>
      <c r="M40" s="39">
        <f>IFERROR(__xludf.DUMMYFUNCTION("""COMPUTED_VALUE"""),1.0)</f>
        <v>1</v>
      </c>
      <c r="N40" s="39">
        <f>IFERROR(__xludf.DUMMYFUNCTION("""COMPUTED_VALUE"""),1.0)</f>
        <v>1</v>
      </c>
      <c r="O40" s="39">
        <f>IFERROR(__xludf.DUMMYFUNCTION("""COMPUTED_VALUE"""),8.0)</f>
        <v>8</v>
      </c>
      <c r="P40" s="39">
        <f>IFERROR(__xludf.DUMMYFUNCTION("COUNT(FILTER(H:H,B:B=K40,D:D=M40,E:E=N40,F:F=O40))"),5.0)</f>
        <v>5</v>
      </c>
      <c r="Q40" s="47">
        <f>IFERROR(__xludf.DUMMYFUNCTION("AVERAGE(FILTER(H:H,B:B=K40,D:D=M40,E:E=N40,F:F=O40))"),0.5341325752394621)</f>
        <v>0.5341325752</v>
      </c>
      <c r="R40" s="47">
        <f>IFERROR(__xludf.DUMMYFUNCTION("MIN(FILTER(H:H,B:B=K40,D:D=M40,E:E=N40,F:F=O40))"),0.0166005134681025)</f>
        <v>0.01660051347</v>
      </c>
      <c r="S40" s="47">
        <f>IFERROR(__xludf.DUMMYFUNCTION("MAX(FILTER(H:H,B:B=K40,D:D=M40,E:E=N40,F:F=O40))"),0.815028937406256)</f>
        <v>0.8150289374</v>
      </c>
      <c r="T40" s="39">
        <f>IFERROR(__xludf.DUMMYFUNCTION("QUARTILE(FILTER(H:H,B:B=K40,D:D=M40,E:E=N40,F:F=O40),1)"),0.419047160117618)</f>
        <v>0.4190471601</v>
      </c>
      <c r="U40" s="39">
        <f>IFERROR(__xludf.DUMMYFUNCTION("QUARTILE(FILTER(H:H,B:B=K40,D:D=M40,E:E=N40,F:F=O40),3)"),0.77522988705744)</f>
        <v>0.7752298871</v>
      </c>
      <c r="W40" s="39">
        <f t="shared" si="4"/>
        <v>8</v>
      </c>
      <c r="X40" s="39" t="str">
        <f t="shared" si="5"/>
        <v>#N/A</v>
      </c>
      <c r="Y40" s="39" t="str">
        <f t="shared" ref="Y40:AB40" si="42">IF(Y$2=$K40,$Q40,NA())</f>
        <v>#N/A</v>
      </c>
      <c r="Z40" s="39" t="str">
        <f t="shared" si="42"/>
        <v>#N/A</v>
      </c>
      <c r="AA40" s="39" t="str">
        <f t="shared" si="42"/>
        <v>#N/A</v>
      </c>
      <c r="AB40" s="47">
        <f t="shared" si="42"/>
        <v>0.5341325752</v>
      </c>
    </row>
    <row r="41">
      <c r="A41" s="46">
        <f t="shared" si="1"/>
        <v>5</v>
      </c>
      <c r="B41" s="43" t="str">
        <f t="shared" si="2"/>
        <v>ITC-state</v>
      </c>
      <c r="J41" s="39">
        <f>IFERROR(__xludf.DUMMYFUNCTION("""COMPUTED_VALUE"""),5.0)</f>
        <v>5</v>
      </c>
      <c r="K41" s="39" t="str">
        <f>IFERROR(__xludf.DUMMYFUNCTION("""COMPUTED_VALUE"""),"ITC-state")</f>
        <v>ITC-state</v>
      </c>
      <c r="L41" s="39" t="str">
        <f>IFERROR(__xludf.DUMMYFUNCTION("""COMPUTED_VALUE"""),"awaitingsml")</f>
        <v>awaitingsml</v>
      </c>
      <c r="M41" s="39">
        <f>IFERROR(__xludf.DUMMYFUNCTION("""COMPUTED_VALUE"""),1.0)</f>
        <v>1</v>
      </c>
      <c r="N41" s="39">
        <f>IFERROR(__xludf.DUMMYFUNCTION("""COMPUTED_VALUE"""),1.0)</f>
        <v>1</v>
      </c>
      <c r="O41" s="39">
        <f>IFERROR(__xludf.DUMMYFUNCTION("""COMPUTED_VALUE"""),9.0)</f>
        <v>9</v>
      </c>
      <c r="P41" s="39">
        <f>IFERROR(__xludf.DUMMYFUNCTION("COUNT(FILTER(H:H,B:B=K41,D:D=M41,E:E=N41,F:F=O41))"),5.0)</f>
        <v>5</v>
      </c>
      <c r="Q41" s="47">
        <f>IFERROR(__xludf.DUMMYFUNCTION("AVERAGE(FILTER(H:H,B:B=K41,D:D=M41,E:E=N41,F:F=O41))"),0.5136753909953777)</f>
        <v>0.513675391</v>
      </c>
      <c r="R41" s="47">
        <f>IFERROR(__xludf.DUMMYFUNCTION("MIN(FILTER(H:H,B:B=K41,D:D=M41,E:E=N41,F:F=O41))"),-0.0202064832097924)</f>
        <v>-0.02020648321</v>
      </c>
      <c r="S41" s="47">
        <f>IFERROR(__xludf.DUMMYFUNCTION("MAX(FILTER(H:H,B:B=K41,D:D=M41,E:E=N41,F:F=O41))"),0.804554691755091)</f>
        <v>0.8045546918</v>
      </c>
      <c r="T41" s="39">
        <f>IFERROR(__xludf.DUMMYFUNCTION("QUARTILE(FILTER(H:H,B:B=K41,D:D=M41,E:E=N41,F:F=O41),1)"),0.261058384057513)</f>
        <v>0.2610583841</v>
      </c>
      <c r="U41" s="39">
        <f>IFERROR(__xludf.DUMMYFUNCTION("QUARTILE(FILTER(H:H,B:B=K41,D:D=M41,E:E=N41,F:F=O41),3)"),0.785275137302555)</f>
        <v>0.7852751373</v>
      </c>
      <c r="W41" s="39">
        <f t="shared" si="4"/>
        <v>9</v>
      </c>
      <c r="X41" s="39" t="str">
        <f t="shared" si="5"/>
        <v>#N/A</v>
      </c>
      <c r="Y41" s="39" t="str">
        <f t="shared" ref="Y41:AB41" si="43">IF(Y$2=$K41,$Q41,NA())</f>
        <v>#N/A</v>
      </c>
      <c r="Z41" s="39" t="str">
        <f t="shared" si="43"/>
        <v>#N/A</v>
      </c>
      <c r="AA41" s="39" t="str">
        <f t="shared" si="43"/>
        <v>#N/A</v>
      </c>
      <c r="AB41" s="47">
        <f t="shared" si="43"/>
        <v>0.513675391</v>
      </c>
    </row>
    <row r="42">
      <c r="A42" s="46">
        <f t="shared" si="1"/>
        <v>5</v>
      </c>
      <c r="B42" s="43" t="str">
        <f t="shared" si="2"/>
        <v>ITC-state</v>
      </c>
      <c r="J42" s="39">
        <f>IFERROR(__xludf.DUMMYFUNCTION("""COMPUTED_VALUE"""),5.0)</f>
        <v>5</v>
      </c>
      <c r="K42" s="39" t="str">
        <f>IFERROR(__xludf.DUMMYFUNCTION("""COMPUTED_VALUE"""),"ITC-state")</f>
        <v>ITC-state</v>
      </c>
      <c r="L42" s="39" t="str">
        <f>IFERROR(__xludf.DUMMYFUNCTION("""COMPUTED_VALUE"""),"awaitingsml")</f>
        <v>awaitingsml</v>
      </c>
      <c r="M42" s="39">
        <f>IFERROR(__xludf.DUMMYFUNCTION("""COMPUTED_VALUE"""),1.0)</f>
        <v>1</v>
      </c>
      <c r="N42" s="39">
        <f>IFERROR(__xludf.DUMMYFUNCTION("""COMPUTED_VALUE"""),1.0)</f>
        <v>1</v>
      </c>
      <c r="O42" s="39">
        <f>IFERROR(__xludf.DUMMYFUNCTION("""COMPUTED_VALUE"""),10.0)</f>
        <v>10</v>
      </c>
      <c r="P42" s="39">
        <f>IFERROR(__xludf.DUMMYFUNCTION("COUNT(FILTER(H:H,B:B=K42,D:D=M42,E:E=N42,F:F=O42))"),5.0)</f>
        <v>5</v>
      </c>
      <c r="Q42" s="47">
        <f>IFERROR(__xludf.DUMMYFUNCTION("AVERAGE(FILTER(H:H,B:B=K42,D:D=M42,E:E=N42,F:F=O42))"),0.4139458197345582)</f>
        <v>0.4139458197</v>
      </c>
      <c r="R42" s="47">
        <f>IFERROR(__xludf.DUMMYFUNCTION("MIN(FILTER(H:H,B:B=K42,D:D=M42,E:E=N42,F:F=O42))"),-0.061260193305198)</f>
        <v>-0.06126019331</v>
      </c>
      <c r="S42" s="47">
        <f>IFERROR(__xludf.DUMMYFUNCTION("MAX(FILTER(H:H,B:B=K42,D:D=M42,E:E=N42,F:F=O42))"),0.898561109944779)</f>
        <v>0.8985611099</v>
      </c>
      <c r="T42" s="39">
        <f>IFERROR(__xludf.DUMMYFUNCTION("QUARTILE(FILTER(H:H,B:B=K42,D:D=M42,E:E=N42,F:F=O42),1)"),0.299721033195179)</f>
        <v>0.2997210332</v>
      </c>
      <c r="U42" s="39">
        <f>IFERROR(__xludf.DUMMYFUNCTION("QUARTILE(FILTER(H:H,B:B=K42,D:D=M42,E:E=N42,F:F=O42),3)"),0.492901084295841)</f>
        <v>0.4929010843</v>
      </c>
      <c r="W42" s="39">
        <f t="shared" si="4"/>
        <v>10</v>
      </c>
      <c r="X42" s="39" t="str">
        <f t="shared" si="5"/>
        <v>#N/A</v>
      </c>
      <c r="Y42" s="39" t="str">
        <f t="shared" ref="Y42:AB42" si="44">IF(Y$2=$K42,$Q42,NA())</f>
        <v>#N/A</v>
      </c>
      <c r="Z42" s="39" t="str">
        <f t="shared" si="44"/>
        <v>#N/A</v>
      </c>
      <c r="AA42" s="39" t="str">
        <f t="shared" si="44"/>
        <v>#N/A</v>
      </c>
      <c r="AB42" s="47">
        <f t="shared" si="44"/>
        <v>0.4139458197</v>
      </c>
    </row>
    <row r="43">
      <c r="A43" s="46">
        <f t="shared" si="1"/>
        <v>5</v>
      </c>
      <c r="B43" s="43" t="str">
        <f t="shared" si="2"/>
        <v>ITC-state</v>
      </c>
    </row>
    <row r="44">
      <c r="A44" s="46">
        <f t="shared" si="1"/>
        <v>5</v>
      </c>
      <c r="B44" s="43" t="str">
        <f t="shared" si="2"/>
        <v>ITC-state</v>
      </c>
    </row>
    <row r="45">
      <c r="A45" s="46">
        <f t="shared" si="1"/>
        <v>5</v>
      </c>
      <c r="B45" s="43" t="str">
        <f t="shared" si="2"/>
        <v>ITC-state</v>
      </c>
    </row>
    <row r="46">
      <c r="A46" s="46">
        <f t="shared" si="1"/>
        <v>5</v>
      </c>
      <c r="B46" s="43" t="str">
        <f t="shared" si="2"/>
        <v>ITC-state</v>
      </c>
    </row>
    <row r="47">
      <c r="A47" s="46">
        <f t="shared" si="1"/>
        <v>5</v>
      </c>
      <c r="B47" s="43" t="str">
        <f t="shared" si="2"/>
        <v>ITC-state</v>
      </c>
    </row>
    <row r="48">
      <c r="A48" s="46">
        <f t="shared" si="1"/>
        <v>5</v>
      </c>
      <c r="B48" s="43" t="str">
        <f t="shared" si="2"/>
        <v>ITC-state</v>
      </c>
    </row>
    <row r="49">
      <c r="A49" s="46">
        <f t="shared" si="1"/>
        <v>5</v>
      </c>
      <c r="B49" s="43" t="str">
        <f t="shared" si="2"/>
        <v>ITC-state</v>
      </c>
    </row>
    <row r="50">
      <c r="A50" s="46">
        <f t="shared" si="1"/>
        <v>5</v>
      </c>
      <c r="B50" s="43" t="str">
        <f t="shared" si="2"/>
        <v>ITC-state</v>
      </c>
    </row>
    <row r="51">
      <c r="A51" s="46">
        <f t="shared" si="1"/>
        <v>5</v>
      </c>
      <c r="B51" s="43" t="str">
        <f t="shared" si="2"/>
        <v>ITC-state</v>
      </c>
    </row>
    <row r="52">
      <c r="A52" s="46">
        <f t="shared" si="1"/>
        <v>3</v>
      </c>
      <c r="B52" s="43" t="str">
        <f t="shared" si="2"/>
        <v>ITC-category</v>
      </c>
    </row>
    <row r="53">
      <c r="A53" s="46">
        <f t="shared" si="1"/>
        <v>3</v>
      </c>
      <c r="B53" s="43" t="str">
        <f t="shared" si="2"/>
        <v>ITC-category</v>
      </c>
    </row>
    <row r="54">
      <c r="A54" s="46">
        <f t="shared" si="1"/>
        <v>3</v>
      </c>
      <c r="B54" s="43" t="str">
        <f t="shared" si="2"/>
        <v>ITC-category</v>
      </c>
    </row>
    <row r="55">
      <c r="A55" s="46">
        <f t="shared" si="1"/>
        <v>3</v>
      </c>
      <c r="B55" s="43" t="str">
        <f t="shared" si="2"/>
        <v>ITC-category</v>
      </c>
    </row>
    <row r="56">
      <c r="A56" s="46">
        <f t="shared" si="1"/>
        <v>3</v>
      </c>
      <c r="B56" s="43" t="str">
        <f t="shared" si="2"/>
        <v>ITC-category</v>
      </c>
    </row>
    <row r="57">
      <c r="A57" s="46">
        <f t="shared" si="1"/>
        <v>3</v>
      </c>
      <c r="B57" s="43" t="str">
        <f t="shared" si="2"/>
        <v>ITC-category</v>
      </c>
    </row>
    <row r="58">
      <c r="A58" s="46">
        <f t="shared" si="1"/>
        <v>3</v>
      </c>
      <c r="B58" s="43" t="str">
        <f t="shared" si="2"/>
        <v>ITC-category</v>
      </c>
    </row>
    <row r="59">
      <c r="A59" s="46">
        <f t="shared" si="1"/>
        <v>3</v>
      </c>
      <c r="B59" s="43" t="str">
        <f t="shared" si="2"/>
        <v>ITC-category</v>
      </c>
    </row>
    <row r="60">
      <c r="A60" s="46">
        <f t="shared" si="1"/>
        <v>3</v>
      </c>
      <c r="B60" s="43" t="str">
        <f t="shared" si="2"/>
        <v>ITC-category</v>
      </c>
    </row>
    <row r="61">
      <c r="A61" s="46">
        <f t="shared" si="1"/>
        <v>3</v>
      </c>
      <c r="B61" s="43" t="str">
        <f t="shared" si="2"/>
        <v>ITC-category</v>
      </c>
    </row>
    <row r="62">
      <c r="A62" s="46">
        <f t="shared" si="1"/>
        <v>3</v>
      </c>
      <c r="B62" s="43" t="str">
        <f t="shared" si="2"/>
        <v>ITC-category</v>
      </c>
    </row>
    <row r="63">
      <c r="A63" s="46">
        <f t="shared" si="1"/>
        <v>3</v>
      </c>
      <c r="B63" s="43" t="str">
        <f t="shared" si="2"/>
        <v>ITC-category</v>
      </c>
    </row>
    <row r="64">
      <c r="A64" s="46">
        <f t="shared" si="1"/>
        <v>3</v>
      </c>
      <c r="B64" s="43" t="str">
        <f t="shared" si="2"/>
        <v>ITC-category</v>
      </c>
    </row>
    <row r="65">
      <c r="A65" s="46">
        <f t="shared" si="1"/>
        <v>3</v>
      </c>
      <c r="B65" s="43" t="str">
        <f t="shared" si="2"/>
        <v>ITC-category</v>
      </c>
    </row>
    <row r="66">
      <c r="A66" s="46">
        <f t="shared" si="1"/>
        <v>3</v>
      </c>
      <c r="B66" s="43" t="str">
        <f t="shared" si="2"/>
        <v>ITC-category</v>
      </c>
    </row>
    <row r="67">
      <c r="A67" s="46">
        <f t="shared" si="1"/>
        <v>3</v>
      </c>
      <c r="B67" s="43" t="str">
        <f t="shared" si="2"/>
        <v>ITC-category</v>
      </c>
    </row>
    <row r="68">
      <c r="A68" s="46">
        <f t="shared" si="1"/>
        <v>3</v>
      </c>
      <c r="B68" s="43" t="str">
        <f t="shared" si="2"/>
        <v>ITC-category</v>
      </c>
    </row>
    <row r="69">
      <c r="A69" s="46">
        <f t="shared" si="1"/>
        <v>3</v>
      </c>
      <c r="B69" s="43" t="str">
        <f t="shared" si="2"/>
        <v>ITC-category</v>
      </c>
    </row>
    <row r="70">
      <c r="A70" s="46">
        <f t="shared" si="1"/>
        <v>3</v>
      </c>
      <c r="B70" s="43" t="str">
        <f t="shared" si="2"/>
        <v>ITC-category</v>
      </c>
    </row>
    <row r="71">
      <c r="A71" s="46">
        <f t="shared" si="1"/>
        <v>3</v>
      </c>
      <c r="B71" s="43" t="str">
        <f t="shared" si="2"/>
        <v>ITC-category</v>
      </c>
    </row>
    <row r="72">
      <c r="A72" s="46">
        <f t="shared" si="1"/>
        <v>3</v>
      </c>
      <c r="B72" s="43" t="str">
        <f t="shared" si="2"/>
        <v>ITC-category</v>
      </c>
    </row>
    <row r="73">
      <c r="A73" s="46">
        <f t="shared" si="1"/>
        <v>3</v>
      </c>
      <c r="B73" s="43" t="str">
        <f t="shared" si="2"/>
        <v>ITC-category</v>
      </c>
    </row>
    <row r="74">
      <c r="A74" s="46">
        <f t="shared" si="1"/>
        <v>3</v>
      </c>
      <c r="B74" s="43" t="str">
        <f t="shared" si="2"/>
        <v>ITC-category</v>
      </c>
    </row>
    <row r="75">
      <c r="A75" s="46">
        <f t="shared" si="1"/>
        <v>3</v>
      </c>
      <c r="B75" s="43" t="str">
        <f t="shared" si="2"/>
        <v>ITC-category</v>
      </c>
    </row>
    <row r="76">
      <c r="A76" s="46">
        <f t="shared" si="1"/>
        <v>3</v>
      </c>
      <c r="B76" s="43" t="str">
        <f t="shared" si="2"/>
        <v>ITC-category</v>
      </c>
    </row>
    <row r="77">
      <c r="A77" s="46">
        <f t="shared" si="1"/>
        <v>3</v>
      </c>
      <c r="B77" s="43" t="str">
        <f t="shared" si="2"/>
        <v>ITC-category</v>
      </c>
    </row>
    <row r="78">
      <c r="A78" s="46">
        <f t="shared" si="1"/>
        <v>3</v>
      </c>
      <c r="B78" s="43" t="str">
        <f t="shared" si="2"/>
        <v>ITC-category</v>
      </c>
    </row>
    <row r="79">
      <c r="A79" s="46">
        <f t="shared" si="1"/>
        <v>3</v>
      </c>
      <c r="B79" s="43" t="str">
        <f t="shared" si="2"/>
        <v>ITC-category</v>
      </c>
    </row>
    <row r="80">
      <c r="A80" s="46">
        <f t="shared" si="1"/>
        <v>3</v>
      </c>
      <c r="B80" s="43" t="str">
        <f t="shared" si="2"/>
        <v>ITC-category</v>
      </c>
    </row>
    <row r="81">
      <c r="A81" s="46">
        <f t="shared" si="1"/>
        <v>3</v>
      </c>
      <c r="B81" s="43" t="str">
        <f t="shared" si="2"/>
        <v>ITC-category</v>
      </c>
    </row>
    <row r="82">
      <c r="A82" s="46">
        <f t="shared" si="1"/>
        <v>3</v>
      </c>
      <c r="B82" s="43" t="str">
        <f t="shared" si="2"/>
        <v>ITC-category</v>
      </c>
    </row>
    <row r="83">
      <c r="A83" s="46">
        <f t="shared" si="1"/>
        <v>3</v>
      </c>
      <c r="B83" s="43" t="str">
        <f t="shared" si="2"/>
        <v>ITC-category</v>
      </c>
    </row>
    <row r="84">
      <c r="A84" s="46">
        <f t="shared" si="1"/>
        <v>3</v>
      </c>
      <c r="B84" s="43" t="str">
        <f t="shared" si="2"/>
        <v>ITC-category</v>
      </c>
    </row>
    <row r="85">
      <c r="A85" s="46">
        <f t="shared" si="1"/>
        <v>3</v>
      </c>
      <c r="B85" s="43" t="str">
        <f t="shared" si="2"/>
        <v>ITC-category</v>
      </c>
    </row>
    <row r="86">
      <c r="A86" s="46">
        <f t="shared" si="1"/>
        <v>3</v>
      </c>
      <c r="B86" s="43" t="str">
        <f t="shared" si="2"/>
        <v>ITC-category</v>
      </c>
    </row>
    <row r="87">
      <c r="A87" s="46">
        <f t="shared" si="1"/>
        <v>3</v>
      </c>
      <c r="B87" s="43" t="str">
        <f t="shared" si="2"/>
        <v>ITC-category</v>
      </c>
    </row>
    <row r="88">
      <c r="A88" s="46">
        <f t="shared" si="1"/>
        <v>3</v>
      </c>
      <c r="B88" s="43" t="str">
        <f t="shared" si="2"/>
        <v>ITC-category</v>
      </c>
    </row>
    <row r="89">
      <c r="A89" s="46">
        <f t="shared" si="1"/>
        <v>3</v>
      </c>
      <c r="B89" s="43" t="str">
        <f t="shared" si="2"/>
        <v>ITC-category</v>
      </c>
    </row>
    <row r="90">
      <c r="A90" s="46">
        <f t="shared" si="1"/>
        <v>3</v>
      </c>
      <c r="B90" s="43" t="str">
        <f t="shared" si="2"/>
        <v>ITC-category</v>
      </c>
    </row>
    <row r="91">
      <c r="A91" s="46">
        <f t="shared" si="1"/>
        <v>3</v>
      </c>
      <c r="B91" s="43" t="str">
        <f t="shared" si="2"/>
        <v>ITC-category</v>
      </c>
    </row>
    <row r="92">
      <c r="A92" s="46">
        <f t="shared" si="1"/>
        <v>3</v>
      </c>
      <c r="B92" s="43" t="str">
        <f t="shared" si="2"/>
        <v>ITC-category</v>
      </c>
    </row>
    <row r="93">
      <c r="A93" s="46">
        <f t="shared" si="1"/>
        <v>3</v>
      </c>
      <c r="B93" s="43" t="str">
        <f t="shared" si="2"/>
        <v>ITC-category</v>
      </c>
    </row>
    <row r="94">
      <c r="A94" s="46">
        <f t="shared" si="1"/>
        <v>3</v>
      </c>
      <c r="B94" s="43" t="str">
        <f t="shared" si="2"/>
        <v>ITC-category</v>
      </c>
    </row>
    <row r="95">
      <c r="A95" s="46">
        <f t="shared" si="1"/>
        <v>3</v>
      </c>
      <c r="B95" s="43" t="str">
        <f t="shared" si="2"/>
        <v>ITC-category</v>
      </c>
    </row>
    <row r="96">
      <c r="A96" s="46">
        <f t="shared" si="1"/>
        <v>3</v>
      </c>
      <c r="B96" s="43" t="str">
        <f t="shared" si="2"/>
        <v>ITC-category</v>
      </c>
    </row>
    <row r="97">
      <c r="A97" s="46">
        <f t="shared" si="1"/>
        <v>3</v>
      </c>
      <c r="B97" s="43" t="str">
        <f t="shared" si="2"/>
        <v>ITC-category</v>
      </c>
    </row>
    <row r="98">
      <c r="A98" s="46">
        <f t="shared" si="1"/>
        <v>3</v>
      </c>
      <c r="B98" s="43" t="str">
        <f t="shared" si="2"/>
        <v>ITC-category</v>
      </c>
    </row>
    <row r="99">
      <c r="A99" s="46">
        <f t="shared" si="1"/>
        <v>3</v>
      </c>
      <c r="B99" s="43" t="str">
        <f t="shared" si="2"/>
        <v>ITC-category</v>
      </c>
    </row>
    <row r="100">
      <c r="A100" s="46">
        <f t="shared" si="1"/>
        <v>3</v>
      </c>
      <c r="B100" s="43" t="str">
        <f t="shared" si="2"/>
        <v>ITC-category</v>
      </c>
    </row>
    <row r="101">
      <c r="A101" s="46">
        <f t="shared" si="1"/>
        <v>3</v>
      </c>
      <c r="B101" s="43" t="str">
        <f t="shared" si="2"/>
        <v>ITC-category</v>
      </c>
    </row>
    <row r="102">
      <c r="A102" s="46">
        <f t="shared" si="1"/>
        <v>2</v>
      </c>
      <c r="B102" s="43" t="str">
        <f t="shared" si="2"/>
        <v>CTC</v>
      </c>
    </row>
    <row r="103">
      <c r="A103" s="46">
        <f t="shared" si="1"/>
        <v>2</v>
      </c>
      <c r="B103" s="43" t="str">
        <f t="shared" si="2"/>
        <v>CTC</v>
      </c>
    </row>
    <row r="104">
      <c r="A104" s="46">
        <f t="shared" si="1"/>
        <v>2</v>
      </c>
      <c r="B104" s="43" t="str">
        <f t="shared" si="2"/>
        <v>CTC</v>
      </c>
    </row>
    <row r="105">
      <c r="A105" s="46">
        <f t="shared" si="1"/>
        <v>2</v>
      </c>
      <c r="B105" s="43" t="str">
        <f t="shared" si="2"/>
        <v>CTC</v>
      </c>
    </row>
    <row r="106">
      <c r="A106" s="46">
        <f t="shared" si="1"/>
        <v>2</v>
      </c>
      <c r="B106" s="43" t="str">
        <f t="shared" si="2"/>
        <v>CTC</v>
      </c>
    </row>
    <row r="107">
      <c r="A107" s="46">
        <f t="shared" si="1"/>
        <v>2</v>
      </c>
      <c r="B107" s="43" t="str">
        <f t="shared" si="2"/>
        <v>CTC</v>
      </c>
    </row>
    <row r="108">
      <c r="A108" s="46">
        <f t="shared" si="1"/>
        <v>2</v>
      </c>
      <c r="B108" s="43" t="str">
        <f t="shared" si="2"/>
        <v>CTC</v>
      </c>
    </row>
    <row r="109">
      <c r="A109" s="46">
        <f t="shared" si="1"/>
        <v>2</v>
      </c>
      <c r="B109" s="43" t="str">
        <f t="shared" si="2"/>
        <v>CTC</v>
      </c>
    </row>
    <row r="110">
      <c r="A110" s="46">
        <f t="shared" si="1"/>
        <v>2</v>
      </c>
      <c r="B110" s="43" t="str">
        <f t="shared" si="2"/>
        <v>CTC</v>
      </c>
    </row>
    <row r="111">
      <c r="A111" s="46">
        <f t="shared" si="1"/>
        <v>2</v>
      </c>
      <c r="B111" s="43" t="str">
        <f t="shared" si="2"/>
        <v>CTC</v>
      </c>
    </row>
    <row r="112">
      <c r="A112" s="46">
        <f t="shared" si="1"/>
        <v>2</v>
      </c>
      <c r="B112" s="43" t="str">
        <f t="shared" si="2"/>
        <v>CTC</v>
      </c>
    </row>
    <row r="113">
      <c r="A113" s="46">
        <f t="shared" si="1"/>
        <v>2</v>
      </c>
      <c r="B113" s="43" t="str">
        <f t="shared" si="2"/>
        <v>CTC</v>
      </c>
    </row>
    <row r="114">
      <c r="A114" s="46">
        <f t="shared" si="1"/>
        <v>2</v>
      </c>
      <c r="B114" s="43" t="str">
        <f t="shared" si="2"/>
        <v>CTC</v>
      </c>
    </row>
    <row r="115">
      <c r="A115" s="46">
        <f t="shared" si="1"/>
        <v>2</v>
      </c>
      <c r="B115" s="43" t="str">
        <f t="shared" si="2"/>
        <v>CTC</v>
      </c>
    </row>
    <row r="116">
      <c r="A116" s="46">
        <f t="shared" si="1"/>
        <v>2</v>
      </c>
      <c r="B116" s="43" t="str">
        <f t="shared" si="2"/>
        <v>CTC</v>
      </c>
    </row>
    <row r="117">
      <c r="A117" s="46">
        <f t="shared" si="1"/>
        <v>2</v>
      </c>
      <c r="B117" s="43" t="str">
        <f t="shared" si="2"/>
        <v>CTC</v>
      </c>
    </row>
    <row r="118">
      <c r="A118" s="46">
        <f t="shared" si="1"/>
        <v>2</v>
      </c>
      <c r="B118" s="43" t="str">
        <f t="shared" si="2"/>
        <v>CTC</v>
      </c>
    </row>
    <row r="119">
      <c r="A119" s="46">
        <f t="shared" si="1"/>
        <v>2</v>
      </c>
      <c r="B119" s="43" t="str">
        <f t="shared" si="2"/>
        <v>CTC</v>
      </c>
    </row>
    <row r="120">
      <c r="A120" s="46">
        <f t="shared" si="1"/>
        <v>2</v>
      </c>
      <c r="B120" s="43" t="str">
        <f t="shared" si="2"/>
        <v>CTC</v>
      </c>
    </row>
    <row r="121">
      <c r="A121" s="46">
        <f t="shared" si="1"/>
        <v>2</v>
      </c>
      <c r="B121" s="43" t="str">
        <f t="shared" si="2"/>
        <v>CTC</v>
      </c>
    </row>
    <row r="122">
      <c r="A122" s="46">
        <f t="shared" si="1"/>
        <v>2</v>
      </c>
      <c r="B122" s="43" t="str">
        <f t="shared" si="2"/>
        <v>CTC</v>
      </c>
    </row>
    <row r="123">
      <c r="A123" s="46">
        <f t="shared" si="1"/>
        <v>2</v>
      </c>
      <c r="B123" s="43" t="str">
        <f t="shared" si="2"/>
        <v>CTC</v>
      </c>
    </row>
    <row r="124">
      <c r="A124" s="46">
        <f t="shared" si="1"/>
        <v>2</v>
      </c>
      <c r="B124" s="43" t="str">
        <f t="shared" si="2"/>
        <v>CTC</v>
      </c>
    </row>
    <row r="125">
      <c r="A125" s="46">
        <f t="shared" si="1"/>
        <v>2</v>
      </c>
      <c r="B125" s="43" t="str">
        <f t="shared" si="2"/>
        <v>CTC</v>
      </c>
    </row>
    <row r="126">
      <c r="A126" s="46">
        <f t="shared" si="1"/>
        <v>2</v>
      </c>
      <c r="B126" s="43" t="str">
        <f t="shared" si="2"/>
        <v>CTC</v>
      </c>
    </row>
    <row r="127">
      <c r="A127" s="46">
        <f t="shared" si="1"/>
        <v>2</v>
      </c>
      <c r="B127" s="43" t="str">
        <f t="shared" si="2"/>
        <v>CTC</v>
      </c>
    </row>
    <row r="128">
      <c r="A128" s="46">
        <f t="shared" si="1"/>
        <v>2</v>
      </c>
      <c r="B128" s="43" t="str">
        <f t="shared" si="2"/>
        <v>CTC</v>
      </c>
    </row>
    <row r="129">
      <c r="A129" s="46">
        <f t="shared" si="1"/>
        <v>2</v>
      </c>
      <c r="B129" s="43" t="str">
        <f t="shared" si="2"/>
        <v>CTC</v>
      </c>
    </row>
    <row r="130">
      <c r="A130" s="46">
        <f t="shared" si="1"/>
        <v>2</v>
      </c>
      <c r="B130" s="43" t="str">
        <f t="shared" si="2"/>
        <v>CTC</v>
      </c>
    </row>
    <row r="131">
      <c r="A131" s="46">
        <f t="shared" si="1"/>
        <v>2</v>
      </c>
      <c r="B131" s="43" t="str">
        <f t="shared" si="2"/>
        <v>CTC</v>
      </c>
    </row>
    <row r="132">
      <c r="A132" s="46">
        <f t="shared" si="1"/>
        <v>2</v>
      </c>
      <c r="B132" s="43" t="str">
        <f t="shared" si="2"/>
        <v>CTC</v>
      </c>
    </row>
    <row r="133">
      <c r="A133" s="46">
        <f t="shared" si="1"/>
        <v>2</v>
      </c>
      <c r="B133" s="43" t="str">
        <f t="shared" si="2"/>
        <v>CTC</v>
      </c>
    </row>
    <row r="134">
      <c r="A134" s="46">
        <f t="shared" si="1"/>
        <v>2</v>
      </c>
      <c r="B134" s="43" t="str">
        <f t="shared" si="2"/>
        <v>CTC</v>
      </c>
    </row>
    <row r="135">
      <c r="A135" s="46">
        <f t="shared" si="1"/>
        <v>2</v>
      </c>
      <c r="B135" s="43" t="str">
        <f t="shared" si="2"/>
        <v>CTC</v>
      </c>
    </row>
    <row r="136">
      <c r="A136" s="46">
        <f t="shared" si="1"/>
        <v>2</v>
      </c>
      <c r="B136" s="43" t="str">
        <f t="shared" si="2"/>
        <v>CTC</v>
      </c>
    </row>
    <row r="137">
      <c r="A137" s="46">
        <f t="shared" si="1"/>
        <v>2</v>
      </c>
      <c r="B137" s="43" t="str">
        <f t="shared" si="2"/>
        <v>CTC</v>
      </c>
    </row>
    <row r="138">
      <c r="A138" s="46">
        <f t="shared" si="1"/>
        <v>2</v>
      </c>
      <c r="B138" s="43" t="str">
        <f t="shared" si="2"/>
        <v>CTC</v>
      </c>
    </row>
    <row r="139">
      <c r="A139" s="46">
        <f t="shared" si="1"/>
        <v>2</v>
      </c>
      <c r="B139" s="43" t="str">
        <f t="shared" si="2"/>
        <v>CTC</v>
      </c>
    </row>
    <row r="140">
      <c r="A140" s="46">
        <f t="shared" si="1"/>
        <v>2</v>
      </c>
      <c r="B140" s="43" t="str">
        <f t="shared" si="2"/>
        <v>CTC</v>
      </c>
    </row>
    <row r="141">
      <c r="A141" s="46">
        <f t="shared" si="1"/>
        <v>2</v>
      </c>
      <c r="B141" s="43" t="str">
        <f t="shared" si="2"/>
        <v>CTC</v>
      </c>
    </row>
    <row r="142">
      <c r="A142" s="46">
        <f t="shared" si="1"/>
        <v>2</v>
      </c>
      <c r="B142" s="43" t="str">
        <f t="shared" si="2"/>
        <v>CTC</v>
      </c>
    </row>
    <row r="143">
      <c r="A143" s="46">
        <f t="shared" si="1"/>
        <v>2</v>
      </c>
      <c r="B143" s="43" t="str">
        <f t="shared" si="2"/>
        <v>CTC</v>
      </c>
    </row>
    <row r="144">
      <c r="A144" s="46">
        <f t="shared" si="1"/>
        <v>2</v>
      </c>
      <c r="B144" s="43" t="str">
        <f t="shared" si="2"/>
        <v>CTC</v>
      </c>
    </row>
    <row r="145">
      <c r="A145" s="46">
        <f t="shared" si="1"/>
        <v>2</v>
      </c>
      <c r="B145" s="43" t="str">
        <f t="shared" si="2"/>
        <v>CTC</v>
      </c>
    </row>
    <row r="146">
      <c r="A146" s="46">
        <f t="shared" si="1"/>
        <v>2</v>
      </c>
      <c r="B146" s="43" t="str">
        <f t="shared" si="2"/>
        <v>CTC</v>
      </c>
    </row>
    <row r="147">
      <c r="A147" s="46">
        <f t="shared" si="1"/>
        <v>1</v>
      </c>
      <c r="B147" s="43" t="str">
        <f t="shared" si="2"/>
        <v>CTC-ITER</v>
      </c>
    </row>
    <row r="148">
      <c r="A148" s="46">
        <f t="shared" si="1"/>
        <v>1</v>
      </c>
      <c r="B148" s="43" t="str">
        <f t="shared" si="2"/>
        <v>CTC-ITER</v>
      </c>
    </row>
    <row r="149">
      <c r="A149" s="46">
        <f t="shared" si="1"/>
        <v>1</v>
      </c>
      <c r="B149" s="43" t="str">
        <f t="shared" si="2"/>
        <v>CTC-ITER</v>
      </c>
    </row>
    <row r="150">
      <c r="A150" s="46">
        <f t="shared" si="1"/>
        <v>1</v>
      </c>
      <c r="B150" s="43" t="str">
        <f t="shared" si="2"/>
        <v>CTC-ITER</v>
      </c>
    </row>
    <row r="151">
      <c r="A151" s="46">
        <f t="shared" si="1"/>
        <v>1</v>
      </c>
      <c r="B151" s="43" t="str">
        <f t="shared" si="2"/>
        <v>CTC-ITER</v>
      </c>
    </row>
    <row r="152">
      <c r="A152" s="46">
        <f t="shared" si="1"/>
        <v>4</v>
      </c>
      <c r="B152" s="43" t="str">
        <f t="shared" si="2"/>
        <v>ITC-priority</v>
      </c>
    </row>
    <row r="153">
      <c r="A153" s="46">
        <f t="shared" si="1"/>
        <v>4</v>
      </c>
      <c r="B153" s="43" t="str">
        <f t="shared" si="2"/>
        <v>ITC-priority</v>
      </c>
    </row>
    <row r="154">
      <c r="A154" s="46">
        <f t="shared" si="1"/>
        <v>4</v>
      </c>
      <c r="B154" s="43" t="str">
        <f t="shared" si="2"/>
        <v>ITC-priority</v>
      </c>
    </row>
    <row r="155">
      <c r="A155" s="46">
        <f t="shared" si="1"/>
        <v>4</v>
      </c>
      <c r="B155" s="43" t="str">
        <f t="shared" si="2"/>
        <v>ITC-priority</v>
      </c>
    </row>
    <row r="156">
      <c r="A156" s="46">
        <f t="shared" si="1"/>
        <v>4</v>
      </c>
      <c r="B156" s="43" t="str">
        <f t="shared" si="2"/>
        <v>ITC-priority</v>
      </c>
    </row>
    <row r="157">
      <c r="A157" s="46">
        <f t="shared" si="1"/>
        <v>4</v>
      </c>
      <c r="B157" s="43" t="str">
        <f t="shared" si="2"/>
        <v>ITC-priority</v>
      </c>
    </row>
    <row r="158">
      <c r="A158" s="46">
        <f t="shared" si="1"/>
        <v>4</v>
      </c>
      <c r="B158" s="43" t="str">
        <f t="shared" si="2"/>
        <v>ITC-priority</v>
      </c>
    </row>
    <row r="159">
      <c r="A159" s="46">
        <f t="shared" si="1"/>
        <v>4</v>
      </c>
      <c r="B159" s="43" t="str">
        <f t="shared" si="2"/>
        <v>ITC-priority</v>
      </c>
    </row>
    <row r="160">
      <c r="A160" s="46">
        <f t="shared" si="1"/>
        <v>4</v>
      </c>
      <c r="B160" s="43" t="str">
        <f t="shared" si="2"/>
        <v>ITC-priority</v>
      </c>
    </row>
    <row r="161">
      <c r="A161" s="46">
        <f t="shared" si="1"/>
        <v>4</v>
      </c>
      <c r="B161" s="43" t="str">
        <f t="shared" si="2"/>
        <v>ITC-priority</v>
      </c>
    </row>
    <row r="162">
      <c r="A162" s="46">
        <f t="shared" si="1"/>
        <v>4</v>
      </c>
      <c r="B162" s="43" t="str">
        <f t="shared" si="2"/>
        <v>ITC-priority</v>
      </c>
    </row>
    <row r="163">
      <c r="A163" s="46">
        <f t="shared" si="1"/>
        <v>4</v>
      </c>
      <c r="B163" s="43" t="str">
        <f t="shared" si="2"/>
        <v>ITC-priority</v>
      </c>
    </row>
    <row r="164">
      <c r="A164" s="46">
        <f t="shared" si="1"/>
        <v>4</v>
      </c>
      <c r="B164" s="43" t="str">
        <f t="shared" si="2"/>
        <v>ITC-priority</v>
      </c>
    </row>
    <row r="165">
      <c r="A165" s="46">
        <f t="shared" si="1"/>
        <v>4</v>
      </c>
      <c r="B165" s="43" t="str">
        <f t="shared" si="2"/>
        <v>ITC-priority</v>
      </c>
    </row>
    <row r="166">
      <c r="A166" s="46">
        <f t="shared" si="1"/>
        <v>4</v>
      </c>
      <c r="B166" s="43" t="str">
        <f t="shared" si="2"/>
        <v>ITC-priority</v>
      </c>
    </row>
    <row r="167">
      <c r="A167" s="46">
        <f t="shared" si="1"/>
        <v>4</v>
      </c>
      <c r="B167" s="43" t="str">
        <f t="shared" si="2"/>
        <v>ITC-priority</v>
      </c>
    </row>
    <row r="168">
      <c r="A168" s="46">
        <f t="shared" si="1"/>
        <v>4</v>
      </c>
      <c r="B168" s="43" t="str">
        <f t="shared" si="2"/>
        <v>ITC-priority</v>
      </c>
    </row>
    <row r="169">
      <c r="A169" s="46">
        <f t="shared" si="1"/>
        <v>4</v>
      </c>
      <c r="B169" s="43" t="str">
        <f t="shared" si="2"/>
        <v>ITC-priority</v>
      </c>
    </row>
    <row r="170">
      <c r="A170" s="46">
        <f t="shared" si="1"/>
        <v>4</v>
      </c>
      <c r="B170" s="43" t="str">
        <f t="shared" si="2"/>
        <v>ITC-priority</v>
      </c>
    </row>
    <row r="171">
      <c r="A171" s="46">
        <f t="shared" si="1"/>
        <v>4</v>
      </c>
      <c r="B171" s="43" t="str">
        <f t="shared" si="2"/>
        <v>ITC-priority</v>
      </c>
    </row>
    <row r="172">
      <c r="A172" s="46">
        <f t="shared" si="1"/>
        <v>4</v>
      </c>
      <c r="B172" s="43" t="str">
        <f t="shared" si="2"/>
        <v>ITC-priority</v>
      </c>
    </row>
    <row r="173">
      <c r="A173" s="46">
        <f t="shared" si="1"/>
        <v>4</v>
      </c>
      <c r="B173" s="43" t="str">
        <f t="shared" si="2"/>
        <v>ITC-priority</v>
      </c>
    </row>
    <row r="174">
      <c r="A174" s="46">
        <f t="shared" si="1"/>
        <v>4</v>
      </c>
      <c r="B174" s="43" t="str">
        <f t="shared" si="2"/>
        <v>ITC-priority</v>
      </c>
    </row>
    <row r="175">
      <c r="A175" s="46">
        <f t="shared" si="1"/>
        <v>4</v>
      </c>
      <c r="B175" s="43" t="str">
        <f t="shared" si="2"/>
        <v>ITC-priority</v>
      </c>
    </row>
    <row r="176">
      <c r="A176" s="46">
        <f t="shared" si="1"/>
        <v>4</v>
      </c>
      <c r="B176" s="43" t="str">
        <f t="shared" si="2"/>
        <v>ITC-priority</v>
      </c>
    </row>
    <row r="177">
      <c r="A177" s="46">
        <f t="shared" si="1"/>
        <v>4</v>
      </c>
      <c r="B177" s="43" t="str">
        <f t="shared" si="2"/>
        <v>ITC-priority</v>
      </c>
    </row>
    <row r="178">
      <c r="A178" s="46">
        <f t="shared" si="1"/>
        <v>4</v>
      </c>
      <c r="B178" s="43" t="str">
        <f t="shared" si="2"/>
        <v>ITC-priority</v>
      </c>
    </row>
    <row r="179">
      <c r="A179" s="46">
        <f t="shared" si="1"/>
        <v>4</v>
      </c>
      <c r="B179" s="43" t="str">
        <f t="shared" si="2"/>
        <v>ITC-priority</v>
      </c>
    </row>
    <row r="180">
      <c r="A180" s="46">
        <f t="shared" si="1"/>
        <v>4</v>
      </c>
      <c r="B180" s="43" t="str">
        <f t="shared" si="2"/>
        <v>ITC-priority</v>
      </c>
    </row>
    <row r="181">
      <c r="A181" s="46">
        <f t="shared" si="1"/>
        <v>4</v>
      </c>
      <c r="B181" s="43" t="str">
        <f t="shared" si="2"/>
        <v>ITC-priority</v>
      </c>
    </row>
    <row r="182">
      <c r="A182" s="46">
        <f t="shared" si="1"/>
        <v>4</v>
      </c>
      <c r="B182" s="43" t="str">
        <f t="shared" si="2"/>
        <v>ITC-priority</v>
      </c>
    </row>
    <row r="183">
      <c r="A183" s="46">
        <f t="shared" si="1"/>
        <v>4</v>
      </c>
      <c r="B183" s="43" t="str">
        <f t="shared" si="2"/>
        <v>ITC-priority</v>
      </c>
    </row>
    <row r="184">
      <c r="A184" s="46">
        <f t="shared" si="1"/>
        <v>4</v>
      </c>
      <c r="B184" s="43" t="str">
        <f t="shared" si="2"/>
        <v>ITC-priority</v>
      </c>
    </row>
    <row r="185">
      <c r="A185" s="46">
        <f t="shared" si="1"/>
        <v>4</v>
      </c>
      <c r="B185" s="43" t="str">
        <f t="shared" si="2"/>
        <v>ITC-priority</v>
      </c>
    </row>
    <row r="186">
      <c r="A186" s="46">
        <f t="shared" si="1"/>
        <v>4</v>
      </c>
      <c r="B186" s="43" t="str">
        <f t="shared" si="2"/>
        <v>ITC-priority</v>
      </c>
    </row>
    <row r="187">
      <c r="A187" s="46">
        <f t="shared" si="1"/>
        <v>4</v>
      </c>
      <c r="B187" s="43" t="str">
        <f t="shared" si="2"/>
        <v>ITC-priority</v>
      </c>
    </row>
    <row r="188">
      <c r="A188" s="46">
        <f t="shared" si="1"/>
        <v>4</v>
      </c>
      <c r="B188" s="43" t="str">
        <f t="shared" si="2"/>
        <v>ITC-priority</v>
      </c>
    </row>
    <row r="189">
      <c r="A189" s="46">
        <f t="shared" si="1"/>
        <v>4</v>
      </c>
      <c r="B189" s="43" t="str">
        <f t="shared" si="2"/>
        <v>ITC-priority</v>
      </c>
    </row>
    <row r="190">
      <c r="A190" s="46">
        <f t="shared" si="1"/>
        <v>4</v>
      </c>
      <c r="B190" s="43" t="str">
        <f t="shared" si="2"/>
        <v>ITC-priority</v>
      </c>
    </row>
    <row r="191">
      <c r="A191" s="46">
        <f t="shared" si="1"/>
        <v>4</v>
      </c>
      <c r="B191" s="43" t="str">
        <f t="shared" si="2"/>
        <v>ITC-priority</v>
      </c>
    </row>
    <row r="192">
      <c r="A192" s="46">
        <f t="shared" si="1"/>
        <v>4</v>
      </c>
      <c r="B192" s="43" t="str">
        <f t="shared" si="2"/>
        <v>ITC-priority</v>
      </c>
    </row>
    <row r="193">
      <c r="A193" s="46">
        <f t="shared" si="1"/>
        <v>4</v>
      </c>
      <c r="B193" s="43" t="str">
        <f t="shared" si="2"/>
        <v>ITC-priority</v>
      </c>
    </row>
    <row r="194">
      <c r="A194" s="46">
        <f t="shared" si="1"/>
        <v>4</v>
      </c>
      <c r="B194" s="43" t="str">
        <f t="shared" si="2"/>
        <v>ITC-priority</v>
      </c>
    </row>
    <row r="195">
      <c r="A195" s="46">
        <f t="shared" si="1"/>
        <v>4</v>
      </c>
      <c r="B195" s="43" t="str">
        <f t="shared" si="2"/>
        <v>ITC-priority</v>
      </c>
    </row>
    <row r="196">
      <c r="A196" s="46">
        <f t="shared" si="1"/>
        <v>4</v>
      </c>
      <c r="B196" s="43" t="str">
        <f t="shared" si="2"/>
        <v>ITC-priority</v>
      </c>
    </row>
    <row r="197">
      <c r="A197" s="46">
        <f t="shared" si="1"/>
        <v>4</v>
      </c>
      <c r="B197" s="43" t="str">
        <f t="shared" si="2"/>
        <v>ITC-priority</v>
      </c>
    </row>
    <row r="198">
      <c r="A198" s="46">
        <f t="shared" si="1"/>
        <v>4</v>
      </c>
      <c r="B198" s="43" t="str">
        <f t="shared" si="2"/>
        <v>ITC-priority</v>
      </c>
    </row>
    <row r="199">
      <c r="A199" s="46">
        <f t="shared" si="1"/>
        <v>4</v>
      </c>
      <c r="B199" s="43" t="str">
        <f t="shared" si="2"/>
        <v>ITC-priority</v>
      </c>
    </row>
    <row r="200">
      <c r="A200" s="46">
        <f t="shared" si="1"/>
        <v>4</v>
      </c>
      <c r="B200" s="43" t="str">
        <f t="shared" si="2"/>
        <v>ITC-priority</v>
      </c>
    </row>
    <row r="201">
      <c r="A201" s="46">
        <f t="shared" si="1"/>
        <v>4</v>
      </c>
      <c r="B201" s="43" t="str">
        <f t="shared" si="2"/>
        <v>ITC-priority</v>
      </c>
    </row>
    <row r="202">
      <c r="A202" s="46"/>
      <c r="B202" s="46"/>
    </row>
  </sheetData>
  <mergeCells count="1">
    <mergeCell ref="K1:U1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51" t="s">
        <v>797</v>
      </c>
      <c r="B1" s="52">
        <v>0.6521</v>
      </c>
    </row>
    <row r="2">
      <c r="A2" s="53"/>
      <c r="B2" s="54"/>
    </row>
    <row r="3">
      <c r="A3" s="51" t="s">
        <v>798</v>
      </c>
      <c r="B3" s="55"/>
    </row>
    <row r="4">
      <c r="A4" s="56" t="s">
        <v>17</v>
      </c>
      <c r="B4" s="57">
        <f>IFERROR(__xludf.DUMMYFUNCTION("COUNTIF(FILTER(data!K$52:K$3791,data!$B$52:$B$3791=A4),""&gt;=""&amp;$B$1)/5"),28.0)</f>
        <v>28</v>
      </c>
    </row>
    <row r="5">
      <c r="A5" s="56" t="s">
        <v>268</v>
      </c>
      <c r="B5" s="57">
        <f>IFERROR(__xludf.DUMMYFUNCTION("COUNTIF(FILTER(data!K$52:K$3791,data!$B$52:$B$3791=A5),""&gt;=""&amp;$B$1)/5"),21.0)</f>
        <v>21</v>
      </c>
    </row>
    <row r="6">
      <c r="A6" s="58" t="s">
        <v>519</v>
      </c>
      <c r="B6" s="59">
        <f>IFERROR(__xludf.DUMMYFUNCTION("COUNTIF(FILTER(data!K$52:K$3791,data!$B$52:$B$3791=A6),""&gt;=""&amp;$B$1)/5"),0.0)</f>
        <v>0</v>
      </c>
    </row>
    <row r="7">
      <c r="A7" s="56"/>
      <c r="B7" s="57"/>
    </row>
    <row r="8">
      <c r="A8" s="51" t="s">
        <v>799</v>
      </c>
      <c r="B8" s="55"/>
    </row>
    <row r="9">
      <c r="A9" s="56" t="s">
        <v>17</v>
      </c>
      <c r="B9" s="57" t="str">
        <f>IFERROR(__xludf.DUMMYFUNCTION("COUNTIFS(FILTER(data!K$52:K$3791,data!$B$52:$B$3791=A9),""&gt;=""&amp;$B$1,FILTER(#REF!,data!$B$52:$B$3791=A9),FALSE)/5"),"#VALUE!")</f>
        <v>#VALUE!</v>
      </c>
    </row>
    <row r="10">
      <c r="A10" s="56" t="s">
        <v>268</v>
      </c>
      <c r="B10" s="57" t="str">
        <f>IFERROR(__xludf.DUMMYFUNCTION("COUNTIFS(FILTER(data!K$52:K$3791,data!$B$52:$B$3791=A10),""&gt;=""&amp;$B$1,FILTER(#REF!,data!$B$52:$B$3791=A10),FALSE)/5"),"#VALUE!")</f>
        <v>#VALUE!</v>
      </c>
    </row>
    <row r="11">
      <c r="A11" s="58" t="s">
        <v>519</v>
      </c>
      <c r="B11" s="59" t="str">
        <f>IFERROR(__xludf.DUMMYFUNCTION("COUNTIFS(FILTER(data!K$52:K$3791,data!$B$52:$B$3791=A11),""&gt;=""&amp;$B$1,FILTER(#REF!,data!$B$52:$B$3791=A11),FALSE)/5"),"#VALUE!")</f>
        <v>#VALUE!</v>
      </c>
    </row>
    <row r="12">
      <c r="A12" s="53"/>
      <c r="B12" s="54"/>
    </row>
    <row r="13">
      <c r="A13" s="51" t="s">
        <v>800</v>
      </c>
      <c r="B13" s="55"/>
    </row>
    <row r="14">
      <c r="A14" s="56" t="s">
        <v>17</v>
      </c>
      <c r="B14" s="57" t="str">
        <f>IFERROR(__xludf.DUMMYFUNCTION("COUNTIFS(FILTER(data!K$52:K$3791,data!$B$52:$B$3791=A14),""&gt;=""&amp;$B$1,FILTER(#REF!,data!$B$52:$B$3791=A14),TRUE)/5"),"#VALUE!")</f>
        <v>#VALUE!</v>
      </c>
    </row>
    <row r="15">
      <c r="A15" s="56" t="s">
        <v>268</v>
      </c>
      <c r="B15" s="57" t="str">
        <f>IFERROR(__xludf.DUMMYFUNCTION("COUNTIFS(FILTER(data!K$52:K$3791,data!$B$52:$B$3791=A15),""&gt;=""&amp;$B$1,FILTER(#REF!,data!$B$52:$B$3791=A15),FALSE)/5"),"#VALUE!")</f>
        <v>#VALUE!</v>
      </c>
    </row>
    <row r="16">
      <c r="A16" s="58" t="s">
        <v>519</v>
      </c>
      <c r="B16" s="59" t="str">
        <f>IFERROR(__xludf.DUMMYFUNCTION("COUNTIFS(FILTER(data!K$52:K$3791,data!$B$52:$B$3791=A16),""&gt;=""&amp;$B$1,FILTER(#REF!,data!$B$52:$B$3791=A16),FALSE)/5"),"#VALUE!")</f>
        <v>#VALUE!</v>
      </c>
    </row>
    <row r="17">
      <c r="A17" s="53"/>
      <c r="B17" s="54"/>
    </row>
    <row r="18">
      <c r="A18" s="51" t="s">
        <v>801</v>
      </c>
      <c r="B18" s="55"/>
    </row>
    <row r="19">
      <c r="A19" s="56" t="s">
        <v>17</v>
      </c>
      <c r="B19" s="57">
        <f>IFERROR(__xludf.DUMMYFUNCTION("COUNTIF(FILTER(data!K$52:K$3791,data!$B$52:$B$3791=A19),""&lt;""&amp;$B$1)/5"),222.0)</f>
        <v>222</v>
      </c>
    </row>
    <row r="20">
      <c r="A20" s="56" t="s">
        <v>268</v>
      </c>
      <c r="B20" s="57">
        <f>IFERROR(__xludf.DUMMYFUNCTION("COUNTIF(FILTER(data!K$52:K$3791,data!$B$52:$B$3791=A20),""&lt;""&amp;$B$1)/5"),229.0)</f>
        <v>229</v>
      </c>
    </row>
    <row r="21">
      <c r="A21" s="58" t="s">
        <v>519</v>
      </c>
      <c r="B21" s="59">
        <f>IFERROR(__xludf.DUMMYFUNCTION("COUNTIF(FILTER(data!K$52:K$3791,data!$B$52:$B$3791=A21),""&lt;""&amp;$B$1)/5"),248.0)</f>
        <v>248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14.38"/>
    <col customWidth="1" min="3" max="3" width="8.0"/>
    <col customWidth="1" min="4" max="4" width="5.13"/>
    <col customWidth="1" min="5" max="5" width="3.63"/>
    <col customWidth="1" min="6" max="6" width="5.75"/>
    <col customWidth="1" min="7" max="8" width="12.63"/>
    <col customWidth="1" min="9" max="10" width="16.5"/>
    <col customWidth="1" min="13" max="16" width="12.63"/>
  </cols>
  <sheetData>
    <row r="1">
      <c r="A1" s="60" t="s">
        <v>0</v>
      </c>
      <c r="B1" s="60" t="s">
        <v>778</v>
      </c>
      <c r="C1" s="60" t="s">
        <v>779</v>
      </c>
      <c r="D1" s="60" t="s">
        <v>780</v>
      </c>
      <c r="E1" s="60" t="s">
        <v>4</v>
      </c>
      <c r="F1" s="60" t="s">
        <v>802</v>
      </c>
      <c r="G1" s="60" t="s">
        <v>803</v>
      </c>
      <c r="H1" s="38" t="s">
        <v>804</v>
      </c>
      <c r="I1" s="60" t="s">
        <v>805</v>
      </c>
      <c r="J1" s="60" t="s">
        <v>806</v>
      </c>
      <c r="K1" s="38" t="s">
        <v>807</v>
      </c>
      <c r="L1" s="38" t="s">
        <v>787</v>
      </c>
      <c r="M1" s="61" t="s">
        <v>808</v>
      </c>
      <c r="N1" s="61" t="s">
        <v>809</v>
      </c>
      <c r="O1" s="61" t="s">
        <v>810</v>
      </c>
      <c r="P1" s="61" t="s">
        <v>811</v>
      </c>
    </row>
    <row r="2">
      <c r="A2" s="62" t="s">
        <v>14</v>
      </c>
      <c r="B2" s="7" t="s">
        <v>15</v>
      </c>
      <c r="C2" s="7">
        <v>0.0</v>
      </c>
      <c r="D2" s="7">
        <v>0.0</v>
      </c>
      <c r="E2" s="7">
        <v>1.0</v>
      </c>
      <c r="F2" s="7">
        <v>0.0</v>
      </c>
      <c r="G2" s="7">
        <v>3.61</v>
      </c>
      <c r="H2" s="7">
        <v>156.8970179</v>
      </c>
      <c r="I2" s="7"/>
      <c r="J2" s="7"/>
      <c r="K2" s="7">
        <f>AVERAGE(H2:H6)</f>
        <v>129.2916243</v>
      </c>
      <c r="L2" s="7">
        <f>STDEV(H2:H6)</f>
        <v>106.7787885</v>
      </c>
      <c r="M2" s="63">
        <v>156.897040956505</v>
      </c>
      <c r="N2" s="63">
        <v>156.897040956505</v>
      </c>
      <c r="O2" s="63">
        <v>3.61119515206667</v>
      </c>
      <c r="P2" s="63">
        <v>3.61119515206667</v>
      </c>
    </row>
    <row r="3">
      <c r="A3" s="62" t="s">
        <v>14</v>
      </c>
      <c r="B3" s="7" t="s">
        <v>15</v>
      </c>
      <c r="C3" s="7">
        <v>0.0</v>
      </c>
      <c r="D3" s="7">
        <v>0.0</v>
      </c>
      <c r="E3" s="7">
        <v>1.0</v>
      </c>
      <c r="F3" s="7">
        <v>1.0</v>
      </c>
      <c r="G3" s="7">
        <v>8.16</v>
      </c>
      <c r="H3" s="7">
        <v>286.9544343</v>
      </c>
      <c r="I3" s="7"/>
      <c r="J3" s="7"/>
      <c r="K3" s="7">
        <f>AVERAGE(H2:H6)</f>
        <v>129.2916243</v>
      </c>
      <c r="L3" s="7">
        <f>STDEV(H2:H6)</f>
        <v>106.7787885</v>
      </c>
      <c r="M3" s="63">
        <v>286.954434314953</v>
      </c>
      <c r="N3" s="63">
        <v>286.954434314953</v>
      </c>
      <c r="O3" s="63">
        <v>8.15560031885662</v>
      </c>
      <c r="P3" s="63">
        <v>8.15560031885662</v>
      </c>
    </row>
    <row r="4">
      <c r="A4" s="62" t="s">
        <v>14</v>
      </c>
      <c r="B4" s="7" t="s">
        <v>15</v>
      </c>
      <c r="C4" s="7">
        <v>0.0</v>
      </c>
      <c r="D4" s="7">
        <v>0.0</v>
      </c>
      <c r="E4" s="7">
        <v>1.0</v>
      </c>
      <c r="F4" s="7">
        <v>2.0</v>
      </c>
      <c r="G4" s="7">
        <v>1.35</v>
      </c>
      <c r="H4" s="7">
        <v>69.51448703</v>
      </c>
      <c r="I4" s="7"/>
      <c r="J4" s="7"/>
      <c r="K4" s="7">
        <f>AVERAGE(H2:H6)</f>
        <v>129.2916243</v>
      </c>
      <c r="L4" s="7">
        <f>STDEV(H2:H6)</f>
        <v>106.7787885</v>
      </c>
      <c r="M4" s="63">
        <v>69.5144870271492</v>
      </c>
      <c r="N4" s="63">
        <v>69.5144870271492</v>
      </c>
      <c r="O4" s="63">
        <v>1.35224836248878</v>
      </c>
      <c r="P4" s="63">
        <v>1.35224836248878</v>
      </c>
    </row>
    <row r="5">
      <c r="A5" s="62" t="s">
        <v>14</v>
      </c>
      <c r="B5" s="7" t="s">
        <v>15</v>
      </c>
      <c r="C5" s="7">
        <v>0.0</v>
      </c>
      <c r="D5" s="7">
        <v>0.0</v>
      </c>
      <c r="E5" s="7">
        <v>1.0</v>
      </c>
      <c r="F5" s="7">
        <v>3.0</v>
      </c>
      <c r="G5" s="7">
        <v>2.49</v>
      </c>
      <c r="H5" s="7">
        <v>131.8909812</v>
      </c>
      <c r="I5" s="7"/>
      <c r="J5" s="7"/>
      <c r="K5" s="7">
        <f>AVERAGE(H2:H6)</f>
        <v>129.2916243</v>
      </c>
      <c r="L5" s="7">
        <f>STDEV(H2:H6)</f>
        <v>106.7787885</v>
      </c>
      <c r="M5" s="63">
        <v>131.89098122686</v>
      </c>
      <c r="N5" s="63">
        <v>131.89098122686</v>
      </c>
      <c r="O5" s="63">
        <v>2.49114450253838</v>
      </c>
      <c r="P5" s="63">
        <v>2.49114450253838</v>
      </c>
    </row>
    <row r="6">
      <c r="A6" s="62" t="s">
        <v>14</v>
      </c>
      <c r="B6" s="7" t="s">
        <v>15</v>
      </c>
      <c r="C6" s="7">
        <v>0.0</v>
      </c>
      <c r="D6" s="7">
        <v>0.0</v>
      </c>
      <c r="E6" s="7">
        <v>1.0</v>
      </c>
      <c r="F6" s="7">
        <v>4.0</v>
      </c>
      <c r="G6" s="7">
        <v>0.65</v>
      </c>
      <c r="H6" s="7">
        <v>1.201201269</v>
      </c>
      <c r="I6" s="7"/>
      <c r="J6" s="7"/>
      <c r="K6" s="7">
        <f>AVERAGE(H2:H6)</f>
        <v>129.2916243</v>
      </c>
      <c r="L6" s="7">
        <f>STDEV(H2:H6)</f>
        <v>106.7787885</v>
      </c>
      <c r="M6" s="63">
        <v>1.20120126939194</v>
      </c>
      <c r="N6" s="63">
        <v>1.20120126939194</v>
      </c>
      <c r="O6" s="63">
        <v>0.651414339366061</v>
      </c>
      <c r="P6" s="63">
        <v>0.651414339366061</v>
      </c>
    </row>
    <row r="7" hidden="1">
      <c r="A7" s="62" t="s">
        <v>14</v>
      </c>
      <c r="B7" s="62" t="s">
        <v>14</v>
      </c>
      <c r="C7" s="64">
        <v>0.0</v>
      </c>
      <c r="D7" s="64">
        <v>0.0</v>
      </c>
      <c r="E7" s="64">
        <v>2.0</v>
      </c>
      <c r="F7" s="64">
        <v>0.0</v>
      </c>
      <c r="G7" s="7">
        <v>1.35224836248878</v>
      </c>
      <c r="H7" s="7">
        <v>69.5144870271492</v>
      </c>
      <c r="I7" s="65">
        <v>44583.18987268519</v>
      </c>
      <c r="J7" s="65">
        <v>44583.19311342593</v>
      </c>
      <c r="K7">
        <f>AVERAGE(H7:H11)</f>
        <v>133.9686008</v>
      </c>
      <c r="L7">
        <f>STDEV(H7:H11)</f>
        <v>107.4041583</v>
      </c>
      <c r="M7" s="63">
        <v>69.5144870271492</v>
      </c>
      <c r="N7" s="63">
        <v>69.5144870271492</v>
      </c>
      <c r="O7" s="63">
        <v>1.35224836248878</v>
      </c>
      <c r="P7" s="63">
        <v>1.35224836248878</v>
      </c>
    </row>
    <row r="8" hidden="1">
      <c r="A8" s="62" t="s">
        <v>14</v>
      </c>
      <c r="B8" s="62" t="s">
        <v>14</v>
      </c>
      <c r="C8" s="64">
        <v>0.0</v>
      </c>
      <c r="D8" s="64">
        <v>0.0</v>
      </c>
      <c r="E8" s="64">
        <v>2.0</v>
      </c>
      <c r="F8" s="64">
        <v>1.0</v>
      </c>
      <c r="G8" s="7">
        <v>0.65137378331599</v>
      </c>
      <c r="H8" s="7">
        <v>1.20275038736496</v>
      </c>
      <c r="I8" s="65">
        <v>44583.19380787037</v>
      </c>
      <c r="J8" s="65">
        <v>44583.196180555555</v>
      </c>
      <c r="K8">
        <f>AVERAGE(H7:H11)</f>
        <v>133.9686008</v>
      </c>
      <c r="L8">
        <f>STDEV(H7:H11)</f>
        <v>107.4041583</v>
      </c>
      <c r="M8" s="63">
        <v>1.20275038736496</v>
      </c>
      <c r="N8" s="63">
        <v>1.20275038736496</v>
      </c>
      <c r="O8" s="63">
        <v>0.65137378331599</v>
      </c>
      <c r="P8" s="63">
        <v>0.65137378331599</v>
      </c>
    </row>
    <row r="9" hidden="1">
      <c r="A9" s="62" t="s">
        <v>14</v>
      </c>
      <c r="B9" s="62" t="s">
        <v>14</v>
      </c>
      <c r="C9" s="64">
        <v>0.0</v>
      </c>
      <c r="D9" s="64">
        <v>0.0</v>
      </c>
      <c r="E9" s="64">
        <v>2.0</v>
      </c>
      <c r="F9" s="64">
        <v>2.0</v>
      </c>
      <c r="G9" s="7">
        <v>8.14927675289396</v>
      </c>
      <c r="H9" s="7">
        <v>286.798803218638</v>
      </c>
      <c r="I9" s="65">
        <v>44583.196875</v>
      </c>
      <c r="J9" s="65">
        <v>44583.19991898148</v>
      </c>
      <c r="K9">
        <f>AVERAGE(H7:H11)</f>
        <v>133.9686008</v>
      </c>
      <c r="L9">
        <f>STDEV(H7:H11)</f>
        <v>107.4041583</v>
      </c>
      <c r="M9" s="63">
        <v>286.798803218638</v>
      </c>
      <c r="N9" s="63">
        <v>286.798803218638</v>
      </c>
      <c r="O9" s="63">
        <v>8.14927675289396</v>
      </c>
      <c r="P9" s="63">
        <v>8.14927675289396</v>
      </c>
    </row>
    <row r="10" hidden="1">
      <c r="A10" s="62" t="s">
        <v>14</v>
      </c>
      <c r="B10" s="62" t="s">
        <v>14</v>
      </c>
      <c r="C10" s="64">
        <v>0.0</v>
      </c>
      <c r="D10" s="64">
        <v>0.0</v>
      </c>
      <c r="E10" s="64">
        <v>2.0</v>
      </c>
      <c r="F10" s="64">
        <v>3.0</v>
      </c>
      <c r="G10" s="7">
        <v>4.66575292774046</v>
      </c>
      <c r="H10" s="7">
        <v>159.262898993153</v>
      </c>
      <c r="I10" s="65">
        <v>44583.20061342593</v>
      </c>
      <c r="J10" s="65">
        <v>44583.20101851852</v>
      </c>
      <c r="K10">
        <f>AVERAGE(H7:H11)</f>
        <v>133.9686008</v>
      </c>
      <c r="L10">
        <f>STDEV(H7:H11)</f>
        <v>107.4041583</v>
      </c>
      <c r="M10" s="63">
        <v>159.262898993153</v>
      </c>
      <c r="N10" s="63">
        <v>159.262898993153</v>
      </c>
      <c r="O10" s="63">
        <v>4.66575292774046</v>
      </c>
      <c r="P10" s="63">
        <v>4.66575292774046</v>
      </c>
    </row>
    <row r="11" hidden="1">
      <c r="A11" s="62" t="s">
        <v>14</v>
      </c>
      <c r="B11" s="62" t="s">
        <v>14</v>
      </c>
      <c r="C11" s="64">
        <v>0.0</v>
      </c>
      <c r="D11" s="64">
        <v>0.0</v>
      </c>
      <c r="E11" s="7">
        <v>2.0</v>
      </c>
      <c r="F11" s="64">
        <v>4.0</v>
      </c>
      <c r="G11" s="7">
        <v>3.37812176377814</v>
      </c>
      <c r="H11" s="7">
        <v>153.064064497003</v>
      </c>
      <c r="I11" s="65">
        <v>44583.20171296296</v>
      </c>
      <c r="J11" s="65">
        <v>44583.30706018519</v>
      </c>
      <c r="K11">
        <f>AVERAGE(H7:H11)</f>
        <v>133.9686008</v>
      </c>
      <c r="L11">
        <f>STDEV(H7:H11)</f>
        <v>107.4041583</v>
      </c>
      <c r="M11" s="63">
        <v>153.064064497003</v>
      </c>
      <c r="N11" s="63">
        <v>153.064064497003</v>
      </c>
      <c r="O11" s="63">
        <v>3.37812176377814</v>
      </c>
      <c r="P11" s="63">
        <v>3.37812176377814</v>
      </c>
    </row>
    <row r="12" hidden="1">
      <c r="A12" s="62" t="s">
        <v>14</v>
      </c>
      <c r="B12" s="62" t="s">
        <v>14</v>
      </c>
      <c r="C12" s="64">
        <v>0.0</v>
      </c>
      <c r="D12" s="64">
        <v>0.0</v>
      </c>
      <c r="E12" s="64">
        <v>3.0</v>
      </c>
      <c r="F12" s="64">
        <v>0.0</v>
      </c>
      <c r="G12" s="7">
        <v>8.20616189081472</v>
      </c>
      <c r="H12" s="7">
        <v>287.925670854504</v>
      </c>
      <c r="I12" s="65">
        <v>44583.307754629626</v>
      </c>
      <c r="J12" s="65">
        <v>44583.30978009259</v>
      </c>
      <c r="K12">
        <f>AVERAGE(H12:H16)</f>
        <v>110.7186247</v>
      </c>
      <c r="L12">
        <f>STDEV(H12:H16)</f>
        <v>117.4093266</v>
      </c>
      <c r="M12" s="63">
        <v>287.925670854504</v>
      </c>
      <c r="N12" s="63">
        <v>287.925670854504</v>
      </c>
      <c r="O12" s="63">
        <v>8.20616189081472</v>
      </c>
      <c r="P12" s="63">
        <v>8.20616189081472</v>
      </c>
    </row>
    <row r="13" hidden="1">
      <c r="A13" s="62" t="s">
        <v>14</v>
      </c>
      <c r="B13" s="62" t="s">
        <v>14</v>
      </c>
      <c r="C13" s="64">
        <v>0.0</v>
      </c>
      <c r="D13" s="64">
        <v>0.0</v>
      </c>
      <c r="E13" s="64">
        <v>3.0</v>
      </c>
      <c r="F13" s="64">
        <v>1.0</v>
      </c>
      <c r="G13" s="7">
        <v>1.71233390840819</v>
      </c>
      <c r="H13" s="7">
        <v>27.8513587008941</v>
      </c>
      <c r="I13" s="65">
        <v>44583.31047453704</v>
      </c>
      <c r="J13" s="65">
        <v>44583.31164351852</v>
      </c>
      <c r="K13">
        <f>AVERAGE(H12:H16)</f>
        <v>110.7186247</v>
      </c>
      <c r="L13">
        <f>STDEV(H12:H16)</f>
        <v>117.4093266</v>
      </c>
      <c r="M13" s="63">
        <v>27.8513587008941</v>
      </c>
      <c r="N13" s="63">
        <v>27.8513587008941</v>
      </c>
      <c r="O13" s="63">
        <v>1.71233390840819</v>
      </c>
      <c r="P13" s="63">
        <v>1.71233390840819</v>
      </c>
    </row>
    <row r="14" hidden="1">
      <c r="A14" s="62" t="s">
        <v>14</v>
      </c>
      <c r="B14" s="62" t="s">
        <v>14</v>
      </c>
      <c r="C14" s="64">
        <v>0.0</v>
      </c>
      <c r="D14" s="64">
        <v>0.0</v>
      </c>
      <c r="E14" s="64">
        <v>3.0</v>
      </c>
      <c r="F14" s="64">
        <v>2.0</v>
      </c>
      <c r="G14" s="7">
        <v>0.651993091739278</v>
      </c>
      <c r="H14" s="7">
        <v>1.20202488595701</v>
      </c>
      <c r="I14" s="65">
        <v>44583.31233796296</v>
      </c>
      <c r="J14" s="65">
        <v>44583.31386574074</v>
      </c>
      <c r="K14">
        <f>AVERAGE(H12:H16)</f>
        <v>110.7186247</v>
      </c>
      <c r="L14">
        <f>STDEV(H12:H16)</f>
        <v>117.4093266</v>
      </c>
      <c r="M14" s="63">
        <v>1.20202488595701</v>
      </c>
      <c r="N14" s="63">
        <v>1.20202488595701</v>
      </c>
      <c r="O14" s="63">
        <v>0.651993091739278</v>
      </c>
      <c r="P14" s="63">
        <v>0.651993091739278</v>
      </c>
    </row>
    <row r="15" hidden="1">
      <c r="A15" s="62" t="s">
        <v>14</v>
      </c>
      <c r="B15" s="62" t="s">
        <v>14</v>
      </c>
      <c r="C15" s="64">
        <v>0.0</v>
      </c>
      <c r="D15" s="64">
        <v>0.0</v>
      </c>
      <c r="E15" s="64">
        <v>3.0</v>
      </c>
      <c r="F15" s="64">
        <v>3.0</v>
      </c>
      <c r="G15" s="7">
        <v>3.82026564237486</v>
      </c>
      <c r="H15" s="7">
        <v>167.099582051103</v>
      </c>
      <c r="I15" s="65">
        <v>44583.31456018519</v>
      </c>
      <c r="J15" s="65">
        <v>44583.38982638889</v>
      </c>
      <c r="K15">
        <f>AVERAGE(H12:H16)</f>
        <v>110.7186247</v>
      </c>
      <c r="L15">
        <f>STDEV(H12:H16)</f>
        <v>117.4093266</v>
      </c>
      <c r="M15" s="63">
        <v>167.099582051103</v>
      </c>
      <c r="N15" s="63">
        <v>167.099582051103</v>
      </c>
      <c r="O15" s="63">
        <v>3.82026564237486</v>
      </c>
      <c r="P15" s="63">
        <v>3.82026564237486</v>
      </c>
    </row>
    <row r="16" hidden="1">
      <c r="A16" s="62" t="s">
        <v>14</v>
      </c>
      <c r="B16" s="62" t="s">
        <v>14</v>
      </c>
      <c r="C16" s="64">
        <v>0.0</v>
      </c>
      <c r="D16" s="64">
        <v>0.0</v>
      </c>
      <c r="E16" s="64">
        <v>3.0</v>
      </c>
      <c r="F16" s="64">
        <v>4.0</v>
      </c>
      <c r="G16" s="7">
        <v>1.35224836248878</v>
      </c>
      <c r="H16" s="7">
        <v>69.5144870271492</v>
      </c>
      <c r="I16" s="65">
        <v>44583.39052083333</v>
      </c>
      <c r="J16" s="65">
        <v>44583.39309027778</v>
      </c>
      <c r="K16">
        <f>AVERAGE(H12:H16)</f>
        <v>110.7186247</v>
      </c>
      <c r="L16">
        <f>STDEV(H12:H16)</f>
        <v>117.4093266</v>
      </c>
      <c r="M16" s="63">
        <v>69.5144870271492</v>
      </c>
      <c r="N16" s="63">
        <v>69.5144870271492</v>
      </c>
      <c r="O16" s="63">
        <v>1.35224836248878</v>
      </c>
      <c r="P16" s="63">
        <v>1.35224836248878</v>
      </c>
    </row>
    <row r="17" hidden="1">
      <c r="A17" s="62" t="s">
        <v>14</v>
      </c>
      <c r="B17" s="62" t="s">
        <v>14</v>
      </c>
      <c r="C17" s="64">
        <v>0.0</v>
      </c>
      <c r="D17" s="64">
        <v>0.0</v>
      </c>
      <c r="E17" s="64">
        <v>4.0</v>
      </c>
      <c r="F17" s="64">
        <v>0.0</v>
      </c>
      <c r="G17" s="7">
        <v>7.3879357347271</v>
      </c>
      <c r="H17" s="7">
        <v>271.777004126744</v>
      </c>
      <c r="I17" s="65">
        <v>44583.39378472222</v>
      </c>
      <c r="J17" s="65">
        <v>44583.394328703704</v>
      </c>
      <c r="K17">
        <f>AVERAGE(H17:H21)</f>
        <v>145.6413749</v>
      </c>
      <c r="L17">
        <f>STDEV(H17:H21)</f>
        <v>133.1941352</v>
      </c>
      <c r="M17" s="63">
        <v>271.777004126744</v>
      </c>
      <c r="N17" s="63">
        <v>271.777004126744</v>
      </c>
      <c r="O17" s="63">
        <v>7.3879357347271</v>
      </c>
      <c r="P17" s="63">
        <v>7.3879357347271</v>
      </c>
    </row>
    <row r="18" hidden="1">
      <c r="A18" s="62" t="s">
        <v>14</v>
      </c>
      <c r="B18" s="62" t="s">
        <v>14</v>
      </c>
      <c r="C18" s="64">
        <v>0.0</v>
      </c>
      <c r="D18" s="64">
        <v>0.0</v>
      </c>
      <c r="E18" s="64">
        <v>4.0</v>
      </c>
      <c r="F18" s="64">
        <v>1.0</v>
      </c>
      <c r="G18" s="7">
        <v>8.20611783734031</v>
      </c>
      <c r="H18" s="7">
        <v>287.927364137155</v>
      </c>
      <c r="I18" s="65">
        <v>44583.39502314815</v>
      </c>
      <c r="J18" s="65">
        <v>44583.397372685184</v>
      </c>
      <c r="K18">
        <f>AVERAGE(H17:H21)</f>
        <v>145.6413749</v>
      </c>
      <c r="L18">
        <f>STDEV(H17:H21)</f>
        <v>133.1941352</v>
      </c>
      <c r="M18" s="63">
        <v>287.927364137155</v>
      </c>
      <c r="N18" s="63">
        <v>287.927364137155</v>
      </c>
      <c r="O18" s="63">
        <v>8.20611783734031</v>
      </c>
      <c r="P18" s="63">
        <v>8.20611783734031</v>
      </c>
    </row>
    <row r="19" hidden="1">
      <c r="A19" s="62" t="s">
        <v>14</v>
      </c>
      <c r="B19" s="62" t="s">
        <v>14</v>
      </c>
      <c r="C19" s="64">
        <v>0.0</v>
      </c>
      <c r="D19" s="64">
        <v>0.0</v>
      </c>
      <c r="E19" s="64">
        <v>4.0</v>
      </c>
      <c r="F19" s="64">
        <v>2.0</v>
      </c>
      <c r="G19" s="7">
        <v>3.02619695894114</v>
      </c>
      <c r="H19" s="7">
        <v>139.590791801391</v>
      </c>
      <c r="I19" s="65">
        <v>44583.39806712963</v>
      </c>
      <c r="J19" s="65">
        <v>44583.49668981481</v>
      </c>
      <c r="K19">
        <f>AVERAGE(H17:H21)</f>
        <v>145.6413749</v>
      </c>
      <c r="L19">
        <f>STDEV(H17:H21)</f>
        <v>133.1941352</v>
      </c>
      <c r="M19" s="63">
        <v>139.590791801391</v>
      </c>
      <c r="N19" s="63">
        <v>139.590791801391</v>
      </c>
      <c r="O19" s="63">
        <v>3.02619695894114</v>
      </c>
      <c r="P19" s="63">
        <v>3.02619695894114</v>
      </c>
    </row>
    <row r="20" hidden="1">
      <c r="A20" s="62" t="s">
        <v>14</v>
      </c>
      <c r="B20" s="62" t="s">
        <v>14</v>
      </c>
      <c r="C20" s="64">
        <v>0.0</v>
      </c>
      <c r="D20" s="64">
        <v>0.0</v>
      </c>
      <c r="E20" s="64">
        <v>4.0</v>
      </c>
      <c r="F20" s="64">
        <v>3.0</v>
      </c>
      <c r="G20" s="7">
        <v>1.70736050287242</v>
      </c>
      <c r="H20" s="7">
        <v>27.7095600058281</v>
      </c>
      <c r="I20" s="65">
        <v>44583.49738425926</v>
      </c>
      <c r="J20" s="65">
        <v>44583.49886574074</v>
      </c>
      <c r="K20">
        <f>AVERAGE(H17:H21)</f>
        <v>145.6413749</v>
      </c>
      <c r="L20">
        <f>STDEV(H17:H21)</f>
        <v>133.1941352</v>
      </c>
      <c r="M20" s="63">
        <v>27.7095600058281</v>
      </c>
      <c r="N20" s="63">
        <v>27.7095600058281</v>
      </c>
      <c r="O20" s="63">
        <v>1.70736050287242</v>
      </c>
      <c r="P20" s="63">
        <v>1.70736050287242</v>
      </c>
    </row>
    <row r="21" hidden="1">
      <c r="A21" s="62" t="s">
        <v>14</v>
      </c>
      <c r="B21" s="62" t="s">
        <v>14</v>
      </c>
      <c r="C21" s="64">
        <v>0.0</v>
      </c>
      <c r="D21" s="64">
        <v>0.0</v>
      </c>
      <c r="E21" s="64">
        <v>4.0</v>
      </c>
      <c r="F21" s="64">
        <v>4.0</v>
      </c>
      <c r="G21" s="7">
        <v>0.651956825806734</v>
      </c>
      <c r="H21" s="7">
        <v>1.2021543421018</v>
      </c>
      <c r="I21" s="65">
        <v>44583.499560185184</v>
      </c>
      <c r="J21" s="65">
        <v>44583.50145833333</v>
      </c>
      <c r="K21">
        <f>AVERAGE(H17:H21)</f>
        <v>145.6413749</v>
      </c>
      <c r="L21">
        <f>STDEV(H17:H21)</f>
        <v>133.1941352</v>
      </c>
      <c r="M21" s="63">
        <v>1.2021543421018</v>
      </c>
      <c r="N21" s="63">
        <v>1.2021543421018</v>
      </c>
      <c r="O21" s="63">
        <v>0.651956825806734</v>
      </c>
      <c r="P21" s="63">
        <v>0.651956825806734</v>
      </c>
    </row>
    <row r="22" hidden="1">
      <c r="A22" s="62" t="s">
        <v>14</v>
      </c>
      <c r="B22" s="62" t="s">
        <v>14</v>
      </c>
      <c r="C22" s="64">
        <v>0.0</v>
      </c>
      <c r="D22" s="64">
        <v>0.0</v>
      </c>
      <c r="E22" s="64">
        <v>5.0</v>
      </c>
      <c r="F22" s="64">
        <v>0.0</v>
      </c>
      <c r="G22" s="7">
        <v>8.20616189081472</v>
      </c>
      <c r="H22" s="7">
        <v>287.925670854504</v>
      </c>
      <c r="I22" s="65">
        <v>44583.50215277778</v>
      </c>
      <c r="J22" s="65">
        <v>44583.504594907405</v>
      </c>
      <c r="K22">
        <f>AVERAGE(H22:H26)</f>
        <v>110.7186247</v>
      </c>
      <c r="L22">
        <f>STDEV(H22:H26)</f>
        <v>117.4093266</v>
      </c>
      <c r="M22" s="63">
        <v>287.925670854504</v>
      </c>
      <c r="N22" s="63">
        <v>287.925670854504</v>
      </c>
      <c r="O22" s="63">
        <v>8.20616189081472</v>
      </c>
      <c r="P22" s="63">
        <v>8.20616189081472</v>
      </c>
    </row>
    <row r="23" hidden="1">
      <c r="A23" s="62" t="s">
        <v>14</v>
      </c>
      <c r="B23" s="62" t="s">
        <v>14</v>
      </c>
      <c r="C23" s="64">
        <v>0.0</v>
      </c>
      <c r="D23" s="64">
        <v>0.0</v>
      </c>
      <c r="E23" s="64">
        <v>5.0</v>
      </c>
      <c r="F23" s="64">
        <v>1.0</v>
      </c>
      <c r="G23" s="7">
        <v>1.71233390840819</v>
      </c>
      <c r="H23" s="7">
        <v>27.8513587008941</v>
      </c>
      <c r="I23" s="65">
        <v>44583.50528935185</v>
      </c>
      <c r="J23" s="65">
        <v>44583.50678240741</v>
      </c>
      <c r="K23">
        <f>AVERAGE(H22:H26)</f>
        <v>110.7186247</v>
      </c>
      <c r="L23">
        <f>STDEV(H22:H26)</f>
        <v>117.4093266</v>
      </c>
      <c r="M23" s="63">
        <v>27.8513587008941</v>
      </c>
      <c r="N23" s="63">
        <v>27.8513587008941</v>
      </c>
      <c r="O23" s="63">
        <v>1.71233390840819</v>
      </c>
      <c r="P23" s="63">
        <v>1.71233390840819</v>
      </c>
    </row>
    <row r="24" hidden="1">
      <c r="A24" s="62" t="s">
        <v>14</v>
      </c>
      <c r="B24" s="62" t="s">
        <v>14</v>
      </c>
      <c r="C24" s="64">
        <v>0.0</v>
      </c>
      <c r="D24" s="64">
        <v>0.0</v>
      </c>
      <c r="E24" s="64">
        <v>5.0</v>
      </c>
      <c r="F24" s="64">
        <v>2.0</v>
      </c>
      <c r="G24" s="7">
        <v>0.651993091739278</v>
      </c>
      <c r="H24" s="7">
        <v>1.20202488595701</v>
      </c>
      <c r="I24" s="65">
        <v>44583.50747685185</v>
      </c>
      <c r="J24" s="65">
        <v>44583.50938657407</v>
      </c>
      <c r="K24">
        <f>AVERAGE(H22:H26)</f>
        <v>110.7186247</v>
      </c>
      <c r="L24">
        <f>STDEV(H22:H26)</f>
        <v>117.4093266</v>
      </c>
      <c r="M24" s="63">
        <v>1.20202488595701</v>
      </c>
      <c r="N24" s="63">
        <v>1.20202488595701</v>
      </c>
      <c r="O24" s="63">
        <v>0.651993091739278</v>
      </c>
      <c r="P24" s="63">
        <v>0.651993091739278</v>
      </c>
    </row>
    <row r="25" hidden="1">
      <c r="A25" s="62" t="s">
        <v>14</v>
      </c>
      <c r="B25" s="62" t="s">
        <v>14</v>
      </c>
      <c r="C25" s="64">
        <v>0.0</v>
      </c>
      <c r="D25" s="64">
        <v>0.0</v>
      </c>
      <c r="E25" s="64">
        <v>5.0</v>
      </c>
      <c r="F25" s="64">
        <v>3.0</v>
      </c>
      <c r="G25" s="7">
        <v>3.82026564237486</v>
      </c>
      <c r="H25" s="7">
        <v>167.099582051103</v>
      </c>
      <c r="I25" s="65">
        <v>44583.51008101852</v>
      </c>
      <c r="J25" s="65">
        <v>44583.567037037035</v>
      </c>
      <c r="K25">
        <f>AVERAGE(H22:H26)</f>
        <v>110.7186247</v>
      </c>
      <c r="L25">
        <f>STDEV(H22:H26)</f>
        <v>117.4093266</v>
      </c>
      <c r="M25" s="63">
        <v>167.099582051103</v>
      </c>
      <c r="N25" s="63">
        <v>167.099582051103</v>
      </c>
      <c r="O25" s="63">
        <v>3.82026564237486</v>
      </c>
      <c r="P25" s="63">
        <v>3.82026564237486</v>
      </c>
    </row>
    <row r="26" hidden="1">
      <c r="A26" s="62" t="s">
        <v>14</v>
      </c>
      <c r="B26" s="62" t="s">
        <v>14</v>
      </c>
      <c r="C26" s="64">
        <v>0.0</v>
      </c>
      <c r="D26" s="64">
        <v>0.0</v>
      </c>
      <c r="E26" s="64">
        <v>5.0</v>
      </c>
      <c r="F26" s="64">
        <v>4.0</v>
      </c>
      <c r="G26" s="7">
        <v>1.35224836248878</v>
      </c>
      <c r="H26" s="7">
        <v>69.5144870271492</v>
      </c>
      <c r="I26" s="65">
        <v>44583.56773148148</v>
      </c>
      <c r="J26" s="65">
        <v>44583.57019675926</v>
      </c>
      <c r="K26">
        <f>AVERAGE(H22:H26)</f>
        <v>110.7186247</v>
      </c>
      <c r="L26">
        <f>STDEV(H22:H26)</f>
        <v>117.4093266</v>
      </c>
      <c r="M26" s="63">
        <v>69.5144870271492</v>
      </c>
      <c r="N26" s="63">
        <v>69.5144870271492</v>
      </c>
      <c r="O26" s="63">
        <v>1.35224836248878</v>
      </c>
      <c r="P26" s="63">
        <v>1.35224836248878</v>
      </c>
    </row>
    <row r="27" hidden="1">
      <c r="A27" s="62" t="s">
        <v>14</v>
      </c>
      <c r="B27" s="62" t="s">
        <v>14</v>
      </c>
      <c r="C27" s="64">
        <v>0.0</v>
      </c>
      <c r="D27" s="64">
        <v>0.0</v>
      </c>
      <c r="E27" s="64">
        <v>6.0</v>
      </c>
      <c r="F27" s="64">
        <v>0.0</v>
      </c>
      <c r="G27" s="7">
        <v>3.73817382452879</v>
      </c>
      <c r="H27" s="7">
        <v>160.328656127027</v>
      </c>
      <c r="I27" s="65">
        <v>44583.5708912037</v>
      </c>
      <c r="J27" s="65">
        <v>44583.65914351852</v>
      </c>
      <c r="K27">
        <f>AVERAGE(H27:H31)</f>
        <v>103.7586948</v>
      </c>
      <c r="L27">
        <f>STDEV(H27:H31)</f>
        <v>121.4126309</v>
      </c>
      <c r="M27" s="63">
        <v>160.328656127027</v>
      </c>
      <c r="N27" s="63">
        <v>160.328656127027</v>
      </c>
      <c r="O27" s="63">
        <v>3.73817382452879</v>
      </c>
      <c r="P27" s="63">
        <v>3.73817382452879</v>
      </c>
    </row>
    <row r="28" hidden="1">
      <c r="A28" s="62" t="s">
        <v>14</v>
      </c>
      <c r="B28" s="62" t="s">
        <v>14</v>
      </c>
      <c r="C28" s="64">
        <v>0.0</v>
      </c>
      <c r="D28" s="64">
        <v>0.0</v>
      </c>
      <c r="E28" s="64">
        <v>6.0</v>
      </c>
      <c r="F28" s="64">
        <v>1.0</v>
      </c>
      <c r="G28" s="7">
        <v>1.35224836248878</v>
      </c>
      <c r="H28" s="7">
        <v>69.5144870271492</v>
      </c>
      <c r="I28" s="65">
        <v>44583.659837962965</v>
      </c>
      <c r="J28" s="65">
        <v>44583.66232638889</v>
      </c>
      <c r="K28">
        <f>AVERAGE(H27:H31)</f>
        <v>103.7586948</v>
      </c>
      <c r="L28">
        <f>STDEV(H27:H31)</f>
        <v>121.4126309</v>
      </c>
      <c r="M28" s="63">
        <v>69.5144870271492</v>
      </c>
      <c r="N28" s="63">
        <v>69.5144870271492</v>
      </c>
      <c r="O28" s="63">
        <v>1.35224836248878</v>
      </c>
      <c r="P28" s="63">
        <v>1.35224836248878</v>
      </c>
    </row>
    <row r="29" hidden="1">
      <c r="A29" s="62" t="s">
        <v>14</v>
      </c>
      <c r="B29" s="62" t="s">
        <v>14</v>
      </c>
      <c r="C29" s="64">
        <v>0.0</v>
      </c>
      <c r="D29" s="64">
        <v>0.0</v>
      </c>
      <c r="E29" s="64">
        <v>6.0</v>
      </c>
      <c r="F29" s="64">
        <v>2.0</v>
      </c>
      <c r="G29" s="7">
        <v>0.651382921876665</v>
      </c>
      <c r="H29" s="7">
        <v>1.20143378849441</v>
      </c>
      <c r="I29" s="65">
        <v>44583.66302083333</v>
      </c>
      <c r="J29" s="65">
        <v>44583.664872685185</v>
      </c>
      <c r="K29">
        <f>AVERAGE(H27:H31)</f>
        <v>103.7586948</v>
      </c>
      <c r="L29">
        <f>STDEV(H27:H31)</f>
        <v>121.4126309</v>
      </c>
      <c r="M29" s="63">
        <v>1.20143378849441</v>
      </c>
      <c r="N29" s="63">
        <v>1.20143378849441</v>
      </c>
      <c r="O29" s="63">
        <v>0.651382921876665</v>
      </c>
      <c r="P29" s="63">
        <v>0.651382921876665</v>
      </c>
    </row>
    <row r="30" hidden="1">
      <c r="A30" s="62" t="s">
        <v>14</v>
      </c>
      <c r="B30" s="62" t="s">
        <v>14</v>
      </c>
      <c r="C30" s="64">
        <v>0.0</v>
      </c>
      <c r="D30" s="64">
        <v>0.0</v>
      </c>
      <c r="E30" s="64">
        <v>6.0</v>
      </c>
      <c r="F30" s="64">
        <v>3.0</v>
      </c>
      <c r="G30" s="7">
        <v>8.14927675289396</v>
      </c>
      <c r="H30" s="7">
        <v>286.798803218638</v>
      </c>
      <c r="I30" s="65">
        <v>44583.66556712963</v>
      </c>
      <c r="J30" s="65">
        <v>44583.667962962965</v>
      </c>
      <c r="K30">
        <f>AVERAGE(H27:H31)</f>
        <v>103.7586948</v>
      </c>
      <c r="L30">
        <f>STDEV(H27:H31)</f>
        <v>121.4126309</v>
      </c>
      <c r="M30" s="63">
        <v>286.798803218638</v>
      </c>
      <c r="N30" s="63">
        <v>286.798803218638</v>
      </c>
      <c r="O30" s="63">
        <v>8.14927675289396</v>
      </c>
      <c r="P30" s="63">
        <v>8.14927675289396</v>
      </c>
    </row>
    <row r="31" hidden="1">
      <c r="A31" s="62" t="s">
        <v>14</v>
      </c>
      <c r="B31" s="62" t="s">
        <v>14</v>
      </c>
      <c r="C31" s="64">
        <v>0.0</v>
      </c>
      <c r="D31" s="64">
        <v>0.0</v>
      </c>
      <c r="E31" s="64">
        <v>6.0</v>
      </c>
      <c r="F31" s="64">
        <v>4.0</v>
      </c>
      <c r="G31" s="7">
        <v>0.712997756536142</v>
      </c>
      <c r="H31" s="7">
        <v>0.950093966860787</v>
      </c>
      <c r="I31" s="65">
        <v>44583.668657407405</v>
      </c>
      <c r="J31" s="65">
        <v>44583.669074074074</v>
      </c>
      <c r="K31">
        <f>AVERAGE(H27:H31)</f>
        <v>103.7586948</v>
      </c>
      <c r="L31">
        <f>STDEV(H27:H31)</f>
        <v>121.4126309</v>
      </c>
      <c r="M31" s="63">
        <v>0.950093966860787</v>
      </c>
      <c r="N31" s="63">
        <v>0.950093966860787</v>
      </c>
      <c r="O31" s="63">
        <v>0.712997756536142</v>
      </c>
      <c r="P31" s="63">
        <v>0.712997756536142</v>
      </c>
    </row>
    <row r="32" hidden="1">
      <c r="A32" s="62" t="s">
        <v>14</v>
      </c>
      <c r="B32" s="62" t="s">
        <v>14</v>
      </c>
      <c r="C32" s="64">
        <v>0.0</v>
      </c>
      <c r="D32" s="64">
        <v>0.0</v>
      </c>
      <c r="E32" s="64">
        <v>7.0</v>
      </c>
      <c r="F32" s="64">
        <v>0.0</v>
      </c>
      <c r="G32" s="7">
        <v>1.70976412565835</v>
      </c>
      <c r="H32" s="7">
        <v>27.7372239505541</v>
      </c>
      <c r="I32" s="65">
        <v>44583.66976851852</v>
      </c>
      <c r="J32" s="65">
        <v>44583.671215277776</v>
      </c>
      <c r="K32">
        <f>AVERAGE(H32:H36)</f>
        <v>95.38964513</v>
      </c>
      <c r="L32">
        <f>STDEV(H32:H36)</f>
        <v>125.9353665</v>
      </c>
      <c r="M32" s="63">
        <v>27.7372239505541</v>
      </c>
      <c r="N32" s="63">
        <v>27.7372239505541</v>
      </c>
      <c r="O32" s="63">
        <v>1.70976412565835</v>
      </c>
      <c r="P32" s="63">
        <v>1.70976412565835</v>
      </c>
    </row>
    <row r="33" hidden="1">
      <c r="A33" s="62" t="s">
        <v>14</v>
      </c>
      <c r="B33" s="62" t="s">
        <v>14</v>
      </c>
      <c r="C33" s="64">
        <v>0.0</v>
      </c>
      <c r="D33" s="64">
        <v>0.0</v>
      </c>
      <c r="E33" s="64">
        <v>7.0</v>
      </c>
      <c r="F33" s="64">
        <v>1.0</v>
      </c>
      <c r="G33" s="7">
        <v>0.65172119244634</v>
      </c>
      <c r="H33" s="7">
        <v>1.20143362464837</v>
      </c>
      <c r="I33" s="65">
        <v>44583.67190972222</v>
      </c>
      <c r="J33" s="65">
        <v>44583.67376157407</v>
      </c>
      <c r="K33">
        <f>AVERAGE(H32:H36)</f>
        <v>95.38964513</v>
      </c>
      <c r="L33">
        <f>STDEV(H32:H36)</f>
        <v>125.9353665</v>
      </c>
      <c r="M33" s="63">
        <v>1.20143362464837</v>
      </c>
      <c r="N33" s="63">
        <v>1.20143362464837</v>
      </c>
      <c r="O33" s="63">
        <v>0.65172119244634</v>
      </c>
      <c r="P33" s="63">
        <v>0.65172119244634</v>
      </c>
    </row>
    <row r="34" hidden="1">
      <c r="A34" s="62" t="s">
        <v>14</v>
      </c>
      <c r="B34" s="62" t="s">
        <v>14</v>
      </c>
      <c r="C34" s="64">
        <v>0.0</v>
      </c>
      <c r="D34" s="64">
        <v>0.0</v>
      </c>
      <c r="E34" s="64">
        <v>7.0</v>
      </c>
      <c r="F34" s="64">
        <v>2.0</v>
      </c>
      <c r="G34" s="7">
        <v>3.5355555199338</v>
      </c>
      <c r="H34" s="7">
        <v>158.938628102538</v>
      </c>
      <c r="I34" s="65">
        <v>44583.67445601852</v>
      </c>
      <c r="J34" s="65">
        <v>44583.74481481482</v>
      </c>
      <c r="K34">
        <f>AVERAGE(H32:H36)</f>
        <v>95.38964513</v>
      </c>
      <c r="L34">
        <f>STDEV(H32:H36)</f>
        <v>125.9353665</v>
      </c>
      <c r="M34" s="63">
        <v>158.938628102538</v>
      </c>
      <c r="N34" s="63">
        <v>158.938628102538</v>
      </c>
      <c r="O34" s="63">
        <v>3.5355555199338</v>
      </c>
      <c r="P34" s="63">
        <v>3.5355555199338</v>
      </c>
    </row>
    <row r="35" hidden="1">
      <c r="A35" s="62" t="s">
        <v>14</v>
      </c>
      <c r="B35" s="62" t="s">
        <v>14</v>
      </c>
      <c r="C35" s="64">
        <v>0.0</v>
      </c>
      <c r="D35" s="64">
        <v>0.0</v>
      </c>
      <c r="E35" s="64">
        <v>7.0</v>
      </c>
      <c r="F35" s="64">
        <v>3.0</v>
      </c>
      <c r="G35" s="7">
        <v>8.20616189081472</v>
      </c>
      <c r="H35" s="7">
        <v>287.925670854504</v>
      </c>
      <c r="I35" s="65">
        <v>44583.74550925926</v>
      </c>
      <c r="J35" s="65">
        <v>44583.747928240744</v>
      </c>
      <c r="K35">
        <f>AVERAGE(H32:H36)</f>
        <v>95.38964513</v>
      </c>
      <c r="L35">
        <f>STDEV(H32:H36)</f>
        <v>125.9353665</v>
      </c>
      <c r="M35" s="63">
        <v>287.925670854504</v>
      </c>
      <c r="N35" s="63">
        <v>287.925670854504</v>
      </c>
      <c r="O35" s="63">
        <v>8.20616189081472</v>
      </c>
      <c r="P35" s="63">
        <v>8.20616189081472</v>
      </c>
    </row>
    <row r="36" hidden="1">
      <c r="A36" s="62" t="s">
        <v>14</v>
      </c>
      <c r="B36" s="62" t="s">
        <v>14</v>
      </c>
      <c r="C36" s="64">
        <v>0.0</v>
      </c>
      <c r="D36" s="64">
        <v>0.0</v>
      </c>
      <c r="E36" s="64">
        <v>7.0</v>
      </c>
      <c r="F36" s="64">
        <v>4.0</v>
      </c>
      <c r="G36" s="7">
        <v>0.84548789308218</v>
      </c>
      <c r="H36" s="7">
        <v>1.14526909868345</v>
      </c>
      <c r="I36" s="65">
        <v>44583.74862268518</v>
      </c>
      <c r="J36" s="65">
        <v>44583.74901620371</v>
      </c>
      <c r="K36">
        <f>AVERAGE(H32:H36)</f>
        <v>95.38964513</v>
      </c>
      <c r="L36">
        <f>STDEV(H32:H36)</f>
        <v>125.9353665</v>
      </c>
      <c r="M36" s="63">
        <v>1.14526909868345</v>
      </c>
      <c r="N36" s="63">
        <v>1.14526909868345</v>
      </c>
      <c r="O36" s="63">
        <v>0.84548789308218</v>
      </c>
      <c r="P36" s="63">
        <v>0.84548789308218</v>
      </c>
    </row>
    <row r="37" hidden="1">
      <c r="A37" s="62" t="s">
        <v>14</v>
      </c>
      <c r="B37" s="62" t="s">
        <v>14</v>
      </c>
      <c r="C37" s="64">
        <v>0.0</v>
      </c>
      <c r="D37" s="64">
        <v>0.0</v>
      </c>
      <c r="E37" s="64">
        <v>8.0</v>
      </c>
      <c r="F37" s="64">
        <v>0.0</v>
      </c>
      <c r="G37" s="7">
        <v>1.35224836248878</v>
      </c>
      <c r="H37" s="7">
        <v>69.5144870271492</v>
      </c>
      <c r="I37" s="65">
        <v>44583.749710648146</v>
      </c>
      <c r="J37" s="65">
        <v>44583.751909722225</v>
      </c>
      <c r="K37">
        <f>AVERAGE(H37:H41)</f>
        <v>154.0317746</v>
      </c>
      <c r="L37">
        <f>STDEV(H37:H41)</f>
        <v>124.7697298</v>
      </c>
      <c r="M37" s="63">
        <v>69.5144870271492</v>
      </c>
      <c r="N37" s="63">
        <v>69.5144870271492</v>
      </c>
      <c r="O37" s="63">
        <v>1.35224836248878</v>
      </c>
      <c r="P37" s="63">
        <v>1.35224836248878</v>
      </c>
    </row>
    <row r="38" hidden="1">
      <c r="A38" s="62" t="s">
        <v>14</v>
      </c>
      <c r="B38" s="62" t="s">
        <v>14</v>
      </c>
      <c r="C38" s="64">
        <v>0.0</v>
      </c>
      <c r="D38" s="64">
        <v>0.0</v>
      </c>
      <c r="E38" s="64">
        <v>8.0</v>
      </c>
      <c r="F38" s="64">
        <v>1.0</v>
      </c>
      <c r="G38" s="7">
        <v>8.15118760509514</v>
      </c>
      <c r="H38" s="7">
        <v>286.835282397151</v>
      </c>
      <c r="I38" s="65">
        <v>44583.752604166664</v>
      </c>
      <c r="J38" s="65">
        <v>44583.754594907405</v>
      </c>
      <c r="K38">
        <f>AVERAGE(H37:H41)</f>
        <v>154.0317746</v>
      </c>
      <c r="L38">
        <f>STDEV(H37:H41)</f>
        <v>124.7697298</v>
      </c>
      <c r="M38" s="63">
        <v>286.835282397151</v>
      </c>
      <c r="N38" s="63">
        <v>286.835282397151</v>
      </c>
      <c r="O38" s="63">
        <v>8.15118760509514</v>
      </c>
      <c r="P38" s="63">
        <v>8.15118760509514</v>
      </c>
    </row>
    <row r="39" hidden="1">
      <c r="A39" s="62" t="s">
        <v>14</v>
      </c>
      <c r="B39" s="62" t="s">
        <v>14</v>
      </c>
      <c r="C39" s="64">
        <v>0.0</v>
      </c>
      <c r="D39" s="64">
        <v>0.0</v>
      </c>
      <c r="E39" s="64">
        <v>8.0</v>
      </c>
      <c r="F39" s="64">
        <v>2.0</v>
      </c>
      <c r="G39" s="7">
        <v>7.40681908391703</v>
      </c>
      <c r="H39" s="7">
        <v>272.137763705172</v>
      </c>
      <c r="I39" s="65">
        <v>44583.75528935185</v>
      </c>
      <c r="J39" s="65">
        <v>44583.75572916667</v>
      </c>
      <c r="K39">
        <f>AVERAGE(H37:H41)</f>
        <v>154.0317746</v>
      </c>
      <c r="L39">
        <f>STDEV(H37:H41)</f>
        <v>124.7697298</v>
      </c>
      <c r="M39" s="63">
        <v>272.137763705172</v>
      </c>
      <c r="N39" s="63">
        <v>272.137763705172</v>
      </c>
      <c r="O39" s="63">
        <v>7.40681908391703</v>
      </c>
      <c r="P39" s="63">
        <v>7.40681908391703</v>
      </c>
    </row>
    <row r="40" hidden="1">
      <c r="A40" s="62" t="s">
        <v>14</v>
      </c>
      <c r="B40" s="62" t="s">
        <v>14</v>
      </c>
      <c r="C40" s="64">
        <v>0.0</v>
      </c>
      <c r="D40" s="64">
        <v>0.0</v>
      </c>
      <c r="E40" s="64">
        <v>8.0</v>
      </c>
      <c r="F40" s="64">
        <v>3.0</v>
      </c>
      <c r="G40" s="7">
        <v>0.651525494115797</v>
      </c>
      <c r="H40" s="7">
        <v>1.20166231292261</v>
      </c>
      <c r="I40" s="65">
        <v>44583.756423611114</v>
      </c>
      <c r="J40" s="65">
        <v>44583.757997685185</v>
      </c>
      <c r="K40">
        <f>AVERAGE(H37:H41)</f>
        <v>154.0317746</v>
      </c>
      <c r="L40">
        <f>STDEV(H37:H41)</f>
        <v>124.7697298</v>
      </c>
      <c r="M40" s="63">
        <v>1.20166231292261</v>
      </c>
      <c r="N40" s="63">
        <v>1.20166231292261</v>
      </c>
      <c r="O40" s="63">
        <v>0.651525494115797</v>
      </c>
      <c r="P40" s="63">
        <v>0.651525494115797</v>
      </c>
    </row>
    <row r="41" hidden="1">
      <c r="A41" s="62" t="s">
        <v>14</v>
      </c>
      <c r="B41" s="62" t="s">
        <v>14</v>
      </c>
      <c r="C41" s="64">
        <v>0.0</v>
      </c>
      <c r="D41" s="64">
        <v>0.0</v>
      </c>
      <c r="E41" s="64">
        <v>8.0</v>
      </c>
      <c r="F41" s="64">
        <v>4.0</v>
      </c>
      <c r="G41" s="7">
        <v>3.18184844206942</v>
      </c>
      <c r="H41" s="7">
        <v>140.469677576939</v>
      </c>
      <c r="I41" s="65">
        <v>44583.75869212963</v>
      </c>
      <c r="J41" s="65">
        <v>44583.83608796296</v>
      </c>
      <c r="K41">
        <f>AVERAGE(H37:H41)</f>
        <v>154.0317746</v>
      </c>
      <c r="L41">
        <f>STDEV(H37:H41)</f>
        <v>124.7697298</v>
      </c>
      <c r="M41" s="63">
        <v>140.469677576939</v>
      </c>
      <c r="N41" s="63">
        <v>140.469677576939</v>
      </c>
      <c r="O41" s="63">
        <v>3.18184844206942</v>
      </c>
      <c r="P41" s="63">
        <v>3.18184844206942</v>
      </c>
    </row>
    <row r="42" hidden="1">
      <c r="A42" s="62" t="s">
        <v>14</v>
      </c>
      <c r="B42" s="62" t="s">
        <v>14</v>
      </c>
      <c r="C42" s="64">
        <v>0.0</v>
      </c>
      <c r="D42" s="64">
        <v>0.0</v>
      </c>
      <c r="E42" s="64">
        <v>9.0</v>
      </c>
      <c r="F42" s="64">
        <v>0.0</v>
      </c>
      <c r="G42" s="7">
        <v>8.20526233873179</v>
      </c>
      <c r="H42" s="7">
        <v>287.912479994382</v>
      </c>
      <c r="I42" s="65">
        <v>44583.83678240741</v>
      </c>
      <c r="J42" s="65">
        <v>44583.839537037034</v>
      </c>
      <c r="K42">
        <f>AVERAGE(H42:H46)</f>
        <v>108.6465958</v>
      </c>
      <c r="L42">
        <f>STDEV(H42:H46)</f>
        <v>116.3099787</v>
      </c>
      <c r="M42" s="63">
        <v>287.912479994382</v>
      </c>
      <c r="N42" s="63">
        <v>287.912479994382</v>
      </c>
      <c r="O42" s="63">
        <v>8.20526233873179</v>
      </c>
      <c r="P42" s="63">
        <v>8.20526233873179</v>
      </c>
    </row>
    <row r="43" hidden="1">
      <c r="A43" s="62" t="s">
        <v>14</v>
      </c>
      <c r="B43" s="62" t="s">
        <v>14</v>
      </c>
      <c r="C43" s="64">
        <v>0.0</v>
      </c>
      <c r="D43" s="64">
        <v>0.0</v>
      </c>
      <c r="E43" s="64">
        <v>9.0</v>
      </c>
      <c r="F43" s="64">
        <v>1.0</v>
      </c>
      <c r="G43" s="7">
        <v>3.47305516038037</v>
      </c>
      <c r="H43" s="7">
        <v>156.930883450401</v>
      </c>
      <c r="I43" s="65">
        <v>44583.84023148148</v>
      </c>
      <c r="J43" s="65">
        <v>44583.95353009259</v>
      </c>
      <c r="K43">
        <f>AVERAGE(H42:H46)</f>
        <v>108.6465958</v>
      </c>
      <c r="L43">
        <f>STDEV(H42:H46)</f>
        <v>116.3099787</v>
      </c>
      <c r="M43" s="63">
        <v>156.930883450401</v>
      </c>
      <c r="N43" s="63">
        <v>156.930883450401</v>
      </c>
      <c r="O43" s="63">
        <v>3.47305516038037</v>
      </c>
      <c r="P43" s="63">
        <v>3.47305516038037</v>
      </c>
    </row>
    <row r="44" hidden="1">
      <c r="A44" s="62" t="s">
        <v>14</v>
      </c>
      <c r="B44" s="62" t="s">
        <v>14</v>
      </c>
      <c r="C44" s="64">
        <v>0.0</v>
      </c>
      <c r="D44" s="64">
        <v>0.0</v>
      </c>
      <c r="E44" s="64">
        <v>9.0</v>
      </c>
      <c r="F44" s="64">
        <v>2.0</v>
      </c>
      <c r="G44" s="7">
        <v>1.71397110663499</v>
      </c>
      <c r="H44" s="7">
        <v>27.9434022515176</v>
      </c>
      <c r="I44" s="65">
        <v>44583.95422453704</v>
      </c>
      <c r="J44" s="65">
        <v>44583.95605324074</v>
      </c>
      <c r="K44">
        <f>AVERAGE(H42:H46)</f>
        <v>108.6465958</v>
      </c>
      <c r="L44">
        <f>STDEV(H42:H46)</f>
        <v>116.3099787</v>
      </c>
      <c r="M44" s="63">
        <v>27.9434022515176</v>
      </c>
      <c r="N44" s="63">
        <v>27.9434022515176</v>
      </c>
      <c r="O44" s="63">
        <v>1.71397110663499</v>
      </c>
      <c r="P44" s="63">
        <v>1.71397110663499</v>
      </c>
    </row>
    <row r="45" hidden="1">
      <c r="A45" s="62" t="s">
        <v>14</v>
      </c>
      <c r="B45" s="62" t="s">
        <v>14</v>
      </c>
      <c r="C45" s="64">
        <v>0.0</v>
      </c>
      <c r="D45" s="64">
        <v>0.0</v>
      </c>
      <c r="E45" s="64">
        <v>9.0</v>
      </c>
      <c r="F45" s="64">
        <v>3.0</v>
      </c>
      <c r="G45" s="7">
        <v>0.712647031637279</v>
      </c>
      <c r="H45" s="7">
        <v>0.949268918176112</v>
      </c>
      <c r="I45" s="65">
        <v>44583.95674768519</v>
      </c>
      <c r="J45" s="65">
        <v>44583.9571875</v>
      </c>
      <c r="K45">
        <f>AVERAGE(H42:H46)</f>
        <v>108.6465958</v>
      </c>
      <c r="L45">
        <f>STDEV(H42:H46)</f>
        <v>116.3099787</v>
      </c>
      <c r="M45" s="63">
        <v>0.949268918176112</v>
      </c>
      <c r="N45" s="63">
        <v>0.949268918176112</v>
      </c>
      <c r="O45" s="63">
        <v>0.712647031637279</v>
      </c>
      <c r="P45" s="63">
        <v>0.712647031637279</v>
      </c>
    </row>
    <row r="46" hidden="1">
      <c r="A46" s="62" t="s">
        <v>14</v>
      </c>
      <c r="B46" s="62" t="s">
        <v>14</v>
      </c>
      <c r="C46" s="64">
        <v>0.0</v>
      </c>
      <c r="D46" s="64">
        <v>0.0</v>
      </c>
      <c r="E46" s="64">
        <v>9.0</v>
      </c>
      <c r="F46" s="64">
        <v>4.0</v>
      </c>
      <c r="G46" s="7">
        <v>1.35202678106678</v>
      </c>
      <c r="H46" s="7">
        <v>69.4969443457134</v>
      </c>
      <c r="I46" s="65">
        <v>44583.95788194444</v>
      </c>
      <c r="J46" s="65">
        <v>44583.96094907408</v>
      </c>
      <c r="K46">
        <f>AVERAGE(H42:H46)</f>
        <v>108.6465958</v>
      </c>
      <c r="L46">
        <f>STDEV(H42:H46)</f>
        <v>116.3099787</v>
      </c>
      <c r="M46" s="63">
        <v>69.4969443457134</v>
      </c>
      <c r="N46" s="63">
        <v>69.4969443457134</v>
      </c>
      <c r="O46" s="63">
        <v>1.35202678106678</v>
      </c>
      <c r="P46" s="63">
        <v>1.35202678106678</v>
      </c>
    </row>
    <row r="47" hidden="1">
      <c r="A47" s="62" t="s">
        <v>14</v>
      </c>
      <c r="B47" s="62" t="s">
        <v>14</v>
      </c>
      <c r="C47" s="64">
        <v>0.0</v>
      </c>
      <c r="D47" s="64">
        <v>0.0</v>
      </c>
      <c r="E47" s="64">
        <v>10.0</v>
      </c>
      <c r="F47" s="64">
        <v>0.0</v>
      </c>
      <c r="G47" s="66">
        <v>8.20616189081472</v>
      </c>
      <c r="H47" s="7">
        <v>287.925670854504</v>
      </c>
      <c r="I47" s="65">
        <v>44583.082604166666</v>
      </c>
      <c r="J47" s="65">
        <v>44583.08583333333</v>
      </c>
      <c r="K47">
        <f>AVERAGE(H47:H51)</f>
        <v>110.7186247</v>
      </c>
      <c r="L47">
        <f>STDEV(H47:H51)</f>
        <v>117.4093266</v>
      </c>
      <c r="M47" s="63">
        <v>287.925670854504</v>
      </c>
      <c r="N47" s="63">
        <v>287.925670854504</v>
      </c>
      <c r="O47" s="63">
        <v>8.20616189081472</v>
      </c>
      <c r="P47" s="63">
        <v>8.20616189081472</v>
      </c>
    </row>
    <row r="48" hidden="1">
      <c r="A48" s="62" t="s">
        <v>14</v>
      </c>
      <c r="B48" s="62" t="s">
        <v>14</v>
      </c>
      <c r="C48" s="64">
        <v>0.0</v>
      </c>
      <c r="D48" s="64">
        <v>0.0</v>
      </c>
      <c r="E48" s="64">
        <v>10.0</v>
      </c>
      <c r="F48" s="64">
        <v>1.0</v>
      </c>
      <c r="G48" s="66">
        <v>1.71233390840819</v>
      </c>
      <c r="H48" s="7">
        <v>27.8513587008941</v>
      </c>
      <c r="I48" s="65">
        <v>44583.08652777778</v>
      </c>
      <c r="J48" s="65">
        <v>44583.08856481482</v>
      </c>
      <c r="K48">
        <f>AVERAGE(H47:H51)</f>
        <v>110.7186247</v>
      </c>
      <c r="L48">
        <f>STDEV(H47:H51)</f>
        <v>117.4093266</v>
      </c>
      <c r="M48" s="63">
        <v>27.8513587008941</v>
      </c>
      <c r="N48" s="63">
        <v>27.8513587008941</v>
      </c>
      <c r="O48" s="63">
        <v>1.71233390840819</v>
      </c>
      <c r="P48" s="63">
        <v>1.71233390840819</v>
      </c>
    </row>
    <row r="49" hidden="1">
      <c r="A49" s="62" t="s">
        <v>14</v>
      </c>
      <c r="B49" s="62" t="s">
        <v>14</v>
      </c>
      <c r="C49" s="64">
        <v>0.0</v>
      </c>
      <c r="D49" s="64">
        <v>0.0</v>
      </c>
      <c r="E49" s="64">
        <v>10.0</v>
      </c>
      <c r="F49" s="64">
        <v>2.0</v>
      </c>
      <c r="G49" s="66">
        <v>0.651993091739278</v>
      </c>
      <c r="H49" s="7">
        <v>1.20202488595701</v>
      </c>
      <c r="I49" s="65">
        <v>44583.08925925926</v>
      </c>
      <c r="J49" s="65">
        <v>44583.09174768518</v>
      </c>
      <c r="K49">
        <f>AVERAGE(H47:H51)</f>
        <v>110.7186247</v>
      </c>
      <c r="L49">
        <f>STDEV(H47:H51)</f>
        <v>117.4093266</v>
      </c>
      <c r="M49" s="63">
        <v>1.20202488595701</v>
      </c>
      <c r="N49" s="63">
        <v>1.20202488595701</v>
      </c>
      <c r="O49" s="63">
        <v>0.651993091739278</v>
      </c>
      <c r="P49" s="63">
        <v>0.651993091739278</v>
      </c>
    </row>
    <row r="50" hidden="1">
      <c r="A50" s="62" t="s">
        <v>14</v>
      </c>
      <c r="B50" s="62" t="s">
        <v>14</v>
      </c>
      <c r="C50" s="64">
        <v>0.0</v>
      </c>
      <c r="D50" s="64">
        <v>0.0</v>
      </c>
      <c r="E50" s="64">
        <v>10.0</v>
      </c>
      <c r="F50" s="64">
        <v>3.0</v>
      </c>
      <c r="G50" s="66">
        <v>3.82026564237486</v>
      </c>
      <c r="H50" s="7">
        <v>167.099582051103</v>
      </c>
      <c r="I50" s="65">
        <v>44583.09244212963</v>
      </c>
      <c r="J50" s="65">
        <v>44583.18524305556</v>
      </c>
      <c r="K50">
        <f>AVERAGE(H47:H51)</f>
        <v>110.7186247</v>
      </c>
      <c r="L50">
        <f>STDEV(H47:H51)</f>
        <v>117.4093266</v>
      </c>
      <c r="M50" s="63">
        <v>167.099582051103</v>
      </c>
      <c r="N50" s="63">
        <v>167.099582051103</v>
      </c>
      <c r="O50" s="63">
        <v>3.82026564237486</v>
      </c>
      <c r="P50" s="63">
        <v>3.82026564237486</v>
      </c>
    </row>
    <row r="51" hidden="1">
      <c r="A51" s="62" t="s">
        <v>14</v>
      </c>
      <c r="B51" s="62" t="s">
        <v>14</v>
      </c>
      <c r="C51" s="64">
        <v>0.0</v>
      </c>
      <c r="D51" s="64">
        <v>0.0</v>
      </c>
      <c r="E51" s="64">
        <v>10.0</v>
      </c>
      <c r="F51" s="64">
        <v>4.0</v>
      </c>
      <c r="G51" s="66">
        <v>1.35224836248878</v>
      </c>
      <c r="H51" s="7">
        <v>69.5144870271492</v>
      </c>
      <c r="I51" s="65">
        <v>44583.1859375</v>
      </c>
      <c r="J51" s="65">
        <v>44583.18917824074</v>
      </c>
      <c r="K51">
        <f>AVERAGE(H47:H51)</f>
        <v>110.7186247</v>
      </c>
      <c r="L51">
        <f>STDEV(H47:H51)</f>
        <v>117.4093266</v>
      </c>
      <c r="M51" s="63">
        <v>69.5144870271492</v>
      </c>
      <c r="N51" s="63">
        <v>69.5144870271492</v>
      </c>
      <c r="O51" s="63">
        <v>1.35224836248878</v>
      </c>
      <c r="P51" s="63">
        <v>1.35224836248878</v>
      </c>
    </row>
    <row r="52" hidden="1">
      <c r="A52" s="67" t="s">
        <v>812</v>
      </c>
      <c r="B52" s="67" t="s">
        <v>17</v>
      </c>
      <c r="C52" s="68">
        <v>0.1</v>
      </c>
      <c r="D52" s="68">
        <v>0.1</v>
      </c>
      <c r="E52" s="68">
        <v>1.0</v>
      </c>
      <c r="F52" s="68">
        <v>0.0</v>
      </c>
      <c r="G52" s="68">
        <v>1.07991001504809</v>
      </c>
      <c r="H52" s="68">
        <v>1.4504242499467</v>
      </c>
      <c r="I52" s="69">
        <v>44306.056666666664</v>
      </c>
      <c r="J52" s="69">
        <v>44306.0568287037</v>
      </c>
      <c r="K52">
        <f>AVERAGE(H52:H56)</f>
        <v>108.7493552</v>
      </c>
      <c r="L52">
        <f>STDEV(H52:H56)</f>
        <v>93.87638697</v>
      </c>
      <c r="M52" s="70">
        <v>1.4504242499467</v>
      </c>
      <c r="N52" s="70">
        <v>1.4504242499467</v>
      </c>
      <c r="O52" s="70">
        <v>1.07991001504809</v>
      </c>
      <c r="P52" s="70">
        <v>1.07991001504809</v>
      </c>
    </row>
    <row r="53" hidden="1">
      <c r="A53" s="67" t="s">
        <v>813</v>
      </c>
      <c r="B53" s="67" t="s">
        <v>17</v>
      </c>
      <c r="C53" s="68">
        <v>0.1</v>
      </c>
      <c r="D53" s="68">
        <v>0.1</v>
      </c>
      <c r="E53" s="68">
        <v>1.0</v>
      </c>
      <c r="F53" s="68">
        <v>1.0</v>
      </c>
      <c r="G53" s="68">
        <v>7.01265567474776</v>
      </c>
      <c r="H53" s="68">
        <v>203.707302157304</v>
      </c>
      <c r="I53" s="69">
        <v>44306.057534722226</v>
      </c>
      <c r="J53" s="69">
        <v>44306.057592592595</v>
      </c>
      <c r="K53">
        <f>AVERAGE(H52:H56)</f>
        <v>108.7493552</v>
      </c>
      <c r="L53">
        <f>STDEV(H52:H56)</f>
        <v>93.87638697</v>
      </c>
      <c r="M53" s="70">
        <v>203.707302157304</v>
      </c>
      <c r="N53" s="70">
        <v>203.707302157304</v>
      </c>
      <c r="O53" s="70">
        <v>7.01265567474776</v>
      </c>
      <c r="P53" s="70">
        <v>7.01265567474776</v>
      </c>
    </row>
    <row r="54" hidden="1">
      <c r="A54" s="67" t="s">
        <v>814</v>
      </c>
      <c r="B54" s="67" t="s">
        <v>17</v>
      </c>
      <c r="C54" s="68">
        <v>0.1</v>
      </c>
      <c r="D54" s="68">
        <v>0.1</v>
      </c>
      <c r="E54" s="68">
        <v>1.0</v>
      </c>
      <c r="F54" s="68">
        <v>2.0</v>
      </c>
      <c r="G54" s="68">
        <v>0.985116609976925</v>
      </c>
      <c r="H54" s="68">
        <v>14.2091812258625</v>
      </c>
      <c r="I54" s="69">
        <v>44306.05829861111</v>
      </c>
      <c r="J54" s="69">
        <v>44306.0584375</v>
      </c>
      <c r="K54">
        <f>AVERAGE(H52:H56)</f>
        <v>108.7493552</v>
      </c>
      <c r="L54">
        <f>STDEV(H52:H56)</f>
        <v>93.87638697</v>
      </c>
      <c r="M54" s="70">
        <v>14.2091812258625</v>
      </c>
      <c r="N54" s="70">
        <v>14.2091812258625</v>
      </c>
      <c r="O54" s="70">
        <v>0.985116609976925</v>
      </c>
      <c r="P54" s="70">
        <v>0.985116609976925</v>
      </c>
    </row>
    <row r="55" hidden="1">
      <c r="A55" s="67" t="s">
        <v>815</v>
      </c>
      <c r="B55" s="67" t="s">
        <v>17</v>
      </c>
      <c r="C55" s="68">
        <v>0.1</v>
      </c>
      <c r="D55" s="68">
        <v>0.1</v>
      </c>
      <c r="E55" s="68">
        <v>1.0</v>
      </c>
      <c r="F55" s="68">
        <v>3.0</v>
      </c>
      <c r="G55" s="68">
        <v>3.76397207130682</v>
      </c>
      <c r="H55" s="68">
        <v>168.164730776995</v>
      </c>
      <c r="I55" s="69">
        <v>44306.05914351852</v>
      </c>
      <c r="J55" s="69">
        <v>44306.076875</v>
      </c>
      <c r="K55">
        <f>AVERAGE(H52:H56)</f>
        <v>108.7493552</v>
      </c>
      <c r="L55">
        <f>STDEV(H52:H56)</f>
        <v>93.87638697</v>
      </c>
      <c r="M55" s="70">
        <v>168.164730776995</v>
      </c>
      <c r="N55" s="70">
        <v>168.164730776995</v>
      </c>
      <c r="O55" s="70">
        <v>3.76397207130682</v>
      </c>
      <c r="P55" s="70">
        <v>3.76397207130682</v>
      </c>
    </row>
    <row r="56" hidden="1">
      <c r="A56" s="67" t="s">
        <v>816</v>
      </c>
      <c r="B56" s="67" t="s">
        <v>17</v>
      </c>
      <c r="C56" s="68">
        <v>0.1</v>
      </c>
      <c r="D56" s="68">
        <v>0.1</v>
      </c>
      <c r="E56" s="68">
        <v>1.0</v>
      </c>
      <c r="F56" s="68">
        <v>4.0</v>
      </c>
      <c r="G56" s="68">
        <v>3.26328737298378</v>
      </c>
      <c r="H56" s="68">
        <v>156.215137590522</v>
      </c>
      <c r="I56" s="69">
        <v>44306.077581018515</v>
      </c>
      <c r="J56" s="69">
        <v>44306.114849537036</v>
      </c>
      <c r="K56">
        <f>AVERAGE(H52:H56)</f>
        <v>108.7493552</v>
      </c>
      <c r="L56">
        <f>STDEV(H52:H56)</f>
        <v>93.87638697</v>
      </c>
      <c r="M56" s="70">
        <v>156.215137590522</v>
      </c>
      <c r="N56" s="70">
        <v>156.215137590522</v>
      </c>
      <c r="O56" s="70">
        <v>3.26328737298378</v>
      </c>
      <c r="P56" s="70">
        <v>3.26328737298378</v>
      </c>
    </row>
    <row r="57" hidden="1">
      <c r="A57" s="67" t="s">
        <v>817</v>
      </c>
      <c r="B57" s="67" t="s">
        <v>17</v>
      </c>
      <c r="C57" s="68">
        <v>0.1</v>
      </c>
      <c r="D57" s="68">
        <v>0.25</v>
      </c>
      <c r="E57" s="68">
        <v>1.0</v>
      </c>
      <c r="F57" s="68">
        <v>0.0</v>
      </c>
      <c r="G57" s="68">
        <v>0.712368747006467</v>
      </c>
      <c r="H57" s="68">
        <v>0.949250738237319</v>
      </c>
      <c r="I57" s="69">
        <v>44306.11555555555</v>
      </c>
      <c r="J57" s="69">
        <v>44306.11578703704</v>
      </c>
      <c r="K57">
        <f>AVERAGE(H57:H61)</f>
        <v>76.65641681</v>
      </c>
      <c r="L57">
        <f>STDEV(H57:H61)</f>
        <v>79.1990588</v>
      </c>
      <c r="M57" s="70">
        <v>0.949250738237319</v>
      </c>
      <c r="N57" s="70">
        <v>0.949250738237319</v>
      </c>
      <c r="O57" s="70">
        <v>0.712368747006467</v>
      </c>
      <c r="P57" s="70">
        <v>0.712368747006467</v>
      </c>
    </row>
    <row r="58" hidden="1">
      <c r="A58" s="67" t="s">
        <v>818</v>
      </c>
      <c r="B58" s="67" t="s">
        <v>17</v>
      </c>
      <c r="C58" s="68">
        <v>0.1</v>
      </c>
      <c r="D58" s="68">
        <v>0.25</v>
      </c>
      <c r="E58" s="68">
        <v>1.0</v>
      </c>
      <c r="F58" s="68">
        <v>1.0</v>
      </c>
      <c r="G58" s="68">
        <v>4.14373373493813</v>
      </c>
      <c r="H58" s="68">
        <v>179.656311842316</v>
      </c>
      <c r="I58" s="69">
        <v>44306.11650462963</v>
      </c>
      <c r="J58" s="69">
        <v>44306.18215277778</v>
      </c>
      <c r="K58">
        <f>AVERAGE(H57:H61)</f>
        <v>76.65641681</v>
      </c>
      <c r="L58">
        <f>STDEV(H57:H61)</f>
        <v>79.1990588</v>
      </c>
      <c r="M58" s="70">
        <v>179.656311842316</v>
      </c>
      <c r="N58" s="70">
        <v>179.656311842316</v>
      </c>
      <c r="O58" s="70">
        <v>4.14373373493813</v>
      </c>
      <c r="P58" s="70">
        <v>4.14373373493813</v>
      </c>
    </row>
    <row r="59" hidden="1">
      <c r="A59" s="67" t="s">
        <v>819</v>
      </c>
      <c r="B59" s="67" t="s">
        <v>17</v>
      </c>
      <c r="C59" s="68">
        <v>0.1</v>
      </c>
      <c r="D59" s="68">
        <v>0.25</v>
      </c>
      <c r="E59" s="68">
        <v>1.0</v>
      </c>
      <c r="F59" s="68">
        <v>2.0</v>
      </c>
      <c r="G59" s="68">
        <v>1.3507722819561</v>
      </c>
      <c r="H59" s="68">
        <v>69.4230778280268</v>
      </c>
      <c r="I59" s="69">
        <v>44306.18287037037</v>
      </c>
      <c r="J59" s="69">
        <v>44306.18388888889</v>
      </c>
      <c r="K59">
        <f>AVERAGE(H57:H61)</f>
        <v>76.65641681</v>
      </c>
      <c r="L59">
        <f>STDEV(H57:H61)</f>
        <v>79.1990588</v>
      </c>
      <c r="M59" s="70">
        <v>69.4230778280268</v>
      </c>
      <c r="N59" s="70">
        <v>69.4230778280268</v>
      </c>
      <c r="O59" s="70">
        <v>1.3507722819561</v>
      </c>
      <c r="P59" s="70">
        <v>1.3507722819561</v>
      </c>
    </row>
    <row r="60" hidden="1">
      <c r="A60" s="67" t="s">
        <v>820</v>
      </c>
      <c r="B60" s="67" t="s">
        <v>17</v>
      </c>
      <c r="C60" s="68">
        <v>0.1</v>
      </c>
      <c r="D60" s="68">
        <v>0.25</v>
      </c>
      <c r="E60" s="68">
        <v>1.0</v>
      </c>
      <c r="F60" s="68">
        <v>3.0</v>
      </c>
      <c r="G60" s="68">
        <v>1.07991001504809</v>
      </c>
      <c r="H60" s="68">
        <v>1.4504242499467</v>
      </c>
      <c r="I60" s="69">
        <v>44306.184594907405</v>
      </c>
      <c r="J60" s="69">
        <v>44306.18471064815</v>
      </c>
      <c r="K60">
        <f>AVERAGE(H57:H61)</f>
        <v>76.65641681</v>
      </c>
      <c r="L60">
        <f>STDEV(H57:H61)</f>
        <v>79.1990588</v>
      </c>
      <c r="M60" s="70">
        <v>1.4504242499467</v>
      </c>
      <c r="N60" s="70">
        <v>1.4504242499467</v>
      </c>
      <c r="O60" s="70">
        <v>1.07991001504809</v>
      </c>
      <c r="P60" s="70">
        <v>1.07991001504809</v>
      </c>
    </row>
    <row r="61" hidden="1">
      <c r="A61" s="67" t="s">
        <v>821</v>
      </c>
      <c r="B61" s="67" t="s">
        <v>17</v>
      </c>
      <c r="C61" s="68">
        <v>0.1</v>
      </c>
      <c r="D61" s="68">
        <v>0.25</v>
      </c>
      <c r="E61" s="68">
        <v>1.0</v>
      </c>
      <c r="F61" s="68">
        <v>4.0</v>
      </c>
      <c r="G61" s="68">
        <v>2.48827350719733</v>
      </c>
      <c r="H61" s="68">
        <v>131.803019410388</v>
      </c>
      <c r="I61" s="69">
        <v>44306.18541666667</v>
      </c>
      <c r="J61" s="69">
        <v>44306.185636574075</v>
      </c>
      <c r="K61">
        <f>AVERAGE(H57:H61)</f>
        <v>76.65641681</v>
      </c>
      <c r="L61">
        <f>STDEV(H57:H61)</f>
        <v>79.1990588</v>
      </c>
      <c r="M61" s="70">
        <v>131.803019410388</v>
      </c>
      <c r="N61" s="70">
        <v>131.803019410388</v>
      </c>
      <c r="O61" s="70">
        <v>2.48827350719733</v>
      </c>
      <c r="P61" s="70">
        <v>2.48827350719733</v>
      </c>
    </row>
    <row r="62" hidden="1">
      <c r="A62" s="67" t="s">
        <v>822</v>
      </c>
      <c r="B62" s="67" t="s">
        <v>17</v>
      </c>
      <c r="C62" s="68">
        <v>0.1</v>
      </c>
      <c r="D62" s="68">
        <v>0.5</v>
      </c>
      <c r="E62" s="68">
        <v>1.0</v>
      </c>
      <c r="F62" s="68">
        <v>0.0</v>
      </c>
      <c r="G62" s="68">
        <v>1.08195642263574</v>
      </c>
      <c r="H62" s="68">
        <v>1.45236498839199</v>
      </c>
      <c r="I62" s="69">
        <v>44306.18635416667</v>
      </c>
      <c r="J62" s="69">
        <v>44306.18645833333</v>
      </c>
      <c r="K62">
        <f>AVERAGE(H62:H66)</f>
        <v>160.114579</v>
      </c>
      <c r="L62">
        <f>STDEV(H62:H66)</f>
        <v>135.6381033</v>
      </c>
      <c r="M62" s="70">
        <v>1.45236498839199</v>
      </c>
      <c r="N62" s="70">
        <v>1.45236498839199</v>
      </c>
      <c r="O62" s="70">
        <v>1.08195642263574</v>
      </c>
      <c r="P62" s="70">
        <v>1.08195642263574</v>
      </c>
    </row>
    <row r="63" hidden="1">
      <c r="A63" s="67" t="s">
        <v>823</v>
      </c>
      <c r="B63" s="67" t="s">
        <v>17</v>
      </c>
      <c r="C63" s="68">
        <v>0.1</v>
      </c>
      <c r="D63" s="68">
        <v>0.5</v>
      </c>
      <c r="E63" s="68">
        <v>1.0</v>
      </c>
      <c r="F63" s="68">
        <v>1.0</v>
      </c>
      <c r="G63" s="68">
        <v>11.9190454493249</v>
      </c>
      <c r="H63" s="68">
        <v>351.188280312882</v>
      </c>
      <c r="I63" s="69">
        <v>44306.18717592592</v>
      </c>
      <c r="J63" s="69">
        <v>44306.187256944446</v>
      </c>
      <c r="K63">
        <f>AVERAGE(H62:H66)</f>
        <v>160.114579</v>
      </c>
      <c r="L63">
        <f>STDEV(H62:H66)</f>
        <v>135.6381033</v>
      </c>
      <c r="M63" s="70">
        <v>351.188280312882</v>
      </c>
      <c r="N63" s="70">
        <v>351.188280312882</v>
      </c>
      <c r="O63" s="70">
        <v>11.9190454493249</v>
      </c>
      <c r="P63" s="70">
        <v>11.9190454493249</v>
      </c>
    </row>
    <row r="64" hidden="1">
      <c r="A64" s="67" t="s">
        <v>824</v>
      </c>
      <c r="B64" s="67" t="s">
        <v>17</v>
      </c>
      <c r="C64" s="68">
        <v>0.1</v>
      </c>
      <c r="D64" s="68">
        <v>0.5</v>
      </c>
      <c r="E64" s="68">
        <v>1.0</v>
      </c>
      <c r="F64" s="68">
        <v>2.0</v>
      </c>
      <c r="G64" s="68">
        <v>1.3716334633934</v>
      </c>
      <c r="H64" s="68">
        <v>70.237993002732</v>
      </c>
      <c r="I64" s="69">
        <v>44306.18796296296</v>
      </c>
      <c r="J64" s="69">
        <v>44306.1890625</v>
      </c>
      <c r="K64">
        <f>AVERAGE(H62:H66)</f>
        <v>160.114579</v>
      </c>
      <c r="L64">
        <f>STDEV(H62:H66)</f>
        <v>135.6381033</v>
      </c>
      <c r="M64" s="70">
        <v>70.237993002732</v>
      </c>
      <c r="N64" s="70">
        <v>70.237993002732</v>
      </c>
      <c r="O64" s="70">
        <v>1.3716334633934</v>
      </c>
      <c r="P64" s="70">
        <v>1.3716334633934</v>
      </c>
    </row>
    <row r="65" hidden="1">
      <c r="A65" s="67" t="s">
        <v>825</v>
      </c>
      <c r="B65" s="67" t="s">
        <v>17</v>
      </c>
      <c r="C65" s="68">
        <v>0.1</v>
      </c>
      <c r="D65" s="68">
        <v>0.5</v>
      </c>
      <c r="E65" s="68">
        <v>1.0</v>
      </c>
      <c r="F65" s="68">
        <v>3.0</v>
      </c>
      <c r="G65" s="68">
        <v>3.31404673177645</v>
      </c>
      <c r="H65" s="68">
        <v>155.839528768794</v>
      </c>
      <c r="I65" s="69">
        <v>44306.189780092594</v>
      </c>
      <c r="J65" s="69">
        <v>44306.24875</v>
      </c>
      <c r="K65">
        <f>AVERAGE(H62:H66)</f>
        <v>160.114579</v>
      </c>
      <c r="L65">
        <f>STDEV(H62:H66)</f>
        <v>135.6381033</v>
      </c>
      <c r="M65" s="70">
        <v>155.839528768794</v>
      </c>
      <c r="N65" s="70">
        <v>155.839528768794</v>
      </c>
      <c r="O65" s="70">
        <v>3.31404673177645</v>
      </c>
      <c r="P65" s="70">
        <v>3.31404673177645</v>
      </c>
    </row>
    <row r="66" hidden="1">
      <c r="A66" s="67" t="s">
        <v>826</v>
      </c>
      <c r="B66" s="67" t="s">
        <v>17</v>
      </c>
      <c r="C66" s="68">
        <v>0.1</v>
      </c>
      <c r="D66" s="68">
        <v>0.5</v>
      </c>
      <c r="E66" s="68">
        <v>1.0</v>
      </c>
      <c r="F66" s="68">
        <v>4.0</v>
      </c>
      <c r="G66" s="68">
        <v>7.09816200126475</v>
      </c>
      <c r="H66" s="68">
        <v>221.854727714692</v>
      </c>
      <c r="I66" s="69">
        <v>44306.249456018515</v>
      </c>
      <c r="J66" s="69">
        <v>44306.249606481484</v>
      </c>
      <c r="K66">
        <f>AVERAGE(H62:H66)</f>
        <v>160.114579</v>
      </c>
      <c r="L66">
        <f>STDEV(H62:H66)</f>
        <v>135.6381033</v>
      </c>
      <c r="M66" s="70">
        <v>221.854727714692</v>
      </c>
      <c r="N66" s="70">
        <v>221.854727714692</v>
      </c>
      <c r="O66" s="70">
        <v>7.09816200126475</v>
      </c>
      <c r="P66" s="70">
        <v>7.09816200126475</v>
      </c>
    </row>
    <row r="67" hidden="1">
      <c r="A67" s="67" t="s">
        <v>827</v>
      </c>
      <c r="B67" s="67" t="s">
        <v>17</v>
      </c>
      <c r="C67" s="68">
        <v>0.1</v>
      </c>
      <c r="D67" s="68">
        <v>0.75</v>
      </c>
      <c r="E67" s="68">
        <v>1.0</v>
      </c>
      <c r="F67" s="68">
        <v>0.0</v>
      </c>
      <c r="G67" s="68">
        <v>4.37148805137248</v>
      </c>
      <c r="H67" s="68">
        <v>187.889253587288</v>
      </c>
      <c r="I67" s="69">
        <v>44306.25032407408</v>
      </c>
      <c r="J67" s="69">
        <v>44306.29965277778</v>
      </c>
      <c r="K67">
        <f>AVERAGE(H67:H71)</f>
        <v>96.67663261</v>
      </c>
      <c r="L67">
        <f>STDEV(H67:H71)</f>
        <v>125.3239261</v>
      </c>
      <c r="M67" s="70">
        <v>187.889253587288</v>
      </c>
      <c r="N67" s="70">
        <v>187.889253587288</v>
      </c>
      <c r="O67" s="70">
        <v>4.37148805137248</v>
      </c>
      <c r="P67" s="70">
        <v>4.37148805137248</v>
      </c>
    </row>
    <row r="68" hidden="1">
      <c r="A68" s="67" t="s">
        <v>828</v>
      </c>
      <c r="B68" s="67" t="s">
        <v>17</v>
      </c>
      <c r="C68" s="68">
        <v>0.1</v>
      </c>
      <c r="D68" s="68">
        <v>0.75</v>
      </c>
      <c r="E68" s="68">
        <v>1.0</v>
      </c>
      <c r="F68" s="68">
        <v>1.0</v>
      </c>
      <c r="G68" s="68">
        <v>0.467187299586246</v>
      </c>
      <c r="H68" s="68">
        <v>0.559434604263913</v>
      </c>
      <c r="I68" s="69">
        <v>44306.30037037037</v>
      </c>
      <c r="J68" s="69">
        <v>44306.300532407404</v>
      </c>
      <c r="K68">
        <f>AVERAGE(H67:H71)</f>
        <v>96.67663261</v>
      </c>
      <c r="L68">
        <f>STDEV(H67:H71)</f>
        <v>125.3239261</v>
      </c>
      <c r="M68" s="70">
        <v>0.559434604263913</v>
      </c>
      <c r="N68" s="70">
        <v>0.559434604263913</v>
      </c>
      <c r="O68" s="70">
        <v>0.467187299586246</v>
      </c>
      <c r="P68" s="70">
        <v>0.467187299586246</v>
      </c>
    </row>
    <row r="69" hidden="1">
      <c r="A69" s="67" t="s">
        <v>829</v>
      </c>
      <c r="B69" s="67" t="s">
        <v>17</v>
      </c>
      <c r="C69" s="68">
        <v>0.1</v>
      </c>
      <c r="D69" s="68">
        <v>0.75</v>
      </c>
      <c r="E69" s="68">
        <v>1.0</v>
      </c>
      <c r="F69" s="68">
        <v>2.0</v>
      </c>
      <c r="G69" s="68">
        <v>1.33102326516281</v>
      </c>
      <c r="H69" s="68">
        <v>22.4144899186337</v>
      </c>
      <c r="I69" s="69">
        <v>44306.30125</v>
      </c>
      <c r="J69" s="69">
        <v>44306.307442129626</v>
      </c>
      <c r="K69">
        <f>AVERAGE(H67:H71)</f>
        <v>96.67663261</v>
      </c>
      <c r="L69">
        <f>STDEV(H67:H71)</f>
        <v>125.3239261</v>
      </c>
      <c r="M69" s="70">
        <v>22.4144899186337</v>
      </c>
      <c r="N69" s="70">
        <v>22.4144899186337</v>
      </c>
      <c r="O69" s="70">
        <v>1.33102326516281</v>
      </c>
      <c r="P69" s="70">
        <v>1.33102326516281</v>
      </c>
    </row>
    <row r="70" hidden="1">
      <c r="A70" s="67" t="s">
        <v>830</v>
      </c>
      <c r="B70" s="67" t="s">
        <v>17</v>
      </c>
      <c r="C70" s="68">
        <v>0.1</v>
      </c>
      <c r="D70" s="68">
        <v>0.75</v>
      </c>
      <c r="E70" s="68">
        <v>1.0</v>
      </c>
      <c r="F70" s="68">
        <v>3.0</v>
      </c>
      <c r="G70" s="68">
        <v>0.712997756536142</v>
      </c>
      <c r="H70" s="68">
        <v>0.950093966860787</v>
      </c>
      <c r="I70" s="69">
        <v>44306.30814814815</v>
      </c>
      <c r="J70" s="69">
        <v>44306.30837962963</v>
      </c>
      <c r="K70">
        <f>AVERAGE(H67:H71)</f>
        <v>96.67663261</v>
      </c>
      <c r="L70">
        <f>STDEV(H67:H71)</f>
        <v>125.3239261</v>
      </c>
      <c r="M70" s="70">
        <v>0.950093966860787</v>
      </c>
      <c r="N70" s="70">
        <v>0.950093966860787</v>
      </c>
      <c r="O70" s="70">
        <v>0.712997756536142</v>
      </c>
      <c r="P70" s="70">
        <v>0.712997756536142</v>
      </c>
    </row>
    <row r="71" hidden="1">
      <c r="A71" s="67" t="s">
        <v>831</v>
      </c>
      <c r="B71" s="67" t="s">
        <v>17</v>
      </c>
      <c r="C71" s="68">
        <v>0.1</v>
      </c>
      <c r="D71" s="68">
        <v>0.75</v>
      </c>
      <c r="E71" s="68">
        <v>1.0</v>
      </c>
      <c r="F71" s="68">
        <v>4.0</v>
      </c>
      <c r="G71" s="68">
        <v>7.37786326831844</v>
      </c>
      <c r="H71" s="68">
        <v>271.569890988627</v>
      </c>
      <c r="I71" s="69">
        <v>44306.30908564815</v>
      </c>
      <c r="J71" s="69">
        <v>44306.30936342593</v>
      </c>
      <c r="K71">
        <f>AVERAGE(H67:H71)</f>
        <v>96.67663261</v>
      </c>
      <c r="L71">
        <f>STDEV(H67:H71)</f>
        <v>125.3239261</v>
      </c>
      <c r="M71" s="70">
        <v>271.569890988627</v>
      </c>
      <c r="N71" s="70">
        <v>271.569890988627</v>
      </c>
      <c r="O71" s="70">
        <v>7.37786326831844</v>
      </c>
      <c r="P71" s="70">
        <v>7.37786326831844</v>
      </c>
    </row>
    <row r="72" hidden="1">
      <c r="A72" s="67" t="s">
        <v>832</v>
      </c>
      <c r="B72" s="67" t="s">
        <v>17</v>
      </c>
      <c r="C72" s="68">
        <v>0.1</v>
      </c>
      <c r="D72" s="68">
        <v>1.0</v>
      </c>
      <c r="E72" s="68">
        <v>1.0</v>
      </c>
      <c r="F72" s="68">
        <v>0.0</v>
      </c>
      <c r="G72" s="68">
        <v>1.08195642263574</v>
      </c>
      <c r="H72" s="68">
        <v>1.45236498839199</v>
      </c>
      <c r="I72" s="69">
        <v>44306.310069444444</v>
      </c>
      <c r="J72" s="69">
        <v>44306.31017361111</v>
      </c>
      <c r="K72">
        <f>AVERAGE(H72:H76)</f>
        <v>88.2063107</v>
      </c>
      <c r="L72">
        <f>STDEV(H72:H76)</f>
        <v>110.5400057</v>
      </c>
      <c r="M72" s="70">
        <v>1.45236498839199</v>
      </c>
      <c r="N72" s="70">
        <v>1.45236498839199</v>
      </c>
      <c r="O72" s="70">
        <v>1.08195642263574</v>
      </c>
      <c r="P72" s="70">
        <v>1.08195642263574</v>
      </c>
    </row>
    <row r="73" hidden="1">
      <c r="A73" s="67" t="s">
        <v>833</v>
      </c>
      <c r="B73" s="67" t="s">
        <v>17</v>
      </c>
      <c r="C73" s="68">
        <v>0.1</v>
      </c>
      <c r="D73" s="68">
        <v>1.0</v>
      </c>
      <c r="E73" s="68">
        <v>1.0</v>
      </c>
      <c r="F73" s="68">
        <v>1.0</v>
      </c>
      <c r="G73" s="68">
        <v>1.81998741239277</v>
      </c>
      <c r="H73" s="68">
        <v>30.6902464193073</v>
      </c>
      <c r="I73" s="69">
        <v>44306.310891203706</v>
      </c>
      <c r="J73" s="69">
        <v>44306.311203703706</v>
      </c>
      <c r="K73">
        <f>AVERAGE(H72:H76)</f>
        <v>88.2063107</v>
      </c>
      <c r="L73">
        <f>STDEV(H72:H76)</f>
        <v>110.5400057</v>
      </c>
      <c r="M73" s="70">
        <v>30.6902464193073</v>
      </c>
      <c r="N73" s="70">
        <v>30.6902464193073</v>
      </c>
      <c r="O73" s="70">
        <v>1.81998741239277</v>
      </c>
      <c r="P73" s="70">
        <v>1.81998741239277</v>
      </c>
    </row>
    <row r="74" hidden="1">
      <c r="A74" s="67" t="s">
        <v>834</v>
      </c>
      <c r="B74" s="67" t="s">
        <v>17</v>
      </c>
      <c r="C74" s="68">
        <v>0.1</v>
      </c>
      <c r="D74" s="68">
        <v>1.0</v>
      </c>
      <c r="E74" s="68">
        <v>1.0</v>
      </c>
      <c r="F74" s="68">
        <v>2.0</v>
      </c>
      <c r="G74" s="68">
        <v>0.504853984818287</v>
      </c>
      <c r="H74" s="68">
        <v>0.609085538175884</v>
      </c>
      <c r="I74" s="69">
        <v>44306.31190972222</v>
      </c>
      <c r="J74" s="69">
        <v>44306.31234953704</v>
      </c>
      <c r="K74">
        <f>AVERAGE(H72:H76)</f>
        <v>88.2063107</v>
      </c>
      <c r="L74">
        <f>STDEV(H72:H76)</f>
        <v>110.5400057</v>
      </c>
      <c r="M74" s="70">
        <v>0.609085538175884</v>
      </c>
      <c r="N74" s="70">
        <v>0.609085538175884</v>
      </c>
      <c r="O74" s="70">
        <v>0.504853984818287</v>
      </c>
      <c r="P74" s="70">
        <v>0.504853984818287</v>
      </c>
    </row>
    <row r="75" hidden="1">
      <c r="A75" s="67" t="s">
        <v>835</v>
      </c>
      <c r="B75" s="67" t="s">
        <v>17</v>
      </c>
      <c r="C75" s="68">
        <v>0.1</v>
      </c>
      <c r="D75" s="68">
        <v>1.0</v>
      </c>
      <c r="E75" s="68">
        <v>1.0</v>
      </c>
      <c r="F75" s="68">
        <v>3.0</v>
      </c>
      <c r="G75" s="68">
        <v>3.5151631217667</v>
      </c>
      <c r="H75" s="68">
        <v>162.381423408839</v>
      </c>
      <c r="I75" s="69">
        <v>44306.31306712963</v>
      </c>
      <c r="J75" s="69">
        <v>44306.37464120371</v>
      </c>
      <c r="K75">
        <f>AVERAGE(H72:H76)</f>
        <v>88.2063107</v>
      </c>
      <c r="L75">
        <f>STDEV(H72:H76)</f>
        <v>110.5400057</v>
      </c>
      <c r="M75" s="70">
        <v>162.381423408839</v>
      </c>
      <c r="N75" s="70">
        <v>162.381423408839</v>
      </c>
      <c r="O75" s="70">
        <v>3.5151631217667</v>
      </c>
      <c r="P75" s="70">
        <v>3.5151631217667</v>
      </c>
    </row>
    <row r="76" hidden="1">
      <c r="A76" s="67" t="s">
        <v>836</v>
      </c>
      <c r="B76" s="67" t="s">
        <v>17</v>
      </c>
      <c r="C76" s="68">
        <v>0.1</v>
      </c>
      <c r="D76" s="68">
        <v>1.0</v>
      </c>
      <c r="E76" s="68">
        <v>1.0</v>
      </c>
      <c r="F76" s="68">
        <v>4.0</v>
      </c>
      <c r="G76" s="68">
        <v>7.23073733923704</v>
      </c>
      <c r="H76" s="68">
        <v>245.898433160332</v>
      </c>
      <c r="I76" s="69">
        <v>44306.37534722222</v>
      </c>
      <c r="J76" s="69">
        <v>44306.375555555554</v>
      </c>
      <c r="K76">
        <f>AVERAGE(H72:H76)</f>
        <v>88.2063107</v>
      </c>
      <c r="L76">
        <f>STDEV(H72:H76)</f>
        <v>110.5400057</v>
      </c>
      <c r="M76" s="70">
        <v>245.898433160332</v>
      </c>
      <c r="N76" s="70">
        <v>245.898433160332</v>
      </c>
      <c r="O76" s="70">
        <v>7.23073733923704</v>
      </c>
      <c r="P76" s="70">
        <v>7.23073733923704</v>
      </c>
    </row>
    <row r="77" hidden="1">
      <c r="A77" s="67" t="s">
        <v>837</v>
      </c>
      <c r="B77" s="67" t="s">
        <v>17</v>
      </c>
      <c r="C77" s="68">
        <v>0.25</v>
      </c>
      <c r="D77" s="68">
        <v>0.1</v>
      </c>
      <c r="E77" s="68">
        <v>1.0</v>
      </c>
      <c r="F77" s="68">
        <v>0.0</v>
      </c>
      <c r="G77" s="68">
        <v>4.38288668491336</v>
      </c>
      <c r="H77" s="68">
        <v>186.878803345728</v>
      </c>
      <c r="I77" s="69">
        <v>44306.37627314815</v>
      </c>
      <c r="J77" s="69">
        <v>44306.41118055556</v>
      </c>
      <c r="K77">
        <f>AVERAGE(H77:H81)</f>
        <v>126.7566089</v>
      </c>
      <c r="L77">
        <f>STDEV(H77:H81)</f>
        <v>81.05563097</v>
      </c>
      <c r="M77" s="70">
        <v>186.878803345728</v>
      </c>
      <c r="N77" s="70">
        <v>186.878803345728</v>
      </c>
      <c r="O77" s="70">
        <v>4.38288668491336</v>
      </c>
      <c r="P77" s="70">
        <v>4.38288668491336</v>
      </c>
    </row>
    <row r="78" hidden="1">
      <c r="A78" s="67" t="s">
        <v>838</v>
      </c>
      <c r="B78" s="67" t="s">
        <v>17</v>
      </c>
      <c r="C78" s="68">
        <v>0.25</v>
      </c>
      <c r="D78" s="68">
        <v>0.1</v>
      </c>
      <c r="E78" s="68">
        <v>1.0</v>
      </c>
      <c r="F78" s="68">
        <v>1.0</v>
      </c>
      <c r="G78" s="68">
        <v>7.17498667771855</v>
      </c>
      <c r="H78" s="68">
        <v>206.411220034628</v>
      </c>
      <c r="I78" s="69">
        <v>44306.411886574075</v>
      </c>
      <c r="J78" s="69">
        <v>44306.411944444444</v>
      </c>
      <c r="K78">
        <f>AVERAGE(H77:H81)</f>
        <v>126.7566089</v>
      </c>
      <c r="L78">
        <f>STDEV(H77:H81)</f>
        <v>81.05563097</v>
      </c>
      <c r="M78" s="70">
        <v>206.411220034628</v>
      </c>
      <c r="N78" s="70">
        <v>206.411220034628</v>
      </c>
      <c r="O78" s="70">
        <v>7.17498667771855</v>
      </c>
      <c r="P78" s="70">
        <v>7.17498667771855</v>
      </c>
    </row>
    <row r="79" hidden="1">
      <c r="A79" s="67" t="s">
        <v>839</v>
      </c>
      <c r="B79" s="67" t="s">
        <v>17</v>
      </c>
      <c r="C79" s="68">
        <v>0.25</v>
      </c>
      <c r="D79" s="68">
        <v>0.1</v>
      </c>
      <c r="E79" s="68">
        <v>1.0</v>
      </c>
      <c r="F79" s="68">
        <v>2.0</v>
      </c>
      <c r="G79" s="68">
        <v>2.04499043967802</v>
      </c>
      <c r="H79" s="68">
        <v>108.512062704156</v>
      </c>
      <c r="I79" s="69">
        <v>44306.41266203704</v>
      </c>
      <c r="J79" s="69">
        <v>44306.42366898148</v>
      </c>
      <c r="K79">
        <f>AVERAGE(H77:H81)</f>
        <v>126.7566089</v>
      </c>
      <c r="L79">
        <f>STDEV(H77:H81)</f>
        <v>81.05563097</v>
      </c>
      <c r="M79" s="70">
        <v>108.512062704156</v>
      </c>
      <c r="N79" s="70">
        <v>108.512062704156</v>
      </c>
      <c r="O79" s="70">
        <v>2.04499043967802</v>
      </c>
      <c r="P79" s="70">
        <v>2.04499043967802</v>
      </c>
    </row>
    <row r="80" hidden="1">
      <c r="A80" s="67" t="s">
        <v>840</v>
      </c>
      <c r="B80" s="67" t="s">
        <v>17</v>
      </c>
      <c r="C80" s="68">
        <v>0.25</v>
      </c>
      <c r="D80" s="68">
        <v>0.1</v>
      </c>
      <c r="E80" s="68">
        <v>1.0</v>
      </c>
      <c r="F80" s="68">
        <v>3.0</v>
      </c>
      <c r="G80" s="68">
        <v>2.48208363386629</v>
      </c>
      <c r="H80" s="68">
        <v>131.574842502573</v>
      </c>
      <c r="I80" s="69">
        <v>44306.424375</v>
      </c>
      <c r="J80" s="69">
        <v>44306.42459490741</v>
      </c>
      <c r="K80">
        <f>AVERAGE(H77:H81)</f>
        <v>126.7566089</v>
      </c>
      <c r="L80">
        <f>STDEV(H77:H81)</f>
        <v>81.05563097</v>
      </c>
      <c r="M80" s="70">
        <v>131.574842502573</v>
      </c>
      <c r="N80" s="70">
        <v>131.574842502573</v>
      </c>
      <c r="O80" s="70">
        <v>2.48208363386629</v>
      </c>
      <c r="P80" s="70">
        <v>2.48208363386629</v>
      </c>
    </row>
    <row r="81" hidden="1">
      <c r="A81" s="67" t="s">
        <v>841</v>
      </c>
      <c r="B81" s="67" t="s">
        <v>17</v>
      </c>
      <c r="C81" s="68">
        <v>0.25</v>
      </c>
      <c r="D81" s="68">
        <v>0.1</v>
      </c>
      <c r="E81" s="68">
        <v>1.0</v>
      </c>
      <c r="F81" s="68">
        <v>4.0</v>
      </c>
      <c r="G81" s="68">
        <v>0.317145370870006</v>
      </c>
      <c r="H81" s="68">
        <v>0.406115963760371</v>
      </c>
      <c r="I81" s="69">
        <v>44306.4253125</v>
      </c>
      <c r="J81" s="69">
        <v>44306.42537037037</v>
      </c>
      <c r="K81">
        <f>AVERAGE(H77:H81)</f>
        <v>126.7566089</v>
      </c>
      <c r="L81">
        <f>STDEV(H77:H81)</f>
        <v>81.05563097</v>
      </c>
      <c r="M81" s="70">
        <v>0.406115963760371</v>
      </c>
      <c r="N81" s="70">
        <v>0.406115963760371</v>
      </c>
      <c r="O81" s="70">
        <v>0.317145370870006</v>
      </c>
      <c r="P81" s="70">
        <v>0.317145370870006</v>
      </c>
    </row>
    <row r="82" hidden="1">
      <c r="A82" s="67" t="s">
        <v>842</v>
      </c>
      <c r="B82" s="67" t="s">
        <v>17</v>
      </c>
      <c r="C82" s="68">
        <v>0.25</v>
      </c>
      <c r="D82" s="68">
        <v>0.25</v>
      </c>
      <c r="E82" s="68">
        <v>1.0</v>
      </c>
      <c r="F82" s="68">
        <v>0.0</v>
      </c>
      <c r="G82" s="68">
        <v>1.35507764373592</v>
      </c>
      <c r="H82" s="68">
        <v>69.6131023516801</v>
      </c>
      <c r="I82" s="69">
        <v>44306.42607638889</v>
      </c>
      <c r="J82" s="69">
        <v>44306.427199074074</v>
      </c>
      <c r="K82">
        <f>AVERAGE(H82:H86)</f>
        <v>76.58624807</v>
      </c>
      <c r="L82">
        <f>STDEV(H82:H86)</f>
        <v>76.36410818</v>
      </c>
      <c r="M82" s="70">
        <v>69.6131023516801</v>
      </c>
      <c r="N82" s="70">
        <v>69.6131023516801</v>
      </c>
      <c r="O82" s="70">
        <v>1.35507764373592</v>
      </c>
      <c r="P82" s="70">
        <v>1.35507764373592</v>
      </c>
    </row>
    <row r="83" hidden="1">
      <c r="A83" s="67" t="s">
        <v>843</v>
      </c>
      <c r="B83" s="67" t="s">
        <v>17</v>
      </c>
      <c r="C83" s="68">
        <v>0.25</v>
      </c>
      <c r="D83" s="68">
        <v>0.25</v>
      </c>
      <c r="E83" s="68">
        <v>1.0</v>
      </c>
      <c r="F83" s="68">
        <v>1.0</v>
      </c>
      <c r="G83" s="68">
        <v>0.712135447246169</v>
      </c>
      <c r="H83" s="68">
        <v>0.949181473275599</v>
      </c>
      <c r="I83" s="69">
        <v>44306.42790509259</v>
      </c>
      <c r="J83" s="69">
        <v>44306.428136574075</v>
      </c>
      <c r="K83">
        <f>AVERAGE(H82:H86)</f>
        <v>76.58624807</v>
      </c>
      <c r="L83">
        <f>STDEV(H82:H86)</f>
        <v>76.36410818</v>
      </c>
      <c r="M83" s="70">
        <v>0.949181473275599</v>
      </c>
      <c r="N83" s="70">
        <v>0.949181473275599</v>
      </c>
      <c r="O83" s="70">
        <v>0.712135447246169</v>
      </c>
      <c r="P83" s="70">
        <v>0.712135447246169</v>
      </c>
    </row>
    <row r="84" hidden="1">
      <c r="A84" s="67" t="s">
        <v>844</v>
      </c>
      <c r="B84" s="67" t="s">
        <v>17</v>
      </c>
      <c r="C84" s="68">
        <v>0.25</v>
      </c>
      <c r="D84" s="68">
        <v>0.25</v>
      </c>
      <c r="E84" s="68">
        <v>1.0</v>
      </c>
      <c r="F84" s="68">
        <v>2.0</v>
      </c>
      <c r="G84" s="68">
        <v>3.87618353856537</v>
      </c>
      <c r="H84" s="68">
        <v>170.335484476463</v>
      </c>
      <c r="I84" s="69">
        <v>44306.42884259259</v>
      </c>
      <c r="J84" s="69">
        <v>44306.47613425926</v>
      </c>
      <c r="K84">
        <f>AVERAGE(H82:H86)</f>
        <v>76.58624807</v>
      </c>
      <c r="L84">
        <f>STDEV(H82:H86)</f>
        <v>76.36410818</v>
      </c>
      <c r="M84" s="70">
        <v>170.335484476463</v>
      </c>
      <c r="N84" s="70">
        <v>170.335484476463</v>
      </c>
      <c r="O84" s="70">
        <v>3.87618353856537</v>
      </c>
      <c r="P84" s="70">
        <v>3.87618353856537</v>
      </c>
    </row>
    <row r="85" hidden="1">
      <c r="A85" s="67" t="s">
        <v>845</v>
      </c>
      <c r="B85" s="67" t="s">
        <v>17</v>
      </c>
      <c r="C85" s="68">
        <v>0.25</v>
      </c>
      <c r="D85" s="68">
        <v>0.25</v>
      </c>
      <c r="E85" s="68">
        <v>1.0</v>
      </c>
      <c r="F85" s="68">
        <v>3.0</v>
      </c>
      <c r="G85" s="68">
        <v>3.02902844724778</v>
      </c>
      <c r="H85" s="68">
        <v>136.991576726507</v>
      </c>
      <c r="I85" s="69">
        <v>44306.476851851854</v>
      </c>
      <c r="J85" s="69">
        <v>44306.47939814815</v>
      </c>
      <c r="K85">
        <f>AVERAGE(H82:H86)</f>
        <v>76.58624807</v>
      </c>
      <c r="L85">
        <f>STDEV(H82:H86)</f>
        <v>76.36410818</v>
      </c>
      <c r="M85" s="70">
        <v>136.991576726507</v>
      </c>
      <c r="N85" s="70">
        <v>136.991576726507</v>
      </c>
      <c r="O85" s="70">
        <v>3.02902844724778</v>
      </c>
      <c r="P85" s="70">
        <v>3.02902844724778</v>
      </c>
    </row>
    <row r="86" hidden="1">
      <c r="A86" s="67" t="s">
        <v>846</v>
      </c>
      <c r="B86" s="67" t="s">
        <v>17</v>
      </c>
      <c r="C86" s="68">
        <v>0.25</v>
      </c>
      <c r="D86" s="68">
        <v>0.25</v>
      </c>
      <c r="E86" s="68">
        <v>1.0</v>
      </c>
      <c r="F86" s="68">
        <v>4.0</v>
      </c>
      <c r="G86" s="68">
        <v>0.693179654288497</v>
      </c>
      <c r="H86" s="68">
        <v>5.04189532519811</v>
      </c>
      <c r="I86" s="69">
        <v>44306.480104166665</v>
      </c>
      <c r="J86" s="69">
        <v>44306.480162037034</v>
      </c>
      <c r="K86">
        <f>AVERAGE(H82:H86)</f>
        <v>76.58624807</v>
      </c>
      <c r="L86">
        <f>STDEV(H82:H86)</f>
        <v>76.36410818</v>
      </c>
      <c r="M86" s="70">
        <v>5.04189532519811</v>
      </c>
      <c r="N86" s="70">
        <v>5.04189532519811</v>
      </c>
      <c r="O86" s="70">
        <v>0.693179654288497</v>
      </c>
      <c r="P86" s="70">
        <v>0.693179654288497</v>
      </c>
    </row>
    <row r="87" hidden="1">
      <c r="A87" s="67" t="s">
        <v>847</v>
      </c>
      <c r="B87" s="67" t="s">
        <v>17</v>
      </c>
      <c r="C87" s="68">
        <v>0.25</v>
      </c>
      <c r="D87" s="68">
        <v>0.5</v>
      </c>
      <c r="E87" s="68">
        <v>1.0</v>
      </c>
      <c r="F87" s="68">
        <v>0.0</v>
      </c>
      <c r="G87" s="68">
        <v>0.985458202726284</v>
      </c>
      <c r="H87" s="68">
        <v>14.230198076744</v>
      </c>
      <c r="I87" s="69">
        <v>44306.48086805556</v>
      </c>
      <c r="J87" s="69">
        <v>44306.4809837963</v>
      </c>
      <c r="K87">
        <f>AVERAGE(H87:H91)</f>
        <v>148.4662603</v>
      </c>
      <c r="L87">
        <f>STDEV(H87:H91)</f>
        <v>92.12357602</v>
      </c>
      <c r="M87" s="70">
        <v>14.230198076744</v>
      </c>
      <c r="N87" s="70">
        <v>14.230198076744</v>
      </c>
      <c r="O87" s="70">
        <v>0.985458202726284</v>
      </c>
      <c r="P87" s="70">
        <v>0.985458202726284</v>
      </c>
    </row>
    <row r="88" hidden="1">
      <c r="A88" s="67" t="s">
        <v>848</v>
      </c>
      <c r="B88" s="67" t="s">
        <v>17</v>
      </c>
      <c r="C88" s="68">
        <v>0.25</v>
      </c>
      <c r="D88" s="68">
        <v>0.5</v>
      </c>
      <c r="E88" s="68">
        <v>1.0</v>
      </c>
      <c r="F88" s="68">
        <v>1.0</v>
      </c>
      <c r="G88" s="68">
        <v>4.51225839336008</v>
      </c>
      <c r="H88" s="68">
        <v>171.138959278329</v>
      </c>
      <c r="I88" s="69">
        <v>44306.48170138889</v>
      </c>
      <c r="J88" s="69">
        <v>44306.48175925926</v>
      </c>
      <c r="K88">
        <f>AVERAGE(H87:H91)</f>
        <v>148.4662603</v>
      </c>
      <c r="L88">
        <f>STDEV(H87:H91)</f>
        <v>92.12357602</v>
      </c>
      <c r="M88" s="70">
        <v>171.138959278329</v>
      </c>
      <c r="N88" s="70">
        <v>171.138959278329</v>
      </c>
      <c r="O88" s="70">
        <v>4.51225839336008</v>
      </c>
      <c r="P88" s="70">
        <v>4.51225839336008</v>
      </c>
    </row>
    <row r="89" hidden="1">
      <c r="A89" s="67" t="s">
        <v>849</v>
      </c>
      <c r="B89" s="67" t="s">
        <v>17</v>
      </c>
      <c r="C89" s="68">
        <v>0.25</v>
      </c>
      <c r="D89" s="68">
        <v>0.5</v>
      </c>
      <c r="E89" s="68">
        <v>1.0</v>
      </c>
      <c r="F89" s="68">
        <v>2.0</v>
      </c>
      <c r="G89" s="68">
        <v>2.48906956651208</v>
      </c>
      <c r="H89" s="68">
        <v>131.80224121552</v>
      </c>
      <c r="I89" s="69">
        <v>44306.482465277775</v>
      </c>
      <c r="J89" s="69">
        <v>44306.48268518518</v>
      </c>
      <c r="K89">
        <f>AVERAGE(H87:H91)</f>
        <v>148.4662603</v>
      </c>
      <c r="L89">
        <f>STDEV(H87:H91)</f>
        <v>92.12357602</v>
      </c>
      <c r="M89" s="70">
        <v>131.80224121552</v>
      </c>
      <c r="N89" s="70">
        <v>131.80224121552</v>
      </c>
      <c r="O89" s="70">
        <v>2.48906956651208</v>
      </c>
      <c r="P89" s="70">
        <v>2.48906956651208</v>
      </c>
    </row>
    <row r="90" hidden="1">
      <c r="A90" s="67" t="s">
        <v>850</v>
      </c>
      <c r="B90" s="67" t="s">
        <v>17</v>
      </c>
      <c r="C90" s="68">
        <v>0.25</v>
      </c>
      <c r="D90" s="68">
        <v>0.5</v>
      </c>
      <c r="E90" s="68">
        <v>1.0</v>
      </c>
      <c r="F90" s="68">
        <v>3.0</v>
      </c>
      <c r="G90" s="68">
        <v>3.30028713978402</v>
      </c>
      <c r="H90" s="68">
        <v>153.780202120306</v>
      </c>
      <c r="I90" s="69">
        <v>44306.48339120371</v>
      </c>
      <c r="J90" s="69">
        <v>44306.5625</v>
      </c>
      <c r="K90">
        <f>AVERAGE(H87:H91)</f>
        <v>148.4662603</v>
      </c>
      <c r="L90">
        <f>STDEV(H87:H91)</f>
        <v>92.12357602</v>
      </c>
      <c r="M90" s="70">
        <v>153.780202120306</v>
      </c>
      <c r="N90" s="70">
        <v>153.780202120306</v>
      </c>
      <c r="O90" s="70">
        <v>3.30028713978402</v>
      </c>
      <c r="P90" s="70">
        <v>3.30028713978402</v>
      </c>
    </row>
    <row r="91" hidden="1">
      <c r="A91" s="67" t="s">
        <v>851</v>
      </c>
      <c r="B91" s="67" t="s">
        <v>17</v>
      </c>
      <c r="C91" s="68">
        <v>0.25</v>
      </c>
      <c r="D91" s="68">
        <v>0.5</v>
      </c>
      <c r="E91" s="68">
        <v>1.0</v>
      </c>
      <c r="F91" s="68">
        <v>4.0</v>
      </c>
      <c r="G91" s="68">
        <v>7.37231374504142</v>
      </c>
      <c r="H91" s="68">
        <v>271.379700769382</v>
      </c>
      <c r="I91" s="69">
        <v>44306.563206018516</v>
      </c>
      <c r="J91" s="69">
        <v>44306.56346064815</v>
      </c>
      <c r="K91">
        <f>AVERAGE(H87:H91)</f>
        <v>148.4662603</v>
      </c>
      <c r="L91">
        <f>STDEV(H87:H91)</f>
        <v>92.12357602</v>
      </c>
      <c r="M91" s="70">
        <v>271.379700769382</v>
      </c>
      <c r="N91" s="70">
        <v>271.379700769382</v>
      </c>
      <c r="O91" s="70">
        <v>7.37231374504142</v>
      </c>
      <c r="P91" s="70">
        <v>7.37231374504142</v>
      </c>
    </row>
    <row r="92" hidden="1">
      <c r="A92" s="67" t="s">
        <v>852</v>
      </c>
      <c r="B92" s="67" t="s">
        <v>17</v>
      </c>
      <c r="C92" s="68">
        <v>0.25</v>
      </c>
      <c r="D92" s="68">
        <v>0.75</v>
      </c>
      <c r="E92" s="68">
        <v>1.0</v>
      </c>
      <c r="F92" s="68">
        <v>0.0</v>
      </c>
      <c r="G92" s="68">
        <v>0.523955411410544</v>
      </c>
      <c r="H92" s="68">
        <v>0.641982204094531</v>
      </c>
      <c r="I92" s="69">
        <v>44306.56416666666</v>
      </c>
      <c r="J92" s="69">
        <v>44306.564305555556</v>
      </c>
      <c r="K92">
        <f>AVERAGE(H92:H96)</f>
        <v>102.6727269</v>
      </c>
      <c r="L92">
        <f>STDEV(H92:H96)</f>
        <v>117.4352619</v>
      </c>
      <c r="M92" s="70">
        <v>0.641982204094531</v>
      </c>
      <c r="N92" s="70">
        <v>0.641982204094531</v>
      </c>
      <c r="O92" s="70">
        <v>0.523955411410544</v>
      </c>
      <c r="P92" s="70">
        <v>0.523955411410544</v>
      </c>
    </row>
    <row r="93" hidden="1">
      <c r="A93" s="67" t="s">
        <v>853</v>
      </c>
      <c r="B93" s="67" t="s">
        <v>17</v>
      </c>
      <c r="C93" s="68">
        <v>0.25</v>
      </c>
      <c r="D93" s="68">
        <v>0.75</v>
      </c>
      <c r="E93" s="68">
        <v>1.0</v>
      </c>
      <c r="F93" s="68">
        <v>1.0</v>
      </c>
      <c r="G93" s="68">
        <v>3.90917686296029</v>
      </c>
      <c r="H93" s="68">
        <v>170.880703953598</v>
      </c>
      <c r="I93" s="69">
        <v>44306.56502314815</v>
      </c>
      <c r="J93" s="69">
        <v>44306.625</v>
      </c>
      <c r="K93">
        <f>AVERAGE(H92:H96)</f>
        <v>102.6727269</v>
      </c>
      <c r="L93">
        <f>STDEV(H92:H96)</f>
        <v>117.4352619</v>
      </c>
      <c r="M93" s="70">
        <v>170.880703953598</v>
      </c>
      <c r="N93" s="70">
        <v>170.880703953598</v>
      </c>
      <c r="O93" s="70">
        <v>3.90917686296029</v>
      </c>
      <c r="P93" s="70">
        <v>3.90917686296029</v>
      </c>
    </row>
    <row r="94" hidden="1">
      <c r="A94" s="67" t="s">
        <v>854</v>
      </c>
      <c r="B94" s="67" t="s">
        <v>17</v>
      </c>
      <c r="C94" s="68">
        <v>0.25</v>
      </c>
      <c r="D94" s="68">
        <v>0.75</v>
      </c>
      <c r="E94" s="68">
        <v>1.0</v>
      </c>
      <c r="F94" s="68">
        <v>2.0</v>
      </c>
      <c r="G94" s="68">
        <v>7.38458703872145</v>
      </c>
      <c r="H94" s="68">
        <v>271.740931125033</v>
      </c>
      <c r="I94" s="69">
        <v>44306.625706018516</v>
      </c>
      <c r="J94" s="69">
        <v>44306.625972222224</v>
      </c>
      <c r="K94">
        <f>AVERAGE(H92:H96)</f>
        <v>102.6727269</v>
      </c>
      <c r="L94">
        <f>STDEV(H92:H96)</f>
        <v>117.4352619</v>
      </c>
      <c r="M94" s="70">
        <v>271.740931125033</v>
      </c>
      <c r="N94" s="70">
        <v>271.740931125033</v>
      </c>
      <c r="O94" s="70">
        <v>7.38458703872145</v>
      </c>
      <c r="P94" s="70">
        <v>7.38458703872145</v>
      </c>
    </row>
    <row r="95" hidden="1">
      <c r="A95" s="67" t="s">
        <v>855</v>
      </c>
      <c r="B95" s="67" t="s">
        <v>17</v>
      </c>
      <c r="C95" s="68">
        <v>0.25</v>
      </c>
      <c r="D95" s="68">
        <v>0.75</v>
      </c>
      <c r="E95" s="68">
        <v>1.0</v>
      </c>
      <c r="F95" s="68">
        <v>3.0</v>
      </c>
      <c r="G95" s="68">
        <v>1.35169134501324</v>
      </c>
      <c r="H95" s="68">
        <v>69.4871999436822</v>
      </c>
      <c r="I95" s="69">
        <v>44306.62667824074</v>
      </c>
      <c r="J95" s="69">
        <v>44306.62777777778</v>
      </c>
      <c r="K95">
        <f>AVERAGE(H92:H96)</f>
        <v>102.6727269</v>
      </c>
      <c r="L95">
        <f>STDEV(H92:H96)</f>
        <v>117.4352619</v>
      </c>
      <c r="M95" s="70">
        <v>69.4871999436822</v>
      </c>
      <c r="N95" s="70">
        <v>69.4871999436822</v>
      </c>
      <c r="O95" s="70">
        <v>1.35169134501324</v>
      </c>
      <c r="P95" s="70">
        <v>1.35169134501324</v>
      </c>
    </row>
    <row r="96" hidden="1">
      <c r="A96" s="67" t="s">
        <v>856</v>
      </c>
      <c r="B96" s="67" t="s">
        <v>17</v>
      </c>
      <c r="C96" s="68">
        <v>0.25</v>
      </c>
      <c r="D96" s="68">
        <v>0.75</v>
      </c>
      <c r="E96" s="68">
        <v>1.0</v>
      </c>
      <c r="F96" s="68">
        <v>4.0</v>
      </c>
      <c r="G96" s="68">
        <v>0.505751904539808</v>
      </c>
      <c r="H96" s="68">
        <v>0.612817489041892</v>
      </c>
      <c r="I96" s="69">
        <v>44306.62849537037</v>
      </c>
      <c r="J96" s="69">
        <v>44306.62893518519</v>
      </c>
      <c r="K96">
        <f>AVERAGE(H92:H96)</f>
        <v>102.6727269</v>
      </c>
      <c r="L96">
        <f>STDEV(H92:H96)</f>
        <v>117.4352619</v>
      </c>
      <c r="M96" s="70">
        <v>0.612817489041892</v>
      </c>
      <c r="N96" s="70">
        <v>0.612817489041892</v>
      </c>
      <c r="O96" s="70">
        <v>0.505751904539808</v>
      </c>
      <c r="P96" s="70">
        <v>0.505751904539808</v>
      </c>
    </row>
    <row r="97" hidden="1">
      <c r="A97" s="67" t="s">
        <v>857</v>
      </c>
      <c r="B97" s="67" t="s">
        <v>17</v>
      </c>
      <c r="C97" s="68">
        <v>0.25</v>
      </c>
      <c r="D97" s="68">
        <v>1.0</v>
      </c>
      <c r="E97" s="68">
        <v>1.0</v>
      </c>
      <c r="F97" s="68">
        <v>0.0</v>
      </c>
      <c r="G97" s="68">
        <v>7.3740281864186</v>
      </c>
      <c r="H97" s="68">
        <v>271.802753523768</v>
      </c>
      <c r="I97" s="69">
        <v>44306.62965277778</v>
      </c>
      <c r="J97" s="69">
        <v>44306.62991898148</v>
      </c>
      <c r="K97">
        <f>AVERAGE(H97:H101)</f>
        <v>137.4029601</v>
      </c>
      <c r="L97">
        <f>STDEV(H97:H101)</f>
        <v>122.6822256</v>
      </c>
      <c r="M97" s="70">
        <v>271.802753523768</v>
      </c>
      <c r="N97" s="70">
        <v>271.802753523768</v>
      </c>
      <c r="O97" s="70">
        <v>7.3740281864186</v>
      </c>
      <c r="P97" s="70">
        <v>7.3740281864186</v>
      </c>
    </row>
    <row r="98" hidden="1">
      <c r="A98" s="67" t="s">
        <v>858</v>
      </c>
      <c r="B98" s="67" t="s">
        <v>17</v>
      </c>
      <c r="C98" s="68">
        <v>0.25</v>
      </c>
      <c r="D98" s="68">
        <v>1.0</v>
      </c>
      <c r="E98" s="68">
        <v>1.0</v>
      </c>
      <c r="F98" s="68">
        <v>1.0</v>
      </c>
      <c r="G98" s="68">
        <v>0.932468858318588</v>
      </c>
      <c r="H98" s="68">
        <v>16.1204898980963</v>
      </c>
      <c r="I98" s="69">
        <v>44306.630625</v>
      </c>
      <c r="J98" s="69">
        <v>44306.632372685184</v>
      </c>
      <c r="K98">
        <f>AVERAGE(H97:H101)</f>
        <v>137.4029601</v>
      </c>
      <c r="L98">
        <f>STDEV(H97:H101)</f>
        <v>122.6822256</v>
      </c>
      <c r="M98" s="70">
        <v>16.1204898980963</v>
      </c>
      <c r="N98" s="70">
        <v>16.1204898980963</v>
      </c>
      <c r="O98" s="70">
        <v>0.932468858318588</v>
      </c>
      <c r="P98" s="70">
        <v>0.932468858318588</v>
      </c>
    </row>
    <row r="99" hidden="1">
      <c r="A99" s="67" t="s">
        <v>859</v>
      </c>
      <c r="B99" s="67" t="s">
        <v>17</v>
      </c>
      <c r="C99" s="68">
        <v>0.25</v>
      </c>
      <c r="D99" s="68">
        <v>1.0</v>
      </c>
      <c r="E99" s="68">
        <v>1.0</v>
      </c>
      <c r="F99" s="68">
        <v>2.0</v>
      </c>
      <c r="G99" s="68">
        <v>3.42542526234905</v>
      </c>
      <c r="H99" s="68">
        <v>162.433829167634</v>
      </c>
      <c r="I99" s="69">
        <v>44306.63309027778</v>
      </c>
      <c r="J99" s="69">
        <v>44306.69756944444</v>
      </c>
      <c r="K99">
        <f>AVERAGE(H97:H101)</f>
        <v>137.4029601</v>
      </c>
      <c r="L99">
        <f>STDEV(H97:H101)</f>
        <v>122.6822256</v>
      </c>
      <c r="M99" s="70">
        <v>162.433829167634</v>
      </c>
      <c r="N99" s="70">
        <v>162.433829167634</v>
      </c>
      <c r="O99" s="70">
        <v>3.42542526234905</v>
      </c>
      <c r="P99" s="70">
        <v>3.42542526234905</v>
      </c>
    </row>
    <row r="100" hidden="1">
      <c r="A100" s="67" t="s">
        <v>860</v>
      </c>
      <c r="B100" s="67" t="s">
        <v>17</v>
      </c>
      <c r="C100" s="68">
        <v>0.25</v>
      </c>
      <c r="D100" s="68">
        <v>1.0</v>
      </c>
      <c r="E100" s="68">
        <v>1.0</v>
      </c>
      <c r="F100" s="68">
        <v>3.0</v>
      </c>
      <c r="G100" s="68">
        <v>2.64397974277779</v>
      </c>
      <c r="H100" s="68">
        <v>4.14308284676004</v>
      </c>
      <c r="I100" s="69">
        <v>44306.698287037034</v>
      </c>
      <c r="J100" s="69">
        <v>44306.698379629626</v>
      </c>
      <c r="K100">
        <f>AVERAGE(H97:H101)</f>
        <v>137.4029601</v>
      </c>
      <c r="L100">
        <f>STDEV(H97:H101)</f>
        <v>122.6822256</v>
      </c>
      <c r="M100" s="70">
        <v>4.14308284676004</v>
      </c>
      <c r="N100" s="70">
        <v>4.14308284676004</v>
      </c>
      <c r="O100" s="70">
        <v>2.64397974277779</v>
      </c>
      <c r="P100" s="70">
        <v>2.64397974277779</v>
      </c>
    </row>
    <row r="101" hidden="1">
      <c r="A101" s="67" t="s">
        <v>861</v>
      </c>
      <c r="B101" s="67" t="s">
        <v>17</v>
      </c>
      <c r="C101" s="68">
        <v>0.25</v>
      </c>
      <c r="D101" s="68">
        <v>1.0</v>
      </c>
      <c r="E101" s="68">
        <v>1.0</v>
      </c>
      <c r="F101" s="68">
        <v>4.0</v>
      </c>
      <c r="G101" s="68">
        <v>6.7533339076563</v>
      </c>
      <c r="H101" s="68">
        <v>232.51464490953</v>
      </c>
      <c r="I101" s="69">
        <v>44306.69908564815</v>
      </c>
      <c r="J101" s="69">
        <v>44306.699270833335</v>
      </c>
      <c r="K101">
        <f>AVERAGE(H97:H101)</f>
        <v>137.4029601</v>
      </c>
      <c r="L101">
        <f>STDEV(H97:H101)</f>
        <v>122.6822256</v>
      </c>
      <c r="M101" s="70">
        <v>232.51464490953</v>
      </c>
      <c r="N101" s="70">
        <v>232.51464490953</v>
      </c>
      <c r="O101" s="70">
        <v>6.7533339076563</v>
      </c>
      <c r="P101" s="70">
        <v>6.7533339076563</v>
      </c>
    </row>
    <row r="102" hidden="1">
      <c r="A102" s="67" t="s">
        <v>862</v>
      </c>
      <c r="B102" s="67" t="s">
        <v>17</v>
      </c>
      <c r="C102" s="68">
        <v>0.5</v>
      </c>
      <c r="D102" s="68">
        <v>0.1</v>
      </c>
      <c r="E102" s="68">
        <v>1.0</v>
      </c>
      <c r="F102" s="68">
        <v>0.0</v>
      </c>
      <c r="G102" s="68">
        <v>3.70062793033225</v>
      </c>
      <c r="H102" s="68">
        <v>157.643126583585</v>
      </c>
      <c r="I102" s="69">
        <v>44306.69997685185</v>
      </c>
      <c r="J102" s="69">
        <v>44306.70688657407</v>
      </c>
      <c r="K102">
        <f>AVERAGE(H102:H106)</f>
        <v>91.48998791</v>
      </c>
      <c r="L102">
        <f>STDEV(H102:H106)</f>
        <v>82.77872745</v>
      </c>
      <c r="M102" s="70">
        <v>157.643126583585</v>
      </c>
      <c r="N102" s="70">
        <v>157.643126583585</v>
      </c>
      <c r="O102" s="70">
        <v>3.70062793033225</v>
      </c>
      <c r="P102" s="70">
        <v>3.70062793033225</v>
      </c>
    </row>
    <row r="103" hidden="1">
      <c r="A103" s="67" t="s">
        <v>863</v>
      </c>
      <c r="B103" s="67" t="s">
        <v>17</v>
      </c>
      <c r="C103" s="68">
        <v>0.5</v>
      </c>
      <c r="D103" s="68">
        <v>0.1</v>
      </c>
      <c r="E103" s="68">
        <v>1.0</v>
      </c>
      <c r="F103" s="68">
        <v>1.0</v>
      </c>
      <c r="G103" s="68">
        <v>3.29361040867042</v>
      </c>
      <c r="H103" s="68">
        <v>164.26063370635</v>
      </c>
      <c r="I103" s="69">
        <v>44306.70759259259</v>
      </c>
      <c r="J103" s="69">
        <v>44306.75643518518</v>
      </c>
      <c r="K103">
        <f>AVERAGE(H102:H106)</f>
        <v>91.48998791</v>
      </c>
      <c r="L103">
        <f>STDEV(H102:H106)</f>
        <v>82.77872745</v>
      </c>
      <c r="M103" s="70">
        <v>164.26063370635</v>
      </c>
      <c r="N103" s="70">
        <v>164.26063370635</v>
      </c>
      <c r="O103" s="70">
        <v>3.29361040867042</v>
      </c>
      <c r="P103" s="70">
        <v>3.29361040867042</v>
      </c>
    </row>
    <row r="104" hidden="1">
      <c r="A104" s="67" t="s">
        <v>864</v>
      </c>
      <c r="B104" s="67" t="s">
        <v>17</v>
      </c>
      <c r="C104" s="68">
        <v>0.5</v>
      </c>
      <c r="D104" s="68">
        <v>0.1</v>
      </c>
      <c r="E104" s="68">
        <v>1.0</v>
      </c>
      <c r="F104" s="68">
        <v>2.0</v>
      </c>
      <c r="G104" s="68">
        <v>0.546970887774615</v>
      </c>
      <c r="H104" s="68">
        <v>0.672160361078066</v>
      </c>
      <c r="I104" s="69">
        <v>44306.75714120371</v>
      </c>
      <c r="J104" s="69">
        <v>44306.75728009259</v>
      </c>
      <c r="K104">
        <f>AVERAGE(H102:H106)</f>
        <v>91.48998791</v>
      </c>
      <c r="L104">
        <f>STDEV(H102:H106)</f>
        <v>82.77872745</v>
      </c>
      <c r="M104" s="70">
        <v>0.672160361078066</v>
      </c>
      <c r="N104" s="70">
        <v>0.672160361078066</v>
      </c>
      <c r="O104" s="70">
        <v>0.546970887774615</v>
      </c>
      <c r="P104" s="70">
        <v>0.546970887774615</v>
      </c>
    </row>
    <row r="105" hidden="1">
      <c r="A105" s="67" t="s">
        <v>865</v>
      </c>
      <c r="B105" s="67" t="s">
        <v>17</v>
      </c>
      <c r="C105" s="68">
        <v>0.5</v>
      </c>
      <c r="D105" s="68">
        <v>0.1</v>
      </c>
      <c r="E105" s="68">
        <v>1.0</v>
      </c>
      <c r="F105" s="68">
        <v>3.0</v>
      </c>
      <c r="G105" s="68">
        <v>2.49295294179258</v>
      </c>
      <c r="H105" s="68">
        <v>131.98349222846</v>
      </c>
      <c r="I105" s="69">
        <v>44306.757997685185</v>
      </c>
      <c r="J105" s="69">
        <v>44306.75822916667</v>
      </c>
      <c r="K105">
        <f>AVERAGE(H102:H106)</f>
        <v>91.48998791</v>
      </c>
      <c r="L105">
        <f>STDEV(H102:H106)</f>
        <v>82.77872745</v>
      </c>
      <c r="M105" s="70">
        <v>131.98349222846</v>
      </c>
      <c r="N105" s="70">
        <v>131.98349222846</v>
      </c>
      <c r="O105" s="70">
        <v>2.49295294179258</v>
      </c>
      <c r="P105" s="70">
        <v>2.49295294179258</v>
      </c>
    </row>
    <row r="106" hidden="1">
      <c r="A106" s="67" t="s">
        <v>866</v>
      </c>
      <c r="B106" s="67" t="s">
        <v>17</v>
      </c>
      <c r="C106" s="68">
        <v>0.5</v>
      </c>
      <c r="D106" s="68">
        <v>0.1</v>
      </c>
      <c r="E106" s="68">
        <v>1.0</v>
      </c>
      <c r="F106" s="68">
        <v>4.0</v>
      </c>
      <c r="G106" s="68">
        <v>1.90389793708783</v>
      </c>
      <c r="H106" s="68">
        <v>2.89052666905318</v>
      </c>
      <c r="I106" s="69">
        <v>44306.758935185186</v>
      </c>
      <c r="J106" s="69">
        <v>44306.75898148148</v>
      </c>
      <c r="K106">
        <f>AVERAGE(H102:H106)</f>
        <v>91.48998791</v>
      </c>
      <c r="L106">
        <f>STDEV(H102:H106)</f>
        <v>82.77872745</v>
      </c>
      <c r="M106" s="70">
        <v>2.89052666905318</v>
      </c>
      <c r="N106" s="70">
        <v>2.89052666905318</v>
      </c>
      <c r="O106" s="70">
        <v>1.90389793708783</v>
      </c>
      <c r="P106" s="70">
        <v>1.90389793708783</v>
      </c>
    </row>
    <row r="107" hidden="1">
      <c r="A107" s="67" t="s">
        <v>867</v>
      </c>
      <c r="B107" s="67" t="s">
        <v>17</v>
      </c>
      <c r="C107" s="68">
        <v>0.5</v>
      </c>
      <c r="D107" s="68">
        <v>0.25</v>
      </c>
      <c r="E107" s="68">
        <v>1.0</v>
      </c>
      <c r="F107" s="68">
        <v>0.0</v>
      </c>
      <c r="G107" s="68">
        <v>8.95116464529891</v>
      </c>
      <c r="H107" s="68">
        <v>285.677156604894</v>
      </c>
      <c r="I107" s="69">
        <v>44306.75969907407</v>
      </c>
      <c r="J107" s="69">
        <v>44306.76052083333</v>
      </c>
      <c r="K107">
        <f>AVERAGE(H107:H111)</f>
        <v>110.9589272</v>
      </c>
      <c r="L107">
        <f>STDEV(H107:H111)</f>
        <v>118.330557</v>
      </c>
      <c r="M107" s="70">
        <v>285.677156604894</v>
      </c>
      <c r="N107" s="70">
        <v>285.677156604894</v>
      </c>
      <c r="O107" s="70">
        <v>8.95116464529891</v>
      </c>
      <c r="P107" s="70">
        <v>8.95116464529891</v>
      </c>
    </row>
    <row r="108" hidden="1">
      <c r="A108" s="67" t="s">
        <v>868</v>
      </c>
      <c r="B108" s="67" t="s">
        <v>17</v>
      </c>
      <c r="C108" s="68">
        <v>0.5</v>
      </c>
      <c r="D108" s="68">
        <v>0.25</v>
      </c>
      <c r="E108" s="68">
        <v>1.0</v>
      </c>
      <c r="F108" s="68">
        <v>1.0</v>
      </c>
      <c r="G108" s="68">
        <v>2.48827350719733</v>
      </c>
      <c r="H108" s="68">
        <v>131.803019410388</v>
      </c>
      <c r="I108" s="69">
        <v>44306.76123842593</v>
      </c>
      <c r="J108" s="69">
        <v>44306.761469907404</v>
      </c>
      <c r="K108">
        <f>AVERAGE(H107:H111)</f>
        <v>110.9589272</v>
      </c>
      <c r="L108">
        <f>STDEV(H107:H111)</f>
        <v>118.330557</v>
      </c>
      <c r="M108" s="70">
        <v>131.803019410388</v>
      </c>
      <c r="N108" s="70">
        <v>131.803019410388</v>
      </c>
      <c r="O108" s="70">
        <v>2.48827350719733</v>
      </c>
      <c r="P108" s="70">
        <v>2.48827350719733</v>
      </c>
    </row>
    <row r="109" hidden="1">
      <c r="A109" s="67" t="s">
        <v>869</v>
      </c>
      <c r="B109" s="67" t="s">
        <v>17</v>
      </c>
      <c r="C109" s="68">
        <v>0.5</v>
      </c>
      <c r="D109" s="68">
        <v>0.25</v>
      </c>
      <c r="E109" s="68">
        <v>1.0</v>
      </c>
      <c r="F109" s="68">
        <v>2.0</v>
      </c>
      <c r="G109" s="68">
        <v>0.236581835685098</v>
      </c>
      <c r="H109" s="68">
        <v>0.315139244430359</v>
      </c>
      <c r="I109" s="69">
        <v>44306.76217592593</v>
      </c>
      <c r="J109" s="69">
        <v>44306.7622337963</v>
      </c>
      <c r="K109">
        <f>AVERAGE(H107:H111)</f>
        <v>110.9589272</v>
      </c>
      <c r="L109">
        <f>STDEV(H107:H111)</f>
        <v>118.330557</v>
      </c>
      <c r="M109" s="70">
        <v>0.315139244430359</v>
      </c>
      <c r="N109" s="70">
        <v>0.315139244430359</v>
      </c>
      <c r="O109" s="70">
        <v>0.236581835685098</v>
      </c>
      <c r="P109" s="70">
        <v>0.236581835685098</v>
      </c>
    </row>
    <row r="110" hidden="1">
      <c r="A110" s="67" t="s">
        <v>870</v>
      </c>
      <c r="B110" s="67" t="s">
        <v>17</v>
      </c>
      <c r="C110" s="68">
        <v>0.5</v>
      </c>
      <c r="D110" s="68">
        <v>0.25</v>
      </c>
      <c r="E110" s="68">
        <v>1.0</v>
      </c>
      <c r="F110" s="68">
        <v>3.0</v>
      </c>
      <c r="G110" s="68">
        <v>0.550209859039871</v>
      </c>
      <c r="H110" s="68">
        <v>0.676653529637786</v>
      </c>
      <c r="I110" s="69">
        <v>44306.76293981481</v>
      </c>
      <c r="J110" s="69">
        <v>44306.763078703705</v>
      </c>
      <c r="K110">
        <f>AVERAGE(H107:H111)</f>
        <v>110.9589272</v>
      </c>
      <c r="L110">
        <f>STDEV(H107:H111)</f>
        <v>118.330557</v>
      </c>
      <c r="M110" s="70">
        <v>0.676653529637786</v>
      </c>
      <c r="N110" s="70">
        <v>0.676653529637786</v>
      </c>
      <c r="O110" s="70">
        <v>0.550209859039871</v>
      </c>
      <c r="P110" s="70">
        <v>0.550209859039871</v>
      </c>
    </row>
    <row r="111" hidden="1">
      <c r="A111" s="67" t="s">
        <v>871</v>
      </c>
      <c r="B111" s="67" t="s">
        <v>17</v>
      </c>
      <c r="C111" s="68">
        <v>0.5</v>
      </c>
      <c r="D111" s="68">
        <v>0.25</v>
      </c>
      <c r="E111" s="68">
        <v>1.0</v>
      </c>
      <c r="F111" s="68">
        <v>4.0</v>
      </c>
      <c r="G111" s="68">
        <v>2.92044378741145</v>
      </c>
      <c r="H111" s="68">
        <v>136.322667066071</v>
      </c>
      <c r="I111" s="69">
        <v>44306.7637962963</v>
      </c>
      <c r="J111" s="69">
        <v>44306.82436342593</v>
      </c>
      <c r="K111">
        <f>AVERAGE(H107:H111)</f>
        <v>110.9589272</v>
      </c>
      <c r="L111">
        <f>STDEV(H107:H111)</f>
        <v>118.330557</v>
      </c>
      <c r="M111" s="70">
        <v>136.322667066071</v>
      </c>
      <c r="N111" s="70">
        <v>136.322667066071</v>
      </c>
      <c r="O111" s="70">
        <v>2.92044378741145</v>
      </c>
      <c r="P111" s="70">
        <v>2.92044378741145</v>
      </c>
    </row>
    <row r="112" hidden="1">
      <c r="A112" s="67" t="s">
        <v>872</v>
      </c>
      <c r="B112" s="67" t="s">
        <v>17</v>
      </c>
      <c r="C112" s="68">
        <v>0.5</v>
      </c>
      <c r="D112" s="68">
        <v>0.5</v>
      </c>
      <c r="E112" s="68">
        <v>1.0</v>
      </c>
      <c r="F112" s="68">
        <v>0.0</v>
      </c>
      <c r="G112" s="68">
        <v>0.985303433901234</v>
      </c>
      <c r="H112" s="68">
        <v>14.2259185022174</v>
      </c>
      <c r="I112" s="69">
        <v>44306.82506944444</v>
      </c>
      <c r="J112" s="69">
        <v>44306.82519675926</v>
      </c>
      <c r="K112">
        <f>AVERAGE(H112:H116)</f>
        <v>101.9088602</v>
      </c>
      <c r="L112">
        <f>STDEV(H112:H116)</f>
        <v>117.6891946</v>
      </c>
      <c r="M112" s="70">
        <v>14.2259185022174</v>
      </c>
      <c r="N112" s="70">
        <v>14.2259185022174</v>
      </c>
      <c r="O112" s="70">
        <v>0.985303433901234</v>
      </c>
      <c r="P112" s="70">
        <v>0.985303433901234</v>
      </c>
    </row>
    <row r="113" hidden="1">
      <c r="A113" s="67" t="s">
        <v>873</v>
      </c>
      <c r="B113" s="67" t="s">
        <v>17</v>
      </c>
      <c r="C113" s="68">
        <v>0.5</v>
      </c>
      <c r="D113" s="68">
        <v>0.5</v>
      </c>
      <c r="E113" s="68">
        <v>1.0</v>
      </c>
      <c r="F113" s="68">
        <v>1.0</v>
      </c>
      <c r="G113" s="68">
        <v>1.09254770378033</v>
      </c>
      <c r="H113" s="68">
        <v>67.61900590353</v>
      </c>
      <c r="I113" s="69">
        <v>44306.825902777775</v>
      </c>
      <c r="J113" s="69">
        <v>44306.82863425926</v>
      </c>
      <c r="K113">
        <f>AVERAGE(H112:H116)</f>
        <v>101.9088602</v>
      </c>
      <c r="L113">
        <f>STDEV(H112:H116)</f>
        <v>117.6891946</v>
      </c>
      <c r="M113" s="70">
        <v>67.61900590353</v>
      </c>
      <c r="N113" s="70">
        <v>67.61900590353</v>
      </c>
      <c r="O113" s="70">
        <v>1.09254770378033</v>
      </c>
      <c r="P113" s="70">
        <v>1.09254770378033</v>
      </c>
    </row>
    <row r="114" hidden="1">
      <c r="A114" s="67" t="s">
        <v>874</v>
      </c>
      <c r="B114" s="67" t="s">
        <v>17</v>
      </c>
      <c r="C114" s="68">
        <v>0.5</v>
      </c>
      <c r="D114" s="68">
        <v>0.5</v>
      </c>
      <c r="E114" s="68">
        <v>1.0</v>
      </c>
      <c r="F114" s="68">
        <v>2.0</v>
      </c>
      <c r="G114" s="68">
        <v>1.07991001504809</v>
      </c>
      <c r="H114" s="68">
        <v>1.4504242499467</v>
      </c>
      <c r="I114" s="69">
        <v>44306.82934027778</v>
      </c>
      <c r="J114" s="69">
        <v>44306.82945601852</v>
      </c>
      <c r="K114">
        <f>AVERAGE(H112:H116)</f>
        <v>101.9088602</v>
      </c>
      <c r="L114">
        <f>STDEV(H112:H116)</f>
        <v>117.6891946</v>
      </c>
      <c r="M114" s="70">
        <v>1.4504242499467</v>
      </c>
      <c r="N114" s="70">
        <v>1.4504242499467</v>
      </c>
      <c r="O114" s="70">
        <v>1.07991001504809</v>
      </c>
      <c r="P114" s="70">
        <v>1.07991001504809</v>
      </c>
    </row>
    <row r="115" hidden="1">
      <c r="A115" s="67" t="s">
        <v>875</v>
      </c>
      <c r="B115" s="67" t="s">
        <v>17</v>
      </c>
      <c r="C115" s="68">
        <v>0.5</v>
      </c>
      <c r="D115" s="68">
        <v>0.5</v>
      </c>
      <c r="E115" s="68">
        <v>1.0</v>
      </c>
      <c r="F115" s="68">
        <v>3.0</v>
      </c>
      <c r="G115" s="68">
        <v>9.32206271755476</v>
      </c>
      <c r="H115" s="68">
        <v>289.639735803831</v>
      </c>
      <c r="I115" s="69">
        <v>44306.83017361111</v>
      </c>
      <c r="J115" s="69">
        <v>44306.8315625</v>
      </c>
      <c r="K115">
        <f>AVERAGE(H112:H116)</f>
        <v>101.9088602</v>
      </c>
      <c r="L115">
        <f>STDEV(H112:H116)</f>
        <v>117.6891946</v>
      </c>
      <c r="M115" s="70">
        <v>289.639735803831</v>
      </c>
      <c r="N115" s="70">
        <v>289.639735803831</v>
      </c>
      <c r="O115" s="70">
        <v>9.32206271755476</v>
      </c>
      <c r="P115" s="70">
        <v>9.32206271755476</v>
      </c>
    </row>
    <row r="116" hidden="1">
      <c r="A116" s="67" t="s">
        <v>876</v>
      </c>
      <c r="B116" s="67" t="s">
        <v>17</v>
      </c>
      <c r="C116" s="68">
        <v>0.5</v>
      </c>
      <c r="D116" s="68">
        <v>0.5</v>
      </c>
      <c r="E116" s="68">
        <v>1.0</v>
      </c>
      <c r="F116" s="68">
        <v>4.0</v>
      </c>
      <c r="G116" s="68">
        <v>3.09086087788896</v>
      </c>
      <c r="H116" s="68">
        <v>136.60921670418</v>
      </c>
      <c r="I116" s="69">
        <v>44306.832280092596</v>
      </c>
      <c r="J116" s="69">
        <v>44306.87715277778</v>
      </c>
      <c r="K116">
        <f>AVERAGE(H112:H116)</f>
        <v>101.9088602</v>
      </c>
      <c r="L116">
        <f>STDEV(H112:H116)</f>
        <v>117.6891946</v>
      </c>
      <c r="M116" s="70">
        <v>136.60921670418</v>
      </c>
      <c r="N116" s="70">
        <v>136.60921670418</v>
      </c>
      <c r="O116" s="70">
        <v>3.09086087788896</v>
      </c>
      <c r="P116" s="70">
        <v>3.09086087788896</v>
      </c>
    </row>
    <row r="117" hidden="1">
      <c r="A117" s="67" t="s">
        <v>877</v>
      </c>
      <c r="B117" s="67" t="s">
        <v>17</v>
      </c>
      <c r="C117" s="68">
        <v>0.5</v>
      </c>
      <c r="D117" s="68">
        <v>0.75</v>
      </c>
      <c r="E117" s="68">
        <v>1.0</v>
      </c>
      <c r="F117" s="68">
        <v>0.0</v>
      </c>
      <c r="G117" s="68">
        <v>1.79108390663721</v>
      </c>
      <c r="H117" s="68">
        <v>30.7424526158324</v>
      </c>
      <c r="I117" s="69">
        <v>44306.87787037037</v>
      </c>
      <c r="J117" s="69">
        <v>44306.87818287037</v>
      </c>
      <c r="K117">
        <f>AVERAGE(H117:H121)</f>
        <v>59.17765401</v>
      </c>
      <c r="L117">
        <f>STDEV(H117:H121)</f>
        <v>78.30504234</v>
      </c>
      <c r="M117" s="70">
        <v>30.7424526158324</v>
      </c>
      <c r="N117" s="70">
        <v>30.7424526158324</v>
      </c>
      <c r="O117" s="70">
        <v>1.79108390663721</v>
      </c>
      <c r="P117" s="70">
        <v>1.79108390663721</v>
      </c>
    </row>
    <row r="118" hidden="1">
      <c r="A118" s="67" t="s">
        <v>878</v>
      </c>
      <c r="B118" s="67" t="s">
        <v>17</v>
      </c>
      <c r="C118" s="68">
        <v>0.5</v>
      </c>
      <c r="D118" s="68">
        <v>0.75</v>
      </c>
      <c r="E118" s="68">
        <v>1.0</v>
      </c>
      <c r="F118" s="68">
        <v>1.0</v>
      </c>
      <c r="G118" s="68">
        <v>1.07991001504809</v>
      </c>
      <c r="H118" s="68">
        <v>1.4504242499467</v>
      </c>
      <c r="I118" s="69">
        <v>44306.87888888889</v>
      </c>
      <c r="J118" s="69">
        <v>44306.87900462963</v>
      </c>
      <c r="K118">
        <f>AVERAGE(H117:H121)</f>
        <v>59.17765401</v>
      </c>
      <c r="L118">
        <f>STDEV(H117:H121)</f>
        <v>78.30504234</v>
      </c>
      <c r="M118" s="70">
        <v>1.4504242499467</v>
      </c>
      <c r="N118" s="70">
        <v>1.4504242499467</v>
      </c>
      <c r="O118" s="70">
        <v>1.07991001504809</v>
      </c>
      <c r="P118" s="70">
        <v>1.07991001504809</v>
      </c>
    </row>
    <row r="119" hidden="1">
      <c r="A119" s="67" t="s">
        <v>879</v>
      </c>
      <c r="B119" s="67" t="s">
        <v>17</v>
      </c>
      <c r="C119" s="68">
        <v>0.5</v>
      </c>
      <c r="D119" s="68">
        <v>0.75</v>
      </c>
      <c r="E119" s="68">
        <v>1.0</v>
      </c>
      <c r="F119" s="68">
        <v>2.0</v>
      </c>
      <c r="G119" s="68">
        <v>1.5047821852132</v>
      </c>
      <c r="H119" s="68">
        <v>74.3388342772037</v>
      </c>
      <c r="I119" s="69">
        <v>44306.87971064815</v>
      </c>
      <c r="J119" s="69">
        <v>44306.880520833336</v>
      </c>
      <c r="K119">
        <f>AVERAGE(H117:H121)</f>
        <v>59.17765401</v>
      </c>
      <c r="L119">
        <f>STDEV(H117:H121)</f>
        <v>78.30504234</v>
      </c>
      <c r="M119" s="70">
        <v>74.3388342772037</v>
      </c>
      <c r="N119" s="70">
        <v>74.3388342772037</v>
      </c>
      <c r="O119" s="70">
        <v>1.5047821852132</v>
      </c>
      <c r="P119" s="70">
        <v>1.5047821852132</v>
      </c>
    </row>
    <row r="120" hidden="1">
      <c r="A120" s="67" t="s">
        <v>880</v>
      </c>
      <c r="B120" s="67" t="s">
        <v>17</v>
      </c>
      <c r="C120" s="68">
        <v>0.5</v>
      </c>
      <c r="D120" s="68">
        <v>0.75</v>
      </c>
      <c r="E120" s="68">
        <v>1.0</v>
      </c>
      <c r="F120" s="68">
        <v>3.0</v>
      </c>
      <c r="G120" s="68">
        <v>0.595028494776259</v>
      </c>
      <c r="H120" s="68">
        <v>0.776003958775545</v>
      </c>
      <c r="I120" s="69">
        <v>44306.88123842593</v>
      </c>
      <c r="J120" s="69">
        <v>44306.88230324074</v>
      </c>
      <c r="K120">
        <f>AVERAGE(H117:H121)</f>
        <v>59.17765401</v>
      </c>
      <c r="L120">
        <f>STDEV(H117:H121)</f>
        <v>78.30504234</v>
      </c>
      <c r="M120" s="70">
        <v>0.776003958775545</v>
      </c>
      <c r="N120" s="70">
        <v>0.776003958775545</v>
      </c>
      <c r="O120" s="70">
        <v>0.595028494776259</v>
      </c>
      <c r="P120" s="70">
        <v>0.595028494776259</v>
      </c>
    </row>
    <row r="121" hidden="1">
      <c r="A121" s="67" t="s">
        <v>881</v>
      </c>
      <c r="B121" s="67" t="s">
        <v>17</v>
      </c>
      <c r="C121" s="68">
        <v>0.5</v>
      </c>
      <c r="D121" s="68">
        <v>0.75</v>
      </c>
      <c r="E121" s="68">
        <v>1.0</v>
      </c>
      <c r="F121" s="68">
        <v>4.0</v>
      </c>
      <c r="G121" s="68">
        <v>4.3770766721414</v>
      </c>
      <c r="H121" s="68">
        <v>188.580554967427</v>
      </c>
      <c r="I121" s="69">
        <v>44306.88300925926</v>
      </c>
      <c r="J121" s="69">
        <v>44306.940625</v>
      </c>
      <c r="K121">
        <f>AVERAGE(H117:H121)</f>
        <v>59.17765401</v>
      </c>
      <c r="L121">
        <f>STDEV(H117:H121)</f>
        <v>78.30504234</v>
      </c>
      <c r="M121" s="70">
        <v>188.580554967427</v>
      </c>
      <c r="N121" s="70">
        <v>188.580554967427</v>
      </c>
      <c r="O121" s="70">
        <v>4.3770766721414</v>
      </c>
      <c r="P121" s="70">
        <v>4.3770766721414</v>
      </c>
    </row>
    <row r="122" hidden="1">
      <c r="A122" s="67" t="s">
        <v>882</v>
      </c>
      <c r="B122" s="67" t="s">
        <v>17</v>
      </c>
      <c r="C122" s="68">
        <v>0.5</v>
      </c>
      <c r="D122" s="68">
        <v>1.0</v>
      </c>
      <c r="E122" s="68">
        <v>1.0</v>
      </c>
      <c r="F122" s="68">
        <v>0.0</v>
      </c>
      <c r="G122" s="68">
        <v>7.28954039896145</v>
      </c>
      <c r="H122" s="68">
        <v>208.107192694817</v>
      </c>
      <c r="I122" s="69">
        <v>44294.81266203704</v>
      </c>
      <c r="J122" s="69">
        <v>44294.81275462963</v>
      </c>
      <c r="K122">
        <f>AVERAGE(H122:H126)</f>
        <v>158.8479982</v>
      </c>
      <c r="L122">
        <f>STDEV(H122:H126)</f>
        <v>111.6205798</v>
      </c>
      <c r="M122" s="70">
        <v>208.107192694817</v>
      </c>
      <c r="N122" s="70">
        <v>208.107192694817</v>
      </c>
      <c r="O122" s="70">
        <v>7.28954039896145</v>
      </c>
      <c r="P122" s="70">
        <v>7.28954039896145</v>
      </c>
    </row>
    <row r="123" hidden="1">
      <c r="A123" s="67" t="s">
        <v>883</v>
      </c>
      <c r="B123" s="67" t="s">
        <v>17</v>
      </c>
      <c r="C123" s="68">
        <v>0.5</v>
      </c>
      <c r="D123" s="68">
        <v>1.0</v>
      </c>
      <c r="E123" s="68">
        <v>1.0</v>
      </c>
      <c r="F123" s="68">
        <v>1.0</v>
      </c>
      <c r="G123" s="68">
        <v>0.224699165992594</v>
      </c>
      <c r="H123" s="68">
        <v>0.302465613227867</v>
      </c>
      <c r="I123" s="69">
        <v>44294.81344907408</v>
      </c>
      <c r="J123" s="69">
        <v>44294.813726851855</v>
      </c>
      <c r="K123">
        <f>AVERAGE(H122:H126)</f>
        <v>158.8479982</v>
      </c>
      <c r="L123">
        <f>STDEV(H122:H126)</f>
        <v>111.6205798</v>
      </c>
      <c r="M123" s="70">
        <v>0.302465613227867</v>
      </c>
      <c r="N123" s="70">
        <v>0.302465613227867</v>
      </c>
      <c r="O123" s="70">
        <v>0.224699165992594</v>
      </c>
      <c r="P123" s="70">
        <v>0.224699165992594</v>
      </c>
    </row>
    <row r="124" hidden="1">
      <c r="A124" s="67" t="s">
        <v>884</v>
      </c>
      <c r="B124" s="67" t="s">
        <v>17</v>
      </c>
      <c r="C124" s="68">
        <v>0.5</v>
      </c>
      <c r="D124" s="68">
        <v>1.0</v>
      </c>
      <c r="E124" s="68">
        <v>1.0</v>
      </c>
      <c r="F124" s="68">
        <v>2.0</v>
      </c>
      <c r="G124" s="68">
        <v>2.48827350719733</v>
      </c>
      <c r="H124" s="68">
        <v>131.803019410388</v>
      </c>
      <c r="I124" s="69">
        <v>44294.814421296294</v>
      </c>
      <c r="J124" s="69">
        <v>44294.815150462964</v>
      </c>
      <c r="K124">
        <f>AVERAGE(H122:H126)</f>
        <v>158.8479982</v>
      </c>
      <c r="L124">
        <f>STDEV(H122:H126)</f>
        <v>111.6205798</v>
      </c>
      <c r="M124" s="70">
        <v>131.803019410388</v>
      </c>
      <c r="N124" s="70">
        <v>131.803019410388</v>
      </c>
      <c r="O124" s="70">
        <v>2.48827350719733</v>
      </c>
      <c r="P124" s="70">
        <v>2.48827350719733</v>
      </c>
    </row>
    <row r="125" hidden="1">
      <c r="A125" s="67" t="s">
        <v>885</v>
      </c>
      <c r="B125" s="67" t="s">
        <v>17</v>
      </c>
      <c r="C125" s="68">
        <v>0.5</v>
      </c>
      <c r="D125" s="68">
        <v>1.0</v>
      </c>
      <c r="E125" s="68">
        <v>1.0</v>
      </c>
      <c r="F125" s="68">
        <v>3.0</v>
      </c>
      <c r="G125" s="68">
        <v>10.0738734767799</v>
      </c>
      <c r="H125" s="68">
        <v>305.272574116273</v>
      </c>
      <c r="I125" s="69">
        <v>44294.81584490741</v>
      </c>
      <c r="J125" s="69">
        <v>44294.816400462965</v>
      </c>
      <c r="K125">
        <f>AVERAGE(H122:H126)</f>
        <v>158.8479982</v>
      </c>
      <c r="L125">
        <f>STDEV(H122:H126)</f>
        <v>111.6205798</v>
      </c>
      <c r="M125" s="70">
        <v>305.272574116273</v>
      </c>
      <c r="N125" s="70">
        <v>305.272574116273</v>
      </c>
      <c r="O125" s="70">
        <v>10.0738734767799</v>
      </c>
      <c r="P125" s="70">
        <v>10.0738734767799</v>
      </c>
    </row>
    <row r="126" hidden="1">
      <c r="A126" s="67" t="s">
        <v>886</v>
      </c>
      <c r="B126" s="67" t="s">
        <v>17</v>
      </c>
      <c r="C126" s="68">
        <v>0.5</v>
      </c>
      <c r="D126" s="68">
        <v>1.0</v>
      </c>
      <c r="E126" s="68">
        <v>1.0</v>
      </c>
      <c r="F126" s="68">
        <v>4.0</v>
      </c>
      <c r="G126" s="68">
        <v>3.14246690467679</v>
      </c>
      <c r="H126" s="68">
        <v>148.754739257434</v>
      </c>
      <c r="I126" s="69">
        <v>44293.86572916667</v>
      </c>
      <c r="J126" s="69">
        <v>44294.005474537036</v>
      </c>
      <c r="K126">
        <f>AVERAGE(H122:H126)</f>
        <v>158.8479982</v>
      </c>
      <c r="L126">
        <f>STDEV(H122:H126)</f>
        <v>111.6205798</v>
      </c>
      <c r="M126" s="70">
        <v>148.754739257434</v>
      </c>
      <c r="N126" s="70">
        <v>148.754739257434</v>
      </c>
      <c r="O126" s="70">
        <v>3.14246690467679</v>
      </c>
      <c r="P126" s="70">
        <v>3.14246690467679</v>
      </c>
    </row>
    <row r="127" hidden="1">
      <c r="A127" s="67" t="s">
        <v>887</v>
      </c>
      <c r="B127" s="67" t="s">
        <v>17</v>
      </c>
      <c r="C127" s="68">
        <v>0.75</v>
      </c>
      <c r="D127" s="68">
        <v>0.1</v>
      </c>
      <c r="E127" s="68">
        <v>1.0</v>
      </c>
      <c r="F127" s="68">
        <v>0.0</v>
      </c>
      <c r="G127" s="68">
        <v>1.47785437775851</v>
      </c>
      <c r="H127" s="68">
        <v>72.8224171255309</v>
      </c>
      <c r="I127" s="69">
        <v>44306.94133101852</v>
      </c>
      <c r="J127" s="69">
        <v>44306.94217592593</v>
      </c>
      <c r="K127">
        <f>AVERAGE(H127:H131)</f>
        <v>88.5200065</v>
      </c>
      <c r="L127">
        <f>STDEV(H127:H131)</f>
        <v>94.86360889</v>
      </c>
      <c r="M127" s="70">
        <v>72.8224171255309</v>
      </c>
      <c r="N127" s="70">
        <v>72.8224171255309</v>
      </c>
      <c r="O127" s="70">
        <v>1.47785437775851</v>
      </c>
      <c r="P127" s="70">
        <v>1.47785437775851</v>
      </c>
    </row>
    <row r="128" hidden="1">
      <c r="A128" s="67" t="s">
        <v>888</v>
      </c>
      <c r="B128" s="67" t="s">
        <v>17</v>
      </c>
      <c r="C128" s="68">
        <v>0.75</v>
      </c>
      <c r="D128" s="68">
        <v>0.1</v>
      </c>
      <c r="E128" s="68">
        <v>1.0</v>
      </c>
      <c r="F128" s="68">
        <v>1.0</v>
      </c>
      <c r="G128" s="68">
        <v>5.49385456759632</v>
      </c>
      <c r="H128" s="68">
        <v>216.202606395433</v>
      </c>
      <c r="I128" s="69">
        <v>44306.942881944444</v>
      </c>
      <c r="J128" s="69">
        <v>44306.944861111115</v>
      </c>
      <c r="K128">
        <f>AVERAGE(H127:H131)</f>
        <v>88.5200065</v>
      </c>
      <c r="L128">
        <f>STDEV(H127:H131)</f>
        <v>94.86360889</v>
      </c>
      <c r="M128" s="70">
        <v>216.202606395433</v>
      </c>
      <c r="N128" s="70">
        <v>216.202606395433</v>
      </c>
      <c r="O128" s="70">
        <v>5.49385456759632</v>
      </c>
      <c r="P128" s="70">
        <v>5.49385456759632</v>
      </c>
    </row>
    <row r="129" hidden="1">
      <c r="A129" s="67" t="s">
        <v>889</v>
      </c>
      <c r="B129" s="67" t="s">
        <v>17</v>
      </c>
      <c r="C129" s="68">
        <v>0.75</v>
      </c>
      <c r="D129" s="68">
        <v>0.1</v>
      </c>
      <c r="E129" s="68">
        <v>1.0</v>
      </c>
      <c r="F129" s="68">
        <v>2.0</v>
      </c>
      <c r="G129" s="68">
        <v>0.712647031637279</v>
      </c>
      <c r="H129" s="68">
        <v>0.949268918176112</v>
      </c>
      <c r="I129" s="69">
        <v>44306.9455787037</v>
      </c>
      <c r="J129" s="69">
        <v>44306.94579861111</v>
      </c>
      <c r="K129">
        <f>AVERAGE(H127:H131)</f>
        <v>88.5200065</v>
      </c>
      <c r="L129">
        <f>STDEV(H127:H131)</f>
        <v>94.86360889</v>
      </c>
      <c r="M129" s="70">
        <v>0.949268918176112</v>
      </c>
      <c r="N129" s="70">
        <v>0.949268918176112</v>
      </c>
      <c r="O129" s="70">
        <v>0.712647031637279</v>
      </c>
      <c r="P129" s="70">
        <v>0.712647031637279</v>
      </c>
    </row>
    <row r="130" hidden="1">
      <c r="A130" s="67" t="s">
        <v>890</v>
      </c>
      <c r="B130" s="67" t="s">
        <v>17</v>
      </c>
      <c r="C130" s="68">
        <v>0.75</v>
      </c>
      <c r="D130" s="68">
        <v>0.1</v>
      </c>
      <c r="E130" s="68">
        <v>1.0</v>
      </c>
      <c r="F130" s="68">
        <v>3.0</v>
      </c>
      <c r="G130" s="68">
        <v>3.41573192351869</v>
      </c>
      <c r="H130" s="68">
        <v>152.077288094007</v>
      </c>
      <c r="I130" s="69">
        <v>44306.94650462963</v>
      </c>
      <c r="J130" s="69">
        <v>44306.991574074076</v>
      </c>
      <c r="K130">
        <f>AVERAGE(H127:H131)</f>
        <v>88.5200065</v>
      </c>
      <c r="L130">
        <f>STDEV(H127:H131)</f>
        <v>94.86360889</v>
      </c>
      <c r="M130" s="70">
        <v>152.077288094007</v>
      </c>
      <c r="N130" s="70">
        <v>152.077288094007</v>
      </c>
      <c r="O130" s="70">
        <v>3.41573192351869</v>
      </c>
      <c r="P130" s="70">
        <v>3.41573192351869</v>
      </c>
    </row>
    <row r="131" hidden="1">
      <c r="A131" s="67" t="s">
        <v>891</v>
      </c>
      <c r="B131" s="67" t="s">
        <v>17</v>
      </c>
      <c r="C131" s="68">
        <v>0.75</v>
      </c>
      <c r="D131" s="68">
        <v>0.1</v>
      </c>
      <c r="E131" s="68">
        <v>1.0</v>
      </c>
      <c r="F131" s="68">
        <v>4.0</v>
      </c>
      <c r="G131" s="68">
        <v>0.458580232957979</v>
      </c>
      <c r="H131" s="68">
        <v>0.548451942444193</v>
      </c>
      <c r="I131" s="69">
        <v>44306.99229166667</v>
      </c>
      <c r="J131" s="69">
        <v>44306.99244212963</v>
      </c>
      <c r="K131">
        <f>AVERAGE(H127:H131)</f>
        <v>88.5200065</v>
      </c>
      <c r="L131">
        <f>STDEV(H127:H131)</f>
        <v>94.86360889</v>
      </c>
      <c r="M131" s="70">
        <v>0.548451942444193</v>
      </c>
      <c r="N131" s="70">
        <v>0.548451942444193</v>
      </c>
      <c r="O131" s="70">
        <v>0.458580232957979</v>
      </c>
      <c r="P131" s="70">
        <v>0.458580232957979</v>
      </c>
    </row>
    <row r="132" hidden="1">
      <c r="A132" s="67" t="s">
        <v>892</v>
      </c>
      <c r="B132" s="67" t="s">
        <v>17</v>
      </c>
      <c r="C132" s="68">
        <v>0.75</v>
      </c>
      <c r="D132" s="68">
        <v>0.25</v>
      </c>
      <c r="E132" s="68">
        <v>1.0</v>
      </c>
      <c r="F132" s="68">
        <v>0.0</v>
      </c>
      <c r="G132" s="68">
        <v>0.986112075366586</v>
      </c>
      <c r="H132" s="68">
        <v>14.2189950103105</v>
      </c>
      <c r="I132" s="69">
        <v>44306.993159722224</v>
      </c>
      <c r="J132" s="69">
        <v>44306.993263888886</v>
      </c>
      <c r="K132">
        <f>AVERAGE(H132:H136)</f>
        <v>89.22962905</v>
      </c>
      <c r="L132">
        <f>STDEV(H132:H136)</f>
        <v>80.77498207</v>
      </c>
      <c r="M132" s="70">
        <v>14.2189950103105</v>
      </c>
      <c r="N132" s="70">
        <v>14.2189950103105</v>
      </c>
      <c r="O132" s="70">
        <v>0.986112075366586</v>
      </c>
      <c r="P132" s="70">
        <v>0.986112075366586</v>
      </c>
    </row>
    <row r="133" hidden="1">
      <c r="A133" s="67" t="s">
        <v>893</v>
      </c>
      <c r="B133" s="67" t="s">
        <v>17</v>
      </c>
      <c r="C133" s="68">
        <v>0.75</v>
      </c>
      <c r="D133" s="68">
        <v>0.25</v>
      </c>
      <c r="E133" s="68">
        <v>1.0</v>
      </c>
      <c r="F133" s="68">
        <v>1.0</v>
      </c>
      <c r="G133" s="68">
        <v>1.47016830216035</v>
      </c>
      <c r="H133" s="68">
        <v>85.2291743834063</v>
      </c>
      <c r="I133" s="69">
        <v>44306.99398148148</v>
      </c>
      <c r="J133" s="69">
        <v>44306.99796296296</v>
      </c>
      <c r="K133">
        <f>AVERAGE(H132:H136)</f>
        <v>89.22962905</v>
      </c>
      <c r="L133">
        <f>STDEV(H132:H136)</f>
        <v>80.77498207</v>
      </c>
      <c r="M133" s="70">
        <v>85.2291743834063</v>
      </c>
      <c r="N133" s="70">
        <v>85.2291743834063</v>
      </c>
      <c r="O133" s="70">
        <v>1.47016830216035</v>
      </c>
      <c r="P133" s="70">
        <v>1.47016830216035</v>
      </c>
    </row>
    <row r="134" hidden="1">
      <c r="A134" s="67" t="s">
        <v>894</v>
      </c>
      <c r="B134" s="67" t="s">
        <v>17</v>
      </c>
      <c r="C134" s="68">
        <v>0.75</v>
      </c>
      <c r="D134" s="68">
        <v>0.25</v>
      </c>
      <c r="E134" s="68">
        <v>1.0</v>
      </c>
      <c r="F134" s="68">
        <v>2.0</v>
      </c>
      <c r="G134" s="68">
        <v>0.720459175904405</v>
      </c>
      <c r="H134" s="68">
        <v>5.1805224499527</v>
      </c>
      <c r="I134" s="69">
        <v>44306.99866898148</v>
      </c>
      <c r="J134" s="69">
        <v>44306.99872685185</v>
      </c>
      <c r="K134">
        <f>AVERAGE(H132:H136)</f>
        <v>89.22962905</v>
      </c>
      <c r="L134">
        <f>STDEV(H132:H136)</f>
        <v>80.77498207</v>
      </c>
      <c r="M134" s="70">
        <v>5.1805224499527</v>
      </c>
      <c r="N134" s="70">
        <v>5.1805224499527</v>
      </c>
      <c r="O134" s="70">
        <v>0.720459175904405</v>
      </c>
      <c r="P134" s="70">
        <v>0.720459175904405</v>
      </c>
    </row>
    <row r="135" hidden="1">
      <c r="A135" s="67" t="s">
        <v>895</v>
      </c>
      <c r="B135" s="67" t="s">
        <v>17</v>
      </c>
      <c r="C135" s="68">
        <v>0.75</v>
      </c>
      <c r="D135" s="68">
        <v>0.25</v>
      </c>
      <c r="E135" s="68">
        <v>1.0</v>
      </c>
      <c r="F135" s="68">
        <v>3.0</v>
      </c>
      <c r="G135" s="68">
        <v>3.78518130710861</v>
      </c>
      <c r="H135" s="68">
        <v>177.732032308005</v>
      </c>
      <c r="I135" s="69">
        <v>44306.99943287037</v>
      </c>
      <c r="J135" s="69">
        <v>44307.02686342593</v>
      </c>
      <c r="K135">
        <f>AVERAGE(H132:H136)</f>
        <v>89.22962905</v>
      </c>
      <c r="L135">
        <f>STDEV(H132:H136)</f>
        <v>80.77498207</v>
      </c>
      <c r="M135" s="70">
        <v>177.732032308005</v>
      </c>
      <c r="N135" s="70">
        <v>177.732032308005</v>
      </c>
      <c r="O135" s="70">
        <v>3.78518130710861</v>
      </c>
      <c r="P135" s="70">
        <v>3.78518130710861</v>
      </c>
    </row>
    <row r="136" hidden="1">
      <c r="A136" s="67" t="s">
        <v>896</v>
      </c>
      <c r="B136" s="67" t="s">
        <v>17</v>
      </c>
      <c r="C136" s="68">
        <v>0.75</v>
      </c>
      <c r="D136" s="68">
        <v>0.25</v>
      </c>
      <c r="E136" s="68">
        <v>1.0</v>
      </c>
      <c r="F136" s="68">
        <v>4.0</v>
      </c>
      <c r="G136" s="68">
        <v>4.02833577429058</v>
      </c>
      <c r="H136" s="68">
        <v>163.787421108971</v>
      </c>
      <c r="I136" s="69">
        <v>44307.02758101852</v>
      </c>
      <c r="J136" s="69">
        <v>44307.03055555555</v>
      </c>
      <c r="K136">
        <f>AVERAGE(H132:H136)</f>
        <v>89.22962905</v>
      </c>
      <c r="L136">
        <f>STDEV(H132:H136)</f>
        <v>80.77498207</v>
      </c>
      <c r="M136" s="70">
        <v>163.787421108971</v>
      </c>
      <c r="N136" s="70">
        <v>163.787421108971</v>
      </c>
      <c r="O136" s="70">
        <v>4.02833577429058</v>
      </c>
      <c r="P136" s="70">
        <v>4.02833577429058</v>
      </c>
    </row>
    <row r="137" hidden="1">
      <c r="A137" s="67" t="s">
        <v>897</v>
      </c>
      <c r="B137" s="67" t="s">
        <v>17</v>
      </c>
      <c r="C137" s="68">
        <v>0.75</v>
      </c>
      <c r="D137" s="68">
        <v>0.5</v>
      </c>
      <c r="E137" s="68">
        <v>1.0</v>
      </c>
      <c r="F137" s="68">
        <v>0.0</v>
      </c>
      <c r="G137" s="68">
        <v>0.458959857658938</v>
      </c>
      <c r="H137" s="68">
        <v>0.548790043116352</v>
      </c>
      <c r="I137" s="69">
        <v>44307.031273148146</v>
      </c>
      <c r="J137" s="69">
        <v>44307.031435185185</v>
      </c>
      <c r="K137">
        <f>AVERAGE(H137:H141)</f>
        <v>70.00758969</v>
      </c>
      <c r="L137">
        <f>STDEV(H137:H141)</f>
        <v>89.09391534</v>
      </c>
      <c r="M137" s="70">
        <v>0.548790043116352</v>
      </c>
      <c r="N137" s="70">
        <v>0.548790043116352</v>
      </c>
      <c r="O137" s="70">
        <v>0.458959857658938</v>
      </c>
      <c r="P137" s="70">
        <v>0.458959857658938</v>
      </c>
    </row>
    <row r="138" hidden="1">
      <c r="A138" s="67" t="s">
        <v>898</v>
      </c>
      <c r="B138" s="67" t="s">
        <v>17</v>
      </c>
      <c r="C138" s="68">
        <v>0.75</v>
      </c>
      <c r="D138" s="68">
        <v>0.5</v>
      </c>
      <c r="E138" s="68">
        <v>1.0</v>
      </c>
      <c r="F138" s="68">
        <v>1.0</v>
      </c>
      <c r="G138" s="68">
        <v>3.92534305155847</v>
      </c>
      <c r="H138" s="68">
        <v>173.000980631268</v>
      </c>
      <c r="I138" s="69">
        <v>44307.0321412037</v>
      </c>
      <c r="J138" s="69">
        <v>44307.12175925926</v>
      </c>
      <c r="K138">
        <f>AVERAGE(H137:H141)</f>
        <v>70.00758969</v>
      </c>
      <c r="L138">
        <f>STDEV(H137:H141)</f>
        <v>89.09391534</v>
      </c>
      <c r="M138" s="70">
        <v>173.000980631268</v>
      </c>
      <c r="N138" s="70">
        <v>173.000980631268</v>
      </c>
      <c r="O138" s="70">
        <v>3.92534305155847</v>
      </c>
      <c r="P138" s="70">
        <v>3.92534305155847</v>
      </c>
    </row>
    <row r="139" hidden="1">
      <c r="A139" s="67" t="s">
        <v>899</v>
      </c>
      <c r="B139" s="67" t="s">
        <v>17</v>
      </c>
      <c r="C139" s="68">
        <v>0.75</v>
      </c>
      <c r="D139" s="68">
        <v>0.5</v>
      </c>
      <c r="E139" s="68">
        <v>1.0</v>
      </c>
      <c r="F139" s="68">
        <v>2.0</v>
      </c>
      <c r="G139" s="68">
        <v>0.986303004625677</v>
      </c>
      <c r="H139" s="68">
        <v>14.235549318641</v>
      </c>
      <c r="I139" s="69">
        <v>44307.122465277775</v>
      </c>
      <c r="J139" s="69">
        <v>44307.12258101852</v>
      </c>
      <c r="K139">
        <f>AVERAGE(H137:H141)</f>
        <v>70.00758969</v>
      </c>
      <c r="L139">
        <f>STDEV(H137:H141)</f>
        <v>89.09391534</v>
      </c>
      <c r="M139" s="70">
        <v>14.235549318641</v>
      </c>
      <c r="N139" s="70">
        <v>14.235549318641</v>
      </c>
      <c r="O139" s="70">
        <v>0.986303004625677</v>
      </c>
      <c r="P139" s="70">
        <v>0.986303004625677</v>
      </c>
    </row>
    <row r="140" hidden="1">
      <c r="A140" s="67" t="s">
        <v>900</v>
      </c>
      <c r="B140" s="67" t="s">
        <v>17</v>
      </c>
      <c r="C140" s="68">
        <v>0.75</v>
      </c>
      <c r="D140" s="68">
        <v>0.5</v>
      </c>
      <c r="E140" s="68">
        <v>1.0</v>
      </c>
      <c r="F140" s="68">
        <v>3.0</v>
      </c>
      <c r="G140" s="68">
        <v>3.12824046956476</v>
      </c>
      <c r="H140" s="68">
        <v>161.627764589952</v>
      </c>
      <c r="I140" s="69">
        <v>44307.12328703704</v>
      </c>
      <c r="J140" s="69">
        <v>44307.1234375</v>
      </c>
      <c r="K140">
        <f>AVERAGE(H137:H141)</f>
        <v>70.00758969</v>
      </c>
      <c r="L140">
        <f>STDEV(H137:H141)</f>
        <v>89.09391534</v>
      </c>
      <c r="M140" s="70">
        <v>161.627764589952</v>
      </c>
      <c r="N140" s="70">
        <v>161.627764589952</v>
      </c>
      <c r="O140" s="70">
        <v>3.12824046956476</v>
      </c>
      <c r="P140" s="70">
        <v>3.12824046956476</v>
      </c>
    </row>
    <row r="141" hidden="1">
      <c r="A141" s="67" t="s">
        <v>901</v>
      </c>
      <c r="B141" s="67" t="s">
        <v>17</v>
      </c>
      <c r="C141" s="68">
        <v>0.75</v>
      </c>
      <c r="D141" s="68">
        <v>0.5</v>
      </c>
      <c r="E141" s="68">
        <v>1.0</v>
      </c>
      <c r="F141" s="68">
        <v>4.0</v>
      </c>
      <c r="G141" s="68">
        <v>0.525989595749123</v>
      </c>
      <c r="H141" s="68">
        <v>0.624863866916846</v>
      </c>
      <c r="I141" s="69">
        <v>44307.12414351852</v>
      </c>
      <c r="J141" s="69">
        <v>44307.12464120371</v>
      </c>
      <c r="K141">
        <f>AVERAGE(H137:H141)</f>
        <v>70.00758969</v>
      </c>
      <c r="L141">
        <f>STDEV(H137:H141)</f>
        <v>89.09391534</v>
      </c>
      <c r="M141" s="70">
        <v>0.624863866916846</v>
      </c>
      <c r="N141" s="70">
        <v>0.624863866916846</v>
      </c>
      <c r="O141" s="70">
        <v>0.525989595749123</v>
      </c>
      <c r="P141" s="70">
        <v>0.525989595749123</v>
      </c>
    </row>
    <row r="142" hidden="1">
      <c r="A142" s="67" t="s">
        <v>902</v>
      </c>
      <c r="B142" s="67" t="s">
        <v>17</v>
      </c>
      <c r="C142" s="68">
        <v>0.75</v>
      </c>
      <c r="D142" s="68">
        <v>0.75</v>
      </c>
      <c r="E142" s="68">
        <v>1.0</v>
      </c>
      <c r="F142" s="68">
        <v>0.0</v>
      </c>
      <c r="G142" s="68">
        <v>1.66312762299351</v>
      </c>
      <c r="H142" s="68">
        <v>77.9860114076025</v>
      </c>
      <c r="I142" s="69">
        <v>44307.12534722222</v>
      </c>
      <c r="J142" s="69">
        <v>44307.12596064815</v>
      </c>
      <c r="K142">
        <f>AVERAGE(H142:H146)</f>
        <v>157.4218221</v>
      </c>
      <c r="L142">
        <f>STDEV(H142:H146)</f>
        <v>130.2625587</v>
      </c>
      <c r="M142" s="70">
        <v>77.9860114076025</v>
      </c>
      <c r="N142" s="70">
        <v>77.9860114076025</v>
      </c>
      <c r="O142" s="70">
        <v>1.66312762299351</v>
      </c>
      <c r="P142" s="70">
        <v>1.66312762299351</v>
      </c>
    </row>
    <row r="143" hidden="1">
      <c r="A143" s="67" t="s">
        <v>903</v>
      </c>
      <c r="B143" s="67" t="s">
        <v>17</v>
      </c>
      <c r="C143" s="68">
        <v>0.75</v>
      </c>
      <c r="D143" s="68">
        <v>0.75</v>
      </c>
      <c r="E143" s="68">
        <v>1.0</v>
      </c>
      <c r="F143" s="68">
        <v>1.0</v>
      </c>
      <c r="G143" s="68">
        <v>9.16301455461578</v>
      </c>
      <c r="H143" s="68">
        <v>279.121476214964</v>
      </c>
      <c r="I143" s="69">
        <v>44307.12667824074</v>
      </c>
      <c r="J143" s="69">
        <v>44307.12737268519</v>
      </c>
      <c r="K143">
        <f>AVERAGE(H142:H146)</f>
        <v>157.4218221</v>
      </c>
      <c r="L143">
        <f>STDEV(H142:H146)</f>
        <v>130.2625587</v>
      </c>
      <c r="M143" s="70">
        <v>279.121476214964</v>
      </c>
      <c r="N143" s="70">
        <v>279.121476214964</v>
      </c>
      <c r="O143" s="70">
        <v>9.16301455461578</v>
      </c>
      <c r="P143" s="70">
        <v>9.16301455461578</v>
      </c>
    </row>
    <row r="144" hidden="1">
      <c r="A144" s="67" t="s">
        <v>904</v>
      </c>
      <c r="B144" s="67" t="s">
        <v>17</v>
      </c>
      <c r="C144" s="68">
        <v>0.75</v>
      </c>
      <c r="D144" s="68">
        <v>0.75</v>
      </c>
      <c r="E144" s="68">
        <v>1.0</v>
      </c>
      <c r="F144" s="68">
        <v>2.0</v>
      </c>
      <c r="G144" s="68">
        <v>0.499630513022576</v>
      </c>
      <c r="H144" s="68">
        <v>0.583800903132691</v>
      </c>
      <c r="I144" s="69">
        <v>44307.1280787037</v>
      </c>
      <c r="J144" s="69">
        <v>44307.12861111111</v>
      </c>
      <c r="K144">
        <f>AVERAGE(H142:H146)</f>
        <v>157.4218221</v>
      </c>
      <c r="L144">
        <f>STDEV(H142:H146)</f>
        <v>130.2625587</v>
      </c>
      <c r="M144" s="70">
        <v>0.583800903132691</v>
      </c>
      <c r="N144" s="70">
        <v>0.583800903132691</v>
      </c>
      <c r="O144" s="70">
        <v>0.499630513022576</v>
      </c>
      <c r="P144" s="70">
        <v>0.499630513022576</v>
      </c>
    </row>
    <row r="145" hidden="1">
      <c r="A145" s="67" t="s">
        <v>905</v>
      </c>
      <c r="B145" s="67" t="s">
        <v>17</v>
      </c>
      <c r="C145" s="68">
        <v>0.75</v>
      </c>
      <c r="D145" s="68">
        <v>0.75</v>
      </c>
      <c r="E145" s="68">
        <v>1.0</v>
      </c>
      <c r="F145" s="68">
        <v>3.0</v>
      </c>
      <c r="G145" s="68">
        <v>2.70466299239299</v>
      </c>
      <c r="H145" s="68">
        <v>126.417640027769</v>
      </c>
      <c r="I145" s="69">
        <v>44307.12931712963</v>
      </c>
      <c r="J145" s="69">
        <v>44307.184479166666</v>
      </c>
      <c r="K145">
        <f>AVERAGE(H142:H146)</f>
        <v>157.4218221</v>
      </c>
      <c r="L145">
        <f>STDEV(H142:H146)</f>
        <v>130.2625587</v>
      </c>
      <c r="M145" s="70">
        <v>126.417640027769</v>
      </c>
      <c r="N145" s="70">
        <v>126.417640027769</v>
      </c>
      <c r="O145" s="70">
        <v>2.70466299239299</v>
      </c>
      <c r="P145" s="70">
        <v>2.70466299239299</v>
      </c>
    </row>
    <row r="146" hidden="1">
      <c r="A146" s="67" t="s">
        <v>906</v>
      </c>
      <c r="B146" s="67" t="s">
        <v>17</v>
      </c>
      <c r="C146" s="68">
        <v>0.75</v>
      </c>
      <c r="D146" s="68">
        <v>0.75</v>
      </c>
      <c r="E146" s="68">
        <v>1.0</v>
      </c>
      <c r="F146" s="68">
        <v>4.0</v>
      </c>
      <c r="G146" s="68">
        <v>9.97794291774998</v>
      </c>
      <c r="H146" s="68">
        <v>303.000181699077</v>
      </c>
      <c r="I146" s="69">
        <v>44307.18518518518</v>
      </c>
      <c r="J146" s="69">
        <v>44307.1853587963</v>
      </c>
      <c r="K146">
        <f>AVERAGE(H142:H146)</f>
        <v>157.4218221</v>
      </c>
      <c r="L146">
        <f>STDEV(H142:H146)</f>
        <v>130.2625587</v>
      </c>
      <c r="M146" s="70">
        <v>303.000181699077</v>
      </c>
      <c r="N146" s="70">
        <v>303.000181699077</v>
      </c>
      <c r="O146" s="70">
        <v>9.97794291774998</v>
      </c>
      <c r="P146" s="70">
        <v>9.97794291774998</v>
      </c>
    </row>
    <row r="147" hidden="1">
      <c r="A147" s="67" t="s">
        <v>907</v>
      </c>
      <c r="B147" s="67" t="s">
        <v>17</v>
      </c>
      <c r="C147" s="68">
        <v>0.75</v>
      </c>
      <c r="D147" s="68">
        <v>1.0</v>
      </c>
      <c r="E147" s="68">
        <v>1.0</v>
      </c>
      <c r="F147" s="68">
        <v>0.0</v>
      </c>
      <c r="G147" s="68">
        <v>3.30725085243066</v>
      </c>
      <c r="H147" s="68">
        <v>154.245064534415</v>
      </c>
      <c r="I147" s="69">
        <v>44307.186064814814</v>
      </c>
      <c r="J147" s="69">
        <v>44307.26337962963</v>
      </c>
      <c r="K147">
        <f>AVERAGE(H147:H151)</f>
        <v>135.881045</v>
      </c>
      <c r="L147">
        <f>STDEV(H147:H151)</f>
        <v>134.6064973</v>
      </c>
      <c r="M147" s="70">
        <v>154.245064534415</v>
      </c>
      <c r="N147" s="70">
        <v>154.245064534415</v>
      </c>
      <c r="O147" s="70">
        <v>3.30725085243066</v>
      </c>
      <c r="P147" s="70">
        <v>3.30725085243066</v>
      </c>
    </row>
    <row r="148" hidden="1">
      <c r="A148" s="67" t="s">
        <v>908</v>
      </c>
      <c r="B148" s="67" t="s">
        <v>17</v>
      </c>
      <c r="C148" s="68">
        <v>0.75</v>
      </c>
      <c r="D148" s="68">
        <v>1.0</v>
      </c>
      <c r="E148" s="68">
        <v>1.0</v>
      </c>
      <c r="F148" s="68">
        <v>1.0</v>
      </c>
      <c r="G148" s="68">
        <v>0.45804006466034</v>
      </c>
      <c r="H148" s="68">
        <v>0.548173195268089</v>
      </c>
      <c r="I148" s="69">
        <v>44307.264085648145</v>
      </c>
      <c r="J148" s="69">
        <v>44307.26424768518</v>
      </c>
      <c r="K148">
        <f>AVERAGE(H147:H151)</f>
        <v>135.881045</v>
      </c>
      <c r="L148">
        <f>STDEV(H147:H151)</f>
        <v>134.6064973</v>
      </c>
      <c r="M148" s="70">
        <v>0.548173195268089</v>
      </c>
      <c r="N148" s="70">
        <v>0.548173195268089</v>
      </c>
      <c r="O148" s="70">
        <v>0.45804006466034</v>
      </c>
      <c r="P148" s="70">
        <v>0.45804006466034</v>
      </c>
    </row>
    <row r="149" hidden="1">
      <c r="A149" s="67" t="s">
        <v>909</v>
      </c>
      <c r="B149" s="67" t="s">
        <v>17</v>
      </c>
      <c r="C149" s="68">
        <v>0.75</v>
      </c>
      <c r="D149" s="68">
        <v>1.0</v>
      </c>
      <c r="E149" s="68">
        <v>1.0</v>
      </c>
      <c r="F149" s="68">
        <v>2.0</v>
      </c>
      <c r="G149" s="68">
        <v>10.1044766931556</v>
      </c>
      <c r="H149" s="68">
        <v>305.932036150214</v>
      </c>
      <c r="I149" s="69">
        <v>44307.26495370371</v>
      </c>
      <c r="J149" s="69">
        <v>44307.265127314815</v>
      </c>
      <c r="K149">
        <f>AVERAGE(H147:H151)</f>
        <v>135.881045</v>
      </c>
      <c r="L149">
        <f>STDEV(H147:H151)</f>
        <v>134.6064973</v>
      </c>
      <c r="M149" s="70">
        <v>305.932036150214</v>
      </c>
      <c r="N149" s="70">
        <v>305.932036150214</v>
      </c>
      <c r="O149" s="70">
        <v>10.1044766931556</v>
      </c>
      <c r="P149" s="70">
        <v>10.1044766931556</v>
      </c>
    </row>
    <row r="150" hidden="1">
      <c r="A150" s="67" t="s">
        <v>910</v>
      </c>
      <c r="B150" s="67" t="s">
        <v>17</v>
      </c>
      <c r="C150" s="68">
        <v>0.75</v>
      </c>
      <c r="D150" s="68">
        <v>1.0</v>
      </c>
      <c r="E150" s="68">
        <v>1.0</v>
      </c>
      <c r="F150" s="68">
        <v>3.0</v>
      </c>
      <c r="G150" s="68">
        <v>8.38948199032622</v>
      </c>
      <c r="H150" s="68">
        <v>217.730973322204</v>
      </c>
      <c r="I150" s="69">
        <v>44307.26584490741</v>
      </c>
      <c r="J150" s="69">
        <v>44307.26587962963</v>
      </c>
      <c r="K150">
        <f>AVERAGE(H147:H151)</f>
        <v>135.881045</v>
      </c>
      <c r="L150">
        <f>STDEV(H147:H151)</f>
        <v>134.6064973</v>
      </c>
      <c r="M150" s="70">
        <v>217.730973322204</v>
      </c>
      <c r="N150" s="70">
        <v>217.730973322204</v>
      </c>
      <c r="O150" s="70">
        <v>8.38948199032622</v>
      </c>
      <c r="P150" s="70">
        <v>8.38948199032622</v>
      </c>
    </row>
    <row r="151" hidden="1">
      <c r="A151" s="67" t="s">
        <v>911</v>
      </c>
      <c r="B151" s="67" t="s">
        <v>17</v>
      </c>
      <c r="C151" s="68">
        <v>0.75</v>
      </c>
      <c r="D151" s="68">
        <v>1.0</v>
      </c>
      <c r="E151" s="68">
        <v>1.0</v>
      </c>
      <c r="F151" s="68">
        <v>4.0</v>
      </c>
      <c r="G151" s="68">
        <v>0.71205655889852</v>
      </c>
      <c r="H151" s="68">
        <v>0.948977832482219</v>
      </c>
      <c r="I151" s="69">
        <v>44307.266597222224</v>
      </c>
      <c r="J151" s="69">
        <v>44307.26681712963</v>
      </c>
      <c r="K151">
        <f>AVERAGE(H147:H151)</f>
        <v>135.881045</v>
      </c>
      <c r="L151">
        <f>STDEV(H147:H151)</f>
        <v>134.6064973</v>
      </c>
      <c r="M151" s="70">
        <v>0.948977832482219</v>
      </c>
      <c r="N151" s="70">
        <v>0.948977832482219</v>
      </c>
      <c r="O151" s="70">
        <v>0.71205655889852</v>
      </c>
      <c r="P151" s="70">
        <v>0.71205655889852</v>
      </c>
    </row>
    <row r="152" hidden="1">
      <c r="A152" s="67" t="s">
        <v>912</v>
      </c>
      <c r="B152" s="67" t="s">
        <v>17</v>
      </c>
      <c r="C152" s="68">
        <v>1.0</v>
      </c>
      <c r="D152" s="68">
        <v>0.1</v>
      </c>
      <c r="E152" s="68">
        <v>1.0</v>
      </c>
      <c r="F152" s="68">
        <v>0.0</v>
      </c>
      <c r="G152" s="68">
        <v>4.06039194985872</v>
      </c>
      <c r="H152" s="68">
        <v>179.465896546666</v>
      </c>
      <c r="I152" s="69">
        <v>44307.267534722225</v>
      </c>
      <c r="J152" s="69">
        <v>44307.33928240741</v>
      </c>
      <c r="K152">
        <f>AVERAGE(H152:H156)</f>
        <v>44.56670846</v>
      </c>
      <c r="L152">
        <f>STDEV(H152:H156)</f>
        <v>76.24914194</v>
      </c>
      <c r="M152" s="70">
        <v>179.465896546666</v>
      </c>
      <c r="N152" s="70">
        <v>179.465896546666</v>
      </c>
      <c r="O152" s="70">
        <v>4.06039194985872</v>
      </c>
      <c r="P152" s="70">
        <v>4.06039194985872</v>
      </c>
    </row>
    <row r="153" hidden="1">
      <c r="A153" s="67" t="s">
        <v>913</v>
      </c>
      <c r="B153" s="67" t="s">
        <v>17</v>
      </c>
      <c r="C153" s="68">
        <v>1.0</v>
      </c>
      <c r="D153" s="68">
        <v>0.1</v>
      </c>
      <c r="E153" s="68">
        <v>1.0</v>
      </c>
      <c r="F153" s="68">
        <v>1.0</v>
      </c>
      <c r="G153" s="68">
        <v>1.68218622894862</v>
      </c>
      <c r="H153" s="68">
        <v>27.8505395336655</v>
      </c>
      <c r="I153" s="69">
        <v>44307.34</v>
      </c>
      <c r="J153" s="69">
        <v>44307.340416666666</v>
      </c>
      <c r="K153">
        <f>AVERAGE(H152:H156)</f>
        <v>44.56670846</v>
      </c>
      <c r="L153">
        <f>STDEV(H152:H156)</f>
        <v>76.24914194</v>
      </c>
      <c r="M153" s="70">
        <v>27.8505395336655</v>
      </c>
      <c r="N153" s="70">
        <v>27.8505395336655</v>
      </c>
      <c r="O153" s="70">
        <v>1.68218622894862</v>
      </c>
      <c r="P153" s="70">
        <v>1.68218622894862</v>
      </c>
    </row>
    <row r="154" hidden="1">
      <c r="A154" s="67" t="s">
        <v>914</v>
      </c>
      <c r="B154" s="67" t="s">
        <v>17</v>
      </c>
      <c r="C154" s="68">
        <v>1.0</v>
      </c>
      <c r="D154" s="68">
        <v>0.1</v>
      </c>
      <c r="E154" s="68">
        <v>1.0</v>
      </c>
      <c r="F154" s="68">
        <v>2.0</v>
      </c>
      <c r="G154" s="68">
        <v>0.548256113233087</v>
      </c>
      <c r="H154" s="68">
        <v>0.673150388241619</v>
      </c>
      <c r="I154" s="69">
        <v>44307.34113425926</v>
      </c>
      <c r="J154" s="69">
        <v>44307.34127314815</v>
      </c>
      <c r="K154">
        <f>AVERAGE(H152:H156)</f>
        <v>44.56670846</v>
      </c>
      <c r="L154">
        <f>STDEV(H152:H156)</f>
        <v>76.24914194</v>
      </c>
      <c r="M154" s="70">
        <v>0.673150388241619</v>
      </c>
      <c r="N154" s="70">
        <v>0.673150388241619</v>
      </c>
      <c r="O154" s="70">
        <v>0.548256113233087</v>
      </c>
      <c r="P154" s="70">
        <v>0.548256113233087</v>
      </c>
    </row>
    <row r="155" hidden="1">
      <c r="A155" s="67" t="s">
        <v>915</v>
      </c>
      <c r="B155" s="67" t="s">
        <v>17</v>
      </c>
      <c r="C155" s="68">
        <v>1.0</v>
      </c>
      <c r="D155" s="68">
        <v>0.1</v>
      </c>
      <c r="E155" s="68">
        <v>1.0</v>
      </c>
      <c r="F155" s="68">
        <v>3.0</v>
      </c>
      <c r="G155" s="68">
        <v>0.986112075366586</v>
      </c>
      <c r="H155" s="68">
        <v>14.2189950103105</v>
      </c>
      <c r="I155" s="69">
        <v>44307.34197916667</v>
      </c>
      <c r="J155" s="69">
        <v>44307.342094907406</v>
      </c>
      <c r="K155">
        <f>AVERAGE(H152:H156)</f>
        <v>44.56670846</v>
      </c>
      <c r="L155">
        <f>STDEV(H152:H156)</f>
        <v>76.24914194</v>
      </c>
      <c r="M155" s="70">
        <v>14.2189950103105</v>
      </c>
      <c r="N155" s="70">
        <v>14.2189950103105</v>
      </c>
      <c r="O155" s="70">
        <v>0.986112075366586</v>
      </c>
      <c r="P155" s="70">
        <v>0.986112075366586</v>
      </c>
    </row>
    <row r="156" hidden="1">
      <c r="A156" s="67" t="s">
        <v>916</v>
      </c>
      <c r="B156" s="67" t="s">
        <v>17</v>
      </c>
      <c r="C156" s="68">
        <v>1.0</v>
      </c>
      <c r="D156" s="68">
        <v>0.1</v>
      </c>
      <c r="E156" s="68">
        <v>1.0</v>
      </c>
      <c r="F156" s="68">
        <v>4.0</v>
      </c>
      <c r="G156" s="68">
        <v>0.525455129092184</v>
      </c>
      <c r="H156" s="68">
        <v>0.624960839722232</v>
      </c>
      <c r="I156" s="69">
        <v>44307.3428125</v>
      </c>
      <c r="J156" s="69">
        <v>44307.343356481484</v>
      </c>
      <c r="K156">
        <f>AVERAGE(H152:H156)</f>
        <v>44.56670846</v>
      </c>
      <c r="L156">
        <f>STDEV(H152:H156)</f>
        <v>76.24914194</v>
      </c>
      <c r="M156" s="70">
        <v>0.624960839722232</v>
      </c>
      <c r="N156" s="70">
        <v>0.624960839722232</v>
      </c>
      <c r="O156" s="70">
        <v>0.525455129092184</v>
      </c>
      <c r="P156" s="70">
        <v>0.525455129092184</v>
      </c>
    </row>
    <row r="157" hidden="1">
      <c r="A157" s="67" t="s">
        <v>917</v>
      </c>
      <c r="B157" s="67" t="s">
        <v>17</v>
      </c>
      <c r="C157" s="68">
        <v>1.0</v>
      </c>
      <c r="D157" s="68">
        <v>0.25</v>
      </c>
      <c r="E157" s="68">
        <v>1.0</v>
      </c>
      <c r="F157" s="68">
        <v>0.0</v>
      </c>
      <c r="G157" s="68">
        <v>3.01107413276164</v>
      </c>
      <c r="H157" s="68">
        <v>132.176618880529</v>
      </c>
      <c r="I157" s="69">
        <v>44307.3440625</v>
      </c>
      <c r="J157" s="69">
        <v>44307.35381944444</v>
      </c>
      <c r="K157">
        <f>AVERAGE(H157:H161)</f>
        <v>101.5307333</v>
      </c>
      <c r="L157">
        <f>STDEV(H157:H161)</f>
        <v>81.79915455</v>
      </c>
      <c r="M157" s="70">
        <v>132.176618880529</v>
      </c>
      <c r="N157" s="70">
        <v>132.176618880529</v>
      </c>
      <c r="O157" s="70">
        <v>3.01107413276164</v>
      </c>
      <c r="P157" s="70">
        <v>3.01107413276164</v>
      </c>
    </row>
    <row r="158" hidden="1">
      <c r="A158" s="67" t="s">
        <v>918</v>
      </c>
      <c r="B158" s="67" t="s">
        <v>17</v>
      </c>
      <c r="C158" s="68">
        <v>1.0</v>
      </c>
      <c r="D158" s="68">
        <v>0.25</v>
      </c>
      <c r="E158" s="68">
        <v>1.0</v>
      </c>
      <c r="F158" s="68">
        <v>1.0</v>
      </c>
      <c r="G158" s="68">
        <v>1.68463117701819</v>
      </c>
      <c r="H158" s="68">
        <v>28.2771162390011</v>
      </c>
      <c r="I158" s="69">
        <v>44307.354525462964</v>
      </c>
      <c r="J158" s="69">
        <v>44307.35494212963</v>
      </c>
      <c r="K158">
        <f>AVERAGE(H157:H161)</f>
        <v>101.5307333</v>
      </c>
      <c r="L158">
        <f>STDEV(H157:H161)</f>
        <v>81.79915455</v>
      </c>
      <c r="M158" s="70">
        <v>28.2771162390011</v>
      </c>
      <c r="N158" s="70">
        <v>28.2771162390011</v>
      </c>
      <c r="O158" s="70">
        <v>1.68463117701819</v>
      </c>
      <c r="P158" s="70">
        <v>1.68463117701819</v>
      </c>
    </row>
    <row r="159" hidden="1">
      <c r="A159" s="67" t="s">
        <v>919</v>
      </c>
      <c r="B159" s="67" t="s">
        <v>17</v>
      </c>
      <c r="C159" s="68">
        <v>1.0</v>
      </c>
      <c r="D159" s="68">
        <v>0.25</v>
      </c>
      <c r="E159" s="68">
        <v>1.0</v>
      </c>
      <c r="F159" s="68">
        <v>2.0</v>
      </c>
      <c r="G159" s="68">
        <v>0.548706575097071</v>
      </c>
      <c r="H159" s="68">
        <v>0.701544087401775</v>
      </c>
      <c r="I159" s="69">
        <v>44307.35564814815</v>
      </c>
      <c r="J159" s="69">
        <v>44307.355787037035</v>
      </c>
      <c r="K159">
        <f>AVERAGE(H157:H161)</f>
        <v>101.5307333</v>
      </c>
      <c r="L159">
        <f>STDEV(H157:H161)</f>
        <v>81.79915455</v>
      </c>
      <c r="M159" s="70">
        <v>0.701544087401775</v>
      </c>
      <c r="N159" s="70">
        <v>0.701544087401775</v>
      </c>
      <c r="O159" s="70">
        <v>0.548706575097071</v>
      </c>
      <c r="P159" s="70">
        <v>0.548706575097071</v>
      </c>
    </row>
    <row r="160" hidden="1">
      <c r="A160" s="67" t="s">
        <v>920</v>
      </c>
      <c r="B160" s="67" t="s">
        <v>17</v>
      </c>
      <c r="C160" s="68">
        <v>1.0</v>
      </c>
      <c r="D160" s="68">
        <v>0.25</v>
      </c>
      <c r="E160" s="68">
        <v>1.0</v>
      </c>
      <c r="F160" s="68">
        <v>3.0</v>
      </c>
      <c r="G160" s="68">
        <v>3.47691230798591</v>
      </c>
      <c r="H160" s="68">
        <v>171.584331528746</v>
      </c>
      <c r="I160" s="69">
        <v>44307.35650462963</v>
      </c>
      <c r="J160" s="69">
        <v>44307.39361111111</v>
      </c>
      <c r="K160">
        <f>AVERAGE(H157:H161)</f>
        <v>101.5307333</v>
      </c>
      <c r="L160">
        <f>STDEV(H157:H161)</f>
        <v>81.79915455</v>
      </c>
      <c r="M160" s="70">
        <v>171.584331528746</v>
      </c>
      <c r="N160" s="70">
        <v>171.584331528746</v>
      </c>
      <c r="O160" s="70">
        <v>3.47691230798591</v>
      </c>
      <c r="P160" s="70">
        <v>3.47691230798591</v>
      </c>
    </row>
    <row r="161" hidden="1">
      <c r="A161" s="67" t="s">
        <v>921</v>
      </c>
      <c r="B161" s="67" t="s">
        <v>17</v>
      </c>
      <c r="C161" s="68">
        <v>1.0</v>
      </c>
      <c r="D161" s="68">
        <v>0.25</v>
      </c>
      <c r="E161" s="68">
        <v>1.0</v>
      </c>
      <c r="F161" s="68">
        <v>4.0</v>
      </c>
      <c r="G161" s="68">
        <v>4.97064487496663</v>
      </c>
      <c r="H161" s="68">
        <v>174.914055685142</v>
      </c>
      <c r="I161" s="69">
        <v>44307.39431712963</v>
      </c>
      <c r="J161" s="69">
        <v>44307.394375</v>
      </c>
      <c r="K161">
        <f>AVERAGE(H157:H161)</f>
        <v>101.5307333</v>
      </c>
      <c r="L161">
        <f>STDEV(H157:H161)</f>
        <v>81.79915455</v>
      </c>
      <c r="M161" s="70">
        <v>174.914055685142</v>
      </c>
      <c r="N161" s="70">
        <v>174.914055685142</v>
      </c>
      <c r="O161" s="70">
        <v>4.97064487496663</v>
      </c>
      <c r="P161" s="70">
        <v>4.97064487496663</v>
      </c>
    </row>
    <row r="162" hidden="1">
      <c r="A162" s="67" t="s">
        <v>922</v>
      </c>
      <c r="B162" s="67" t="s">
        <v>17</v>
      </c>
      <c r="C162" s="68">
        <v>1.0</v>
      </c>
      <c r="D162" s="68">
        <v>0.5</v>
      </c>
      <c r="E162" s="68">
        <v>1.0</v>
      </c>
      <c r="F162" s="68">
        <v>0.0</v>
      </c>
      <c r="G162" s="68">
        <v>9.46715165515033</v>
      </c>
      <c r="H162" s="68">
        <v>295.186063086061</v>
      </c>
      <c r="I162" s="69">
        <v>44307.39508101852</v>
      </c>
      <c r="J162" s="69">
        <v>44307.39527777778</v>
      </c>
      <c r="K162">
        <f>AVERAGE(H162:H166)</f>
        <v>165.9151442</v>
      </c>
      <c r="L162">
        <f>STDEV(H162:H166)</f>
        <v>76.16215251</v>
      </c>
      <c r="M162" s="70">
        <v>295.186063086061</v>
      </c>
      <c r="N162" s="70">
        <v>295.186063086061</v>
      </c>
      <c r="O162" s="70">
        <v>9.46715165515033</v>
      </c>
      <c r="P162" s="70">
        <v>9.46715165515033</v>
      </c>
    </row>
    <row r="163" hidden="1">
      <c r="A163" s="67" t="s">
        <v>923</v>
      </c>
      <c r="B163" s="67" t="s">
        <v>17</v>
      </c>
      <c r="C163" s="68">
        <v>1.0</v>
      </c>
      <c r="D163" s="68">
        <v>0.5</v>
      </c>
      <c r="E163" s="68">
        <v>1.0</v>
      </c>
      <c r="F163" s="68">
        <v>1.0</v>
      </c>
      <c r="G163" s="68">
        <v>3.02589782869785</v>
      </c>
      <c r="H163" s="68">
        <v>126.253088351738</v>
      </c>
      <c r="I163" s="69">
        <v>44307.3959837963</v>
      </c>
      <c r="J163" s="69">
        <v>44307.39929398148</v>
      </c>
      <c r="K163">
        <f>AVERAGE(H162:H166)</f>
        <v>165.9151442</v>
      </c>
      <c r="L163">
        <f>STDEV(H162:H166)</f>
        <v>76.16215251</v>
      </c>
      <c r="M163" s="70">
        <v>126.253088351738</v>
      </c>
      <c r="N163" s="70">
        <v>126.253088351738</v>
      </c>
      <c r="O163" s="70">
        <v>3.02589782869785</v>
      </c>
      <c r="P163" s="70">
        <v>3.02589782869785</v>
      </c>
    </row>
    <row r="164" hidden="1">
      <c r="A164" s="67" t="s">
        <v>924</v>
      </c>
      <c r="B164" s="67" t="s">
        <v>17</v>
      </c>
      <c r="C164" s="68">
        <v>1.0</v>
      </c>
      <c r="D164" s="68">
        <v>0.5</v>
      </c>
      <c r="E164" s="68">
        <v>1.0</v>
      </c>
      <c r="F164" s="68">
        <v>2.0</v>
      </c>
      <c r="G164" s="68">
        <v>2.90498772272088</v>
      </c>
      <c r="H164" s="68">
        <v>146.725916980746</v>
      </c>
      <c r="I164" s="69">
        <v>44307.4</v>
      </c>
      <c r="J164" s="69">
        <v>44307.457766203705</v>
      </c>
      <c r="K164">
        <f>AVERAGE(H162:H166)</f>
        <v>165.9151442</v>
      </c>
      <c r="L164">
        <f>STDEV(H162:H166)</f>
        <v>76.16215251</v>
      </c>
      <c r="M164" s="70">
        <v>146.725916980746</v>
      </c>
      <c r="N164" s="70">
        <v>146.725916980746</v>
      </c>
      <c r="O164" s="70">
        <v>2.90498772272088</v>
      </c>
      <c r="P164" s="70">
        <v>2.90498772272088</v>
      </c>
    </row>
    <row r="165" hidden="1">
      <c r="A165" s="67" t="s">
        <v>925</v>
      </c>
      <c r="B165" s="67" t="s">
        <v>17</v>
      </c>
      <c r="C165" s="68">
        <v>1.0</v>
      </c>
      <c r="D165" s="68">
        <v>0.5</v>
      </c>
      <c r="E165" s="68">
        <v>1.0</v>
      </c>
      <c r="F165" s="68">
        <v>3.0</v>
      </c>
      <c r="G165" s="68">
        <v>1.97314594435854</v>
      </c>
      <c r="H165" s="68">
        <v>98.5264841593225</v>
      </c>
      <c r="I165" s="69">
        <v>44307.45847222222</v>
      </c>
      <c r="J165" s="69">
        <v>44307.45888888889</v>
      </c>
      <c r="K165">
        <f>AVERAGE(H162:H166)</f>
        <v>165.9151442</v>
      </c>
      <c r="L165">
        <f>STDEV(H162:H166)</f>
        <v>76.16215251</v>
      </c>
      <c r="M165" s="70">
        <v>98.5264841593225</v>
      </c>
      <c r="N165" s="70">
        <v>98.5264841593225</v>
      </c>
      <c r="O165" s="70">
        <v>1.97314594435854</v>
      </c>
      <c r="P165" s="70">
        <v>1.97314594435854</v>
      </c>
    </row>
    <row r="166" hidden="1">
      <c r="A166" s="67" t="s">
        <v>926</v>
      </c>
      <c r="B166" s="67" t="s">
        <v>17</v>
      </c>
      <c r="C166" s="68">
        <v>1.0</v>
      </c>
      <c r="D166" s="68">
        <v>0.5</v>
      </c>
      <c r="E166" s="68">
        <v>1.0</v>
      </c>
      <c r="F166" s="68">
        <v>4.0</v>
      </c>
      <c r="G166" s="68">
        <v>3.13285625171389</v>
      </c>
      <c r="H166" s="68">
        <v>162.884168308414</v>
      </c>
      <c r="I166" s="69">
        <v>44307.45960648148</v>
      </c>
      <c r="J166" s="69">
        <v>44307.45974537037</v>
      </c>
      <c r="K166">
        <f>AVERAGE(H162:H166)</f>
        <v>165.9151442</v>
      </c>
      <c r="L166">
        <f>STDEV(H162:H166)</f>
        <v>76.16215251</v>
      </c>
      <c r="M166" s="70">
        <v>162.884168308414</v>
      </c>
      <c r="N166" s="70">
        <v>162.884168308414</v>
      </c>
      <c r="O166" s="70">
        <v>3.13285625171389</v>
      </c>
      <c r="P166" s="70">
        <v>3.13285625171389</v>
      </c>
    </row>
    <row r="167" hidden="1">
      <c r="A167" s="67" t="s">
        <v>927</v>
      </c>
      <c r="B167" s="67" t="s">
        <v>17</v>
      </c>
      <c r="C167" s="68">
        <v>1.0</v>
      </c>
      <c r="D167" s="68">
        <v>0.75</v>
      </c>
      <c r="E167" s="68">
        <v>1.0</v>
      </c>
      <c r="F167" s="68">
        <v>0.0</v>
      </c>
      <c r="G167" s="68">
        <v>0.487626577770051</v>
      </c>
      <c r="H167" s="68">
        <v>0.566274381219472</v>
      </c>
      <c r="I167" s="69">
        <v>44307.46046296296</v>
      </c>
      <c r="J167" s="69">
        <v>44307.46087962963</v>
      </c>
      <c r="K167">
        <f>AVERAGE(H167:H171)</f>
        <v>88.86310659</v>
      </c>
      <c r="L167">
        <f>STDEV(H167:H171)</f>
        <v>125.7211346</v>
      </c>
      <c r="M167" s="70">
        <v>0.566274381219472</v>
      </c>
      <c r="N167" s="70">
        <v>0.566274381219472</v>
      </c>
      <c r="O167" s="70">
        <v>0.487626577770051</v>
      </c>
      <c r="P167" s="70">
        <v>0.487626577770051</v>
      </c>
    </row>
    <row r="168" hidden="1">
      <c r="A168" s="67" t="s">
        <v>928</v>
      </c>
      <c r="B168" s="67" t="s">
        <v>17</v>
      </c>
      <c r="C168" s="68">
        <v>1.0</v>
      </c>
      <c r="D168" s="68">
        <v>0.75</v>
      </c>
      <c r="E168" s="68">
        <v>1.0</v>
      </c>
      <c r="F168" s="68">
        <v>1.0</v>
      </c>
      <c r="G168" s="68">
        <v>0.988760372058673</v>
      </c>
      <c r="H168" s="68">
        <v>14.3020432071134</v>
      </c>
      <c r="I168" s="69">
        <v>44307.46158564815</v>
      </c>
      <c r="J168" s="69">
        <v>44307.461701388886</v>
      </c>
      <c r="K168">
        <f>AVERAGE(H167:H171)</f>
        <v>88.86310659</v>
      </c>
      <c r="L168">
        <f>STDEV(H167:H171)</f>
        <v>125.7211346</v>
      </c>
      <c r="M168" s="70">
        <v>14.3020432071134</v>
      </c>
      <c r="N168" s="70">
        <v>14.3020432071134</v>
      </c>
      <c r="O168" s="70">
        <v>0.988760372058673</v>
      </c>
      <c r="P168" s="70">
        <v>0.988760372058673</v>
      </c>
    </row>
    <row r="169" hidden="1">
      <c r="A169" s="67" t="s">
        <v>929</v>
      </c>
      <c r="B169" s="67" t="s">
        <v>17</v>
      </c>
      <c r="C169" s="68">
        <v>1.0</v>
      </c>
      <c r="D169" s="68">
        <v>0.75</v>
      </c>
      <c r="E169" s="68">
        <v>1.0</v>
      </c>
      <c r="F169" s="68">
        <v>2.0</v>
      </c>
      <c r="G169" s="68">
        <v>3.0987372455765</v>
      </c>
      <c r="H169" s="68">
        <v>142.256384647347</v>
      </c>
      <c r="I169" s="69">
        <v>44307.46240740741</v>
      </c>
      <c r="J169" s="69">
        <v>44307.55503472222</v>
      </c>
      <c r="K169">
        <f>AVERAGE(H167:H171)</f>
        <v>88.86310659</v>
      </c>
      <c r="L169">
        <f>STDEV(H167:H171)</f>
        <v>125.7211346</v>
      </c>
      <c r="M169" s="70">
        <v>142.256384647347</v>
      </c>
      <c r="N169" s="70">
        <v>142.256384647347</v>
      </c>
      <c r="O169" s="70">
        <v>3.0987372455765</v>
      </c>
      <c r="P169" s="70">
        <v>3.0987372455765</v>
      </c>
    </row>
    <row r="170" hidden="1">
      <c r="A170" s="67" t="s">
        <v>930</v>
      </c>
      <c r="B170" s="67" t="s">
        <v>17</v>
      </c>
      <c r="C170" s="68">
        <v>1.0</v>
      </c>
      <c r="D170" s="68">
        <v>0.75</v>
      </c>
      <c r="E170" s="68">
        <v>1.0</v>
      </c>
      <c r="F170" s="68">
        <v>3.0</v>
      </c>
      <c r="G170" s="68">
        <v>9.38421914713412</v>
      </c>
      <c r="H170" s="68">
        <v>286.818036852423</v>
      </c>
      <c r="I170" s="69">
        <v>44307.55574074074</v>
      </c>
      <c r="J170" s="69">
        <v>44307.55640046296</v>
      </c>
      <c r="K170">
        <f>AVERAGE(H167:H171)</f>
        <v>88.86310659</v>
      </c>
      <c r="L170">
        <f>STDEV(H167:H171)</f>
        <v>125.7211346</v>
      </c>
      <c r="M170" s="70">
        <v>286.818036852423</v>
      </c>
      <c r="N170" s="70">
        <v>286.818036852423</v>
      </c>
      <c r="O170" s="70">
        <v>9.38421914713412</v>
      </c>
      <c r="P170" s="70">
        <v>9.38421914713412</v>
      </c>
    </row>
    <row r="171" hidden="1">
      <c r="A171" s="67" t="s">
        <v>931</v>
      </c>
      <c r="B171" s="67" t="s">
        <v>17</v>
      </c>
      <c r="C171" s="68">
        <v>1.0</v>
      </c>
      <c r="D171" s="68">
        <v>0.75</v>
      </c>
      <c r="E171" s="68">
        <v>1.0</v>
      </c>
      <c r="F171" s="68">
        <v>4.0</v>
      </c>
      <c r="G171" s="68">
        <v>0.324773335663883</v>
      </c>
      <c r="H171" s="68">
        <v>0.372793859059844</v>
      </c>
      <c r="I171" s="69">
        <v>44307.557118055556</v>
      </c>
      <c r="J171" s="69">
        <v>44307.557222222225</v>
      </c>
      <c r="K171">
        <f>AVERAGE(H167:H171)</f>
        <v>88.86310659</v>
      </c>
      <c r="L171">
        <f>STDEV(H167:H171)</f>
        <v>125.7211346</v>
      </c>
      <c r="M171" s="70">
        <v>0.372793859059844</v>
      </c>
      <c r="N171" s="70">
        <v>0.372793859059844</v>
      </c>
      <c r="O171" s="70">
        <v>0.324773335663883</v>
      </c>
      <c r="P171" s="70">
        <v>0.324773335663883</v>
      </c>
    </row>
    <row r="172" hidden="1">
      <c r="A172" s="67" t="s">
        <v>932</v>
      </c>
      <c r="B172" s="67" t="s">
        <v>17</v>
      </c>
      <c r="C172" s="68">
        <v>1.0</v>
      </c>
      <c r="D172" s="68">
        <v>1.0</v>
      </c>
      <c r="E172" s="68">
        <v>1.0</v>
      </c>
      <c r="F172" s="68">
        <v>0.0</v>
      </c>
      <c r="G172" s="68">
        <v>1.73190477390966</v>
      </c>
      <c r="H172" s="68">
        <v>80.0688577979905</v>
      </c>
      <c r="I172" s="69">
        <v>44307.55793981482</v>
      </c>
      <c r="J172" s="69">
        <v>44307.558530092596</v>
      </c>
      <c r="K172">
        <f>AVERAGE(H172:H176)</f>
        <v>92.85573273</v>
      </c>
      <c r="L172">
        <f>STDEV(H172:H176)</f>
        <v>84.94242291</v>
      </c>
      <c r="M172" s="70">
        <v>80.0688577979905</v>
      </c>
      <c r="N172" s="70">
        <v>80.0688577979905</v>
      </c>
      <c r="O172" s="70">
        <v>1.73190477390966</v>
      </c>
      <c r="P172" s="70">
        <v>1.73190477390966</v>
      </c>
    </row>
    <row r="173" hidden="1">
      <c r="A173" s="67" t="s">
        <v>933</v>
      </c>
      <c r="B173" s="67" t="s">
        <v>17</v>
      </c>
      <c r="C173" s="68">
        <v>1.0</v>
      </c>
      <c r="D173" s="68">
        <v>1.0</v>
      </c>
      <c r="E173" s="68">
        <v>1.0</v>
      </c>
      <c r="F173" s="68">
        <v>1.0</v>
      </c>
      <c r="G173" s="68">
        <v>3.21180273864392</v>
      </c>
      <c r="H173" s="68">
        <v>149.009361275648</v>
      </c>
      <c r="I173" s="69">
        <v>44307.55924768518</v>
      </c>
      <c r="J173" s="69">
        <v>44307.599756944444</v>
      </c>
      <c r="K173">
        <f>AVERAGE(H172:H176)</f>
        <v>92.85573273</v>
      </c>
      <c r="L173">
        <f>STDEV(H172:H176)</f>
        <v>84.94242291</v>
      </c>
      <c r="M173" s="70">
        <v>149.009361275648</v>
      </c>
      <c r="N173" s="70">
        <v>149.009361275648</v>
      </c>
      <c r="O173" s="70">
        <v>3.21180273864392</v>
      </c>
      <c r="P173" s="70">
        <v>3.21180273864392</v>
      </c>
    </row>
    <row r="174" hidden="1">
      <c r="A174" s="67" t="s">
        <v>934</v>
      </c>
      <c r="B174" s="67" t="s">
        <v>17</v>
      </c>
      <c r="C174" s="68">
        <v>1.0</v>
      </c>
      <c r="D174" s="68">
        <v>1.0</v>
      </c>
      <c r="E174" s="68">
        <v>1.0</v>
      </c>
      <c r="F174" s="68">
        <v>2.0</v>
      </c>
      <c r="G174" s="68">
        <v>5.01929536082832</v>
      </c>
      <c r="H174" s="68">
        <v>206.239878064578</v>
      </c>
      <c r="I174" s="69">
        <v>44307.60046296296</v>
      </c>
      <c r="J174" s="69">
        <v>44307.60212962963</v>
      </c>
      <c r="K174">
        <f>AVERAGE(H172:H176)</f>
        <v>92.85573273</v>
      </c>
      <c r="L174">
        <f>STDEV(H172:H176)</f>
        <v>84.94242291</v>
      </c>
      <c r="M174" s="70">
        <v>206.239878064578</v>
      </c>
      <c r="N174" s="70">
        <v>206.239878064578</v>
      </c>
      <c r="O174" s="70">
        <v>5.01929536082832</v>
      </c>
      <c r="P174" s="70">
        <v>5.01929536082832</v>
      </c>
    </row>
    <row r="175" hidden="1">
      <c r="A175" s="67" t="s">
        <v>935</v>
      </c>
      <c r="B175" s="67" t="s">
        <v>17</v>
      </c>
      <c r="C175" s="68">
        <v>1.0</v>
      </c>
      <c r="D175" s="68">
        <v>1.0</v>
      </c>
      <c r="E175" s="68">
        <v>1.0</v>
      </c>
      <c r="F175" s="68">
        <v>3.0</v>
      </c>
      <c r="G175" s="68">
        <v>1.79775886418498</v>
      </c>
      <c r="H175" s="68">
        <v>28.6707747824468</v>
      </c>
      <c r="I175" s="69">
        <v>44307.60283564815</v>
      </c>
      <c r="J175" s="69">
        <v>44307.603125</v>
      </c>
      <c r="K175">
        <f>AVERAGE(H172:H176)</f>
        <v>92.85573273</v>
      </c>
      <c r="L175">
        <f>STDEV(H172:H176)</f>
        <v>84.94242291</v>
      </c>
      <c r="M175" s="70">
        <v>28.6707747824468</v>
      </c>
      <c r="N175" s="70">
        <v>28.6707747824468</v>
      </c>
      <c r="O175" s="70">
        <v>1.79775886418498</v>
      </c>
      <c r="P175" s="70">
        <v>1.79775886418498</v>
      </c>
    </row>
    <row r="176" hidden="1">
      <c r="A176" s="67" t="s">
        <v>936</v>
      </c>
      <c r="B176" s="67" t="s">
        <v>17</v>
      </c>
      <c r="C176" s="68">
        <v>1.0</v>
      </c>
      <c r="D176" s="68">
        <v>1.0</v>
      </c>
      <c r="E176" s="68">
        <v>1.0</v>
      </c>
      <c r="F176" s="68">
        <v>4.0</v>
      </c>
      <c r="G176" s="68">
        <v>0.207414646087391</v>
      </c>
      <c r="H176" s="68">
        <v>0.289791750987311</v>
      </c>
      <c r="I176" s="69">
        <v>44307.60383101852</v>
      </c>
      <c r="J176" s="69">
        <v>44307.60387731482</v>
      </c>
      <c r="K176">
        <f>AVERAGE(H172:H176)</f>
        <v>92.85573273</v>
      </c>
      <c r="L176">
        <f>STDEV(H172:H176)</f>
        <v>84.94242291</v>
      </c>
      <c r="M176" s="70">
        <v>0.289791750987311</v>
      </c>
      <c r="N176" s="70">
        <v>0.289791750987311</v>
      </c>
      <c r="O176" s="70">
        <v>0.207414646087391</v>
      </c>
      <c r="P176" s="70">
        <v>0.207414646087391</v>
      </c>
    </row>
    <row r="177" hidden="1">
      <c r="A177" s="67" t="s">
        <v>937</v>
      </c>
      <c r="B177" s="67" t="s">
        <v>268</v>
      </c>
      <c r="C177" s="68">
        <v>0.1</v>
      </c>
      <c r="D177" s="68">
        <v>0.1</v>
      </c>
      <c r="E177" s="68">
        <v>1.0</v>
      </c>
      <c r="F177" s="68">
        <v>0.0</v>
      </c>
      <c r="G177" s="68">
        <v>1.72810638767294</v>
      </c>
      <c r="H177" s="68">
        <v>28.0582952865603</v>
      </c>
      <c r="I177" s="69">
        <v>44307.60459490741</v>
      </c>
      <c r="J177" s="69">
        <v>44307.60524305556</v>
      </c>
      <c r="K177">
        <f>AVERAGE(H177:H181)</f>
        <v>76.06422587</v>
      </c>
      <c r="L177">
        <f>STDEV(H177:H181)</f>
        <v>92.8317337</v>
      </c>
      <c r="M177" s="70">
        <v>28.0582952865603</v>
      </c>
      <c r="N177" s="70">
        <v>28.0582952865603</v>
      </c>
      <c r="O177" s="70">
        <v>1.72810638767294</v>
      </c>
      <c r="P177" s="70">
        <v>1.72810638767294</v>
      </c>
    </row>
    <row r="178" hidden="1">
      <c r="A178" s="67" t="s">
        <v>938</v>
      </c>
      <c r="B178" s="67" t="s">
        <v>268</v>
      </c>
      <c r="C178" s="68">
        <v>0.1</v>
      </c>
      <c r="D178" s="68">
        <v>0.1</v>
      </c>
      <c r="E178" s="68">
        <v>1.0</v>
      </c>
      <c r="F178" s="68">
        <v>1.0</v>
      </c>
      <c r="G178" s="68">
        <v>0.466650291518434</v>
      </c>
      <c r="H178" s="68">
        <v>0.55866925838701</v>
      </c>
      <c r="I178" s="69">
        <v>44307.60594907407</v>
      </c>
      <c r="J178" s="69">
        <v>44307.60612268518</v>
      </c>
      <c r="K178">
        <f>AVERAGE(H177:H181)</f>
        <v>76.06422587</v>
      </c>
      <c r="L178">
        <f>STDEV(H177:H181)</f>
        <v>92.8317337</v>
      </c>
      <c r="M178" s="70">
        <v>0.55866925838701</v>
      </c>
      <c r="N178" s="70">
        <v>0.55866925838701</v>
      </c>
      <c r="O178" s="70">
        <v>0.466650291518434</v>
      </c>
      <c r="P178" s="70">
        <v>0.466650291518434</v>
      </c>
    </row>
    <row r="179" hidden="1">
      <c r="A179" s="67" t="s">
        <v>939</v>
      </c>
      <c r="B179" s="67" t="s">
        <v>268</v>
      </c>
      <c r="C179" s="68">
        <v>0.1</v>
      </c>
      <c r="D179" s="68">
        <v>0.1</v>
      </c>
      <c r="E179" s="68">
        <v>1.0</v>
      </c>
      <c r="F179" s="68">
        <v>2.0</v>
      </c>
      <c r="G179" s="68">
        <v>4.36172697083116</v>
      </c>
      <c r="H179" s="68">
        <v>195.409787137348</v>
      </c>
      <c r="I179" s="69">
        <v>44307.606840277775</v>
      </c>
      <c r="J179" s="69">
        <v>44307.61325231481</v>
      </c>
      <c r="K179">
        <f>AVERAGE(H177:H181)</f>
        <v>76.06422587</v>
      </c>
      <c r="L179">
        <f>STDEV(H177:H181)</f>
        <v>92.8317337</v>
      </c>
      <c r="M179" s="70">
        <v>195.409787137348</v>
      </c>
      <c r="N179" s="70">
        <v>195.409787137348</v>
      </c>
      <c r="O179" s="70">
        <v>4.36172697083116</v>
      </c>
      <c r="P179" s="70">
        <v>4.36172697083116</v>
      </c>
    </row>
    <row r="180" hidden="1">
      <c r="A180" s="67" t="s">
        <v>940</v>
      </c>
      <c r="B180" s="67" t="s">
        <v>268</v>
      </c>
      <c r="C180" s="68">
        <v>0.1</v>
      </c>
      <c r="D180" s="68">
        <v>0.1</v>
      </c>
      <c r="E180" s="68">
        <v>1.0</v>
      </c>
      <c r="F180" s="68">
        <v>3.0</v>
      </c>
      <c r="G180" s="68">
        <v>0.00212414683868772</v>
      </c>
      <c r="H180" s="68">
        <v>0.00237387135969094</v>
      </c>
      <c r="I180" s="69">
        <v>44307.613958333335</v>
      </c>
      <c r="J180" s="69">
        <v>44307.613958333335</v>
      </c>
      <c r="K180">
        <f>AVERAGE(H177:H181)</f>
        <v>76.06422587</v>
      </c>
      <c r="L180">
        <f>STDEV(H177:H181)</f>
        <v>92.8317337</v>
      </c>
      <c r="M180" s="70">
        <v>0.00237387135969094</v>
      </c>
      <c r="N180" s="70">
        <v>0.00237387135969094</v>
      </c>
      <c r="O180" s="70">
        <v>0.00212414683868772</v>
      </c>
      <c r="P180" s="70">
        <v>0.00212414683868772</v>
      </c>
    </row>
    <row r="181" hidden="1">
      <c r="A181" s="67" t="s">
        <v>941</v>
      </c>
      <c r="B181" s="67" t="s">
        <v>268</v>
      </c>
      <c r="C181" s="68">
        <v>0.1</v>
      </c>
      <c r="D181" s="68">
        <v>0.1</v>
      </c>
      <c r="E181" s="68">
        <v>1.0</v>
      </c>
      <c r="F181" s="68">
        <v>4.0</v>
      </c>
      <c r="G181" s="68">
        <v>3.43833921423995</v>
      </c>
      <c r="H181" s="68">
        <v>156.29200382047</v>
      </c>
      <c r="I181" s="69">
        <v>44307.61467592593</v>
      </c>
      <c r="J181" s="69">
        <v>44307.652025462965</v>
      </c>
      <c r="K181">
        <f>AVERAGE(H177:H181)</f>
        <v>76.06422587</v>
      </c>
      <c r="L181">
        <f>STDEV(H177:H181)</f>
        <v>92.8317337</v>
      </c>
      <c r="M181" s="70">
        <v>156.29200382047</v>
      </c>
      <c r="N181" s="70">
        <v>156.29200382047</v>
      </c>
      <c r="O181" s="70">
        <v>3.43833921423995</v>
      </c>
      <c r="P181" s="70">
        <v>3.43833921423995</v>
      </c>
    </row>
    <row r="182" hidden="1">
      <c r="A182" s="67" t="s">
        <v>942</v>
      </c>
      <c r="B182" s="67" t="s">
        <v>268</v>
      </c>
      <c r="C182" s="68">
        <v>0.1</v>
      </c>
      <c r="D182" s="68">
        <v>0.25</v>
      </c>
      <c r="E182" s="68">
        <v>1.0</v>
      </c>
      <c r="F182" s="68">
        <v>0.0</v>
      </c>
      <c r="G182" s="68">
        <v>4.76512864525855</v>
      </c>
      <c r="H182" s="68">
        <v>160.874830842131</v>
      </c>
      <c r="I182" s="69">
        <v>44307.65273148148</v>
      </c>
      <c r="J182" s="69">
        <v>44307.65295138889</v>
      </c>
      <c r="K182">
        <f>AVERAGE(H182:H186)</f>
        <v>98.6235434</v>
      </c>
      <c r="L182">
        <f>STDEV(H182:H186)</f>
        <v>78.80043927</v>
      </c>
      <c r="M182" s="70">
        <v>160.874830842131</v>
      </c>
      <c r="N182" s="70">
        <v>160.874830842131</v>
      </c>
      <c r="O182" s="70">
        <v>4.76512864525855</v>
      </c>
      <c r="P182" s="70">
        <v>4.76512864525855</v>
      </c>
    </row>
    <row r="183" hidden="1">
      <c r="A183" s="67" t="s">
        <v>943</v>
      </c>
      <c r="B183" s="67" t="s">
        <v>268</v>
      </c>
      <c r="C183" s="68">
        <v>0.1</v>
      </c>
      <c r="D183" s="68">
        <v>0.25</v>
      </c>
      <c r="E183" s="68">
        <v>1.0</v>
      </c>
      <c r="F183" s="68">
        <v>1.0</v>
      </c>
      <c r="G183" s="68">
        <v>1.7306051565599</v>
      </c>
      <c r="H183" s="68">
        <v>27.8915769854248</v>
      </c>
      <c r="I183" s="69">
        <v>44307.65366898148</v>
      </c>
      <c r="J183" s="69">
        <v>44307.65429398148</v>
      </c>
      <c r="K183">
        <f>AVERAGE(H182:H186)</f>
        <v>98.6235434</v>
      </c>
      <c r="L183">
        <f>STDEV(H182:H186)</f>
        <v>78.80043927</v>
      </c>
      <c r="M183" s="70">
        <v>27.8915769854248</v>
      </c>
      <c r="N183" s="70">
        <v>27.8915769854248</v>
      </c>
      <c r="O183" s="70">
        <v>1.7306051565599</v>
      </c>
      <c r="P183" s="70">
        <v>1.7306051565599</v>
      </c>
    </row>
    <row r="184" hidden="1">
      <c r="A184" s="67" t="s">
        <v>944</v>
      </c>
      <c r="B184" s="67" t="s">
        <v>268</v>
      </c>
      <c r="C184" s="68">
        <v>0.1</v>
      </c>
      <c r="D184" s="68">
        <v>0.25</v>
      </c>
      <c r="E184" s="68">
        <v>1.0</v>
      </c>
      <c r="F184" s="68">
        <v>2.0</v>
      </c>
      <c r="G184" s="68">
        <v>3.70399523489023</v>
      </c>
      <c r="H184" s="68">
        <v>171.534246998605</v>
      </c>
      <c r="I184" s="69">
        <v>44307.655</v>
      </c>
      <c r="J184" s="69">
        <v>44307.72787037037</v>
      </c>
      <c r="K184">
        <f>AVERAGE(H182:H186)</f>
        <v>98.6235434</v>
      </c>
      <c r="L184">
        <f>STDEV(H182:H186)</f>
        <v>78.80043927</v>
      </c>
      <c r="M184" s="70">
        <v>171.534246998605</v>
      </c>
      <c r="N184" s="70">
        <v>171.534246998605</v>
      </c>
      <c r="O184" s="70">
        <v>3.70399523489023</v>
      </c>
      <c r="P184" s="70">
        <v>3.70399523489023</v>
      </c>
    </row>
    <row r="185" hidden="1">
      <c r="A185" s="67" t="s">
        <v>945</v>
      </c>
      <c r="B185" s="67" t="s">
        <v>268</v>
      </c>
      <c r="C185" s="68">
        <v>0.1</v>
      </c>
      <c r="D185" s="68">
        <v>0.25</v>
      </c>
      <c r="E185" s="68">
        <v>1.0</v>
      </c>
      <c r="F185" s="68">
        <v>3.0</v>
      </c>
      <c r="G185" s="68">
        <v>2.49024255419838</v>
      </c>
      <c r="H185" s="68">
        <v>131.86163765886</v>
      </c>
      <c r="I185" s="69">
        <v>44307.72857638889</v>
      </c>
      <c r="J185" s="69">
        <v>44307.728796296295</v>
      </c>
      <c r="K185">
        <f>AVERAGE(H182:H186)</f>
        <v>98.6235434</v>
      </c>
      <c r="L185">
        <f>STDEV(H182:H186)</f>
        <v>78.80043927</v>
      </c>
      <c r="M185" s="70">
        <v>131.86163765886</v>
      </c>
      <c r="N185" s="70">
        <v>131.86163765886</v>
      </c>
      <c r="O185" s="70">
        <v>2.49024255419838</v>
      </c>
      <c r="P185" s="70">
        <v>2.49024255419838</v>
      </c>
    </row>
    <row r="186" hidden="1">
      <c r="A186" s="67" t="s">
        <v>946</v>
      </c>
      <c r="B186" s="67" t="s">
        <v>268</v>
      </c>
      <c r="C186" s="68">
        <v>0.1</v>
      </c>
      <c r="D186" s="68">
        <v>0.25</v>
      </c>
      <c r="E186" s="68">
        <v>1.0</v>
      </c>
      <c r="F186" s="68">
        <v>4.0</v>
      </c>
      <c r="G186" s="68">
        <v>0.739421948270547</v>
      </c>
      <c r="H186" s="68">
        <v>0.95542451385423</v>
      </c>
      <c r="I186" s="69">
        <v>44307.72950231482</v>
      </c>
      <c r="J186" s="69">
        <v>44307.72971064815</v>
      </c>
      <c r="K186">
        <f>AVERAGE(H182:H186)</f>
        <v>98.6235434</v>
      </c>
      <c r="L186">
        <f>STDEV(H182:H186)</f>
        <v>78.80043927</v>
      </c>
      <c r="M186" s="70">
        <v>0.95542451385423</v>
      </c>
      <c r="N186" s="70">
        <v>0.95542451385423</v>
      </c>
      <c r="O186" s="70">
        <v>0.739421948270547</v>
      </c>
      <c r="P186" s="70">
        <v>0.739421948270547</v>
      </c>
    </row>
    <row r="187" hidden="1">
      <c r="A187" s="67" t="s">
        <v>947</v>
      </c>
      <c r="B187" s="67" t="s">
        <v>268</v>
      </c>
      <c r="C187" s="68">
        <v>0.1</v>
      </c>
      <c r="D187" s="68">
        <v>0.5</v>
      </c>
      <c r="E187" s="68">
        <v>1.0</v>
      </c>
      <c r="F187" s="68">
        <v>0.0</v>
      </c>
      <c r="G187" s="68">
        <v>2.05967333721781</v>
      </c>
      <c r="H187" s="68">
        <v>96.4219476559102</v>
      </c>
      <c r="I187" s="69">
        <v>44307.730416666665</v>
      </c>
      <c r="J187" s="69">
        <v>44307.731990740744</v>
      </c>
      <c r="K187">
        <f>AVERAGE(H187:H191)</f>
        <v>126.3809182</v>
      </c>
      <c r="L187">
        <f>STDEV(H187:H191)</f>
        <v>88.49685936</v>
      </c>
      <c r="M187" s="70">
        <v>96.4219476559102</v>
      </c>
      <c r="N187" s="70">
        <v>96.4219476559102</v>
      </c>
      <c r="O187" s="70">
        <v>2.05967333721781</v>
      </c>
      <c r="P187" s="70">
        <v>2.05967333721781</v>
      </c>
    </row>
    <row r="188" hidden="1">
      <c r="A188" s="67" t="s">
        <v>948</v>
      </c>
      <c r="B188" s="67" t="s">
        <v>268</v>
      </c>
      <c r="C188" s="68">
        <v>0.1</v>
      </c>
      <c r="D188" s="68">
        <v>0.5</v>
      </c>
      <c r="E188" s="68">
        <v>1.0</v>
      </c>
      <c r="F188" s="68">
        <v>1.0</v>
      </c>
      <c r="G188" s="68">
        <v>3.45037826108449</v>
      </c>
      <c r="H188" s="68">
        <v>159.949560446899</v>
      </c>
      <c r="I188" s="69">
        <v>44307.73269675926</v>
      </c>
      <c r="J188" s="69">
        <v>44307.79304398148</v>
      </c>
      <c r="K188">
        <f>AVERAGE(H187:H191)</f>
        <v>126.3809182</v>
      </c>
      <c r="L188">
        <f>STDEV(H187:H191)</f>
        <v>88.49685936</v>
      </c>
      <c r="M188" s="70">
        <v>159.949560446899</v>
      </c>
      <c r="N188" s="70">
        <v>159.949560446899</v>
      </c>
      <c r="O188" s="70">
        <v>3.45037826108449</v>
      </c>
      <c r="P188" s="70">
        <v>3.45037826108449</v>
      </c>
    </row>
    <row r="189" hidden="1">
      <c r="A189" s="67" t="s">
        <v>949</v>
      </c>
      <c r="B189" s="67" t="s">
        <v>268</v>
      </c>
      <c r="C189" s="68">
        <v>0.1</v>
      </c>
      <c r="D189" s="68">
        <v>0.5</v>
      </c>
      <c r="E189" s="68">
        <v>1.0</v>
      </c>
      <c r="F189" s="68">
        <v>2.0</v>
      </c>
      <c r="G189" s="68">
        <v>2.48999293857218</v>
      </c>
      <c r="H189" s="68">
        <v>131.832595924884</v>
      </c>
      <c r="I189" s="69">
        <v>44307.79375</v>
      </c>
      <c r="J189" s="69">
        <v>44307.79398148148</v>
      </c>
      <c r="K189">
        <f>AVERAGE(H187:H191)</f>
        <v>126.3809182</v>
      </c>
      <c r="L189">
        <f>STDEV(H187:H191)</f>
        <v>88.49685936</v>
      </c>
      <c r="M189" s="70">
        <v>131.832595924884</v>
      </c>
      <c r="N189" s="70">
        <v>131.832595924884</v>
      </c>
      <c r="O189" s="70">
        <v>2.48999293857218</v>
      </c>
      <c r="P189" s="70">
        <v>2.48999293857218</v>
      </c>
    </row>
    <row r="190" hidden="1">
      <c r="A190" s="67" t="s">
        <v>950</v>
      </c>
      <c r="B190" s="67" t="s">
        <v>268</v>
      </c>
      <c r="C190" s="68">
        <v>0.1</v>
      </c>
      <c r="D190" s="68">
        <v>0.5</v>
      </c>
      <c r="E190" s="68">
        <v>1.0</v>
      </c>
      <c r="F190" s="68">
        <v>3.0</v>
      </c>
      <c r="G190" s="68">
        <v>6.87903374264995</v>
      </c>
      <c r="H190" s="68">
        <v>242.746082891395</v>
      </c>
      <c r="I190" s="69">
        <v>44307.794699074075</v>
      </c>
      <c r="J190" s="69">
        <v>44307.79516203704</v>
      </c>
      <c r="K190">
        <f>AVERAGE(H187:H191)</f>
        <v>126.3809182</v>
      </c>
      <c r="L190">
        <f>STDEV(H187:H191)</f>
        <v>88.49685936</v>
      </c>
      <c r="M190" s="70">
        <v>242.746082891395</v>
      </c>
      <c r="N190" s="70">
        <v>242.746082891395</v>
      </c>
      <c r="O190" s="70">
        <v>6.87903374264995</v>
      </c>
      <c r="P190" s="70">
        <v>6.87903374264995</v>
      </c>
    </row>
    <row r="191" hidden="1">
      <c r="A191" s="67" t="s">
        <v>951</v>
      </c>
      <c r="B191" s="67" t="s">
        <v>268</v>
      </c>
      <c r="C191" s="68">
        <v>0.1</v>
      </c>
      <c r="D191" s="68">
        <v>0.5</v>
      </c>
      <c r="E191" s="68">
        <v>1.0</v>
      </c>
      <c r="F191" s="68">
        <v>4.0</v>
      </c>
      <c r="G191" s="68">
        <v>0.738388919616822</v>
      </c>
      <c r="H191" s="68">
        <v>0.954404004182583</v>
      </c>
      <c r="I191" s="69">
        <v>44307.79586805555</v>
      </c>
      <c r="J191" s="69">
        <v>44307.79607638889</v>
      </c>
      <c r="K191">
        <f>AVERAGE(H187:H191)</f>
        <v>126.3809182</v>
      </c>
      <c r="L191">
        <f>STDEV(H187:H191)</f>
        <v>88.49685936</v>
      </c>
      <c r="M191" s="70">
        <v>0.954404004182583</v>
      </c>
      <c r="N191" s="70">
        <v>0.954404004182583</v>
      </c>
      <c r="O191" s="70">
        <v>0.738388919616822</v>
      </c>
      <c r="P191" s="70">
        <v>0.738388919616822</v>
      </c>
    </row>
    <row r="192" hidden="1">
      <c r="A192" s="67" t="s">
        <v>952</v>
      </c>
      <c r="B192" s="67" t="s">
        <v>268</v>
      </c>
      <c r="C192" s="68">
        <v>0.1</v>
      </c>
      <c r="D192" s="68">
        <v>0.75</v>
      </c>
      <c r="E192" s="68">
        <v>1.0</v>
      </c>
      <c r="F192" s="68">
        <v>0.0</v>
      </c>
      <c r="G192" s="68">
        <v>2.64804552822738</v>
      </c>
      <c r="H192" s="68">
        <v>4.14886586724848</v>
      </c>
      <c r="I192" s="69">
        <v>44307.79678240741</v>
      </c>
      <c r="J192" s="69">
        <v>44307.796875</v>
      </c>
      <c r="K192">
        <f>AVERAGE(H192:H196)</f>
        <v>106.0025837</v>
      </c>
      <c r="L192">
        <f>STDEV(H192:H196)</f>
        <v>95.06993226</v>
      </c>
      <c r="M192" s="70">
        <v>4.14886586724848</v>
      </c>
      <c r="N192" s="70">
        <v>4.14886586724848</v>
      </c>
      <c r="O192" s="70">
        <v>2.64804552822738</v>
      </c>
      <c r="P192" s="70">
        <v>2.64804552822738</v>
      </c>
    </row>
    <row r="193" hidden="1">
      <c r="A193" s="67" t="s">
        <v>953</v>
      </c>
      <c r="B193" s="67" t="s">
        <v>268</v>
      </c>
      <c r="C193" s="68">
        <v>0.1</v>
      </c>
      <c r="D193" s="68">
        <v>0.75</v>
      </c>
      <c r="E193" s="68">
        <v>1.0</v>
      </c>
      <c r="F193" s="68">
        <v>1.0</v>
      </c>
      <c r="G193" s="68">
        <v>3.36770138630163</v>
      </c>
      <c r="H193" s="68">
        <v>163.451047230855</v>
      </c>
      <c r="I193" s="69">
        <v>44307.79759259259</v>
      </c>
      <c r="J193" s="69">
        <v>44307.876759259256</v>
      </c>
      <c r="K193">
        <f>AVERAGE(H192:H196)</f>
        <v>106.0025837</v>
      </c>
      <c r="L193">
        <f>STDEV(H192:H196)</f>
        <v>95.06993226</v>
      </c>
      <c r="M193" s="70">
        <v>163.451047230855</v>
      </c>
      <c r="N193" s="70">
        <v>163.451047230855</v>
      </c>
      <c r="O193" s="70">
        <v>3.36770138630163</v>
      </c>
      <c r="P193" s="70">
        <v>3.36770138630163</v>
      </c>
    </row>
    <row r="194" hidden="1">
      <c r="A194" s="67" t="s">
        <v>954</v>
      </c>
      <c r="B194" s="67" t="s">
        <v>268</v>
      </c>
      <c r="C194" s="68">
        <v>0.1</v>
      </c>
      <c r="D194" s="68">
        <v>0.75</v>
      </c>
      <c r="E194" s="68">
        <v>1.0</v>
      </c>
      <c r="F194" s="68">
        <v>2.0</v>
      </c>
      <c r="G194" s="68">
        <v>0.73653886038416</v>
      </c>
      <c r="H194" s="68">
        <v>0.950808204506476</v>
      </c>
      <c r="I194" s="69">
        <v>44307.87746527778</v>
      </c>
      <c r="J194" s="69">
        <v>44307.87766203703</v>
      </c>
      <c r="K194">
        <f>AVERAGE(H192:H196)</f>
        <v>106.0025837</v>
      </c>
      <c r="L194">
        <f>STDEV(H192:H196)</f>
        <v>95.06993226</v>
      </c>
      <c r="M194" s="70">
        <v>0.950808204506476</v>
      </c>
      <c r="N194" s="70">
        <v>0.950808204506476</v>
      </c>
      <c r="O194" s="70">
        <v>0.73653886038416</v>
      </c>
      <c r="P194" s="70">
        <v>0.73653886038416</v>
      </c>
    </row>
    <row r="195" hidden="1">
      <c r="A195" s="67" t="s">
        <v>955</v>
      </c>
      <c r="B195" s="67" t="s">
        <v>268</v>
      </c>
      <c r="C195" s="68">
        <v>0.1</v>
      </c>
      <c r="D195" s="68">
        <v>0.75</v>
      </c>
      <c r="E195" s="68">
        <v>1.0</v>
      </c>
      <c r="F195" s="68">
        <v>3.0</v>
      </c>
      <c r="G195" s="68">
        <v>4.84233165792226</v>
      </c>
      <c r="H195" s="68">
        <v>169.024586405743</v>
      </c>
      <c r="I195" s="69">
        <v>44307.87837962963</v>
      </c>
      <c r="J195" s="69">
        <v>44307.878703703704</v>
      </c>
      <c r="K195">
        <f>AVERAGE(H192:H196)</f>
        <v>106.0025837</v>
      </c>
      <c r="L195">
        <f>STDEV(H192:H196)</f>
        <v>95.06993226</v>
      </c>
      <c r="M195" s="70">
        <v>169.024586405743</v>
      </c>
      <c r="N195" s="70">
        <v>169.024586405743</v>
      </c>
      <c r="O195" s="70">
        <v>4.84233165792226</v>
      </c>
      <c r="P195" s="70">
        <v>4.84233165792226</v>
      </c>
    </row>
    <row r="196" hidden="1">
      <c r="A196" s="67" t="s">
        <v>956</v>
      </c>
      <c r="B196" s="67" t="s">
        <v>268</v>
      </c>
      <c r="C196" s="68">
        <v>0.1</v>
      </c>
      <c r="D196" s="68">
        <v>0.75</v>
      </c>
      <c r="E196" s="68">
        <v>1.0</v>
      </c>
      <c r="F196" s="68">
        <v>4.0</v>
      </c>
      <c r="G196" s="68">
        <v>7.94112888342062</v>
      </c>
      <c r="H196" s="68">
        <v>192.437610855651</v>
      </c>
      <c r="I196" s="69">
        <v>44307.87940972222</v>
      </c>
      <c r="J196" s="69">
        <v>44307.87945601852</v>
      </c>
      <c r="K196">
        <f>AVERAGE(H192:H196)</f>
        <v>106.0025837</v>
      </c>
      <c r="L196">
        <f>STDEV(H192:H196)</f>
        <v>95.06993226</v>
      </c>
      <c r="M196" s="70">
        <v>192.437610855651</v>
      </c>
      <c r="N196" s="70">
        <v>192.437610855651</v>
      </c>
      <c r="O196" s="70">
        <v>7.94112888342062</v>
      </c>
      <c r="P196" s="70">
        <v>7.94112888342062</v>
      </c>
    </row>
    <row r="197" hidden="1">
      <c r="A197" s="67" t="s">
        <v>957</v>
      </c>
      <c r="B197" s="67" t="s">
        <v>268</v>
      </c>
      <c r="C197" s="68">
        <v>0.1</v>
      </c>
      <c r="D197" s="68">
        <v>1.0</v>
      </c>
      <c r="E197" s="68">
        <v>1.0</v>
      </c>
      <c r="F197" s="68">
        <v>0.0</v>
      </c>
      <c r="G197" s="68">
        <v>0.657420300529989</v>
      </c>
      <c r="H197" s="68">
        <v>1.21846449051755</v>
      </c>
      <c r="I197" s="69">
        <v>44307.880162037036</v>
      </c>
      <c r="J197" s="69">
        <v>44307.88091435185</v>
      </c>
      <c r="K197">
        <f>AVERAGE(H197:H201)</f>
        <v>73.54632906</v>
      </c>
      <c r="L197">
        <f>STDEV(H197:H201)</f>
        <v>98.10941726</v>
      </c>
      <c r="M197" s="70">
        <v>1.21846449051755</v>
      </c>
      <c r="N197" s="70">
        <v>1.21846449051755</v>
      </c>
      <c r="O197" s="70">
        <v>0.657420300529989</v>
      </c>
      <c r="P197" s="70">
        <v>0.657420300529989</v>
      </c>
    </row>
    <row r="198" hidden="1">
      <c r="A198" s="67" t="s">
        <v>958</v>
      </c>
      <c r="B198" s="67" t="s">
        <v>268</v>
      </c>
      <c r="C198" s="68">
        <v>0.1</v>
      </c>
      <c r="D198" s="68">
        <v>1.0</v>
      </c>
      <c r="E198" s="68">
        <v>1.0</v>
      </c>
      <c r="F198" s="68">
        <v>1.0</v>
      </c>
      <c r="G198" s="68">
        <v>6.04241149059256</v>
      </c>
      <c r="H198" s="68">
        <v>187.1430440353</v>
      </c>
      <c r="I198" s="69">
        <v>44307.88162037037</v>
      </c>
      <c r="J198" s="69">
        <v>44307.881689814814</v>
      </c>
      <c r="K198">
        <f>AVERAGE(H197:H201)</f>
        <v>73.54632906</v>
      </c>
      <c r="L198">
        <f>STDEV(H197:H201)</f>
        <v>98.10941726</v>
      </c>
      <c r="M198" s="70">
        <v>187.1430440353</v>
      </c>
      <c r="N198" s="70">
        <v>187.1430440353</v>
      </c>
      <c r="O198" s="70">
        <v>6.04241149059256</v>
      </c>
      <c r="P198" s="70">
        <v>6.04241149059256</v>
      </c>
    </row>
    <row r="199" hidden="1">
      <c r="A199" s="67" t="s">
        <v>959</v>
      </c>
      <c r="B199" s="67" t="s">
        <v>268</v>
      </c>
      <c r="C199" s="68">
        <v>0.1</v>
      </c>
      <c r="D199" s="68">
        <v>1.0</v>
      </c>
      <c r="E199" s="68">
        <v>1.0</v>
      </c>
      <c r="F199" s="68">
        <v>2.0</v>
      </c>
      <c r="G199" s="68">
        <v>2.65066504174383</v>
      </c>
      <c r="H199" s="68">
        <v>4.15203700319512</v>
      </c>
      <c r="I199" s="69">
        <v>44307.88239583333</v>
      </c>
      <c r="J199" s="69">
        <v>44307.88248842592</v>
      </c>
      <c r="K199">
        <f>AVERAGE(H197:H201)</f>
        <v>73.54632906</v>
      </c>
      <c r="L199">
        <f>STDEV(H197:H201)</f>
        <v>98.10941726</v>
      </c>
      <c r="M199" s="70">
        <v>4.15203700319512</v>
      </c>
      <c r="N199" s="70">
        <v>4.15203700319512</v>
      </c>
      <c r="O199" s="70">
        <v>2.65066504174383</v>
      </c>
      <c r="P199" s="70">
        <v>2.65066504174383</v>
      </c>
    </row>
    <row r="200" hidden="1">
      <c r="A200" s="67" t="s">
        <v>960</v>
      </c>
      <c r="B200" s="67" t="s">
        <v>268</v>
      </c>
      <c r="C200" s="68">
        <v>0.1</v>
      </c>
      <c r="D200" s="68">
        <v>1.0</v>
      </c>
      <c r="E200" s="68">
        <v>1.0</v>
      </c>
      <c r="F200" s="68">
        <v>3.0</v>
      </c>
      <c r="G200" s="68">
        <v>0.467489314643222</v>
      </c>
      <c r="H200" s="68">
        <v>0.559611722484267</v>
      </c>
      <c r="I200" s="69">
        <v>44307.883206018516</v>
      </c>
      <c r="J200" s="69">
        <v>44307.88337962963</v>
      </c>
      <c r="K200">
        <f>AVERAGE(H197:H201)</f>
        <v>73.54632906</v>
      </c>
      <c r="L200">
        <f>STDEV(H197:H201)</f>
        <v>98.10941726</v>
      </c>
      <c r="M200" s="70">
        <v>0.559611722484267</v>
      </c>
      <c r="N200" s="70">
        <v>0.559611722484267</v>
      </c>
      <c r="O200" s="70">
        <v>0.467489314643222</v>
      </c>
      <c r="P200" s="70">
        <v>0.467489314643222</v>
      </c>
    </row>
    <row r="201" hidden="1">
      <c r="A201" s="67" t="s">
        <v>961</v>
      </c>
      <c r="B201" s="67" t="s">
        <v>268</v>
      </c>
      <c r="C201" s="68">
        <v>0.1</v>
      </c>
      <c r="D201" s="68">
        <v>1.0</v>
      </c>
      <c r="E201" s="68">
        <v>1.0</v>
      </c>
      <c r="F201" s="68">
        <v>4.0</v>
      </c>
      <c r="G201" s="68">
        <v>3.8915105014915</v>
      </c>
      <c r="H201" s="68">
        <v>174.658488059149</v>
      </c>
      <c r="I201" s="69">
        <v>44307.884097222224</v>
      </c>
      <c r="J201" s="69">
        <v>44307.9656712963</v>
      </c>
      <c r="K201">
        <f>AVERAGE(H197:H201)</f>
        <v>73.54632906</v>
      </c>
      <c r="L201">
        <f>STDEV(H197:H201)</f>
        <v>98.10941726</v>
      </c>
      <c r="M201" s="70">
        <v>174.658488059149</v>
      </c>
      <c r="N201" s="70">
        <v>174.658488059149</v>
      </c>
      <c r="O201" s="70">
        <v>3.8915105014915</v>
      </c>
      <c r="P201" s="70">
        <v>3.8915105014915</v>
      </c>
    </row>
    <row r="202" hidden="1">
      <c r="A202" s="67" t="s">
        <v>962</v>
      </c>
      <c r="B202" s="67" t="s">
        <v>268</v>
      </c>
      <c r="C202" s="68">
        <v>0.25</v>
      </c>
      <c r="D202" s="68">
        <v>0.1</v>
      </c>
      <c r="E202" s="68">
        <v>1.0</v>
      </c>
      <c r="F202" s="68">
        <v>0.0</v>
      </c>
      <c r="G202" s="68">
        <v>2.49104082008861</v>
      </c>
      <c r="H202" s="68">
        <v>131.860902599738</v>
      </c>
      <c r="I202" s="69">
        <v>44307.96637731481</v>
      </c>
      <c r="J202" s="69">
        <v>44307.96659722222</v>
      </c>
      <c r="K202">
        <f>AVERAGE(H202:H206)</f>
        <v>110.5123669</v>
      </c>
      <c r="L202">
        <f>STDEV(H202:H206)</f>
        <v>66.6351865</v>
      </c>
      <c r="M202" s="70">
        <v>131.860902599738</v>
      </c>
      <c r="N202" s="70">
        <v>131.860902599738</v>
      </c>
      <c r="O202" s="70">
        <v>2.49104082008861</v>
      </c>
      <c r="P202" s="70">
        <v>2.49104082008861</v>
      </c>
    </row>
    <row r="203" hidden="1">
      <c r="A203" s="67" t="s">
        <v>963</v>
      </c>
      <c r="B203" s="67" t="s">
        <v>268</v>
      </c>
      <c r="C203" s="68">
        <v>0.25</v>
      </c>
      <c r="D203" s="68">
        <v>0.1</v>
      </c>
      <c r="E203" s="68">
        <v>1.0</v>
      </c>
      <c r="F203" s="68">
        <v>1.0</v>
      </c>
      <c r="G203" s="68">
        <v>3.84970844975417</v>
      </c>
      <c r="H203" s="68">
        <v>174.684145635731</v>
      </c>
      <c r="I203" s="69">
        <v>44307.96730324074</v>
      </c>
      <c r="J203" s="69">
        <v>44308.01648148148</v>
      </c>
      <c r="K203">
        <f>AVERAGE(H202:H206)</f>
        <v>110.5123669</v>
      </c>
      <c r="L203">
        <f>STDEV(H202:H206)</f>
        <v>66.6351865</v>
      </c>
      <c r="M203" s="70">
        <v>174.684145635731</v>
      </c>
      <c r="N203" s="70">
        <v>174.684145635731</v>
      </c>
      <c r="O203" s="70">
        <v>3.84970844975417</v>
      </c>
      <c r="P203" s="70">
        <v>3.84970844975417</v>
      </c>
    </row>
    <row r="204" hidden="1">
      <c r="A204" s="67" t="s">
        <v>964</v>
      </c>
      <c r="B204" s="67" t="s">
        <v>268</v>
      </c>
      <c r="C204" s="68">
        <v>0.25</v>
      </c>
      <c r="D204" s="68">
        <v>0.1</v>
      </c>
      <c r="E204" s="68">
        <v>1.0</v>
      </c>
      <c r="F204" s="68">
        <v>2.0</v>
      </c>
      <c r="G204" s="68">
        <v>1.20160527221592</v>
      </c>
      <c r="H204" s="68">
        <v>15.7679662712552</v>
      </c>
      <c r="I204" s="69">
        <v>44308.0171875</v>
      </c>
      <c r="J204" s="69">
        <v>44308.01731481482</v>
      </c>
      <c r="K204">
        <f>AVERAGE(H202:H206)</f>
        <v>110.5123669</v>
      </c>
      <c r="L204">
        <f>STDEV(H202:H206)</f>
        <v>66.6351865</v>
      </c>
      <c r="M204" s="70">
        <v>15.7679662712552</v>
      </c>
      <c r="N204" s="70">
        <v>15.7679662712552</v>
      </c>
      <c r="O204" s="70">
        <v>1.20160527221592</v>
      </c>
      <c r="P204" s="70">
        <v>1.20160527221592</v>
      </c>
    </row>
    <row r="205" hidden="1">
      <c r="A205" s="67" t="s">
        <v>965</v>
      </c>
      <c r="B205" s="67" t="s">
        <v>268</v>
      </c>
      <c r="C205" s="68">
        <v>0.25</v>
      </c>
      <c r="D205" s="68">
        <v>0.1</v>
      </c>
      <c r="E205" s="68">
        <v>1.0</v>
      </c>
      <c r="F205" s="68">
        <v>3.0</v>
      </c>
      <c r="G205" s="68">
        <v>4.76175231870075</v>
      </c>
      <c r="H205" s="68">
        <v>160.776199755782</v>
      </c>
      <c r="I205" s="69">
        <v>44308.01803240741</v>
      </c>
      <c r="J205" s="69">
        <v>44308.01825231482</v>
      </c>
      <c r="K205">
        <f>AVERAGE(H202:H206)</f>
        <v>110.5123669</v>
      </c>
      <c r="L205">
        <f>STDEV(H202:H206)</f>
        <v>66.6351865</v>
      </c>
      <c r="M205" s="70">
        <v>160.776199755782</v>
      </c>
      <c r="N205" s="70">
        <v>160.776199755782</v>
      </c>
      <c r="O205" s="70">
        <v>4.76175231870075</v>
      </c>
      <c r="P205" s="70">
        <v>4.76175231870075</v>
      </c>
    </row>
    <row r="206" hidden="1">
      <c r="A206" s="67" t="s">
        <v>966</v>
      </c>
      <c r="B206" s="67" t="s">
        <v>268</v>
      </c>
      <c r="C206" s="68">
        <v>0.25</v>
      </c>
      <c r="D206" s="68">
        <v>0.1</v>
      </c>
      <c r="E206" s="68">
        <v>1.0</v>
      </c>
      <c r="F206" s="68">
        <v>4.0</v>
      </c>
      <c r="G206" s="68">
        <v>1.35192462201667</v>
      </c>
      <c r="H206" s="68">
        <v>69.4726201775444</v>
      </c>
      <c r="I206" s="69">
        <v>44308.01896990741</v>
      </c>
      <c r="J206" s="69">
        <v>44308.02009259259</v>
      </c>
      <c r="K206">
        <f>AVERAGE(H202:H206)</f>
        <v>110.5123669</v>
      </c>
      <c r="L206">
        <f>STDEV(H202:H206)</f>
        <v>66.6351865</v>
      </c>
      <c r="M206" s="70">
        <v>69.4726201775444</v>
      </c>
      <c r="N206" s="70">
        <v>69.4726201775444</v>
      </c>
      <c r="O206" s="70">
        <v>1.35192462201667</v>
      </c>
      <c r="P206" s="70">
        <v>1.35192462201667</v>
      </c>
    </row>
    <row r="207" hidden="1">
      <c r="A207" s="67" t="s">
        <v>967</v>
      </c>
      <c r="B207" s="67" t="s">
        <v>268</v>
      </c>
      <c r="C207" s="68">
        <v>0.25</v>
      </c>
      <c r="D207" s="68">
        <v>0.25</v>
      </c>
      <c r="E207" s="68">
        <v>1.0</v>
      </c>
      <c r="F207" s="68">
        <v>0.0</v>
      </c>
      <c r="G207" s="68">
        <v>0.738388919616822</v>
      </c>
      <c r="H207" s="68">
        <v>0.954404004182583</v>
      </c>
      <c r="I207" s="69">
        <v>44308.02081018518</v>
      </c>
      <c r="J207" s="69">
        <v>44308.021006944444</v>
      </c>
      <c r="K207">
        <f>AVERAGE(H207:H211)</f>
        <v>94.32935828</v>
      </c>
      <c r="L207">
        <f>STDEV(H207:H211)</f>
        <v>124.9576358</v>
      </c>
      <c r="M207" s="70">
        <v>0.954404004182583</v>
      </c>
      <c r="N207" s="70">
        <v>0.954404004182583</v>
      </c>
      <c r="O207" s="70">
        <v>0.738388919616822</v>
      </c>
      <c r="P207" s="70">
        <v>0.738388919616822</v>
      </c>
    </row>
    <row r="208" hidden="1">
      <c r="A208" s="67" t="s">
        <v>968</v>
      </c>
      <c r="B208" s="67" t="s">
        <v>268</v>
      </c>
      <c r="C208" s="68">
        <v>0.25</v>
      </c>
      <c r="D208" s="68">
        <v>0.25</v>
      </c>
      <c r="E208" s="68">
        <v>1.0</v>
      </c>
      <c r="F208" s="68">
        <v>1.0</v>
      </c>
      <c r="G208" s="68">
        <v>8.34683723880808</v>
      </c>
      <c r="H208" s="68">
        <v>289.856509607486</v>
      </c>
      <c r="I208" s="69">
        <v>44308.02172453704</v>
      </c>
      <c r="J208" s="69">
        <v>44308.02269675926</v>
      </c>
      <c r="K208">
        <f>AVERAGE(H207:H211)</f>
        <v>94.32935828</v>
      </c>
      <c r="L208">
        <f>STDEV(H207:H211)</f>
        <v>124.9576358</v>
      </c>
      <c r="M208" s="70">
        <v>289.856509607486</v>
      </c>
      <c r="N208" s="70">
        <v>289.856509607486</v>
      </c>
      <c r="O208" s="70">
        <v>8.34683723880808</v>
      </c>
      <c r="P208" s="70">
        <v>8.34683723880808</v>
      </c>
    </row>
    <row r="209" hidden="1">
      <c r="A209" s="67" t="s">
        <v>969</v>
      </c>
      <c r="B209" s="67" t="s">
        <v>268</v>
      </c>
      <c r="C209" s="68">
        <v>0.25</v>
      </c>
      <c r="D209" s="68">
        <v>0.25</v>
      </c>
      <c r="E209" s="68">
        <v>1.0</v>
      </c>
      <c r="F209" s="68">
        <v>2.0</v>
      </c>
      <c r="G209" s="68">
        <v>1.71978936464778</v>
      </c>
      <c r="H209" s="68">
        <v>27.9259095193964</v>
      </c>
      <c r="I209" s="69">
        <v>44308.02340277778</v>
      </c>
      <c r="J209" s="69">
        <v>44308.024039351854</v>
      </c>
      <c r="K209">
        <f>AVERAGE(H207:H211)</f>
        <v>94.32935828</v>
      </c>
      <c r="L209">
        <f>STDEV(H207:H211)</f>
        <v>124.9576358</v>
      </c>
      <c r="M209" s="70">
        <v>27.9259095193964</v>
      </c>
      <c r="N209" s="70">
        <v>27.9259095193964</v>
      </c>
      <c r="O209" s="70">
        <v>1.71978936464778</v>
      </c>
      <c r="P209" s="70">
        <v>1.71978936464778</v>
      </c>
    </row>
    <row r="210" hidden="1">
      <c r="A210" s="67" t="s">
        <v>970</v>
      </c>
      <c r="B210" s="67" t="s">
        <v>268</v>
      </c>
      <c r="C210" s="68">
        <v>0.25</v>
      </c>
      <c r="D210" s="68">
        <v>0.25</v>
      </c>
      <c r="E210" s="68">
        <v>1.0</v>
      </c>
      <c r="F210" s="68">
        <v>3.0</v>
      </c>
      <c r="G210" s="68">
        <v>2.64145420487137</v>
      </c>
      <c r="H210" s="68">
        <v>4.1380101737941</v>
      </c>
      <c r="I210" s="69">
        <v>44308.02474537037</v>
      </c>
      <c r="J210" s="69">
        <v>44308.02483796296</v>
      </c>
      <c r="K210">
        <f>AVERAGE(H207:H211)</f>
        <v>94.32935828</v>
      </c>
      <c r="L210">
        <f>STDEV(H207:H211)</f>
        <v>124.9576358</v>
      </c>
      <c r="M210" s="70">
        <v>4.1380101737941</v>
      </c>
      <c r="N210" s="70">
        <v>4.1380101737941</v>
      </c>
      <c r="O210" s="70">
        <v>2.64145420487137</v>
      </c>
      <c r="P210" s="70">
        <v>2.64145420487137</v>
      </c>
    </row>
    <row r="211" hidden="1">
      <c r="A211" s="67" t="s">
        <v>971</v>
      </c>
      <c r="B211" s="67" t="s">
        <v>268</v>
      </c>
      <c r="C211" s="68">
        <v>0.25</v>
      </c>
      <c r="D211" s="68">
        <v>0.25</v>
      </c>
      <c r="E211" s="68">
        <v>1.0</v>
      </c>
      <c r="F211" s="68">
        <v>4.0</v>
      </c>
      <c r="G211" s="68">
        <v>3.10026268487447</v>
      </c>
      <c r="H211" s="68">
        <v>148.771958093495</v>
      </c>
      <c r="I211" s="69">
        <v>44308.025555555556</v>
      </c>
      <c r="J211" s="69">
        <v>44308.077002314814</v>
      </c>
      <c r="K211">
        <f>AVERAGE(H207:H211)</f>
        <v>94.32935828</v>
      </c>
      <c r="L211">
        <f>STDEV(H207:H211)</f>
        <v>124.9576358</v>
      </c>
      <c r="M211" s="70">
        <v>148.771958093495</v>
      </c>
      <c r="N211" s="70">
        <v>148.771958093495</v>
      </c>
      <c r="O211" s="70">
        <v>3.10026268487447</v>
      </c>
      <c r="P211" s="70">
        <v>3.10026268487447</v>
      </c>
    </row>
    <row r="212" hidden="1">
      <c r="A212" s="67" t="s">
        <v>972</v>
      </c>
      <c r="B212" s="67" t="s">
        <v>268</v>
      </c>
      <c r="C212" s="68">
        <v>0.25</v>
      </c>
      <c r="D212" s="68">
        <v>0.5</v>
      </c>
      <c r="E212" s="68">
        <v>1.0</v>
      </c>
      <c r="F212" s="68">
        <v>0.0</v>
      </c>
      <c r="G212" s="68">
        <v>1.20213606898917</v>
      </c>
      <c r="H212" s="68">
        <v>15.7730297999211</v>
      </c>
      <c r="I212" s="69">
        <v>44308.07771990741</v>
      </c>
      <c r="J212" s="69">
        <v>44308.07784722222</v>
      </c>
      <c r="K212">
        <f>AVERAGE(H212:H216)</f>
        <v>95.21198631</v>
      </c>
      <c r="L212">
        <f>STDEV(H212:H216)</f>
        <v>80.72557473</v>
      </c>
      <c r="M212" s="70">
        <v>15.7730297999211</v>
      </c>
      <c r="N212" s="70">
        <v>15.7730297999211</v>
      </c>
      <c r="O212" s="70">
        <v>1.20213606898917</v>
      </c>
      <c r="P212" s="70">
        <v>1.20213606898917</v>
      </c>
    </row>
    <row r="213" hidden="1">
      <c r="A213" s="67" t="s">
        <v>973</v>
      </c>
      <c r="B213" s="67" t="s">
        <v>268</v>
      </c>
      <c r="C213" s="68">
        <v>0.25</v>
      </c>
      <c r="D213" s="68">
        <v>0.5</v>
      </c>
      <c r="E213" s="68">
        <v>1.0</v>
      </c>
      <c r="F213" s="68">
        <v>1.0</v>
      </c>
      <c r="G213" s="68">
        <v>4.76175231870075</v>
      </c>
      <c r="H213" s="68">
        <v>160.776199755782</v>
      </c>
      <c r="I213" s="69">
        <v>44308.078564814816</v>
      </c>
      <c r="J213" s="69">
        <v>44308.078784722224</v>
      </c>
      <c r="K213">
        <f>AVERAGE(H212:H216)</f>
        <v>95.21198631</v>
      </c>
      <c r="L213">
        <f>STDEV(H212:H216)</f>
        <v>80.72557473</v>
      </c>
      <c r="M213" s="70">
        <v>160.776199755782</v>
      </c>
      <c r="N213" s="70">
        <v>160.776199755782</v>
      </c>
      <c r="O213" s="70">
        <v>4.76175231870075</v>
      </c>
      <c r="P213" s="70">
        <v>4.76175231870075</v>
      </c>
    </row>
    <row r="214" hidden="1">
      <c r="A214" s="67" t="s">
        <v>974</v>
      </c>
      <c r="B214" s="67" t="s">
        <v>268</v>
      </c>
      <c r="C214" s="68">
        <v>0.25</v>
      </c>
      <c r="D214" s="68">
        <v>0.5</v>
      </c>
      <c r="E214" s="68">
        <v>1.0</v>
      </c>
      <c r="F214" s="68">
        <v>2.0</v>
      </c>
      <c r="G214" s="68">
        <v>3.61095690564535</v>
      </c>
      <c r="H214" s="68">
        <v>166.924311179371</v>
      </c>
      <c r="I214" s="69">
        <v>44308.07949074074</v>
      </c>
      <c r="J214" s="69">
        <v>44308.1559837963</v>
      </c>
      <c r="K214">
        <f>AVERAGE(H212:H216)</f>
        <v>95.21198631</v>
      </c>
      <c r="L214">
        <f>STDEV(H212:H216)</f>
        <v>80.72557473</v>
      </c>
      <c r="M214" s="70">
        <v>166.924311179371</v>
      </c>
      <c r="N214" s="70">
        <v>166.924311179371</v>
      </c>
      <c r="O214" s="70">
        <v>3.61095690564535</v>
      </c>
      <c r="P214" s="70">
        <v>3.61095690564535</v>
      </c>
    </row>
    <row r="215" hidden="1">
      <c r="A215" s="67" t="s">
        <v>975</v>
      </c>
      <c r="B215" s="67" t="s">
        <v>268</v>
      </c>
      <c r="C215" s="68">
        <v>0.25</v>
      </c>
      <c r="D215" s="68">
        <v>0.5</v>
      </c>
      <c r="E215" s="68">
        <v>1.0</v>
      </c>
      <c r="F215" s="68">
        <v>3.0</v>
      </c>
      <c r="G215" s="68">
        <v>2.49606347355188</v>
      </c>
      <c r="H215" s="68">
        <v>132.027544475285</v>
      </c>
      <c r="I215" s="69">
        <v>44308.156689814816</v>
      </c>
      <c r="J215" s="69">
        <v>44308.15689814815</v>
      </c>
      <c r="K215">
        <f>AVERAGE(H212:H216)</f>
        <v>95.21198631</v>
      </c>
      <c r="L215">
        <f>STDEV(H212:H216)</f>
        <v>80.72557473</v>
      </c>
      <c r="M215" s="70">
        <v>132.027544475285</v>
      </c>
      <c r="N215" s="70">
        <v>132.027544475285</v>
      </c>
      <c r="O215" s="70">
        <v>2.49606347355188</v>
      </c>
      <c r="P215" s="70">
        <v>2.49606347355188</v>
      </c>
    </row>
    <row r="216" hidden="1">
      <c r="A216" s="67" t="s">
        <v>976</v>
      </c>
      <c r="B216" s="67" t="s">
        <v>268</v>
      </c>
      <c r="C216" s="68">
        <v>0.25</v>
      </c>
      <c r="D216" s="68">
        <v>0.5</v>
      </c>
      <c r="E216" s="68">
        <v>1.0</v>
      </c>
      <c r="F216" s="68">
        <v>4.0</v>
      </c>
      <c r="G216" s="68">
        <v>0.466491018990041</v>
      </c>
      <c r="H216" s="68">
        <v>0.558846337991739</v>
      </c>
      <c r="I216" s="69">
        <v>44308.15760416666</v>
      </c>
      <c r="J216" s="69">
        <v>44308.15777777778</v>
      </c>
      <c r="K216">
        <f>AVERAGE(H212:H216)</f>
        <v>95.21198631</v>
      </c>
      <c r="L216">
        <f>STDEV(H212:H216)</f>
        <v>80.72557473</v>
      </c>
      <c r="M216" s="70">
        <v>0.558846337991739</v>
      </c>
      <c r="N216" s="70">
        <v>0.558846337991739</v>
      </c>
      <c r="O216" s="70">
        <v>0.466491018990041</v>
      </c>
      <c r="P216" s="70">
        <v>0.466491018990041</v>
      </c>
    </row>
    <row r="217" hidden="1">
      <c r="A217" s="67" t="s">
        <v>977</v>
      </c>
      <c r="B217" s="67" t="s">
        <v>268</v>
      </c>
      <c r="C217" s="68">
        <v>0.25</v>
      </c>
      <c r="D217" s="68">
        <v>0.75</v>
      </c>
      <c r="E217" s="68">
        <v>1.0</v>
      </c>
      <c r="F217" s="68">
        <v>0.0</v>
      </c>
      <c r="G217" s="68">
        <v>8.34840355721293</v>
      </c>
      <c r="H217" s="68">
        <v>289.811728895066</v>
      </c>
      <c r="I217" s="69">
        <v>44308.158483796295</v>
      </c>
      <c r="J217" s="69">
        <v>44308.159421296295</v>
      </c>
      <c r="K217">
        <f>AVERAGE(H217:H221)</f>
        <v>111.8240691</v>
      </c>
      <c r="L217">
        <f>STDEV(H217:H221)</f>
        <v>113.6242172</v>
      </c>
      <c r="M217" s="70">
        <v>289.811728895066</v>
      </c>
      <c r="N217" s="70">
        <v>289.811728895066</v>
      </c>
      <c r="O217" s="70">
        <v>8.34840355721293</v>
      </c>
      <c r="P217" s="70">
        <v>8.34840355721293</v>
      </c>
    </row>
    <row r="218" hidden="1">
      <c r="A218" s="67" t="s">
        <v>978</v>
      </c>
      <c r="B218" s="67" t="s">
        <v>268</v>
      </c>
      <c r="C218" s="68">
        <v>0.25</v>
      </c>
      <c r="D218" s="68">
        <v>0.75</v>
      </c>
      <c r="E218" s="68">
        <v>1.0</v>
      </c>
      <c r="F218" s="68">
        <v>1.0</v>
      </c>
      <c r="G218" s="68">
        <v>1.20204868480187</v>
      </c>
      <c r="H218" s="68">
        <v>15.7718770093698</v>
      </c>
      <c r="I218" s="69">
        <v>44308.16013888889</v>
      </c>
      <c r="J218" s="69">
        <v>44308.160266203704</v>
      </c>
      <c r="K218">
        <f>AVERAGE(H217:H221)</f>
        <v>111.8240691</v>
      </c>
      <c r="L218">
        <f>STDEV(H217:H221)</f>
        <v>113.6242172</v>
      </c>
      <c r="M218" s="70">
        <v>15.7718770093698</v>
      </c>
      <c r="N218" s="70">
        <v>15.7718770093698</v>
      </c>
      <c r="O218" s="70">
        <v>1.20204868480187</v>
      </c>
      <c r="P218" s="70">
        <v>1.20204868480187</v>
      </c>
    </row>
    <row r="219" hidden="1">
      <c r="A219" s="67" t="s">
        <v>979</v>
      </c>
      <c r="B219" s="67" t="s">
        <v>268</v>
      </c>
      <c r="C219" s="68">
        <v>0.25</v>
      </c>
      <c r="D219" s="68">
        <v>0.75</v>
      </c>
      <c r="E219" s="68">
        <v>1.0</v>
      </c>
      <c r="F219" s="68">
        <v>2.0</v>
      </c>
      <c r="G219" s="68">
        <v>3.38333430074965</v>
      </c>
      <c r="H219" s="68">
        <v>155.888433204189</v>
      </c>
      <c r="I219" s="69">
        <v>44308.16097222222</v>
      </c>
      <c r="J219" s="69">
        <v>44308.2046412037</v>
      </c>
      <c r="K219">
        <f>AVERAGE(H217:H221)</f>
        <v>111.8240691</v>
      </c>
      <c r="L219">
        <f>STDEV(H217:H221)</f>
        <v>113.6242172</v>
      </c>
      <c r="M219" s="70">
        <v>155.888433204189</v>
      </c>
      <c r="N219" s="70">
        <v>155.888433204189</v>
      </c>
      <c r="O219" s="70">
        <v>3.38333430074965</v>
      </c>
      <c r="P219" s="70">
        <v>3.38333430074965</v>
      </c>
    </row>
    <row r="220" hidden="1">
      <c r="A220" s="67" t="s">
        <v>980</v>
      </c>
      <c r="B220" s="67" t="s">
        <v>268</v>
      </c>
      <c r="C220" s="68">
        <v>0.25</v>
      </c>
      <c r="D220" s="68">
        <v>0.75</v>
      </c>
      <c r="E220" s="68">
        <v>1.0</v>
      </c>
      <c r="F220" s="68">
        <v>3.0</v>
      </c>
      <c r="G220" s="68">
        <v>1.72358662523348</v>
      </c>
      <c r="H220" s="68">
        <v>28.1290659168823</v>
      </c>
      <c r="I220" s="69">
        <v>44308.205347222225</v>
      </c>
      <c r="J220" s="69">
        <v>44308.2059375</v>
      </c>
      <c r="K220">
        <f>AVERAGE(H217:H221)</f>
        <v>111.8240691</v>
      </c>
      <c r="L220">
        <f>STDEV(H217:H221)</f>
        <v>113.6242172</v>
      </c>
      <c r="M220" s="70">
        <v>28.1290659168823</v>
      </c>
      <c r="N220" s="70">
        <v>28.1290659168823</v>
      </c>
      <c r="O220" s="70">
        <v>1.72358662523348</v>
      </c>
      <c r="P220" s="70">
        <v>1.72358662523348</v>
      </c>
    </row>
    <row r="221" hidden="1">
      <c r="A221" s="67" t="s">
        <v>981</v>
      </c>
      <c r="B221" s="67" t="s">
        <v>268</v>
      </c>
      <c r="C221" s="68">
        <v>0.25</v>
      </c>
      <c r="D221" s="68">
        <v>0.75</v>
      </c>
      <c r="E221" s="68">
        <v>1.0</v>
      </c>
      <c r="F221" s="68">
        <v>4.0</v>
      </c>
      <c r="G221" s="68">
        <v>1.35262355792541</v>
      </c>
      <c r="H221" s="68">
        <v>69.5192402640506</v>
      </c>
      <c r="I221" s="69">
        <v>44308.20664351852</v>
      </c>
      <c r="J221" s="69">
        <v>44308.207650462966</v>
      </c>
      <c r="K221">
        <f>AVERAGE(H217:H221)</f>
        <v>111.8240691</v>
      </c>
      <c r="L221">
        <f>STDEV(H217:H221)</f>
        <v>113.6242172</v>
      </c>
      <c r="M221" s="70">
        <v>69.5192402640506</v>
      </c>
      <c r="N221" s="70">
        <v>69.5192402640506</v>
      </c>
      <c r="O221" s="70">
        <v>1.35262355792541</v>
      </c>
      <c r="P221" s="70">
        <v>1.35262355792541</v>
      </c>
    </row>
    <row r="222" hidden="1">
      <c r="A222" s="67" t="s">
        <v>982</v>
      </c>
      <c r="B222" s="67" t="s">
        <v>268</v>
      </c>
      <c r="C222" s="68">
        <v>0.25</v>
      </c>
      <c r="D222" s="68">
        <v>1.0</v>
      </c>
      <c r="E222" s="68">
        <v>1.0</v>
      </c>
      <c r="F222" s="68">
        <v>0.0</v>
      </c>
      <c r="G222" s="68">
        <v>2.34757498401025</v>
      </c>
      <c r="H222" s="68">
        <v>107.188710934874</v>
      </c>
      <c r="I222" s="69">
        <v>44308.20836805556</v>
      </c>
      <c r="J222" s="69">
        <v>44308.27086805556</v>
      </c>
      <c r="K222">
        <f>AVERAGE(H222:H226)</f>
        <v>136.466546</v>
      </c>
      <c r="L222">
        <f>STDEV(H222:H226)</f>
        <v>144.0439562</v>
      </c>
      <c r="M222" s="70">
        <v>107.188710934874</v>
      </c>
      <c r="N222" s="70">
        <v>107.188710934874</v>
      </c>
      <c r="O222" s="70">
        <v>2.34757498401025</v>
      </c>
      <c r="P222" s="70">
        <v>2.34757498401025</v>
      </c>
    </row>
    <row r="223" hidden="1">
      <c r="A223" s="67" t="s">
        <v>983</v>
      </c>
      <c r="B223" s="67" t="s">
        <v>268</v>
      </c>
      <c r="C223" s="68">
        <v>0.25</v>
      </c>
      <c r="D223" s="68">
        <v>1.0</v>
      </c>
      <c r="E223" s="68">
        <v>1.0</v>
      </c>
      <c r="F223" s="68">
        <v>1.0</v>
      </c>
      <c r="G223" s="68">
        <v>0.71205655889852</v>
      </c>
      <c r="H223" s="68">
        <v>0.948977832482219</v>
      </c>
      <c r="I223" s="69">
        <v>44308.271585648145</v>
      </c>
      <c r="J223" s="69">
        <v>44308.27180555555</v>
      </c>
      <c r="K223">
        <f>AVERAGE(H222:H226)</f>
        <v>136.466546</v>
      </c>
      <c r="L223">
        <f>STDEV(H222:H226)</f>
        <v>144.0439562</v>
      </c>
      <c r="M223" s="70">
        <v>0.948977832482219</v>
      </c>
      <c r="N223" s="70">
        <v>0.948977832482219</v>
      </c>
      <c r="O223" s="70">
        <v>0.71205655889852</v>
      </c>
      <c r="P223" s="70">
        <v>0.71205655889852</v>
      </c>
    </row>
    <row r="224" hidden="1">
      <c r="A224" s="67" t="s">
        <v>984</v>
      </c>
      <c r="B224" s="67" t="s">
        <v>268</v>
      </c>
      <c r="C224" s="68">
        <v>0.25</v>
      </c>
      <c r="D224" s="68">
        <v>1.0</v>
      </c>
      <c r="E224" s="68">
        <v>1.0</v>
      </c>
      <c r="F224" s="68">
        <v>2.0</v>
      </c>
      <c r="G224" s="68">
        <v>8.18248809995411</v>
      </c>
      <c r="H224" s="68">
        <v>285.433492432174</v>
      </c>
      <c r="I224" s="69">
        <v>44308.272511574076</v>
      </c>
      <c r="J224" s="69">
        <v>44308.27302083333</v>
      </c>
      <c r="K224">
        <f>AVERAGE(H222:H226)</f>
        <v>136.466546</v>
      </c>
      <c r="L224">
        <f>STDEV(H222:H226)</f>
        <v>144.0439562</v>
      </c>
      <c r="M224" s="70">
        <v>285.433492432174</v>
      </c>
      <c r="N224" s="70">
        <v>285.433492432174</v>
      </c>
      <c r="O224" s="70">
        <v>8.18248809995411</v>
      </c>
      <c r="P224" s="70">
        <v>8.18248809995411</v>
      </c>
    </row>
    <row r="225" hidden="1">
      <c r="A225" s="67" t="s">
        <v>985</v>
      </c>
      <c r="B225" s="67" t="s">
        <v>268</v>
      </c>
      <c r="C225" s="68">
        <v>0.25</v>
      </c>
      <c r="D225" s="68">
        <v>1.0</v>
      </c>
      <c r="E225" s="68">
        <v>1.0</v>
      </c>
      <c r="F225" s="68">
        <v>3.0</v>
      </c>
      <c r="G225" s="68">
        <v>8.26825735609267</v>
      </c>
      <c r="H225" s="68">
        <v>288.353030894082</v>
      </c>
      <c r="I225" s="69">
        <v>44308.273726851854</v>
      </c>
      <c r="J225" s="69">
        <v>44308.274664351855</v>
      </c>
      <c r="K225">
        <f>AVERAGE(H222:H226)</f>
        <v>136.466546</v>
      </c>
      <c r="L225">
        <f>STDEV(H222:H226)</f>
        <v>144.0439562</v>
      </c>
      <c r="M225" s="70">
        <v>288.353030894082</v>
      </c>
      <c r="N225" s="70">
        <v>288.353030894082</v>
      </c>
      <c r="O225" s="70">
        <v>8.26825735609267</v>
      </c>
      <c r="P225" s="70">
        <v>8.26825735609267</v>
      </c>
    </row>
    <row r="226" hidden="1">
      <c r="A226" s="67" t="s">
        <v>986</v>
      </c>
      <c r="B226" s="67" t="s">
        <v>268</v>
      </c>
      <c r="C226" s="68">
        <v>0.25</v>
      </c>
      <c r="D226" s="68">
        <v>1.0</v>
      </c>
      <c r="E226" s="68">
        <v>1.0</v>
      </c>
      <c r="F226" s="68">
        <v>4.0</v>
      </c>
      <c r="G226" s="68">
        <v>0.319096105615425</v>
      </c>
      <c r="H226" s="68">
        <v>0.408517979006142</v>
      </c>
      <c r="I226" s="69">
        <v>44308.27538194445</v>
      </c>
      <c r="J226" s="69">
        <v>44308.27542824074</v>
      </c>
      <c r="K226">
        <f>AVERAGE(H222:H226)</f>
        <v>136.466546</v>
      </c>
      <c r="L226">
        <f>STDEV(H222:H226)</f>
        <v>144.0439562</v>
      </c>
      <c r="M226" s="70">
        <v>0.408517979006142</v>
      </c>
      <c r="N226" s="70">
        <v>0.408517979006142</v>
      </c>
      <c r="O226" s="70">
        <v>0.319096105615425</v>
      </c>
      <c r="P226" s="70">
        <v>0.319096105615425</v>
      </c>
    </row>
    <row r="227" hidden="1">
      <c r="A227" s="67" t="s">
        <v>987</v>
      </c>
      <c r="B227" s="67" t="s">
        <v>268</v>
      </c>
      <c r="C227" s="68">
        <v>0.5</v>
      </c>
      <c r="D227" s="68">
        <v>0.1</v>
      </c>
      <c r="E227" s="68">
        <v>1.0</v>
      </c>
      <c r="F227" s="68">
        <v>0.0</v>
      </c>
      <c r="G227" s="68">
        <v>7.3593190546868</v>
      </c>
      <c r="H227" s="68">
        <v>271.083048473994</v>
      </c>
      <c r="I227" s="69">
        <v>44308.27614583333</v>
      </c>
      <c r="J227" s="69">
        <v>44308.276712962965</v>
      </c>
      <c r="K227">
        <f>AVERAGE(H227:H231)</f>
        <v>136.6552237</v>
      </c>
      <c r="L227">
        <f>STDEV(H227:H231)</f>
        <v>91.26384254</v>
      </c>
      <c r="M227" s="70">
        <v>271.083048473994</v>
      </c>
      <c r="N227" s="70">
        <v>271.083048473994</v>
      </c>
      <c r="O227" s="70">
        <v>7.3593190546868</v>
      </c>
      <c r="P227" s="70">
        <v>7.3593190546868</v>
      </c>
    </row>
    <row r="228" hidden="1">
      <c r="A228" s="67" t="s">
        <v>988</v>
      </c>
      <c r="B228" s="67" t="s">
        <v>268</v>
      </c>
      <c r="C228" s="68">
        <v>0.5</v>
      </c>
      <c r="D228" s="68">
        <v>0.1</v>
      </c>
      <c r="E228" s="68">
        <v>1.0</v>
      </c>
      <c r="F228" s="68">
        <v>1.0</v>
      </c>
      <c r="G228" s="68">
        <v>2.87353392331304</v>
      </c>
      <c r="H228" s="68">
        <v>150.363977963883</v>
      </c>
      <c r="I228" s="69">
        <v>44308.27741898148</v>
      </c>
      <c r="J228" s="69">
        <v>44308.30850694444</v>
      </c>
      <c r="K228">
        <f>AVERAGE(H227:H231)</f>
        <v>136.6552237</v>
      </c>
      <c r="L228">
        <f>STDEV(H227:H231)</f>
        <v>91.26384254</v>
      </c>
      <c r="M228" s="70">
        <v>150.363977963883</v>
      </c>
      <c r="N228" s="70">
        <v>150.363977963883</v>
      </c>
      <c r="O228" s="70">
        <v>2.87353392331304</v>
      </c>
      <c r="P228" s="70">
        <v>2.87353392331304</v>
      </c>
    </row>
    <row r="229" hidden="1">
      <c r="A229" s="67" t="s">
        <v>989</v>
      </c>
      <c r="B229" s="67" t="s">
        <v>268</v>
      </c>
      <c r="C229" s="68">
        <v>0.5</v>
      </c>
      <c r="D229" s="68">
        <v>0.1</v>
      </c>
      <c r="E229" s="68">
        <v>1.0</v>
      </c>
      <c r="F229" s="68">
        <v>2.0</v>
      </c>
      <c r="G229" s="68">
        <v>4.19513815267797</v>
      </c>
      <c r="H229" s="68">
        <v>115.793222145536</v>
      </c>
      <c r="I229" s="69">
        <v>44308.309224537035</v>
      </c>
      <c r="J229" s="69">
        <v>44308.309282407405</v>
      </c>
      <c r="K229">
        <f>AVERAGE(H227:H231)</f>
        <v>136.6552237</v>
      </c>
      <c r="L229">
        <f>STDEV(H227:H231)</f>
        <v>91.26384254</v>
      </c>
      <c r="M229" s="70">
        <v>115.793222145536</v>
      </c>
      <c r="N229" s="70">
        <v>115.793222145536</v>
      </c>
      <c r="O229" s="70">
        <v>4.19513815267797</v>
      </c>
      <c r="P229" s="70">
        <v>4.19513815267797</v>
      </c>
    </row>
    <row r="230" hidden="1">
      <c r="A230" s="67" t="s">
        <v>990</v>
      </c>
      <c r="B230" s="67" t="s">
        <v>268</v>
      </c>
      <c r="C230" s="68">
        <v>0.5</v>
      </c>
      <c r="D230" s="68">
        <v>0.1</v>
      </c>
      <c r="E230" s="68">
        <v>1.0</v>
      </c>
      <c r="F230" s="68">
        <v>3.0</v>
      </c>
      <c r="G230" s="68">
        <v>2.99193518507983</v>
      </c>
      <c r="H230" s="68">
        <v>130.127276157132</v>
      </c>
      <c r="I230" s="69">
        <v>44308.31</v>
      </c>
      <c r="J230" s="69">
        <v>44308.32910879629</v>
      </c>
      <c r="K230">
        <f>AVERAGE(H227:H231)</f>
        <v>136.6552237</v>
      </c>
      <c r="L230">
        <f>STDEV(H227:H231)</f>
        <v>91.26384254</v>
      </c>
      <c r="M230" s="70">
        <v>130.127276157132</v>
      </c>
      <c r="N230" s="70">
        <v>130.127276157132</v>
      </c>
      <c r="O230" s="70">
        <v>2.99193518507983</v>
      </c>
      <c r="P230" s="70">
        <v>2.99193518507983</v>
      </c>
    </row>
    <row r="231" hidden="1">
      <c r="A231" s="67" t="s">
        <v>991</v>
      </c>
      <c r="B231" s="67" t="s">
        <v>268</v>
      </c>
      <c r="C231" s="68">
        <v>0.5</v>
      </c>
      <c r="D231" s="68">
        <v>0.1</v>
      </c>
      <c r="E231" s="68">
        <v>1.0</v>
      </c>
      <c r="F231" s="68">
        <v>4.0</v>
      </c>
      <c r="G231" s="68">
        <v>1.21437453905074</v>
      </c>
      <c r="H231" s="68">
        <v>15.9085939614324</v>
      </c>
      <c r="I231" s="69">
        <v>44308.32982638889</v>
      </c>
      <c r="J231" s="69">
        <v>44308.3299537037</v>
      </c>
      <c r="K231">
        <f>AVERAGE(H227:H231)</f>
        <v>136.6552237</v>
      </c>
      <c r="L231">
        <f>STDEV(H227:H231)</f>
        <v>91.26384254</v>
      </c>
      <c r="M231" s="70">
        <v>15.9085939614324</v>
      </c>
      <c r="N231" s="70">
        <v>15.9085939614324</v>
      </c>
      <c r="O231" s="70">
        <v>1.21437453905074</v>
      </c>
      <c r="P231" s="70">
        <v>1.21437453905074</v>
      </c>
    </row>
    <row r="232" hidden="1">
      <c r="A232" s="67" t="s">
        <v>992</v>
      </c>
      <c r="B232" s="67" t="s">
        <v>268</v>
      </c>
      <c r="C232" s="68">
        <v>0.5</v>
      </c>
      <c r="D232" s="68">
        <v>0.25</v>
      </c>
      <c r="E232" s="68">
        <v>1.0</v>
      </c>
      <c r="F232" s="68">
        <v>0.0</v>
      </c>
      <c r="G232" s="68">
        <v>2.33372885291376</v>
      </c>
      <c r="H232" s="68">
        <v>111.888050501667</v>
      </c>
      <c r="I232" s="69">
        <v>44308.330671296295</v>
      </c>
      <c r="J232" s="69">
        <v>44308.370405092595</v>
      </c>
      <c r="K232">
        <f>AVERAGE(H232:H236)</f>
        <v>140.6287518</v>
      </c>
      <c r="L232">
        <f>STDEV(H232:H236)</f>
        <v>134.3628732</v>
      </c>
      <c r="M232" s="70">
        <v>111.888050501667</v>
      </c>
      <c r="N232" s="70">
        <v>111.888050501667</v>
      </c>
      <c r="O232" s="70">
        <v>2.33372885291376</v>
      </c>
      <c r="P232" s="70">
        <v>2.33372885291376</v>
      </c>
    </row>
    <row r="233" hidden="1">
      <c r="A233" s="67" t="s">
        <v>993</v>
      </c>
      <c r="B233" s="67" t="s">
        <v>268</v>
      </c>
      <c r="C233" s="68">
        <v>0.5</v>
      </c>
      <c r="D233" s="68">
        <v>0.25</v>
      </c>
      <c r="E233" s="68">
        <v>1.0</v>
      </c>
      <c r="F233" s="68">
        <v>1.0</v>
      </c>
      <c r="G233" s="68">
        <v>1.09487060506055</v>
      </c>
      <c r="H233" s="68">
        <v>1.87550721349451</v>
      </c>
      <c r="I233" s="69">
        <v>44308.37111111111</v>
      </c>
      <c r="J233" s="69">
        <v>44308.371145833335</v>
      </c>
      <c r="K233">
        <f>AVERAGE(H232:H236)</f>
        <v>140.6287518</v>
      </c>
      <c r="L233">
        <f>STDEV(H232:H236)</f>
        <v>134.3628732</v>
      </c>
      <c r="M233" s="70">
        <v>1.87550721349451</v>
      </c>
      <c r="N233" s="70">
        <v>1.87550721349451</v>
      </c>
      <c r="O233" s="70">
        <v>1.09487060506055</v>
      </c>
      <c r="P233" s="70">
        <v>1.09487060506055</v>
      </c>
    </row>
    <row r="234" hidden="1">
      <c r="A234" s="67" t="s">
        <v>994</v>
      </c>
      <c r="B234" s="67" t="s">
        <v>268</v>
      </c>
      <c r="C234" s="68">
        <v>0.5</v>
      </c>
      <c r="D234" s="68">
        <v>0.25</v>
      </c>
      <c r="E234" s="68">
        <v>1.0</v>
      </c>
      <c r="F234" s="68">
        <v>2.0</v>
      </c>
      <c r="G234" s="68">
        <v>1.71877663299037</v>
      </c>
      <c r="H234" s="68">
        <v>27.9116864835591</v>
      </c>
      <c r="I234" s="69">
        <v>44308.37186342593</v>
      </c>
      <c r="J234" s="69">
        <v>44308.372465277775</v>
      </c>
      <c r="K234">
        <f>AVERAGE(H232:H236)</f>
        <v>140.6287518</v>
      </c>
      <c r="L234">
        <f>STDEV(H232:H236)</f>
        <v>134.3628732</v>
      </c>
      <c r="M234" s="70">
        <v>27.9116864835591</v>
      </c>
      <c r="N234" s="70">
        <v>27.9116864835591</v>
      </c>
      <c r="O234" s="70">
        <v>1.71877663299037</v>
      </c>
      <c r="P234" s="70">
        <v>1.71877663299037</v>
      </c>
    </row>
    <row r="235" hidden="1">
      <c r="A235" s="67" t="s">
        <v>995</v>
      </c>
      <c r="B235" s="67" t="s">
        <v>268</v>
      </c>
      <c r="C235" s="68">
        <v>0.5</v>
      </c>
      <c r="D235" s="68">
        <v>0.25</v>
      </c>
      <c r="E235" s="68">
        <v>1.0</v>
      </c>
      <c r="F235" s="68">
        <v>3.0</v>
      </c>
      <c r="G235" s="68">
        <v>8.35222078375373</v>
      </c>
      <c r="H235" s="68">
        <v>289.975301569354</v>
      </c>
      <c r="I235" s="69">
        <v>44308.3731712963</v>
      </c>
      <c r="J235" s="69">
        <v>44308.374085648145</v>
      </c>
      <c r="K235">
        <f>AVERAGE(H232:H236)</f>
        <v>140.6287518</v>
      </c>
      <c r="L235">
        <f>STDEV(H232:H236)</f>
        <v>134.3628732</v>
      </c>
      <c r="M235" s="70">
        <v>289.975301569354</v>
      </c>
      <c r="N235" s="70">
        <v>289.975301569354</v>
      </c>
      <c r="O235" s="70">
        <v>8.35222078375373</v>
      </c>
      <c r="P235" s="70">
        <v>8.35222078375373</v>
      </c>
    </row>
    <row r="236" hidden="1">
      <c r="A236" s="67" t="s">
        <v>996</v>
      </c>
      <c r="B236" s="67" t="s">
        <v>268</v>
      </c>
      <c r="C236" s="68">
        <v>0.5</v>
      </c>
      <c r="D236" s="68">
        <v>0.25</v>
      </c>
      <c r="E236" s="68">
        <v>1.0</v>
      </c>
      <c r="F236" s="68">
        <v>4.0</v>
      </c>
      <c r="G236" s="68">
        <v>7.28530384552626</v>
      </c>
      <c r="H236" s="68">
        <v>271.493213145021</v>
      </c>
      <c r="I236" s="69">
        <v>44308.37479166667</v>
      </c>
      <c r="J236" s="69">
        <v>44308.37535879629</v>
      </c>
      <c r="K236">
        <f>AVERAGE(H232:H236)</f>
        <v>140.6287518</v>
      </c>
      <c r="L236">
        <f>STDEV(H232:H236)</f>
        <v>134.3628732</v>
      </c>
      <c r="M236" s="70">
        <v>271.493213145021</v>
      </c>
      <c r="N236" s="70">
        <v>271.493213145021</v>
      </c>
      <c r="O236" s="70">
        <v>7.28530384552626</v>
      </c>
      <c r="P236" s="70">
        <v>7.28530384552626</v>
      </c>
    </row>
    <row r="237" hidden="1">
      <c r="A237" s="67" t="s">
        <v>997</v>
      </c>
      <c r="B237" s="67" t="s">
        <v>268</v>
      </c>
      <c r="C237" s="68">
        <v>0.5</v>
      </c>
      <c r="D237" s="68">
        <v>0.5</v>
      </c>
      <c r="E237" s="68">
        <v>1.0</v>
      </c>
      <c r="F237" s="68">
        <v>0.0</v>
      </c>
      <c r="G237" s="68">
        <v>4.24186212405798</v>
      </c>
      <c r="H237" s="68">
        <v>187.553116575407</v>
      </c>
      <c r="I237" s="69">
        <v>44308.376076388886</v>
      </c>
      <c r="J237" s="69">
        <v>44308.41421296296</v>
      </c>
      <c r="K237">
        <f>AVERAGE(H237:H241)</f>
        <v>111.1682193</v>
      </c>
      <c r="L237">
        <f>STDEV(H237:H241)</f>
        <v>86.37358129</v>
      </c>
      <c r="M237" s="70">
        <v>187.553116575407</v>
      </c>
      <c r="N237" s="70">
        <v>187.553116575407</v>
      </c>
      <c r="O237" s="70">
        <v>4.24186212405798</v>
      </c>
      <c r="P237" s="70">
        <v>4.24186212405798</v>
      </c>
    </row>
    <row r="238" hidden="1">
      <c r="A238" s="67" t="s">
        <v>998</v>
      </c>
      <c r="B238" s="67" t="s">
        <v>268</v>
      </c>
      <c r="C238" s="68">
        <v>0.5</v>
      </c>
      <c r="D238" s="68">
        <v>0.5</v>
      </c>
      <c r="E238" s="68">
        <v>1.0</v>
      </c>
      <c r="F238" s="68">
        <v>1.0</v>
      </c>
      <c r="G238" s="68">
        <v>4.55295375095751</v>
      </c>
      <c r="H238" s="68">
        <v>171.973236955383</v>
      </c>
      <c r="I238" s="69">
        <v>44308.41491898148</v>
      </c>
      <c r="J238" s="69">
        <v>44308.414988425924</v>
      </c>
      <c r="K238">
        <f>AVERAGE(H237:H241)</f>
        <v>111.1682193</v>
      </c>
      <c r="L238">
        <f>STDEV(H237:H241)</f>
        <v>86.37358129</v>
      </c>
      <c r="M238" s="70">
        <v>171.973236955383</v>
      </c>
      <c r="N238" s="70">
        <v>171.973236955383</v>
      </c>
      <c r="O238" s="70">
        <v>4.55295375095751</v>
      </c>
      <c r="P238" s="70">
        <v>4.55295375095751</v>
      </c>
    </row>
    <row r="239" hidden="1">
      <c r="A239" s="67" t="s">
        <v>999</v>
      </c>
      <c r="B239" s="67" t="s">
        <v>268</v>
      </c>
      <c r="C239" s="68">
        <v>0.5</v>
      </c>
      <c r="D239" s="68">
        <v>0.5</v>
      </c>
      <c r="E239" s="68">
        <v>1.0</v>
      </c>
      <c r="F239" s="68">
        <v>2.0</v>
      </c>
      <c r="G239" s="68">
        <v>0.779857284654019</v>
      </c>
      <c r="H239" s="68">
        <v>7.01830935253815</v>
      </c>
      <c r="I239" s="69">
        <v>44308.41569444445</v>
      </c>
      <c r="J239" s="69">
        <v>44308.417592592596</v>
      </c>
      <c r="K239">
        <f>AVERAGE(H237:H241)</f>
        <v>111.1682193</v>
      </c>
      <c r="L239">
        <f>STDEV(H237:H241)</f>
        <v>86.37358129</v>
      </c>
      <c r="M239" s="70">
        <v>7.01830935253815</v>
      </c>
      <c r="N239" s="70">
        <v>7.01830935253815</v>
      </c>
      <c r="O239" s="70">
        <v>0.779857284654019</v>
      </c>
      <c r="P239" s="70">
        <v>0.779857284654019</v>
      </c>
    </row>
    <row r="240" hidden="1">
      <c r="A240" s="67" t="s">
        <v>1000</v>
      </c>
      <c r="B240" s="67" t="s">
        <v>268</v>
      </c>
      <c r="C240" s="68">
        <v>0.5</v>
      </c>
      <c r="D240" s="68">
        <v>0.5</v>
      </c>
      <c r="E240" s="68">
        <v>1.0</v>
      </c>
      <c r="F240" s="68">
        <v>3.0</v>
      </c>
      <c r="G240" s="68">
        <v>1.72899809618553</v>
      </c>
      <c r="H240" s="68">
        <v>27.877509252326</v>
      </c>
      <c r="I240" s="69">
        <v>44308.41829861111</v>
      </c>
      <c r="J240" s="69">
        <v>44308.41892361111</v>
      </c>
      <c r="K240">
        <f>AVERAGE(H237:H241)</f>
        <v>111.1682193</v>
      </c>
      <c r="L240">
        <f>STDEV(H237:H241)</f>
        <v>86.37358129</v>
      </c>
      <c r="M240" s="70">
        <v>27.877509252326</v>
      </c>
      <c r="N240" s="70">
        <v>27.877509252326</v>
      </c>
      <c r="O240" s="70">
        <v>1.72899809618553</v>
      </c>
      <c r="P240" s="70">
        <v>1.72899809618553</v>
      </c>
    </row>
    <row r="241" hidden="1">
      <c r="A241" s="67" t="s">
        <v>1001</v>
      </c>
      <c r="B241" s="67" t="s">
        <v>268</v>
      </c>
      <c r="C241" s="68">
        <v>0.5</v>
      </c>
      <c r="D241" s="68">
        <v>0.5</v>
      </c>
      <c r="E241" s="68">
        <v>1.0</v>
      </c>
      <c r="F241" s="68">
        <v>4.0</v>
      </c>
      <c r="G241" s="68">
        <v>4.78946142392409</v>
      </c>
      <c r="H241" s="68">
        <v>161.418924330426</v>
      </c>
      <c r="I241" s="69">
        <v>44308.41962962963</v>
      </c>
      <c r="J241" s="69">
        <v>44308.41984953704</v>
      </c>
      <c r="K241">
        <f>AVERAGE(H237:H241)</f>
        <v>111.1682193</v>
      </c>
      <c r="L241">
        <f>STDEV(H237:H241)</f>
        <v>86.37358129</v>
      </c>
      <c r="M241" s="70">
        <v>161.418924330426</v>
      </c>
      <c r="N241" s="70">
        <v>161.418924330426</v>
      </c>
      <c r="O241" s="70">
        <v>4.78946142392409</v>
      </c>
      <c r="P241" s="70">
        <v>4.78946142392409</v>
      </c>
    </row>
    <row r="242" hidden="1">
      <c r="A242" s="67" t="s">
        <v>1002</v>
      </c>
      <c r="B242" s="67" t="s">
        <v>268</v>
      </c>
      <c r="C242" s="68">
        <v>0.5</v>
      </c>
      <c r="D242" s="68">
        <v>0.75</v>
      </c>
      <c r="E242" s="68">
        <v>1.0</v>
      </c>
      <c r="F242" s="68">
        <v>0.0</v>
      </c>
      <c r="G242" s="68">
        <v>1.21593702315599</v>
      </c>
      <c r="H242" s="68">
        <v>15.9223138572581</v>
      </c>
      <c r="I242" s="69">
        <v>44308.42055555555</v>
      </c>
      <c r="J242" s="69">
        <v>44308.420694444445</v>
      </c>
      <c r="K242">
        <f>AVERAGE(H242:H246)</f>
        <v>112.9466904</v>
      </c>
      <c r="L242">
        <f>STDEV(H242:H246)</f>
        <v>103.7851697</v>
      </c>
      <c r="M242" s="70">
        <v>15.9223138572581</v>
      </c>
      <c r="N242" s="70">
        <v>15.9223138572581</v>
      </c>
      <c r="O242" s="70">
        <v>1.21593702315599</v>
      </c>
      <c r="P242" s="70">
        <v>1.21593702315599</v>
      </c>
    </row>
    <row r="243" hidden="1">
      <c r="A243" s="67" t="s">
        <v>1003</v>
      </c>
      <c r="B243" s="67" t="s">
        <v>268</v>
      </c>
      <c r="C243" s="68">
        <v>0.5</v>
      </c>
      <c r="D243" s="68">
        <v>0.75</v>
      </c>
      <c r="E243" s="68">
        <v>1.0</v>
      </c>
      <c r="F243" s="68">
        <v>1.0</v>
      </c>
      <c r="G243" s="68">
        <v>0.736192093514763</v>
      </c>
      <c r="H243" s="68">
        <v>0.950544336758399</v>
      </c>
      <c r="I243" s="69">
        <v>44308.42140046296</v>
      </c>
      <c r="J243" s="69">
        <v>44308.42159722222</v>
      </c>
      <c r="K243">
        <f>AVERAGE(H242:H246)</f>
        <v>112.9466904</v>
      </c>
      <c r="L243">
        <f>STDEV(H242:H246)</f>
        <v>103.7851697</v>
      </c>
      <c r="M243" s="70">
        <v>0.950544336758399</v>
      </c>
      <c r="N243" s="70">
        <v>0.950544336758399</v>
      </c>
      <c r="O243" s="70">
        <v>0.736192093514763</v>
      </c>
      <c r="P243" s="70">
        <v>0.736192093514763</v>
      </c>
    </row>
    <row r="244" hidden="1">
      <c r="A244" s="67" t="s">
        <v>1004</v>
      </c>
      <c r="B244" s="67" t="s">
        <v>268</v>
      </c>
      <c r="C244" s="68">
        <v>0.5</v>
      </c>
      <c r="D244" s="68">
        <v>0.75</v>
      </c>
      <c r="E244" s="68">
        <v>1.0</v>
      </c>
      <c r="F244" s="68">
        <v>2.0</v>
      </c>
      <c r="G244" s="68">
        <v>2.65282998188707</v>
      </c>
      <c r="H244" s="68">
        <v>116.734532824916</v>
      </c>
      <c r="I244" s="69">
        <v>44308.42230324074</v>
      </c>
      <c r="J244" s="69">
        <v>44308.45106481481</v>
      </c>
      <c r="K244">
        <f>AVERAGE(H242:H246)</f>
        <v>112.9466904</v>
      </c>
      <c r="L244">
        <f>STDEV(H242:H246)</f>
        <v>103.7851697</v>
      </c>
      <c r="M244" s="70">
        <v>116.734532824916</v>
      </c>
      <c r="N244" s="70">
        <v>116.734532824916</v>
      </c>
      <c r="O244" s="70">
        <v>2.65282998188707</v>
      </c>
      <c r="P244" s="70">
        <v>2.65282998188707</v>
      </c>
    </row>
    <row r="245" hidden="1">
      <c r="A245" s="67" t="s">
        <v>1005</v>
      </c>
      <c r="B245" s="67" t="s">
        <v>268</v>
      </c>
      <c r="C245" s="68">
        <v>0.5</v>
      </c>
      <c r="D245" s="68">
        <v>0.75</v>
      </c>
      <c r="E245" s="68">
        <v>1.0</v>
      </c>
      <c r="F245" s="68">
        <v>3.0</v>
      </c>
      <c r="G245" s="68">
        <v>4.87241330033274</v>
      </c>
      <c r="H245" s="68">
        <v>210.366627620633</v>
      </c>
      <c r="I245" s="69">
        <v>44308.45177083334</v>
      </c>
      <c r="J245" s="69">
        <v>44308.455104166664</v>
      </c>
      <c r="K245">
        <f>AVERAGE(H242:H246)</f>
        <v>112.9466904</v>
      </c>
      <c r="L245">
        <f>STDEV(H242:H246)</f>
        <v>103.7851697</v>
      </c>
      <c r="M245" s="70">
        <v>210.366627620633</v>
      </c>
      <c r="N245" s="70">
        <v>210.366627620633</v>
      </c>
      <c r="O245" s="70">
        <v>4.87241330033274</v>
      </c>
      <c r="P245" s="70">
        <v>4.87241330033274</v>
      </c>
    </row>
    <row r="246" hidden="1">
      <c r="A246" s="67" t="s">
        <v>1006</v>
      </c>
      <c r="B246" s="67" t="s">
        <v>268</v>
      </c>
      <c r="C246" s="68">
        <v>0.5</v>
      </c>
      <c r="D246" s="68">
        <v>0.75</v>
      </c>
      <c r="E246" s="68">
        <v>1.0</v>
      </c>
      <c r="F246" s="68">
        <v>4.0</v>
      </c>
      <c r="G246" s="68">
        <v>5.15421098934746</v>
      </c>
      <c r="H246" s="68">
        <v>220.759433233498</v>
      </c>
      <c r="I246" s="69">
        <v>44308.45581018519</v>
      </c>
      <c r="J246" s="69">
        <v>44308.45690972222</v>
      </c>
      <c r="K246">
        <f>AVERAGE(H242:H246)</f>
        <v>112.9466904</v>
      </c>
      <c r="L246">
        <f>STDEV(H242:H246)</f>
        <v>103.7851697</v>
      </c>
      <c r="M246" s="70">
        <v>220.759433233498</v>
      </c>
      <c r="N246" s="70">
        <v>220.759433233498</v>
      </c>
      <c r="O246" s="70">
        <v>5.15421098934746</v>
      </c>
      <c r="P246" s="70">
        <v>5.15421098934746</v>
      </c>
    </row>
    <row r="247" hidden="1">
      <c r="A247" s="67" t="s">
        <v>1007</v>
      </c>
      <c r="B247" s="67" t="s">
        <v>268</v>
      </c>
      <c r="C247" s="68">
        <v>0.5</v>
      </c>
      <c r="D247" s="68">
        <v>1.0</v>
      </c>
      <c r="E247" s="68">
        <v>1.0</v>
      </c>
      <c r="F247" s="68">
        <v>0.0</v>
      </c>
      <c r="G247" s="68">
        <v>2.23195102157389</v>
      </c>
      <c r="H247" s="68">
        <v>98.4253478491537</v>
      </c>
      <c r="I247" s="69">
        <v>44308.45761574074</v>
      </c>
      <c r="J247" s="69">
        <v>44308.50368055556</v>
      </c>
      <c r="K247">
        <f>AVERAGE(H247:H251)</f>
        <v>159.398941</v>
      </c>
      <c r="L247">
        <f>STDEV(H247:H251)</f>
        <v>90.61771409</v>
      </c>
      <c r="M247" s="70">
        <v>98.4253478491537</v>
      </c>
      <c r="N247" s="70">
        <v>98.4253478491537</v>
      </c>
      <c r="O247" s="70">
        <v>2.23195102157389</v>
      </c>
      <c r="P247" s="70">
        <v>2.23195102157389</v>
      </c>
    </row>
    <row r="248" hidden="1">
      <c r="A248" s="67" t="s">
        <v>1008</v>
      </c>
      <c r="B248" s="67" t="s">
        <v>268</v>
      </c>
      <c r="C248" s="68">
        <v>0.5</v>
      </c>
      <c r="D248" s="68">
        <v>1.0</v>
      </c>
      <c r="E248" s="68">
        <v>1.0</v>
      </c>
      <c r="F248" s="68">
        <v>1.0</v>
      </c>
      <c r="G248" s="68">
        <v>1.51936562727533</v>
      </c>
      <c r="H248" s="68">
        <v>75.7519343356098</v>
      </c>
      <c r="I248" s="69">
        <v>44308.50438657407</v>
      </c>
      <c r="J248" s="69">
        <v>44308.50513888889</v>
      </c>
      <c r="K248">
        <f>AVERAGE(H247:H251)</f>
        <v>159.398941</v>
      </c>
      <c r="L248">
        <f>STDEV(H247:H251)</f>
        <v>90.61771409</v>
      </c>
      <c r="M248" s="70">
        <v>75.7519343356098</v>
      </c>
      <c r="N248" s="70">
        <v>75.7519343356098</v>
      </c>
      <c r="O248" s="70">
        <v>1.51936562727533</v>
      </c>
      <c r="P248" s="70">
        <v>1.51936562727533</v>
      </c>
    </row>
    <row r="249" hidden="1">
      <c r="A249" s="67" t="s">
        <v>1009</v>
      </c>
      <c r="B249" s="67" t="s">
        <v>268</v>
      </c>
      <c r="C249" s="68">
        <v>0.5</v>
      </c>
      <c r="D249" s="68">
        <v>1.0</v>
      </c>
      <c r="E249" s="68">
        <v>1.0</v>
      </c>
      <c r="F249" s="68">
        <v>2.0</v>
      </c>
      <c r="G249" s="68">
        <v>5.03697558492192</v>
      </c>
      <c r="H249" s="68">
        <v>218.046289707792</v>
      </c>
      <c r="I249" s="69">
        <v>44308.505844907406</v>
      </c>
      <c r="J249" s="69">
        <v>44308.507314814815</v>
      </c>
      <c r="K249">
        <f>AVERAGE(H247:H251)</f>
        <v>159.398941</v>
      </c>
      <c r="L249">
        <f>STDEV(H247:H251)</f>
        <v>90.61771409</v>
      </c>
      <c r="M249" s="70">
        <v>218.046289707792</v>
      </c>
      <c r="N249" s="70">
        <v>218.046289707792</v>
      </c>
      <c r="O249" s="70">
        <v>5.03697558492192</v>
      </c>
      <c r="P249" s="70">
        <v>5.03697558492192</v>
      </c>
    </row>
    <row r="250" hidden="1">
      <c r="A250" s="67" t="s">
        <v>1010</v>
      </c>
      <c r="B250" s="67" t="s">
        <v>268</v>
      </c>
      <c r="C250" s="68">
        <v>0.5</v>
      </c>
      <c r="D250" s="68">
        <v>1.0</v>
      </c>
      <c r="E250" s="68">
        <v>1.0</v>
      </c>
      <c r="F250" s="68">
        <v>3.0</v>
      </c>
      <c r="G250" s="68">
        <v>8.30317843880229</v>
      </c>
      <c r="H250" s="68">
        <v>288.977910805323</v>
      </c>
      <c r="I250" s="69">
        <v>44308.50802083333</v>
      </c>
      <c r="J250" s="69">
        <v>44308.50891203704</v>
      </c>
      <c r="K250">
        <f>AVERAGE(H247:H251)</f>
        <v>159.398941</v>
      </c>
      <c r="L250">
        <f>STDEV(H247:H251)</f>
        <v>90.61771409</v>
      </c>
      <c r="M250" s="70">
        <v>288.977910805323</v>
      </c>
      <c r="N250" s="70">
        <v>288.977910805323</v>
      </c>
      <c r="O250" s="70">
        <v>8.30317843880229</v>
      </c>
      <c r="P250" s="70">
        <v>8.30317843880229</v>
      </c>
    </row>
    <row r="251" hidden="1">
      <c r="A251" s="67" t="s">
        <v>1011</v>
      </c>
      <c r="B251" s="67" t="s">
        <v>268</v>
      </c>
      <c r="C251" s="68">
        <v>0.5</v>
      </c>
      <c r="D251" s="68">
        <v>1.0</v>
      </c>
      <c r="E251" s="68">
        <v>1.0</v>
      </c>
      <c r="F251" s="68">
        <v>4.0</v>
      </c>
      <c r="G251" s="68">
        <v>4.19513815267797</v>
      </c>
      <c r="H251" s="68">
        <v>115.793222145536</v>
      </c>
      <c r="I251" s="69">
        <v>44308.50962962963</v>
      </c>
      <c r="J251" s="69">
        <v>44308.5096875</v>
      </c>
      <c r="K251">
        <f>AVERAGE(H247:H251)</f>
        <v>159.398941</v>
      </c>
      <c r="L251">
        <f>STDEV(H247:H251)</f>
        <v>90.61771409</v>
      </c>
      <c r="M251" s="70">
        <v>115.793222145536</v>
      </c>
      <c r="N251" s="70">
        <v>115.793222145536</v>
      </c>
      <c r="O251" s="70">
        <v>4.19513815267797</v>
      </c>
      <c r="P251" s="70">
        <v>4.19513815267797</v>
      </c>
    </row>
    <row r="252" hidden="1">
      <c r="A252" s="67" t="s">
        <v>1012</v>
      </c>
      <c r="B252" s="67" t="s">
        <v>268</v>
      </c>
      <c r="C252" s="68">
        <v>0.75</v>
      </c>
      <c r="D252" s="68">
        <v>0.1</v>
      </c>
      <c r="E252" s="68">
        <v>1.0</v>
      </c>
      <c r="F252" s="68">
        <v>0.0</v>
      </c>
      <c r="G252" s="68">
        <v>4.96910126788719</v>
      </c>
      <c r="H252" s="68">
        <v>155.376812731412</v>
      </c>
      <c r="I252" s="69">
        <v>44308.51039351852</v>
      </c>
      <c r="J252" s="69">
        <v>44308.51048611111</v>
      </c>
      <c r="K252">
        <f>AVERAGE(H252:H256)</f>
        <v>123.0338044</v>
      </c>
      <c r="L252">
        <f>STDEV(H252:H256)</f>
        <v>89.58250406</v>
      </c>
      <c r="M252" s="70">
        <v>155.376812731412</v>
      </c>
      <c r="N252" s="70">
        <v>155.376812731412</v>
      </c>
      <c r="O252" s="70">
        <v>4.96910126788719</v>
      </c>
      <c r="P252" s="70">
        <v>4.96910126788719</v>
      </c>
    </row>
    <row r="253" hidden="1">
      <c r="A253" s="67" t="s">
        <v>1013</v>
      </c>
      <c r="B253" s="67" t="s">
        <v>268</v>
      </c>
      <c r="C253" s="68">
        <v>0.75</v>
      </c>
      <c r="D253" s="68">
        <v>0.1</v>
      </c>
      <c r="E253" s="68">
        <v>1.0</v>
      </c>
      <c r="F253" s="68">
        <v>1.0</v>
      </c>
      <c r="G253" s="68">
        <v>5.74201566233878</v>
      </c>
      <c r="H253" s="68">
        <v>235.750660874846</v>
      </c>
      <c r="I253" s="69">
        <v>44308.5112037037</v>
      </c>
      <c r="J253" s="69">
        <v>44308.512094907404</v>
      </c>
      <c r="K253">
        <f>AVERAGE(H252:H256)</f>
        <v>123.0338044</v>
      </c>
      <c r="L253">
        <f>STDEV(H252:H256)</f>
        <v>89.58250406</v>
      </c>
      <c r="M253" s="70">
        <v>235.750660874846</v>
      </c>
      <c r="N253" s="70">
        <v>235.750660874846</v>
      </c>
      <c r="O253" s="70">
        <v>5.74201566233878</v>
      </c>
      <c r="P253" s="70">
        <v>5.74201566233878</v>
      </c>
    </row>
    <row r="254" hidden="1">
      <c r="A254" s="67" t="s">
        <v>1014</v>
      </c>
      <c r="B254" s="67" t="s">
        <v>268</v>
      </c>
      <c r="C254" s="68">
        <v>0.75</v>
      </c>
      <c r="D254" s="68">
        <v>0.1</v>
      </c>
      <c r="E254" s="68">
        <v>1.0</v>
      </c>
      <c r="F254" s="68">
        <v>2.0</v>
      </c>
      <c r="G254" s="68">
        <v>3.2754343283315</v>
      </c>
      <c r="H254" s="68">
        <v>151.427838240127</v>
      </c>
      <c r="I254" s="69">
        <v>44308.51280092593</v>
      </c>
      <c r="J254" s="69">
        <v>44308.57158564815</v>
      </c>
      <c r="K254">
        <f>AVERAGE(H252:H256)</f>
        <v>123.0338044</v>
      </c>
      <c r="L254">
        <f>STDEV(H252:H256)</f>
        <v>89.58250406</v>
      </c>
      <c r="M254" s="70">
        <v>151.427838240127</v>
      </c>
      <c r="N254" s="70">
        <v>151.427838240127</v>
      </c>
      <c r="O254" s="70">
        <v>3.2754343283315</v>
      </c>
      <c r="P254" s="70">
        <v>3.2754343283315</v>
      </c>
    </row>
    <row r="255" hidden="1">
      <c r="A255" s="67" t="s">
        <v>1015</v>
      </c>
      <c r="B255" s="67" t="s">
        <v>268</v>
      </c>
      <c r="C255" s="68">
        <v>0.75</v>
      </c>
      <c r="D255" s="68">
        <v>0.1</v>
      </c>
      <c r="E255" s="68">
        <v>1.0</v>
      </c>
      <c r="F255" s="68">
        <v>3.0</v>
      </c>
      <c r="G255" s="68">
        <v>0.738388919616822</v>
      </c>
      <c r="H255" s="68">
        <v>0.954404004182583</v>
      </c>
      <c r="I255" s="69">
        <v>44308.572291666664</v>
      </c>
      <c r="J255" s="69">
        <v>44308.572488425925</v>
      </c>
      <c r="K255">
        <f>AVERAGE(H252:H256)</f>
        <v>123.0338044</v>
      </c>
      <c r="L255">
        <f>STDEV(H252:H256)</f>
        <v>89.58250406</v>
      </c>
      <c r="M255" s="70">
        <v>0.954404004182583</v>
      </c>
      <c r="N255" s="70">
        <v>0.954404004182583</v>
      </c>
      <c r="O255" s="70">
        <v>0.738388919616822</v>
      </c>
      <c r="P255" s="70">
        <v>0.738388919616822</v>
      </c>
    </row>
    <row r="256" hidden="1">
      <c r="A256" s="67" t="s">
        <v>1016</v>
      </c>
      <c r="B256" s="67" t="s">
        <v>268</v>
      </c>
      <c r="C256" s="68">
        <v>0.75</v>
      </c>
      <c r="D256" s="68">
        <v>0.1</v>
      </c>
      <c r="E256" s="68">
        <v>1.0</v>
      </c>
      <c r="F256" s="68">
        <v>4.0</v>
      </c>
      <c r="G256" s="68">
        <v>1.45711598952881</v>
      </c>
      <c r="H256" s="68">
        <v>71.6593063233314</v>
      </c>
      <c r="I256" s="69">
        <v>44308.57319444444</v>
      </c>
      <c r="J256" s="69">
        <v>44308.57388888889</v>
      </c>
      <c r="K256">
        <f>AVERAGE(H252:H256)</f>
        <v>123.0338044</v>
      </c>
      <c r="L256">
        <f>STDEV(H252:H256)</f>
        <v>89.58250406</v>
      </c>
      <c r="M256" s="70">
        <v>71.6593063233314</v>
      </c>
      <c r="N256" s="70">
        <v>71.6593063233314</v>
      </c>
      <c r="O256" s="70">
        <v>1.45711598952881</v>
      </c>
      <c r="P256" s="70">
        <v>1.45711598952881</v>
      </c>
    </row>
    <row r="257" hidden="1">
      <c r="A257" s="67" t="s">
        <v>1017</v>
      </c>
      <c r="B257" s="67" t="s">
        <v>268</v>
      </c>
      <c r="C257" s="68">
        <v>0.75</v>
      </c>
      <c r="D257" s="68">
        <v>0.25</v>
      </c>
      <c r="E257" s="68">
        <v>1.0</v>
      </c>
      <c r="F257" s="68">
        <v>0.0</v>
      </c>
      <c r="G257" s="68">
        <v>0.64751955706569</v>
      </c>
      <c r="H257" s="68">
        <v>0.799749371407063</v>
      </c>
      <c r="I257" s="69">
        <v>44308.574594907404</v>
      </c>
      <c r="J257" s="69">
        <v>44308.57534722222</v>
      </c>
      <c r="K257">
        <f>AVERAGE(H257:H261)</f>
        <v>124.8387406</v>
      </c>
      <c r="L257">
        <f>STDEV(H257:H261)</f>
        <v>109.8714105</v>
      </c>
      <c r="M257" s="70">
        <v>0.799749371407063</v>
      </c>
      <c r="N257" s="70">
        <v>0.799749371407063</v>
      </c>
      <c r="O257" s="70">
        <v>0.64751955706569</v>
      </c>
      <c r="P257" s="70">
        <v>0.64751955706569</v>
      </c>
    </row>
    <row r="258" hidden="1">
      <c r="A258" s="67" t="s">
        <v>1018</v>
      </c>
      <c r="B258" s="67" t="s">
        <v>268</v>
      </c>
      <c r="C258" s="68">
        <v>0.75</v>
      </c>
      <c r="D258" s="68">
        <v>0.25</v>
      </c>
      <c r="E258" s="68">
        <v>1.0</v>
      </c>
      <c r="F258" s="68">
        <v>1.0</v>
      </c>
      <c r="G258" s="68">
        <v>7.06715340681248</v>
      </c>
      <c r="H258" s="68">
        <v>267.294047616344</v>
      </c>
      <c r="I258" s="69">
        <v>44308.57606481481</v>
      </c>
      <c r="J258" s="69">
        <v>44308.576828703706</v>
      </c>
      <c r="K258">
        <f>AVERAGE(H257:H261)</f>
        <v>124.8387406</v>
      </c>
      <c r="L258">
        <f>STDEV(H257:H261)</f>
        <v>109.8714105</v>
      </c>
      <c r="M258" s="70">
        <v>267.294047616344</v>
      </c>
      <c r="N258" s="70">
        <v>267.294047616344</v>
      </c>
      <c r="O258" s="70">
        <v>7.06715340681248</v>
      </c>
      <c r="P258" s="70">
        <v>7.06715340681248</v>
      </c>
    </row>
    <row r="259" hidden="1">
      <c r="A259" s="67" t="s">
        <v>1019</v>
      </c>
      <c r="B259" s="67" t="s">
        <v>268</v>
      </c>
      <c r="C259" s="68">
        <v>0.75</v>
      </c>
      <c r="D259" s="68">
        <v>0.25</v>
      </c>
      <c r="E259" s="68">
        <v>1.0</v>
      </c>
      <c r="F259" s="68">
        <v>2.0</v>
      </c>
      <c r="G259" s="68">
        <v>4.79436895443335</v>
      </c>
      <c r="H259" s="68">
        <v>173.022715435042</v>
      </c>
      <c r="I259" s="69">
        <v>44308.5775462963</v>
      </c>
      <c r="J259" s="69">
        <v>44308.57760416667</v>
      </c>
      <c r="K259">
        <f>AVERAGE(H257:H261)</f>
        <v>124.8387406</v>
      </c>
      <c r="L259">
        <f>STDEV(H257:H261)</f>
        <v>109.8714105</v>
      </c>
      <c r="M259" s="70">
        <v>173.022715435042</v>
      </c>
      <c r="N259" s="70">
        <v>173.022715435042</v>
      </c>
      <c r="O259" s="70">
        <v>4.79436895443335</v>
      </c>
      <c r="P259" s="70">
        <v>4.79436895443335</v>
      </c>
    </row>
    <row r="260" hidden="1">
      <c r="A260" s="67" t="s">
        <v>1020</v>
      </c>
      <c r="B260" s="67" t="s">
        <v>268</v>
      </c>
      <c r="C260" s="68">
        <v>0.75</v>
      </c>
      <c r="D260" s="68">
        <v>0.25</v>
      </c>
      <c r="E260" s="68">
        <v>1.0</v>
      </c>
      <c r="F260" s="68">
        <v>3.0</v>
      </c>
      <c r="G260" s="68">
        <v>3.34654551201627</v>
      </c>
      <c r="H260" s="68">
        <v>155.053265625828</v>
      </c>
      <c r="I260" s="69">
        <v>44308.578310185185</v>
      </c>
      <c r="J260" s="69">
        <v>44308.6265162037</v>
      </c>
      <c r="K260">
        <f>AVERAGE(H257:H261)</f>
        <v>124.8387406</v>
      </c>
      <c r="L260">
        <f>STDEV(H257:H261)</f>
        <v>109.8714105</v>
      </c>
      <c r="M260" s="70">
        <v>155.053265625828</v>
      </c>
      <c r="N260" s="70">
        <v>155.053265625828</v>
      </c>
      <c r="O260" s="70">
        <v>3.34654551201627</v>
      </c>
      <c r="P260" s="70">
        <v>3.34654551201627</v>
      </c>
    </row>
    <row r="261" hidden="1">
      <c r="A261" s="67" t="s">
        <v>1021</v>
      </c>
      <c r="B261" s="67" t="s">
        <v>268</v>
      </c>
      <c r="C261" s="68">
        <v>0.75</v>
      </c>
      <c r="D261" s="68">
        <v>0.25</v>
      </c>
      <c r="E261" s="68">
        <v>1.0</v>
      </c>
      <c r="F261" s="68">
        <v>4.0</v>
      </c>
      <c r="G261" s="68">
        <v>1.7621331729062</v>
      </c>
      <c r="H261" s="68">
        <v>28.0239247137047</v>
      </c>
      <c r="I261" s="69">
        <v>44308.627233796295</v>
      </c>
      <c r="J261" s="69">
        <v>44308.62778935185</v>
      </c>
      <c r="K261">
        <f>AVERAGE(H257:H261)</f>
        <v>124.8387406</v>
      </c>
      <c r="L261">
        <f>STDEV(H257:H261)</f>
        <v>109.8714105</v>
      </c>
      <c r="M261" s="70">
        <v>28.0239247137047</v>
      </c>
      <c r="N261" s="70">
        <v>28.0239247137047</v>
      </c>
      <c r="O261" s="70">
        <v>1.7621331729062</v>
      </c>
      <c r="P261" s="70">
        <v>1.7621331729062</v>
      </c>
    </row>
    <row r="262" hidden="1">
      <c r="A262" s="67" t="s">
        <v>1022</v>
      </c>
      <c r="B262" s="67" t="s">
        <v>268</v>
      </c>
      <c r="C262" s="68">
        <v>0.75</v>
      </c>
      <c r="D262" s="68">
        <v>0.5</v>
      </c>
      <c r="E262" s="68">
        <v>1.0</v>
      </c>
      <c r="F262" s="68">
        <v>0.0</v>
      </c>
      <c r="G262" s="68">
        <v>3.29104697709848</v>
      </c>
      <c r="H262" s="68">
        <v>154.851633675526</v>
      </c>
      <c r="I262" s="69">
        <v>44308.62849537037</v>
      </c>
      <c r="J262" s="69">
        <v>44308.67663194444</v>
      </c>
      <c r="K262">
        <f>AVERAGE(H262:H266)</f>
        <v>109.1607426</v>
      </c>
      <c r="L262">
        <f>STDEV(H262:H266)</f>
        <v>88.51203266</v>
      </c>
      <c r="M262" s="70">
        <v>154.851633675526</v>
      </c>
      <c r="N262" s="70">
        <v>154.851633675526</v>
      </c>
      <c r="O262" s="70">
        <v>3.29104697709848</v>
      </c>
      <c r="P262" s="70">
        <v>3.29104697709848</v>
      </c>
    </row>
    <row r="263" hidden="1">
      <c r="A263" s="67" t="s">
        <v>1023</v>
      </c>
      <c r="B263" s="67" t="s">
        <v>268</v>
      </c>
      <c r="C263" s="68">
        <v>0.75</v>
      </c>
      <c r="D263" s="68">
        <v>0.5</v>
      </c>
      <c r="E263" s="68">
        <v>1.0</v>
      </c>
      <c r="F263" s="68">
        <v>1.0</v>
      </c>
      <c r="G263" s="68">
        <v>4.78558084907135</v>
      </c>
      <c r="H263" s="68">
        <v>161.207995385928</v>
      </c>
      <c r="I263" s="69">
        <v>44308.67733796296</v>
      </c>
      <c r="J263" s="69">
        <v>44308.67755787037</v>
      </c>
      <c r="K263">
        <f>AVERAGE(H262:H266)</f>
        <v>109.1607426</v>
      </c>
      <c r="L263">
        <f>STDEV(H262:H266)</f>
        <v>88.51203266</v>
      </c>
      <c r="M263" s="70">
        <v>161.207995385928</v>
      </c>
      <c r="N263" s="70">
        <v>161.207995385928</v>
      </c>
      <c r="O263" s="70">
        <v>4.78558084907135</v>
      </c>
      <c r="P263" s="70">
        <v>4.78558084907135</v>
      </c>
    </row>
    <row r="264" hidden="1">
      <c r="A264" s="67" t="s">
        <v>1024</v>
      </c>
      <c r="B264" s="67" t="s">
        <v>268</v>
      </c>
      <c r="C264" s="68">
        <v>0.75</v>
      </c>
      <c r="D264" s="68">
        <v>0.5</v>
      </c>
      <c r="E264" s="68">
        <v>1.0</v>
      </c>
      <c r="F264" s="68">
        <v>2.0</v>
      </c>
      <c r="G264" s="68">
        <v>1.07991001504809</v>
      </c>
      <c r="H264" s="68">
        <v>1.4504242499467</v>
      </c>
      <c r="I264" s="69">
        <v>44308.67826388889</v>
      </c>
      <c r="J264" s="69">
        <v>44308.67837962963</v>
      </c>
      <c r="K264">
        <f>AVERAGE(H262:H266)</f>
        <v>109.1607426</v>
      </c>
      <c r="L264">
        <f>STDEV(H262:H266)</f>
        <v>88.51203266</v>
      </c>
      <c r="M264" s="70">
        <v>1.4504242499467</v>
      </c>
      <c r="N264" s="70">
        <v>1.4504242499467</v>
      </c>
      <c r="O264" s="70">
        <v>1.07991001504809</v>
      </c>
      <c r="P264" s="70">
        <v>1.07991001504809</v>
      </c>
    </row>
    <row r="265" hidden="1">
      <c r="A265" s="67" t="s">
        <v>1025</v>
      </c>
      <c r="B265" s="67" t="s">
        <v>268</v>
      </c>
      <c r="C265" s="68">
        <v>0.75</v>
      </c>
      <c r="D265" s="68">
        <v>0.5</v>
      </c>
      <c r="E265" s="68">
        <v>1.0</v>
      </c>
      <c r="F265" s="68">
        <v>3.0</v>
      </c>
      <c r="G265" s="68">
        <v>4.34559916551108</v>
      </c>
      <c r="H265" s="68">
        <v>200.430405433158</v>
      </c>
      <c r="I265" s="69">
        <v>44308.679085648146</v>
      </c>
      <c r="J265" s="69">
        <v>44308.68324074074</v>
      </c>
      <c r="K265">
        <f>AVERAGE(H262:H266)</f>
        <v>109.1607426</v>
      </c>
      <c r="L265">
        <f>STDEV(H262:H266)</f>
        <v>88.51203266</v>
      </c>
      <c r="M265" s="70">
        <v>200.430405433158</v>
      </c>
      <c r="N265" s="70">
        <v>200.430405433158</v>
      </c>
      <c r="O265" s="70">
        <v>4.34559916551108</v>
      </c>
      <c r="P265" s="70">
        <v>4.34559916551108</v>
      </c>
    </row>
    <row r="266" hidden="1">
      <c r="A266" s="67" t="s">
        <v>1026</v>
      </c>
      <c r="B266" s="67" t="s">
        <v>268</v>
      </c>
      <c r="C266" s="68">
        <v>0.75</v>
      </c>
      <c r="D266" s="68">
        <v>0.5</v>
      </c>
      <c r="E266" s="68">
        <v>1.0</v>
      </c>
      <c r="F266" s="68">
        <v>4.0</v>
      </c>
      <c r="G266" s="68">
        <v>1.71649930589762</v>
      </c>
      <c r="H266" s="68">
        <v>27.8632542226744</v>
      </c>
      <c r="I266" s="69">
        <v>44308.68394675926</v>
      </c>
      <c r="J266" s="69">
        <v>44308.684594907405</v>
      </c>
      <c r="K266">
        <f>AVERAGE(H262:H266)</f>
        <v>109.1607426</v>
      </c>
      <c r="L266">
        <f>STDEV(H262:H266)</f>
        <v>88.51203266</v>
      </c>
      <c r="M266" s="70">
        <v>27.8632542226744</v>
      </c>
      <c r="N266" s="70">
        <v>27.8632542226744</v>
      </c>
      <c r="O266" s="70">
        <v>1.71649930589762</v>
      </c>
      <c r="P266" s="70">
        <v>1.71649930589762</v>
      </c>
    </row>
    <row r="267" hidden="1">
      <c r="A267" s="67" t="s">
        <v>1027</v>
      </c>
      <c r="B267" s="67" t="s">
        <v>268</v>
      </c>
      <c r="C267" s="68">
        <v>0.75</v>
      </c>
      <c r="D267" s="68">
        <v>0.75</v>
      </c>
      <c r="E267" s="68">
        <v>1.0</v>
      </c>
      <c r="F267" s="68">
        <v>0.0</v>
      </c>
      <c r="G267" s="68">
        <v>0.469849514427927</v>
      </c>
      <c r="H267" s="68">
        <v>3.8181342613651</v>
      </c>
      <c r="I267" s="69">
        <v>44308.6853125</v>
      </c>
      <c r="J267" s="69">
        <v>44308.68578703704</v>
      </c>
      <c r="K267">
        <f>AVERAGE(H267:H271)</f>
        <v>114.1453716</v>
      </c>
      <c r="L267">
        <f>STDEV(H267:H271)</f>
        <v>119.2739567</v>
      </c>
      <c r="M267" s="70">
        <v>3.8181342613651</v>
      </c>
      <c r="N267" s="70">
        <v>3.8181342613651</v>
      </c>
      <c r="O267" s="70">
        <v>0.469849514427927</v>
      </c>
      <c r="P267" s="70">
        <v>0.469849514427927</v>
      </c>
    </row>
    <row r="268" hidden="1">
      <c r="A268" s="67" t="s">
        <v>1028</v>
      </c>
      <c r="B268" s="67" t="s">
        <v>268</v>
      </c>
      <c r="C268" s="68">
        <v>0.75</v>
      </c>
      <c r="D268" s="68">
        <v>0.75</v>
      </c>
      <c r="E268" s="68">
        <v>1.0</v>
      </c>
      <c r="F268" s="68">
        <v>1.0</v>
      </c>
      <c r="G268" s="68">
        <v>2.49616528274345</v>
      </c>
      <c r="H268" s="68">
        <v>132.057611605618</v>
      </c>
      <c r="I268" s="69">
        <v>44308.68649305555</v>
      </c>
      <c r="J268" s="69">
        <v>44308.68671296296</v>
      </c>
      <c r="K268">
        <f>AVERAGE(H267:H271)</f>
        <v>114.1453716</v>
      </c>
      <c r="L268">
        <f>STDEV(H267:H271)</f>
        <v>119.2739567</v>
      </c>
      <c r="M268" s="70">
        <v>132.057611605618</v>
      </c>
      <c r="N268" s="70">
        <v>132.057611605618</v>
      </c>
      <c r="O268" s="70">
        <v>2.49616528274345</v>
      </c>
      <c r="P268" s="70">
        <v>2.49616528274345</v>
      </c>
    </row>
    <row r="269" hidden="1">
      <c r="A269" s="67" t="s">
        <v>1029</v>
      </c>
      <c r="B269" s="67" t="s">
        <v>268</v>
      </c>
      <c r="C269" s="68">
        <v>0.75</v>
      </c>
      <c r="D269" s="68">
        <v>0.75</v>
      </c>
      <c r="E269" s="68">
        <v>1.0</v>
      </c>
      <c r="F269" s="68">
        <v>2.0</v>
      </c>
      <c r="G269" s="68">
        <v>8.29762893643979</v>
      </c>
      <c r="H269" s="68">
        <v>288.881573905848</v>
      </c>
      <c r="I269" s="69">
        <v>44308.687430555554</v>
      </c>
      <c r="J269" s="69">
        <v>44308.688425925924</v>
      </c>
      <c r="K269">
        <f>AVERAGE(H267:H271)</f>
        <v>114.1453716</v>
      </c>
      <c r="L269">
        <f>STDEV(H267:H271)</f>
        <v>119.2739567</v>
      </c>
      <c r="M269" s="70">
        <v>288.881573905848</v>
      </c>
      <c r="N269" s="70">
        <v>288.881573905848</v>
      </c>
      <c r="O269" s="70">
        <v>8.29762893643979</v>
      </c>
      <c r="P269" s="70">
        <v>8.29762893643979</v>
      </c>
    </row>
    <row r="270" hidden="1">
      <c r="A270" s="67" t="s">
        <v>1030</v>
      </c>
      <c r="B270" s="67" t="s">
        <v>268</v>
      </c>
      <c r="C270" s="68">
        <v>0.75</v>
      </c>
      <c r="D270" s="68">
        <v>0.75</v>
      </c>
      <c r="E270" s="68">
        <v>1.0</v>
      </c>
      <c r="F270" s="68">
        <v>3.0</v>
      </c>
      <c r="G270" s="68">
        <v>0.466491018990041</v>
      </c>
      <c r="H270" s="68">
        <v>0.558846337991739</v>
      </c>
      <c r="I270" s="69">
        <v>44308.68913194445</v>
      </c>
      <c r="J270" s="69">
        <v>44308.689305555556</v>
      </c>
      <c r="K270">
        <f>AVERAGE(H267:H271)</f>
        <v>114.1453716</v>
      </c>
      <c r="L270">
        <f>STDEV(H267:H271)</f>
        <v>119.2739567</v>
      </c>
      <c r="M270" s="70">
        <v>0.558846337991739</v>
      </c>
      <c r="N270" s="70">
        <v>0.558846337991739</v>
      </c>
      <c r="O270" s="70">
        <v>0.466491018990041</v>
      </c>
      <c r="P270" s="70">
        <v>0.466491018990041</v>
      </c>
    </row>
    <row r="271" hidden="1">
      <c r="A271" s="67" t="s">
        <v>1031</v>
      </c>
      <c r="B271" s="67" t="s">
        <v>268</v>
      </c>
      <c r="C271" s="68">
        <v>0.75</v>
      </c>
      <c r="D271" s="68">
        <v>0.75</v>
      </c>
      <c r="E271" s="68">
        <v>1.0</v>
      </c>
      <c r="F271" s="68">
        <v>4.0</v>
      </c>
      <c r="G271" s="68">
        <v>3.20458377153063</v>
      </c>
      <c r="H271" s="68">
        <v>145.410691950321</v>
      </c>
      <c r="I271" s="69">
        <v>44308.69002314815</v>
      </c>
      <c r="J271" s="69">
        <v>44308.74103009259</v>
      </c>
      <c r="K271">
        <f>AVERAGE(H267:H271)</f>
        <v>114.1453716</v>
      </c>
      <c r="L271">
        <f>STDEV(H267:H271)</f>
        <v>119.2739567</v>
      </c>
      <c r="M271" s="70">
        <v>145.410691950321</v>
      </c>
      <c r="N271" s="70">
        <v>145.410691950321</v>
      </c>
      <c r="O271" s="70">
        <v>3.20458377153063</v>
      </c>
      <c r="P271" s="70">
        <v>3.20458377153063</v>
      </c>
    </row>
    <row r="272" hidden="1">
      <c r="A272" s="67" t="s">
        <v>1032</v>
      </c>
      <c r="B272" s="67" t="s">
        <v>268</v>
      </c>
      <c r="C272" s="68">
        <v>0.75</v>
      </c>
      <c r="D272" s="68">
        <v>1.0</v>
      </c>
      <c r="E272" s="68">
        <v>1.0</v>
      </c>
      <c r="F272" s="68">
        <v>0.0</v>
      </c>
      <c r="G272" s="68">
        <v>4.06475847647269</v>
      </c>
      <c r="H272" s="68">
        <v>187.717990592536</v>
      </c>
      <c r="I272" s="69">
        <v>44308.741736111115</v>
      </c>
      <c r="J272" s="69">
        <v>44308.744375</v>
      </c>
      <c r="K272">
        <f>AVERAGE(H272:H276)</f>
        <v>97.66232281</v>
      </c>
      <c r="L272">
        <f>STDEV(H272:H276)</f>
        <v>90.57648511</v>
      </c>
      <c r="M272" s="70">
        <v>187.717990592536</v>
      </c>
      <c r="N272" s="70">
        <v>187.717990592536</v>
      </c>
      <c r="O272" s="70">
        <v>4.06475847647269</v>
      </c>
      <c r="P272" s="70">
        <v>4.06475847647269</v>
      </c>
    </row>
    <row r="273" hidden="1">
      <c r="A273" s="67" t="s">
        <v>1033</v>
      </c>
      <c r="B273" s="67" t="s">
        <v>268</v>
      </c>
      <c r="C273" s="68">
        <v>0.75</v>
      </c>
      <c r="D273" s="68">
        <v>1.0</v>
      </c>
      <c r="E273" s="68">
        <v>1.0</v>
      </c>
      <c r="F273" s="68">
        <v>1.0</v>
      </c>
      <c r="G273" s="68">
        <v>3.93228233600345</v>
      </c>
      <c r="H273" s="68">
        <v>167.034071023118</v>
      </c>
      <c r="I273" s="69">
        <v>44308.745092592595</v>
      </c>
      <c r="J273" s="69">
        <v>44308.77452546296</v>
      </c>
      <c r="K273">
        <f>AVERAGE(H272:H276)</f>
        <v>97.66232281</v>
      </c>
      <c r="L273">
        <f>STDEV(H272:H276)</f>
        <v>90.57648511</v>
      </c>
      <c r="M273" s="70">
        <v>167.034071023118</v>
      </c>
      <c r="N273" s="70">
        <v>167.034071023118</v>
      </c>
      <c r="O273" s="70">
        <v>3.93228233600345</v>
      </c>
      <c r="P273" s="70">
        <v>3.93228233600345</v>
      </c>
    </row>
    <row r="274" hidden="1">
      <c r="A274" s="67" t="s">
        <v>1034</v>
      </c>
      <c r="B274" s="67" t="s">
        <v>268</v>
      </c>
      <c r="C274" s="68">
        <v>0.75</v>
      </c>
      <c r="D274" s="68">
        <v>1.0</v>
      </c>
      <c r="E274" s="68">
        <v>1.0</v>
      </c>
      <c r="F274" s="68">
        <v>2.0</v>
      </c>
      <c r="G274" s="68">
        <v>2.48808650494595</v>
      </c>
      <c r="H274" s="68">
        <v>131.779428321631</v>
      </c>
      <c r="I274" s="69">
        <v>44308.77523148148</v>
      </c>
      <c r="J274" s="69">
        <v>44308.77546296296</v>
      </c>
      <c r="K274">
        <f>AVERAGE(H272:H276)</f>
        <v>97.66232281</v>
      </c>
      <c r="L274">
        <f>STDEV(H272:H276)</f>
        <v>90.57648511</v>
      </c>
      <c r="M274" s="70">
        <v>131.779428321631</v>
      </c>
      <c r="N274" s="70">
        <v>131.779428321631</v>
      </c>
      <c r="O274" s="70">
        <v>2.48808650494595</v>
      </c>
      <c r="P274" s="70">
        <v>2.48808650494595</v>
      </c>
    </row>
    <row r="275" hidden="1">
      <c r="A275" s="67" t="s">
        <v>1035</v>
      </c>
      <c r="B275" s="67" t="s">
        <v>268</v>
      </c>
      <c r="C275" s="68">
        <v>0.75</v>
      </c>
      <c r="D275" s="68">
        <v>1.0</v>
      </c>
      <c r="E275" s="68">
        <v>1.0</v>
      </c>
      <c r="F275" s="68">
        <v>3.0</v>
      </c>
      <c r="G275" s="68">
        <v>0.658374680523164</v>
      </c>
      <c r="H275" s="68">
        <v>1.22026776776409</v>
      </c>
      <c r="I275" s="69">
        <v>44308.77616898148</v>
      </c>
      <c r="J275" s="69">
        <v>44308.77693287037</v>
      </c>
      <c r="K275">
        <f>AVERAGE(H272:H276)</f>
        <v>97.66232281</v>
      </c>
      <c r="L275">
        <f>STDEV(H272:H276)</f>
        <v>90.57648511</v>
      </c>
      <c r="M275" s="70">
        <v>1.22026776776409</v>
      </c>
      <c r="N275" s="70">
        <v>1.22026776776409</v>
      </c>
      <c r="O275" s="70">
        <v>0.658374680523164</v>
      </c>
      <c r="P275" s="70">
        <v>0.658374680523164</v>
      </c>
    </row>
    <row r="276" hidden="1">
      <c r="A276" s="67" t="s">
        <v>1036</v>
      </c>
      <c r="B276" s="67" t="s">
        <v>268</v>
      </c>
      <c r="C276" s="68">
        <v>0.75</v>
      </c>
      <c r="D276" s="68">
        <v>1.0</v>
      </c>
      <c r="E276" s="68">
        <v>1.0</v>
      </c>
      <c r="F276" s="68">
        <v>4.0</v>
      </c>
      <c r="G276" s="68">
        <v>0.467682383480196</v>
      </c>
      <c r="H276" s="68">
        <v>0.559856325194396</v>
      </c>
      <c r="I276" s="69">
        <v>44308.777650462966</v>
      </c>
      <c r="J276" s="69">
        <v>44308.7778125</v>
      </c>
      <c r="K276">
        <f>AVERAGE(H272:H276)</f>
        <v>97.66232281</v>
      </c>
      <c r="L276">
        <f>STDEV(H272:H276)</f>
        <v>90.57648511</v>
      </c>
      <c r="M276" s="70">
        <v>0.559856325194396</v>
      </c>
      <c r="N276" s="70">
        <v>0.559856325194396</v>
      </c>
      <c r="O276" s="70">
        <v>0.467682383480196</v>
      </c>
      <c r="P276" s="70">
        <v>0.467682383480196</v>
      </c>
    </row>
    <row r="277" hidden="1">
      <c r="A277" s="67" t="s">
        <v>1037</v>
      </c>
      <c r="B277" s="67" t="s">
        <v>268</v>
      </c>
      <c r="C277" s="68">
        <v>1.0</v>
      </c>
      <c r="D277" s="68">
        <v>0.1</v>
      </c>
      <c r="E277" s="68">
        <v>1.0</v>
      </c>
      <c r="F277" s="68">
        <v>0.0</v>
      </c>
      <c r="G277" s="68">
        <v>2.9418609180191</v>
      </c>
      <c r="H277" s="68">
        <v>128.298981039608</v>
      </c>
      <c r="I277" s="69">
        <v>44308.77853009259</v>
      </c>
      <c r="J277" s="69">
        <v>44308.801782407405</v>
      </c>
      <c r="K277">
        <f>AVERAGE(H277:H281)</f>
        <v>107.4136088</v>
      </c>
      <c r="L277">
        <f>STDEV(H277:H281)</f>
        <v>90.18065319</v>
      </c>
      <c r="M277" s="70">
        <v>128.298981039608</v>
      </c>
      <c r="N277" s="70">
        <v>128.298981039608</v>
      </c>
      <c r="O277" s="70">
        <v>2.9418609180191</v>
      </c>
      <c r="P277" s="70">
        <v>2.9418609180191</v>
      </c>
    </row>
    <row r="278" hidden="1">
      <c r="A278" s="67" t="s">
        <v>1038</v>
      </c>
      <c r="B278" s="67" t="s">
        <v>268</v>
      </c>
      <c r="C278" s="68">
        <v>1.0</v>
      </c>
      <c r="D278" s="68">
        <v>0.1</v>
      </c>
      <c r="E278" s="68">
        <v>1.0</v>
      </c>
      <c r="F278" s="68">
        <v>1.0</v>
      </c>
      <c r="G278" s="68">
        <v>4.32850926488048</v>
      </c>
      <c r="H278" s="68">
        <v>208.1187037489</v>
      </c>
      <c r="I278" s="69">
        <v>44308.80248842593</v>
      </c>
      <c r="J278" s="69">
        <v>44308.819560185184</v>
      </c>
      <c r="K278">
        <f>AVERAGE(H277:H281)</f>
        <v>107.4136088</v>
      </c>
      <c r="L278">
        <f>STDEV(H277:H281)</f>
        <v>90.18065319</v>
      </c>
      <c r="M278" s="70">
        <v>208.1187037489</v>
      </c>
      <c r="N278" s="70">
        <v>208.1187037489</v>
      </c>
      <c r="O278" s="70">
        <v>4.32850926488048</v>
      </c>
      <c r="P278" s="70">
        <v>4.32850926488048</v>
      </c>
    </row>
    <row r="279" hidden="1">
      <c r="A279" s="67" t="s">
        <v>1039</v>
      </c>
      <c r="B279" s="67" t="s">
        <v>268</v>
      </c>
      <c r="C279" s="68">
        <v>1.0</v>
      </c>
      <c r="D279" s="68">
        <v>0.1</v>
      </c>
      <c r="E279" s="68">
        <v>1.0</v>
      </c>
      <c r="F279" s="68">
        <v>2.0</v>
      </c>
      <c r="G279" s="68">
        <v>1.73248614803366</v>
      </c>
      <c r="H279" s="68">
        <v>28.0236604536708</v>
      </c>
      <c r="I279" s="69">
        <v>44308.82027777778</v>
      </c>
      <c r="J279" s="69">
        <v>44308.820914351854</v>
      </c>
      <c r="K279">
        <f>AVERAGE(H277:H281)</f>
        <v>107.4136088</v>
      </c>
      <c r="L279">
        <f>STDEV(H277:H281)</f>
        <v>90.18065319</v>
      </c>
      <c r="M279" s="70">
        <v>28.0236604536708</v>
      </c>
      <c r="N279" s="70">
        <v>28.0236604536708</v>
      </c>
      <c r="O279" s="70">
        <v>1.73248614803366</v>
      </c>
      <c r="P279" s="70">
        <v>1.73248614803366</v>
      </c>
    </row>
    <row r="280" hidden="1">
      <c r="A280" s="67" t="s">
        <v>1040</v>
      </c>
      <c r="B280" s="67" t="s">
        <v>268</v>
      </c>
      <c r="C280" s="68">
        <v>1.0</v>
      </c>
      <c r="D280" s="68">
        <v>0.1</v>
      </c>
      <c r="E280" s="68">
        <v>1.0</v>
      </c>
      <c r="F280" s="68">
        <v>3.0</v>
      </c>
      <c r="G280" s="68">
        <v>0.319096105615425</v>
      </c>
      <c r="H280" s="68">
        <v>0.408517979006142</v>
      </c>
      <c r="I280" s="69">
        <v>44308.82162037037</v>
      </c>
      <c r="J280" s="69">
        <v>44308.82167824074</v>
      </c>
      <c r="K280">
        <f>AVERAGE(H277:H281)</f>
        <v>107.4136088</v>
      </c>
      <c r="L280">
        <f>STDEV(H277:H281)</f>
        <v>90.18065319</v>
      </c>
      <c r="M280" s="70">
        <v>0.408517979006142</v>
      </c>
      <c r="N280" s="70">
        <v>0.408517979006142</v>
      </c>
      <c r="O280" s="70">
        <v>0.319096105615425</v>
      </c>
      <c r="P280" s="70">
        <v>0.319096105615425</v>
      </c>
    </row>
    <row r="281" hidden="1">
      <c r="A281" s="67" t="s">
        <v>1041</v>
      </c>
      <c r="B281" s="67" t="s">
        <v>268</v>
      </c>
      <c r="C281" s="68">
        <v>1.0</v>
      </c>
      <c r="D281" s="68">
        <v>0.1</v>
      </c>
      <c r="E281" s="68">
        <v>1.0</v>
      </c>
      <c r="F281" s="68">
        <v>4.0</v>
      </c>
      <c r="G281" s="68">
        <v>4.74082010853713</v>
      </c>
      <c r="H281" s="68">
        <v>172.218180819367</v>
      </c>
      <c r="I281" s="69">
        <v>44308.822384259256</v>
      </c>
      <c r="J281" s="69">
        <v>44308.822534722225</v>
      </c>
      <c r="K281">
        <f>AVERAGE(H277:H281)</f>
        <v>107.4136088</v>
      </c>
      <c r="L281">
        <f>STDEV(H277:H281)</f>
        <v>90.18065319</v>
      </c>
      <c r="M281" s="70">
        <v>172.218180819367</v>
      </c>
      <c r="N281" s="70">
        <v>172.218180819367</v>
      </c>
      <c r="O281" s="70">
        <v>4.74082010853713</v>
      </c>
      <c r="P281" s="70">
        <v>4.74082010853713</v>
      </c>
    </row>
    <row r="282" hidden="1">
      <c r="A282" s="67" t="s">
        <v>1042</v>
      </c>
      <c r="B282" s="67" t="s">
        <v>268</v>
      </c>
      <c r="C282" s="68">
        <v>1.0</v>
      </c>
      <c r="D282" s="68">
        <v>0.25</v>
      </c>
      <c r="E282" s="68">
        <v>1.0</v>
      </c>
      <c r="F282" s="68">
        <v>0.0</v>
      </c>
      <c r="G282" s="68">
        <v>0.464154903697962</v>
      </c>
      <c r="H282" s="68">
        <v>0.556535061267823</v>
      </c>
      <c r="I282" s="69">
        <v>44308.82324074074</v>
      </c>
      <c r="J282" s="69">
        <v>44308.82341435185</v>
      </c>
      <c r="K282">
        <f>AVERAGE(H282:H286)</f>
        <v>93.18257359</v>
      </c>
      <c r="L282">
        <f>STDEV(H282:H286)</f>
        <v>85.54184066</v>
      </c>
      <c r="M282" s="70">
        <v>0.556535061267823</v>
      </c>
      <c r="N282" s="70">
        <v>0.556535061267823</v>
      </c>
      <c r="O282" s="70">
        <v>0.464154903697962</v>
      </c>
      <c r="P282" s="70">
        <v>0.464154903697962</v>
      </c>
    </row>
    <row r="283" hidden="1">
      <c r="A283" s="67" t="s">
        <v>1043</v>
      </c>
      <c r="B283" s="67" t="s">
        <v>268</v>
      </c>
      <c r="C283" s="68">
        <v>1.0</v>
      </c>
      <c r="D283" s="68">
        <v>0.25</v>
      </c>
      <c r="E283" s="68">
        <v>1.0</v>
      </c>
      <c r="F283" s="68">
        <v>1.0</v>
      </c>
      <c r="G283" s="68">
        <v>4.09306051243627</v>
      </c>
      <c r="H283" s="68">
        <v>172.653704049898</v>
      </c>
      <c r="I283" s="69">
        <v>44308.82413194444</v>
      </c>
      <c r="J283" s="69">
        <v>44308.84533564815</v>
      </c>
      <c r="K283">
        <f>AVERAGE(H282:H286)</f>
        <v>93.18257359</v>
      </c>
      <c r="L283">
        <f>STDEV(H282:H286)</f>
        <v>85.54184066</v>
      </c>
      <c r="M283" s="70">
        <v>172.653704049898</v>
      </c>
      <c r="N283" s="70">
        <v>172.653704049898</v>
      </c>
      <c r="O283" s="70">
        <v>4.09306051243627</v>
      </c>
      <c r="P283" s="70">
        <v>4.09306051243627</v>
      </c>
    </row>
    <row r="284" hidden="1">
      <c r="A284" s="67" t="s">
        <v>1044</v>
      </c>
      <c r="B284" s="67" t="s">
        <v>268</v>
      </c>
      <c r="C284" s="68">
        <v>1.0</v>
      </c>
      <c r="D284" s="68">
        <v>0.25</v>
      </c>
      <c r="E284" s="68">
        <v>1.0</v>
      </c>
      <c r="F284" s="68">
        <v>2.0</v>
      </c>
      <c r="G284" s="68">
        <v>0.707145019473237</v>
      </c>
      <c r="H284" s="68">
        <v>0.943883703531331</v>
      </c>
      <c r="I284" s="69">
        <v>44308.84605324074</v>
      </c>
      <c r="J284" s="69">
        <v>44308.84627314815</v>
      </c>
      <c r="K284">
        <f>AVERAGE(H282:H286)</f>
        <v>93.18257359</v>
      </c>
      <c r="L284">
        <f>STDEV(H282:H286)</f>
        <v>85.54184066</v>
      </c>
      <c r="M284" s="70">
        <v>0.943883703531331</v>
      </c>
      <c r="N284" s="70">
        <v>0.943883703531331</v>
      </c>
      <c r="O284" s="70">
        <v>0.707145019473237</v>
      </c>
      <c r="P284" s="70">
        <v>0.707145019473237</v>
      </c>
    </row>
    <row r="285" hidden="1">
      <c r="A285" s="67" t="s">
        <v>1045</v>
      </c>
      <c r="B285" s="67" t="s">
        <v>268</v>
      </c>
      <c r="C285" s="68">
        <v>1.0</v>
      </c>
      <c r="D285" s="68">
        <v>0.25</v>
      </c>
      <c r="E285" s="68">
        <v>1.0</v>
      </c>
      <c r="F285" s="68">
        <v>3.0</v>
      </c>
      <c r="G285" s="68">
        <v>2.5374423959192</v>
      </c>
      <c r="H285" s="68">
        <v>133.379347257918</v>
      </c>
      <c r="I285" s="69">
        <v>44308.846979166665</v>
      </c>
      <c r="J285" s="69">
        <v>44308.8471875</v>
      </c>
      <c r="K285">
        <f>AVERAGE(H282:H286)</f>
        <v>93.18257359</v>
      </c>
      <c r="L285">
        <f>STDEV(H282:H286)</f>
        <v>85.54184066</v>
      </c>
      <c r="M285" s="70">
        <v>133.379347257918</v>
      </c>
      <c r="N285" s="70">
        <v>133.379347257918</v>
      </c>
      <c r="O285" s="70">
        <v>2.5374423959192</v>
      </c>
      <c r="P285" s="70">
        <v>2.5374423959192</v>
      </c>
    </row>
    <row r="286" hidden="1">
      <c r="A286" s="67" t="s">
        <v>1046</v>
      </c>
      <c r="B286" s="67" t="s">
        <v>268</v>
      </c>
      <c r="C286" s="68">
        <v>1.0</v>
      </c>
      <c r="D286" s="68">
        <v>0.25</v>
      </c>
      <c r="E286" s="68">
        <v>1.0</v>
      </c>
      <c r="F286" s="68">
        <v>4.0</v>
      </c>
      <c r="G286" s="68">
        <v>3.21667079172993</v>
      </c>
      <c r="H286" s="68">
        <v>158.379397888908</v>
      </c>
      <c r="I286" s="69">
        <v>44308.847905092596</v>
      </c>
      <c r="J286" s="69">
        <v>44308.862916666665</v>
      </c>
      <c r="K286">
        <f>AVERAGE(H282:H286)</f>
        <v>93.18257359</v>
      </c>
      <c r="L286">
        <f>STDEV(H282:H286)</f>
        <v>85.54184066</v>
      </c>
      <c r="M286" s="70">
        <v>158.379397888908</v>
      </c>
      <c r="N286" s="70">
        <v>158.379397888908</v>
      </c>
      <c r="O286" s="70">
        <v>3.21667079172993</v>
      </c>
      <c r="P286" s="70">
        <v>3.21667079172993</v>
      </c>
    </row>
    <row r="287" hidden="1">
      <c r="A287" s="67" t="s">
        <v>1047</v>
      </c>
      <c r="B287" s="67" t="s">
        <v>268</v>
      </c>
      <c r="C287" s="68">
        <v>1.0</v>
      </c>
      <c r="D287" s="68">
        <v>0.5</v>
      </c>
      <c r="E287" s="68">
        <v>1.0</v>
      </c>
      <c r="F287" s="68">
        <v>0.0</v>
      </c>
      <c r="G287" s="68">
        <v>4.17881141297189</v>
      </c>
      <c r="H287" s="68">
        <v>194.39474757255</v>
      </c>
      <c r="I287" s="69">
        <v>44308.86363425926</v>
      </c>
      <c r="J287" s="69">
        <v>44308.866527777776</v>
      </c>
      <c r="K287">
        <f>AVERAGE(H287:H291)</f>
        <v>121.4453564</v>
      </c>
      <c r="L287">
        <f>STDEV(H287:H291)</f>
        <v>124.852205</v>
      </c>
      <c r="M287" s="70">
        <v>194.39474757255</v>
      </c>
      <c r="N287" s="70">
        <v>194.39474757255</v>
      </c>
      <c r="O287" s="70">
        <v>4.17881141297189</v>
      </c>
      <c r="P287" s="70">
        <v>4.17881141297189</v>
      </c>
    </row>
    <row r="288" hidden="1">
      <c r="A288" s="67" t="s">
        <v>1048</v>
      </c>
      <c r="B288" s="67" t="s">
        <v>268</v>
      </c>
      <c r="C288" s="68">
        <v>1.0</v>
      </c>
      <c r="D288" s="68">
        <v>0.5</v>
      </c>
      <c r="E288" s="68">
        <v>1.0</v>
      </c>
      <c r="F288" s="68">
        <v>1.0</v>
      </c>
      <c r="G288" s="68">
        <v>8.29945474064197</v>
      </c>
      <c r="H288" s="68">
        <v>288.949230066146</v>
      </c>
      <c r="I288" s="69">
        <v>44308.8672337963</v>
      </c>
      <c r="J288" s="69">
        <v>44308.868159722224</v>
      </c>
      <c r="K288">
        <f>AVERAGE(H287:H291)</f>
        <v>121.4453564</v>
      </c>
      <c r="L288">
        <f>STDEV(H287:H291)</f>
        <v>124.852205</v>
      </c>
      <c r="M288" s="70">
        <v>288.949230066146</v>
      </c>
      <c r="N288" s="70">
        <v>288.949230066146</v>
      </c>
      <c r="O288" s="70">
        <v>8.29945474064197</v>
      </c>
      <c r="P288" s="70">
        <v>8.29945474064197</v>
      </c>
    </row>
    <row r="289" hidden="1">
      <c r="A289" s="67" t="s">
        <v>1049</v>
      </c>
      <c r="B289" s="67" t="s">
        <v>268</v>
      </c>
      <c r="C289" s="68">
        <v>1.0</v>
      </c>
      <c r="D289" s="68">
        <v>0.5</v>
      </c>
      <c r="E289" s="68">
        <v>1.0</v>
      </c>
      <c r="F289" s="68">
        <v>2.0</v>
      </c>
      <c r="G289" s="68">
        <v>2.86614164197231</v>
      </c>
      <c r="H289" s="68">
        <v>121.711952109868</v>
      </c>
      <c r="I289" s="69">
        <v>44308.86887731482</v>
      </c>
      <c r="J289" s="69">
        <v>44308.90516203704</v>
      </c>
      <c r="K289">
        <f>AVERAGE(H287:H291)</f>
        <v>121.4453564</v>
      </c>
      <c r="L289">
        <f>STDEV(H287:H291)</f>
        <v>124.852205</v>
      </c>
      <c r="M289" s="70">
        <v>121.711952109868</v>
      </c>
      <c r="N289" s="70">
        <v>121.711952109868</v>
      </c>
      <c r="O289" s="70">
        <v>2.86614164197231</v>
      </c>
      <c r="P289" s="70">
        <v>2.86614164197231</v>
      </c>
    </row>
    <row r="290" hidden="1">
      <c r="A290" s="67" t="s">
        <v>1050</v>
      </c>
      <c r="B290" s="67" t="s">
        <v>268</v>
      </c>
      <c r="C290" s="68">
        <v>1.0</v>
      </c>
      <c r="D290" s="68">
        <v>0.5</v>
      </c>
      <c r="E290" s="68">
        <v>1.0</v>
      </c>
      <c r="F290" s="68">
        <v>3.0</v>
      </c>
      <c r="G290" s="68">
        <v>0.738388919616822</v>
      </c>
      <c r="H290" s="68">
        <v>0.954404004182583</v>
      </c>
      <c r="I290" s="69">
        <v>44308.90586805555</v>
      </c>
      <c r="J290" s="69">
        <v>44308.906064814815</v>
      </c>
      <c r="K290">
        <f>AVERAGE(H287:H291)</f>
        <v>121.4453564</v>
      </c>
      <c r="L290">
        <f>STDEV(H287:H291)</f>
        <v>124.852205</v>
      </c>
      <c r="M290" s="70">
        <v>0.954404004182583</v>
      </c>
      <c r="N290" s="70">
        <v>0.954404004182583</v>
      </c>
      <c r="O290" s="70">
        <v>0.738388919616822</v>
      </c>
      <c r="P290" s="70">
        <v>0.738388919616822</v>
      </c>
    </row>
    <row r="291" hidden="1">
      <c r="A291" s="67" t="s">
        <v>1051</v>
      </c>
      <c r="B291" s="67" t="s">
        <v>268</v>
      </c>
      <c r="C291" s="68">
        <v>1.0</v>
      </c>
      <c r="D291" s="68">
        <v>0.5</v>
      </c>
      <c r="E291" s="68">
        <v>1.0</v>
      </c>
      <c r="F291" s="68">
        <v>4.0</v>
      </c>
      <c r="G291" s="68">
        <v>0.655970886342877</v>
      </c>
      <c r="H291" s="68">
        <v>1.21644817535129</v>
      </c>
      <c r="I291" s="69">
        <v>44308.90677083333</v>
      </c>
      <c r="J291" s="69">
        <v>44308.907534722224</v>
      </c>
      <c r="K291">
        <f>AVERAGE(H287:H291)</f>
        <v>121.4453564</v>
      </c>
      <c r="L291">
        <f>STDEV(H287:H291)</f>
        <v>124.852205</v>
      </c>
      <c r="M291" s="70">
        <v>1.21644817535129</v>
      </c>
      <c r="N291" s="70">
        <v>1.21644817535129</v>
      </c>
      <c r="O291" s="70">
        <v>0.655970886342877</v>
      </c>
      <c r="P291" s="70">
        <v>0.655970886342877</v>
      </c>
    </row>
    <row r="292" hidden="1">
      <c r="A292" s="67" t="s">
        <v>1052</v>
      </c>
      <c r="B292" s="67" t="s">
        <v>268</v>
      </c>
      <c r="C292" s="68">
        <v>1.0</v>
      </c>
      <c r="D292" s="68">
        <v>0.75</v>
      </c>
      <c r="E292" s="68">
        <v>1.0</v>
      </c>
      <c r="F292" s="68">
        <v>0.0</v>
      </c>
      <c r="G292" s="68">
        <v>4.05590879051123</v>
      </c>
      <c r="H292" s="68">
        <v>189.623167860625</v>
      </c>
      <c r="I292" s="69">
        <v>44308.90824074074</v>
      </c>
      <c r="J292" s="69">
        <v>44308.911469907405</v>
      </c>
      <c r="K292">
        <f>AVERAGE(H292:H296)</f>
        <v>103.9937045</v>
      </c>
      <c r="L292">
        <f>STDEV(H292:H296)</f>
        <v>94.7403234</v>
      </c>
      <c r="M292" s="70">
        <v>189.623167860625</v>
      </c>
      <c r="N292" s="70">
        <v>189.623167860625</v>
      </c>
      <c r="O292" s="70">
        <v>4.05590879051123</v>
      </c>
      <c r="P292" s="70">
        <v>4.05590879051123</v>
      </c>
    </row>
    <row r="293" hidden="1">
      <c r="A293" s="67" t="s">
        <v>1053</v>
      </c>
      <c r="B293" s="67" t="s">
        <v>268</v>
      </c>
      <c r="C293" s="68">
        <v>1.0</v>
      </c>
      <c r="D293" s="68">
        <v>0.75</v>
      </c>
      <c r="E293" s="68">
        <v>1.0</v>
      </c>
      <c r="F293" s="68">
        <v>1.0</v>
      </c>
      <c r="G293" s="68">
        <v>4.79051382898971</v>
      </c>
      <c r="H293" s="68">
        <v>161.340164333754</v>
      </c>
      <c r="I293" s="69">
        <v>44308.9121875</v>
      </c>
      <c r="J293" s="69">
        <v>44308.912407407406</v>
      </c>
      <c r="K293">
        <f>AVERAGE(H292:H296)</f>
        <v>103.9937045</v>
      </c>
      <c r="L293">
        <f>STDEV(H292:H296)</f>
        <v>94.7403234</v>
      </c>
      <c r="M293" s="70">
        <v>161.340164333754</v>
      </c>
      <c r="N293" s="70">
        <v>161.340164333754</v>
      </c>
      <c r="O293" s="70">
        <v>4.79051382898971</v>
      </c>
      <c r="P293" s="70">
        <v>4.79051382898971</v>
      </c>
    </row>
    <row r="294" hidden="1">
      <c r="A294" s="67" t="s">
        <v>1054</v>
      </c>
      <c r="B294" s="67" t="s">
        <v>268</v>
      </c>
      <c r="C294" s="68">
        <v>1.0</v>
      </c>
      <c r="D294" s="68">
        <v>0.75</v>
      </c>
      <c r="E294" s="68">
        <v>1.0</v>
      </c>
      <c r="F294" s="68">
        <v>2.0</v>
      </c>
      <c r="G294" s="68">
        <v>0.683567389399229</v>
      </c>
      <c r="H294" s="68">
        <v>1.15448016312924</v>
      </c>
      <c r="I294" s="69">
        <v>44308.91311342592</v>
      </c>
      <c r="J294" s="69">
        <v>44308.914502314816</v>
      </c>
      <c r="K294">
        <f>AVERAGE(H292:H296)</f>
        <v>103.9937045</v>
      </c>
      <c r="L294">
        <f>STDEV(H292:H296)</f>
        <v>94.7403234</v>
      </c>
      <c r="M294" s="70">
        <v>1.15448016312924</v>
      </c>
      <c r="N294" s="70">
        <v>1.15448016312924</v>
      </c>
      <c r="O294" s="70">
        <v>0.683567389399229</v>
      </c>
      <c r="P294" s="70">
        <v>0.683567389399229</v>
      </c>
    </row>
    <row r="295" hidden="1">
      <c r="A295" s="67" t="s">
        <v>1055</v>
      </c>
      <c r="B295" s="67" t="s">
        <v>268</v>
      </c>
      <c r="C295" s="68">
        <v>1.0</v>
      </c>
      <c r="D295" s="68">
        <v>0.75</v>
      </c>
      <c r="E295" s="68">
        <v>1.0</v>
      </c>
      <c r="F295" s="68">
        <v>3.0</v>
      </c>
      <c r="G295" s="68">
        <v>0.464894846971917</v>
      </c>
      <c r="H295" s="68">
        <v>0.557163520855061</v>
      </c>
      <c r="I295" s="69">
        <v>44308.91521990741</v>
      </c>
      <c r="J295" s="69">
        <v>44308.91538194445</v>
      </c>
      <c r="K295">
        <f>AVERAGE(H292:H296)</f>
        <v>103.9937045</v>
      </c>
      <c r="L295">
        <f>STDEV(H292:H296)</f>
        <v>94.7403234</v>
      </c>
      <c r="M295" s="70">
        <v>0.557163520855061</v>
      </c>
      <c r="N295" s="70">
        <v>0.557163520855061</v>
      </c>
      <c r="O295" s="70">
        <v>0.464894846971917</v>
      </c>
      <c r="P295" s="70">
        <v>0.464894846971917</v>
      </c>
    </row>
    <row r="296" hidden="1">
      <c r="A296" s="67" t="s">
        <v>1056</v>
      </c>
      <c r="B296" s="67" t="s">
        <v>268</v>
      </c>
      <c r="C296" s="68">
        <v>1.0</v>
      </c>
      <c r="D296" s="68">
        <v>0.75</v>
      </c>
      <c r="E296" s="68">
        <v>1.0</v>
      </c>
      <c r="F296" s="68">
        <v>4.0</v>
      </c>
      <c r="G296" s="68">
        <v>3.90138815137229</v>
      </c>
      <c r="H296" s="68">
        <v>167.293546420879</v>
      </c>
      <c r="I296" s="69">
        <v>44308.91608796296</v>
      </c>
      <c r="J296" s="69">
        <v>44308.95185185185</v>
      </c>
      <c r="K296">
        <f>AVERAGE(H292:H296)</f>
        <v>103.9937045</v>
      </c>
      <c r="L296">
        <f>STDEV(H292:H296)</f>
        <v>94.7403234</v>
      </c>
      <c r="M296" s="70">
        <v>167.293546420879</v>
      </c>
      <c r="N296" s="70">
        <v>167.293546420879</v>
      </c>
      <c r="O296" s="70">
        <v>3.90138815137229</v>
      </c>
      <c r="P296" s="70">
        <v>3.90138815137229</v>
      </c>
    </row>
    <row r="297" hidden="1">
      <c r="A297" s="67" t="s">
        <v>1057</v>
      </c>
      <c r="B297" s="67" t="s">
        <v>268</v>
      </c>
      <c r="C297" s="68">
        <v>1.0</v>
      </c>
      <c r="D297" s="68">
        <v>1.0</v>
      </c>
      <c r="E297" s="68">
        <v>1.0</v>
      </c>
      <c r="F297" s="68">
        <v>0.0</v>
      </c>
      <c r="G297" s="68">
        <v>3.07575246177896</v>
      </c>
      <c r="H297" s="68">
        <v>129.70918611947</v>
      </c>
      <c r="I297" s="69">
        <v>44308.95255787037</v>
      </c>
      <c r="J297" s="69">
        <v>44308.957650462966</v>
      </c>
      <c r="K297">
        <f>AVERAGE(H297:H301)</f>
        <v>135.7481977</v>
      </c>
      <c r="L297">
        <f>STDEV(H297:H301)</f>
        <v>110.1542465</v>
      </c>
      <c r="M297" s="70">
        <v>129.70918611947</v>
      </c>
      <c r="N297" s="70">
        <v>129.70918611947</v>
      </c>
      <c r="O297" s="70">
        <v>3.07575246177896</v>
      </c>
      <c r="P297" s="70">
        <v>3.07575246177896</v>
      </c>
    </row>
    <row r="298" hidden="1">
      <c r="A298" s="67" t="s">
        <v>1058</v>
      </c>
      <c r="B298" s="67" t="s">
        <v>268</v>
      </c>
      <c r="C298" s="68">
        <v>1.0</v>
      </c>
      <c r="D298" s="68">
        <v>1.0</v>
      </c>
      <c r="E298" s="68">
        <v>1.0</v>
      </c>
      <c r="F298" s="68">
        <v>1.0</v>
      </c>
      <c r="G298" s="68">
        <v>0.708177920832769</v>
      </c>
      <c r="H298" s="68">
        <v>0.944709338392836</v>
      </c>
      <c r="I298" s="69">
        <v>44308.95835648148</v>
      </c>
      <c r="J298" s="69">
        <v>44308.95857638889</v>
      </c>
      <c r="K298">
        <f>AVERAGE(H297:H301)</f>
        <v>135.7481977</v>
      </c>
      <c r="L298">
        <f>STDEV(H297:H301)</f>
        <v>110.1542465</v>
      </c>
      <c r="M298" s="70">
        <v>0.944709338392836</v>
      </c>
      <c r="N298" s="70">
        <v>0.944709338392836</v>
      </c>
      <c r="O298" s="70">
        <v>0.708177920832769</v>
      </c>
      <c r="P298" s="70">
        <v>0.708177920832769</v>
      </c>
    </row>
    <row r="299" hidden="1">
      <c r="A299" s="67" t="s">
        <v>1059</v>
      </c>
      <c r="B299" s="67" t="s">
        <v>268</v>
      </c>
      <c r="C299" s="68">
        <v>1.0</v>
      </c>
      <c r="D299" s="68">
        <v>1.0</v>
      </c>
      <c r="E299" s="68">
        <v>1.0</v>
      </c>
      <c r="F299" s="68">
        <v>2.0</v>
      </c>
      <c r="G299" s="68">
        <v>8.29395582759207</v>
      </c>
      <c r="H299" s="68">
        <v>288.88475631828</v>
      </c>
      <c r="I299" s="69">
        <v>44308.959282407406</v>
      </c>
      <c r="J299" s="69">
        <v>44308.9603587963</v>
      </c>
      <c r="K299">
        <f>AVERAGE(H297:H301)</f>
        <v>135.7481977</v>
      </c>
      <c r="L299">
        <f>STDEV(H297:H301)</f>
        <v>110.1542465</v>
      </c>
      <c r="M299" s="70">
        <v>288.88475631828</v>
      </c>
      <c r="N299" s="70">
        <v>288.88475631828</v>
      </c>
      <c r="O299" s="70">
        <v>8.29395582759207</v>
      </c>
      <c r="P299" s="70">
        <v>8.29395582759207</v>
      </c>
    </row>
    <row r="300" hidden="1">
      <c r="A300" s="67" t="s">
        <v>1060</v>
      </c>
      <c r="B300" s="67" t="s">
        <v>268</v>
      </c>
      <c r="C300" s="68">
        <v>1.0</v>
      </c>
      <c r="D300" s="68">
        <v>1.0</v>
      </c>
      <c r="E300" s="68">
        <v>1.0</v>
      </c>
      <c r="F300" s="68">
        <v>3.0</v>
      </c>
      <c r="G300" s="68">
        <v>1.74665259385652</v>
      </c>
      <c r="H300" s="68">
        <v>71.2873430859307</v>
      </c>
      <c r="I300" s="69">
        <v>44308.961064814815</v>
      </c>
      <c r="J300" s="69">
        <v>44308.97078703704</v>
      </c>
      <c r="K300">
        <f>AVERAGE(H297:H301)</f>
        <v>135.7481977</v>
      </c>
      <c r="L300">
        <f>STDEV(H297:H301)</f>
        <v>110.1542465</v>
      </c>
      <c r="M300" s="70">
        <v>71.2873430859307</v>
      </c>
      <c r="N300" s="70">
        <v>71.2873430859307</v>
      </c>
      <c r="O300" s="70">
        <v>1.74665259385652</v>
      </c>
      <c r="P300" s="70">
        <v>1.74665259385652</v>
      </c>
    </row>
    <row r="301" hidden="1">
      <c r="A301" s="67" t="s">
        <v>1061</v>
      </c>
      <c r="B301" s="67" t="s">
        <v>268</v>
      </c>
      <c r="C301" s="68">
        <v>1.0</v>
      </c>
      <c r="D301" s="68">
        <v>1.0</v>
      </c>
      <c r="E301" s="68">
        <v>1.0</v>
      </c>
      <c r="F301" s="68">
        <v>4.0</v>
      </c>
      <c r="G301" s="68">
        <v>4.01212283749124</v>
      </c>
      <c r="H301" s="68">
        <v>187.914993726584</v>
      </c>
      <c r="I301" s="69">
        <v>44308.97149305556</v>
      </c>
      <c r="J301" s="69">
        <v>44308.9753587963</v>
      </c>
      <c r="K301">
        <f>AVERAGE(H297:H301)</f>
        <v>135.7481977</v>
      </c>
      <c r="L301">
        <f>STDEV(H297:H301)</f>
        <v>110.1542465</v>
      </c>
      <c r="M301" s="70">
        <v>187.914993726584</v>
      </c>
      <c r="N301" s="70">
        <v>187.914993726584</v>
      </c>
      <c r="O301" s="70">
        <v>4.01212283749124</v>
      </c>
      <c r="P301" s="70">
        <v>4.01212283749124</v>
      </c>
    </row>
    <row r="302" hidden="1">
      <c r="A302" s="67" t="s">
        <v>1062</v>
      </c>
      <c r="B302" s="67" t="s">
        <v>519</v>
      </c>
      <c r="C302" s="68">
        <v>0.1</v>
      </c>
      <c r="D302" s="68">
        <v>0.1</v>
      </c>
      <c r="E302" s="68">
        <v>1.0</v>
      </c>
      <c r="F302" s="68">
        <v>0.0</v>
      </c>
      <c r="G302" s="68">
        <v>4.68522073682307</v>
      </c>
      <c r="H302" s="68">
        <v>209.272150905547</v>
      </c>
      <c r="I302" s="69">
        <v>44308.976064814815</v>
      </c>
      <c r="J302" s="69">
        <v>44308.98694444444</v>
      </c>
      <c r="K302">
        <f>AVERAGE(H302:H306)</f>
        <v>86.69384403</v>
      </c>
      <c r="L302">
        <f>STDEV(H302:H306)</f>
        <v>92.92507278</v>
      </c>
      <c r="M302" s="70">
        <v>209.272150905547</v>
      </c>
      <c r="N302" s="70">
        <v>209.272150905547</v>
      </c>
      <c r="O302" s="70">
        <v>4.68522073682307</v>
      </c>
      <c r="P302" s="70">
        <v>4.68522073682307</v>
      </c>
    </row>
    <row r="303" hidden="1">
      <c r="A303" s="67" t="s">
        <v>1063</v>
      </c>
      <c r="B303" s="67" t="s">
        <v>519</v>
      </c>
      <c r="C303" s="68">
        <v>0.1</v>
      </c>
      <c r="D303" s="68">
        <v>0.1</v>
      </c>
      <c r="E303" s="68">
        <v>1.0</v>
      </c>
      <c r="F303" s="68">
        <v>1.0</v>
      </c>
      <c r="G303" s="68">
        <v>0.712828389333324</v>
      </c>
      <c r="H303" s="68">
        <v>0.949621251469742</v>
      </c>
      <c r="I303" s="69">
        <v>44308.987650462965</v>
      </c>
      <c r="J303" s="69">
        <v>44308.98788194444</v>
      </c>
      <c r="K303">
        <f>AVERAGE(H302:H306)</f>
        <v>86.69384403</v>
      </c>
      <c r="L303">
        <f>STDEV(H302:H306)</f>
        <v>92.92507278</v>
      </c>
      <c r="M303" s="70">
        <v>0.949621251469742</v>
      </c>
      <c r="N303" s="70">
        <v>0.949621251469742</v>
      </c>
      <c r="O303" s="70">
        <v>0.712828389333324</v>
      </c>
      <c r="P303" s="70">
        <v>0.712828389333324</v>
      </c>
    </row>
    <row r="304" hidden="1">
      <c r="A304" s="67" t="s">
        <v>1064</v>
      </c>
      <c r="B304" s="67" t="s">
        <v>519</v>
      </c>
      <c r="C304" s="68">
        <v>0.1</v>
      </c>
      <c r="D304" s="68">
        <v>0.1</v>
      </c>
      <c r="E304" s="68">
        <v>1.0</v>
      </c>
      <c r="F304" s="68">
        <v>2.0</v>
      </c>
      <c r="G304" s="68">
        <v>3.63722311591243</v>
      </c>
      <c r="H304" s="68">
        <v>153.345907141319</v>
      </c>
      <c r="I304" s="69">
        <v>44308.988599537035</v>
      </c>
      <c r="J304" s="69">
        <v>44309.007789351854</v>
      </c>
      <c r="K304">
        <f>AVERAGE(H302:H306)</f>
        <v>86.69384403</v>
      </c>
      <c r="L304">
        <f>STDEV(H302:H306)</f>
        <v>92.92507278</v>
      </c>
      <c r="M304" s="70">
        <v>153.345907141319</v>
      </c>
      <c r="N304" s="70">
        <v>153.345907141319</v>
      </c>
      <c r="O304" s="70">
        <v>3.63722311591243</v>
      </c>
      <c r="P304" s="70">
        <v>3.63722311591243</v>
      </c>
    </row>
    <row r="305" hidden="1">
      <c r="A305" s="67" t="s">
        <v>1065</v>
      </c>
      <c r="B305" s="67" t="s">
        <v>519</v>
      </c>
      <c r="C305" s="68">
        <v>0.1</v>
      </c>
      <c r="D305" s="68">
        <v>0.1</v>
      </c>
      <c r="E305" s="68">
        <v>1.0</v>
      </c>
      <c r="F305" s="68">
        <v>3.0</v>
      </c>
      <c r="G305" s="68">
        <v>1.56051305344461</v>
      </c>
      <c r="H305" s="68">
        <v>69.3424460331618</v>
      </c>
      <c r="I305" s="69">
        <v>44309.00850694445</v>
      </c>
      <c r="J305" s="69">
        <v>44309.0096412037</v>
      </c>
      <c r="K305">
        <f>AVERAGE(H302:H306)</f>
        <v>86.69384403</v>
      </c>
      <c r="L305">
        <f>STDEV(H302:H306)</f>
        <v>92.92507278</v>
      </c>
      <c r="M305" s="70">
        <v>69.3424460331618</v>
      </c>
      <c r="N305" s="70">
        <v>69.3424460331618</v>
      </c>
      <c r="O305" s="70">
        <v>1.56051305344461</v>
      </c>
      <c r="P305" s="70">
        <v>1.56051305344461</v>
      </c>
    </row>
    <row r="306" hidden="1">
      <c r="A306" s="67" t="s">
        <v>1066</v>
      </c>
      <c r="B306" s="67" t="s">
        <v>519</v>
      </c>
      <c r="C306" s="68">
        <v>0.1</v>
      </c>
      <c r="D306" s="68">
        <v>0.1</v>
      </c>
      <c r="E306" s="68">
        <v>1.0</v>
      </c>
      <c r="F306" s="68">
        <v>4.0</v>
      </c>
      <c r="G306" s="68">
        <v>0.466787137040523</v>
      </c>
      <c r="H306" s="68">
        <v>0.559094835862339</v>
      </c>
      <c r="I306" s="69">
        <v>44309.010358796295</v>
      </c>
      <c r="J306" s="69">
        <v>44309.01052083333</v>
      </c>
      <c r="K306">
        <f>AVERAGE(H302:H306)</f>
        <v>86.69384403</v>
      </c>
      <c r="L306">
        <f>STDEV(H302:H306)</f>
        <v>92.92507278</v>
      </c>
      <c r="M306" s="70">
        <v>0.559094835862339</v>
      </c>
      <c r="N306" s="70">
        <v>0.559094835862339</v>
      </c>
      <c r="O306" s="70">
        <v>0.466787137040523</v>
      </c>
      <c r="P306" s="70">
        <v>0.466787137040523</v>
      </c>
    </row>
    <row r="307" hidden="1">
      <c r="A307" s="67" t="s">
        <v>1067</v>
      </c>
      <c r="B307" s="67" t="s">
        <v>519</v>
      </c>
      <c r="C307" s="68">
        <v>0.1</v>
      </c>
      <c r="D307" s="68">
        <v>0.25</v>
      </c>
      <c r="E307" s="68">
        <v>1.0</v>
      </c>
      <c r="F307" s="68">
        <v>0.0</v>
      </c>
      <c r="G307" s="68">
        <v>3.24874847242072</v>
      </c>
      <c r="H307" s="68">
        <v>154.330693885541</v>
      </c>
      <c r="I307" s="69">
        <v>44309.01123842593</v>
      </c>
      <c r="J307" s="69">
        <v>44309.02773148148</v>
      </c>
      <c r="K307">
        <f>AVERAGE(H307:H311)</f>
        <v>148.0456437</v>
      </c>
      <c r="L307">
        <f>STDEV(H307:H311)</f>
        <v>110.7126749</v>
      </c>
      <c r="M307" s="70">
        <v>154.330693885541</v>
      </c>
      <c r="N307" s="70">
        <v>154.330693885541</v>
      </c>
      <c r="O307" s="70">
        <v>3.24874847242072</v>
      </c>
      <c r="P307" s="70">
        <v>3.24874847242072</v>
      </c>
    </row>
    <row r="308" hidden="1">
      <c r="A308" s="67" t="s">
        <v>1068</v>
      </c>
      <c r="B308" s="67" t="s">
        <v>519</v>
      </c>
      <c r="C308" s="68">
        <v>0.1</v>
      </c>
      <c r="D308" s="68">
        <v>0.25</v>
      </c>
      <c r="E308" s="68">
        <v>1.0</v>
      </c>
      <c r="F308" s="68">
        <v>1.0</v>
      </c>
      <c r="G308" s="68">
        <v>5.93065758421276</v>
      </c>
      <c r="H308" s="68">
        <v>233.495722122211</v>
      </c>
      <c r="I308" s="69">
        <v>44309.0284375</v>
      </c>
      <c r="J308" s="69">
        <v>44309.030324074076</v>
      </c>
      <c r="K308">
        <f>AVERAGE(H307:H311)</f>
        <v>148.0456437</v>
      </c>
      <c r="L308">
        <f>STDEV(H307:H311)</f>
        <v>110.7126749</v>
      </c>
      <c r="M308" s="70">
        <v>233.495722122211</v>
      </c>
      <c r="N308" s="70">
        <v>233.495722122211</v>
      </c>
      <c r="O308" s="70">
        <v>5.93065758421276</v>
      </c>
      <c r="P308" s="70">
        <v>5.93065758421276</v>
      </c>
    </row>
    <row r="309" hidden="1">
      <c r="A309" s="67" t="s">
        <v>1069</v>
      </c>
      <c r="B309" s="67" t="s">
        <v>519</v>
      </c>
      <c r="C309" s="68">
        <v>0.1</v>
      </c>
      <c r="D309" s="68">
        <v>0.25</v>
      </c>
      <c r="E309" s="68">
        <v>1.0</v>
      </c>
      <c r="F309" s="68">
        <v>2.0</v>
      </c>
      <c r="G309" s="68">
        <v>7.38849602320518</v>
      </c>
      <c r="H309" s="68">
        <v>271.790016136692</v>
      </c>
      <c r="I309" s="69">
        <v>44309.03104166667</v>
      </c>
      <c r="J309" s="69">
        <v>44309.0312962963</v>
      </c>
      <c r="K309">
        <f>AVERAGE(H307:H311)</f>
        <v>148.0456437</v>
      </c>
      <c r="L309">
        <f>STDEV(H307:H311)</f>
        <v>110.7126749</v>
      </c>
      <c r="M309" s="70">
        <v>271.790016136692</v>
      </c>
      <c r="N309" s="70">
        <v>271.790016136692</v>
      </c>
      <c r="O309" s="70">
        <v>7.38849602320518</v>
      </c>
      <c r="P309" s="70">
        <v>7.38849602320518</v>
      </c>
    </row>
    <row r="310" hidden="1">
      <c r="A310" s="67" t="s">
        <v>1070</v>
      </c>
      <c r="B310" s="67" t="s">
        <v>519</v>
      </c>
      <c r="C310" s="68">
        <v>0.1</v>
      </c>
      <c r="D310" s="68">
        <v>0.25</v>
      </c>
      <c r="E310" s="68">
        <v>1.0</v>
      </c>
      <c r="F310" s="68">
        <v>3.0</v>
      </c>
      <c r="G310" s="68">
        <v>0.467064118593437</v>
      </c>
      <c r="H310" s="68">
        <v>0.559255787345452</v>
      </c>
      <c r="I310" s="69">
        <v>44309.032013888886</v>
      </c>
      <c r="J310" s="69">
        <v>44309.032175925924</v>
      </c>
      <c r="K310">
        <f>AVERAGE(H307:H311)</f>
        <v>148.0456437</v>
      </c>
      <c r="L310">
        <f>STDEV(H307:H311)</f>
        <v>110.7126749</v>
      </c>
      <c r="M310" s="70">
        <v>0.559255787345452</v>
      </c>
      <c r="N310" s="70">
        <v>0.559255787345452</v>
      </c>
      <c r="O310" s="70">
        <v>0.467064118593437</v>
      </c>
      <c r="P310" s="70">
        <v>0.467064118593437</v>
      </c>
    </row>
    <row r="311" hidden="1">
      <c r="A311" s="67" t="s">
        <v>1071</v>
      </c>
      <c r="B311" s="67" t="s">
        <v>519</v>
      </c>
      <c r="C311" s="68">
        <v>0.1</v>
      </c>
      <c r="D311" s="68">
        <v>0.25</v>
      </c>
      <c r="E311" s="68">
        <v>1.0</v>
      </c>
      <c r="F311" s="68">
        <v>4.0</v>
      </c>
      <c r="G311" s="68">
        <v>1.97638531984449</v>
      </c>
      <c r="H311" s="68">
        <v>80.0525307735739</v>
      </c>
      <c r="I311" s="69">
        <v>44309.03289351852</v>
      </c>
      <c r="J311" s="69">
        <v>44309.04651620371</v>
      </c>
      <c r="K311">
        <f>AVERAGE(H307:H311)</f>
        <v>148.0456437</v>
      </c>
      <c r="L311">
        <f>STDEV(H307:H311)</f>
        <v>110.7126749</v>
      </c>
      <c r="M311" s="70">
        <v>80.0525307735739</v>
      </c>
      <c r="N311" s="70">
        <v>80.0525307735739</v>
      </c>
      <c r="O311" s="70">
        <v>1.97638531984449</v>
      </c>
      <c r="P311" s="70">
        <v>1.97638531984449</v>
      </c>
    </row>
    <row r="312" hidden="1">
      <c r="A312" s="67" t="s">
        <v>1072</v>
      </c>
      <c r="B312" s="67" t="s">
        <v>519</v>
      </c>
      <c r="C312" s="68">
        <v>0.1</v>
      </c>
      <c r="D312" s="68">
        <v>0.5</v>
      </c>
      <c r="E312" s="68">
        <v>1.0</v>
      </c>
      <c r="F312" s="68">
        <v>0.0</v>
      </c>
      <c r="G312" s="68">
        <v>2.35222408159936</v>
      </c>
      <c r="H312" s="68">
        <v>116.027691759406</v>
      </c>
      <c r="I312" s="69">
        <v>44309.04722222222</v>
      </c>
      <c r="J312" s="69">
        <v>44309.09774305556</v>
      </c>
      <c r="K312">
        <f>AVERAGE(H312:H316)</f>
        <v>201.7152164</v>
      </c>
      <c r="L312">
        <f>STDEV(H312:H316)</f>
        <v>62.90079623</v>
      </c>
      <c r="M312" s="70">
        <v>116.027691759406</v>
      </c>
      <c r="N312" s="70">
        <v>116.027691759406</v>
      </c>
      <c r="O312" s="70">
        <v>2.35222408159936</v>
      </c>
      <c r="P312" s="70">
        <v>2.35222408159936</v>
      </c>
    </row>
    <row r="313" hidden="1">
      <c r="A313" s="67" t="s">
        <v>1073</v>
      </c>
      <c r="B313" s="67" t="s">
        <v>519</v>
      </c>
      <c r="C313" s="68">
        <v>0.1</v>
      </c>
      <c r="D313" s="68">
        <v>0.5</v>
      </c>
      <c r="E313" s="68">
        <v>1.0</v>
      </c>
      <c r="F313" s="68">
        <v>1.0</v>
      </c>
      <c r="G313" s="68">
        <v>7.47233090482141</v>
      </c>
      <c r="H313" s="68">
        <v>229.547127668841</v>
      </c>
      <c r="I313" s="69">
        <v>44309.098449074074</v>
      </c>
      <c r="J313" s="69">
        <v>44309.0984837963</v>
      </c>
      <c r="K313">
        <f>AVERAGE(H312:H316)</f>
        <v>201.7152164</v>
      </c>
      <c r="L313">
        <f>STDEV(H312:H316)</f>
        <v>62.90079623</v>
      </c>
      <c r="M313" s="70">
        <v>229.547127668841</v>
      </c>
      <c r="N313" s="70">
        <v>229.547127668841</v>
      </c>
      <c r="O313" s="70">
        <v>7.47233090482141</v>
      </c>
      <c r="P313" s="70">
        <v>7.47233090482141</v>
      </c>
    </row>
    <row r="314" hidden="1">
      <c r="A314" s="67" t="s">
        <v>1074</v>
      </c>
      <c r="B314" s="67" t="s">
        <v>519</v>
      </c>
      <c r="C314" s="68">
        <v>0.1</v>
      </c>
      <c r="D314" s="68">
        <v>0.5</v>
      </c>
      <c r="E314" s="68">
        <v>1.0</v>
      </c>
      <c r="F314" s="68">
        <v>2.0</v>
      </c>
      <c r="G314" s="68">
        <v>13.1021014418938</v>
      </c>
      <c r="H314" s="68">
        <v>282.878129817341</v>
      </c>
      <c r="I314" s="69">
        <v>44309.09920138889</v>
      </c>
      <c r="J314" s="69">
        <v>44309.099224537036</v>
      </c>
      <c r="K314">
        <f>AVERAGE(H312:H316)</f>
        <v>201.7152164</v>
      </c>
      <c r="L314">
        <f>STDEV(H312:H316)</f>
        <v>62.90079623</v>
      </c>
      <c r="M314" s="70">
        <v>282.878129817341</v>
      </c>
      <c r="N314" s="70">
        <v>282.878129817341</v>
      </c>
      <c r="O314" s="70">
        <v>13.1021014418938</v>
      </c>
      <c r="P314" s="70">
        <v>13.1021014418938</v>
      </c>
    </row>
    <row r="315" hidden="1">
      <c r="A315" s="67" t="s">
        <v>1075</v>
      </c>
      <c r="B315" s="67" t="s">
        <v>519</v>
      </c>
      <c r="C315" s="68">
        <v>0.1</v>
      </c>
      <c r="D315" s="68">
        <v>0.5</v>
      </c>
      <c r="E315" s="68">
        <v>1.0</v>
      </c>
      <c r="F315" s="68">
        <v>3.0</v>
      </c>
      <c r="G315" s="68">
        <v>5.35828103348063</v>
      </c>
      <c r="H315" s="68">
        <v>169.445554726827</v>
      </c>
      <c r="I315" s="69">
        <v>44309.09994212963</v>
      </c>
      <c r="J315" s="69">
        <v>44309.10010416667</v>
      </c>
      <c r="K315">
        <f>AVERAGE(H312:H316)</f>
        <v>201.7152164</v>
      </c>
      <c r="L315">
        <f>STDEV(H312:H316)</f>
        <v>62.90079623</v>
      </c>
      <c r="M315" s="70">
        <v>169.445554726827</v>
      </c>
      <c r="N315" s="70">
        <v>169.445554726827</v>
      </c>
      <c r="O315" s="70">
        <v>5.35828103348063</v>
      </c>
      <c r="P315" s="70">
        <v>5.35828103348063</v>
      </c>
    </row>
    <row r="316" hidden="1">
      <c r="A316" s="67" t="s">
        <v>1076</v>
      </c>
      <c r="B316" s="67" t="s">
        <v>519</v>
      </c>
      <c r="C316" s="68">
        <v>0.1</v>
      </c>
      <c r="D316" s="68">
        <v>0.5</v>
      </c>
      <c r="E316" s="68">
        <v>1.0</v>
      </c>
      <c r="F316" s="68">
        <v>4.0</v>
      </c>
      <c r="G316" s="68">
        <v>4.88937478477008</v>
      </c>
      <c r="H316" s="68">
        <v>210.677577902797</v>
      </c>
      <c r="I316" s="69">
        <v>44309.100810185184</v>
      </c>
      <c r="J316" s="69">
        <v>44309.10978009259</v>
      </c>
      <c r="K316">
        <f>AVERAGE(H312:H316)</f>
        <v>201.7152164</v>
      </c>
      <c r="L316">
        <f>STDEV(H312:H316)</f>
        <v>62.90079623</v>
      </c>
      <c r="M316" s="70">
        <v>210.677577902797</v>
      </c>
      <c r="N316" s="70">
        <v>210.677577902797</v>
      </c>
      <c r="O316" s="70">
        <v>4.88937478477008</v>
      </c>
      <c r="P316" s="70">
        <v>4.88937478477008</v>
      </c>
    </row>
    <row r="317" hidden="1">
      <c r="A317" s="67" t="s">
        <v>1077</v>
      </c>
      <c r="B317" s="67" t="s">
        <v>519</v>
      </c>
      <c r="C317" s="68">
        <v>0.1</v>
      </c>
      <c r="D317" s="68">
        <v>0.75</v>
      </c>
      <c r="E317" s="68">
        <v>1.0</v>
      </c>
      <c r="F317" s="68">
        <v>0.0</v>
      </c>
      <c r="G317" s="68">
        <v>1.46633284946944</v>
      </c>
      <c r="H317" s="68">
        <v>20.6825415284808</v>
      </c>
      <c r="I317" s="69">
        <v>44309.11048611111</v>
      </c>
      <c r="J317" s="69">
        <v>44309.11050925926</v>
      </c>
      <c r="K317">
        <f>AVERAGE(H317:H321)</f>
        <v>151.7171058</v>
      </c>
      <c r="L317">
        <f>STDEV(H317:H321)</f>
        <v>92.96870099</v>
      </c>
      <c r="M317" s="70">
        <v>20.6825415284808</v>
      </c>
      <c r="N317" s="70">
        <v>20.6825415284808</v>
      </c>
      <c r="O317" s="70">
        <v>1.46633284946944</v>
      </c>
      <c r="P317" s="70">
        <v>1.46633284946944</v>
      </c>
    </row>
    <row r="318" hidden="1">
      <c r="A318" s="67" t="s">
        <v>1078</v>
      </c>
      <c r="B318" s="67" t="s">
        <v>519</v>
      </c>
      <c r="C318" s="68">
        <v>0.1</v>
      </c>
      <c r="D318" s="68">
        <v>0.75</v>
      </c>
      <c r="E318" s="68">
        <v>1.0</v>
      </c>
      <c r="F318" s="68">
        <v>1.0</v>
      </c>
      <c r="G318" s="68">
        <v>4.35231381316622</v>
      </c>
      <c r="H318" s="68">
        <v>192.207805685531</v>
      </c>
      <c r="I318" s="69">
        <v>44309.111226851855</v>
      </c>
      <c r="J318" s="69">
        <v>44309.11756944445</v>
      </c>
      <c r="K318">
        <f>AVERAGE(H317:H321)</f>
        <v>151.7171058</v>
      </c>
      <c r="L318">
        <f>STDEV(H317:H321)</f>
        <v>92.96870099</v>
      </c>
      <c r="M318" s="70">
        <v>192.207805685531</v>
      </c>
      <c r="N318" s="70">
        <v>192.207805685531</v>
      </c>
      <c r="O318" s="70">
        <v>4.35231381316622</v>
      </c>
      <c r="P318" s="70">
        <v>4.35231381316622</v>
      </c>
    </row>
    <row r="319" hidden="1">
      <c r="A319" s="67" t="s">
        <v>1079</v>
      </c>
      <c r="B319" s="67" t="s">
        <v>519</v>
      </c>
      <c r="C319" s="68">
        <v>0.1</v>
      </c>
      <c r="D319" s="68">
        <v>0.75</v>
      </c>
      <c r="E319" s="68">
        <v>1.0</v>
      </c>
      <c r="F319" s="68">
        <v>2.0</v>
      </c>
      <c r="G319" s="68">
        <v>7.34755130331449</v>
      </c>
      <c r="H319" s="68">
        <v>271.017411527013</v>
      </c>
      <c r="I319" s="69">
        <v>44309.11828703704</v>
      </c>
      <c r="J319" s="69">
        <v>44309.11855324074</v>
      </c>
      <c r="K319">
        <f>AVERAGE(H317:H321)</f>
        <v>151.7171058</v>
      </c>
      <c r="L319">
        <f>STDEV(H317:H321)</f>
        <v>92.96870099</v>
      </c>
      <c r="M319" s="70">
        <v>271.017411527013</v>
      </c>
      <c r="N319" s="70">
        <v>271.017411527013</v>
      </c>
      <c r="O319" s="70">
        <v>7.34755130331449</v>
      </c>
      <c r="P319" s="70">
        <v>7.34755130331449</v>
      </c>
    </row>
    <row r="320" hidden="1">
      <c r="A320" s="67" t="s">
        <v>1080</v>
      </c>
      <c r="B320" s="67" t="s">
        <v>519</v>
      </c>
      <c r="C320" s="68">
        <v>0.1</v>
      </c>
      <c r="D320" s="68">
        <v>0.75</v>
      </c>
      <c r="E320" s="68">
        <v>1.0</v>
      </c>
      <c r="F320" s="68">
        <v>3.0</v>
      </c>
      <c r="G320" s="68">
        <v>3.28845198509595</v>
      </c>
      <c r="H320" s="68">
        <v>160.972909928372</v>
      </c>
      <c r="I320" s="69">
        <v>44309.119259259256</v>
      </c>
      <c r="J320" s="69">
        <v>44309.12075231481</v>
      </c>
      <c r="K320">
        <f>AVERAGE(H317:H321)</f>
        <v>151.7171058</v>
      </c>
      <c r="L320">
        <f>STDEV(H317:H321)</f>
        <v>92.96870099</v>
      </c>
      <c r="M320" s="70">
        <v>160.972909928372</v>
      </c>
      <c r="N320" s="70">
        <v>160.972909928372</v>
      </c>
      <c r="O320" s="70">
        <v>3.28845198509595</v>
      </c>
      <c r="P320" s="70">
        <v>3.28845198509595</v>
      </c>
    </row>
    <row r="321" hidden="1">
      <c r="A321" s="67" t="s">
        <v>1081</v>
      </c>
      <c r="B321" s="67" t="s">
        <v>519</v>
      </c>
      <c r="C321" s="68">
        <v>0.1</v>
      </c>
      <c r="D321" s="68">
        <v>0.75</v>
      </c>
      <c r="E321" s="68">
        <v>1.0</v>
      </c>
      <c r="F321" s="68">
        <v>4.0</v>
      </c>
      <c r="G321" s="68">
        <v>2.542579781591</v>
      </c>
      <c r="H321" s="68">
        <v>113.704860560898</v>
      </c>
      <c r="I321" s="69">
        <v>44309.121458333335</v>
      </c>
      <c r="J321" s="69">
        <v>44309.14604166667</v>
      </c>
      <c r="K321">
        <f>AVERAGE(H317:H321)</f>
        <v>151.7171058</v>
      </c>
      <c r="L321">
        <f>STDEV(H317:H321)</f>
        <v>92.96870099</v>
      </c>
      <c r="M321" s="70">
        <v>113.704860560898</v>
      </c>
      <c r="N321" s="70">
        <v>113.704860560898</v>
      </c>
      <c r="O321" s="70">
        <v>2.542579781591</v>
      </c>
      <c r="P321" s="70">
        <v>2.542579781591</v>
      </c>
    </row>
    <row r="322" hidden="1">
      <c r="A322" s="67" t="s">
        <v>1082</v>
      </c>
      <c r="B322" s="67" t="s">
        <v>519</v>
      </c>
      <c r="C322" s="68">
        <v>0.1</v>
      </c>
      <c r="D322" s="68">
        <v>1.0</v>
      </c>
      <c r="E322" s="68">
        <v>1.0</v>
      </c>
      <c r="F322" s="68">
        <v>0.0</v>
      </c>
      <c r="G322" s="68">
        <v>3.3601739243726</v>
      </c>
      <c r="H322" s="68">
        <v>149.930830615503</v>
      </c>
      <c r="I322" s="69">
        <v>44309.14674768518</v>
      </c>
      <c r="J322" s="69">
        <v>44309.159212962964</v>
      </c>
      <c r="K322">
        <f>AVERAGE(H322:H326)</f>
        <v>84.01803487</v>
      </c>
      <c r="L322">
        <f>STDEV(H322:H326)</f>
        <v>89.16805837</v>
      </c>
      <c r="M322" s="70">
        <v>149.930830615503</v>
      </c>
      <c r="N322" s="70">
        <v>149.930830615503</v>
      </c>
      <c r="O322" s="70">
        <v>3.3601739243726</v>
      </c>
      <c r="P322" s="70">
        <v>3.3601739243726</v>
      </c>
    </row>
    <row r="323" hidden="1">
      <c r="A323" s="67" t="s">
        <v>1083</v>
      </c>
      <c r="B323" s="67" t="s">
        <v>519</v>
      </c>
      <c r="C323" s="68">
        <v>0.1</v>
      </c>
      <c r="D323" s="68">
        <v>1.0</v>
      </c>
      <c r="E323" s="68">
        <v>1.0</v>
      </c>
      <c r="F323" s="68">
        <v>1.0</v>
      </c>
      <c r="G323" s="68">
        <v>4.72662471852741</v>
      </c>
      <c r="H323" s="68">
        <v>199.6393525818</v>
      </c>
      <c r="I323" s="69">
        <v>44309.15991898148</v>
      </c>
      <c r="J323" s="69">
        <v>44309.167974537035</v>
      </c>
      <c r="K323">
        <f>AVERAGE(H322:H326)</f>
        <v>84.01803487</v>
      </c>
      <c r="L323">
        <f>STDEV(H322:H326)</f>
        <v>89.16805837</v>
      </c>
      <c r="M323" s="70">
        <v>199.6393525818</v>
      </c>
      <c r="N323" s="70">
        <v>199.6393525818</v>
      </c>
      <c r="O323" s="70">
        <v>4.72662471852741</v>
      </c>
      <c r="P323" s="70">
        <v>4.72662471852741</v>
      </c>
    </row>
    <row r="324" hidden="1">
      <c r="A324" s="67" t="s">
        <v>1084</v>
      </c>
      <c r="B324" s="67" t="s">
        <v>519</v>
      </c>
      <c r="C324" s="68">
        <v>0.1</v>
      </c>
      <c r="D324" s="68">
        <v>1.0</v>
      </c>
      <c r="E324" s="68">
        <v>1.0</v>
      </c>
      <c r="F324" s="68">
        <v>2.0</v>
      </c>
      <c r="G324" s="68">
        <v>0.467064118593437</v>
      </c>
      <c r="H324" s="68">
        <v>0.559255787345452</v>
      </c>
      <c r="I324" s="69">
        <v>44309.16868055556</v>
      </c>
      <c r="J324" s="69">
        <v>44309.168854166666</v>
      </c>
      <c r="K324">
        <f>AVERAGE(H322:H326)</f>
        <v>84.01803487</v>
      </c>
      <c r="L324">
        <f>STDEV(H322:H326)</f>
        <v>89.16805837</v>
      </c>
      <c r="M324" s="70">
        <v>0.559255787345452</v>
      </c>
      <c r="N324" s="70">
        <v>0.559255787345452</v>
      </c>
      <c r="O324" s="70">
        <v>0.467064118593437</v>
      </c>
      <c r="P324" s="70">
        <v>0.467064118593437</v>
      </c>
    </row>
    <row r="325" hidden="1">
      <c r="A325" s="67" t="s">
        <v>1085</v>
      </c>
      <c r="B325" s="67" t="s">
        <v>519</v>
      </c>
      <c r="C325" s="68">
        <v>0.1</v>
      </c>
      <c r="D325" s="68">
        <v>1.0</v>
      </c>
      <c r="E325" s="68">
        <v>1.0</v>
      </c>
      <c r="F325" s="68">
        <v>3.0</v>
      </c>
      <c r="G325" s="68">
        <v>0.712647031637279</v>
      </c>
      <c r="H325" s="68">
        <v>0.949268918176112</v>
      </c>
      <c r="I325" s="69">
        <v>44309.16957175926</v>
      </c>
      <c r="J325" s="69">
        <v>44309.16979166667</v>
      </c>
      <c r="K325">
        <f>AVERAGE(H322:H326)</f>
        <v>84.01803487</v>
      </c>
      <c r="L325">
        <f>STDEV(H322:H326)</f>
        <v>89.16805837</v>
      </c>
      <c r="M325" s="70">
        <v>0.949268918176112</v>
      </c>
      <c r="N325" s="70">
        <v>0.949268918176112</v>
      </c>
      <c r="O325" s="70">
        <v>0.712647031637279</v>
      </c>
      <c r="P325" s="70">
        <v>0.712647031637279</v>
      </c>
    </row>
    <row r="326" hidden="1">
      <c r="A326" s="67" t="s">
        <v>1086</v>
      </c>
      <c r="B326" s="67" t="s">
        <v>519</v>
      </c>
      <c r="C326" s="68">
        <v>0.1</v>
      </c>
      <c r="D326" s="68">
        <v>1.0</v>
      </c>
      <c r="E326" s="68">
        <v>1.0</v>
      </c>
      <c r="F326" s="68">
        <v>4.0</v>
      </c>
      <c r="G326" s="68">
        <v>1.54288964117404</v>
      </c>
      <c r="H326" s="68">
        <v>69.0114664509671</v>
      </c>
      <c r="I326" s="69">
        <v>44309.17050925926</v>
      </c>
      <c r="J326" s="69">
        <v>44309.17177083333</v>
      </c>
      <c r="K326">
        <f>AVERAGE(H322:H326)</f>
        <v>84.01803487</v>
      </c>
      <c r="L326">
        <f>STDEV(H322:H326)</f>
        <v>89.16805837</v>
      </c>
      <c r="M326" s="70">
        <v>69.0114664509671</v>
      </c>
      <c r="N326" s="70">
        <v>69.0114664509671</v>
      </c>
      <c r="O326" s="70">
        <v>1.54288964117404</v>
      </c>
      <c r="P326" s="70">
        <v>1.54288964117404</v>
      </c>
    </row>
    <row r="327" hidden="1">
      <c r="A327" s="67" t="s">
        <v>1087</v>
      </c>
      <c r="B327" s="67" t="s">
        <v>519</v>
      </c>
      <c r="C327" s="68">
        <v>0.25</v>
      </c>
      <c r="D327" s="68">
        <v>0.1</v>
      </c>
      <c r="E327" s="68">
        <v>1.0</v>
      </c>
      <c r="F327" s="68">
        <v>0.0</v>
      </c>
      <c r="G327" s="68">
        <v>5.17322506583071</v>
      </c>
      <c r="H327" s="68">
        <v>204.044455367649</v>
      </c>
      <c r="I327" s="69">
        <v>44309.172488425924</v>
      </c>
      <c r="J327" s="69">
        <v>44309.174629629626</v>
      </c>
      <c r="K327">
        <f>AVERAGE(H327:H331)</f>
        <v>151.6105452</v>
      </c>
      <c r="L327">
        <f>STDEV(H327:H331)</f>
        <v>100.7033287</v>
      </c>
      <c r="M327" s="70">
        <v>204.044455367649</v>
      </c>
      <c r="N327" s="70">
        <v>204.044455367649</v>
      </c>
      <c r="O327" s="70">
        <v>5.17322506583071</v>
      </c>
      <c r="P327" s="70">
        <v>5.17322506583071</v>
      </c>
    </row>
    <row r="328" hidden="1">
      <c r="A328" s="67" t="s">
        <v>1088</v>
      </c>
      <c r="B328" s="67" t="s">
        <v>519</v>
      </c>
      <c r="C328" s="68">
        <v>0.25</v>
      </c>
      <c r="D328" s="68">
        <v>0.1</v>
      </c>
      <c r="E328" s="68">
        <v>1.0</v>
      </c>
      <c r="F328" s="68">
        <v>1.0</v>
      </c>
      <c r="G328" s="68">
        <v>5.15000957863232</v>
      </c>
      <c r="H328" s="68">
        <v>157.411043764897</v>
      </c>
      <c r="I328" s="69">
        <v>44309.17533564815</v>
      </c>
      <c r="J328" s="69">
        <v>44309.17543981481</v>
      </c>
      <c r="K328">
        <f>AVERAGE(H327:H331)</f>
        <v>151.6105452</v>
      </c>
      <c r="L328">
        <f>STDEV(H327:H331)</f>
        <v>100.7033287</v>
      </c>
      <c r="M328" s="70">
        <v>157.411043764897</v>
      </c>
      <c r="N328" s="70">
        <v>157.411043764897</v>
      </c>
      <c r="O328" s="70">
        <v>5.15000957863232</v>
      </c>
      <c r="P328" s="70">
        <v>5.15000957863232</v>
      </c>
    </row>
    <row r="329" hidden="1">
      <c r="A329" s="67" t="s">
        <v>1089</v>
      </c>
      <c r="B329" s="67" t="s">
        <v>519</v>
      </c>
      <c r="C329" s="68">
        <v>0.25</v>
      </c>
      <c r="D329" s="68">
        <v>0.1</v>
      </c>
      <c r="E329" s="68">
        <v>1.0</v>
      </c>
      <c r="F329" s="68">
        <v>2.0</v>
      </c>
      <c r="G329" s="68">
        <v>7.34755130331449</v>
      </c>
      <c r="H329" s="68">
        <v>271.017411527013</v>
      </c>
      <c r="I329" s="69">
        <v>44309.176157407404</v>
      </c>
      <c r="J329" s="69">
        <v>44309.17642361111</v>
      </c>
      <c r="K329">
        <f>AVERAGE(H327:H331)</f>
        <v>151.6105452</v>
      </c>
      <c r="L329">
        <f>STDEV(H327:H331)</f>
        <v>100.7033287</v>
      </c>
      <c r="M329" s="70">
        <v>271.017411527013</v>
      </c>
      <c r="N329" s="70">
        <v>271.017411527013</v>
      </c>
      <c r="O329" s="70">
        <v>7.34755130331449</v>
      </c>
      <c r="P329" s="70">
        <v>7.34755130331449</v>
      </c>
    </row>
    <row r="330" hidden="1">
      <c r="A330" s="67" t="s">
        <v>1090</v>
      </c>
      <c r="B330" s="67" t="s">
        <v>519</v>
      </c>
      <c r="C330" s="68">
        <v>0.25</v>
      </c>
      <c r="D330" s="68">
        <v>0.1</v>
      </c>
      <c r="E330" s="68">
        <v>1.0</v>
      </c>
      <c r="F330" s="68">
        <v>3.0</v>
      </c>
      <c r="G330" s="68">
        <v>2.65374786229564</v>
      </c>
      <c r="H330" s="68">
        <v>125.021209845562</v>
      </c>
      <c r="I330" s="69">
        <v>44309.177141203705</v>
      </c>
      <c r="J330" s="69">
        <v>44309.226122685184</v>
      </c>
      <c r="K330">
        <f>AVERAGE(H327:H331)</f>
        <v>151.6105452</v>
      </c>
      <c r="L330">
        <f>STDEV(H327:H331)</f>
        <v>100.7033287</v>
      </c>
      <c r="M330" s="70">
        <v>125.021209845562</v>
      </c>
      <c r="N330" s="70">
        <v>125.021209845562</v>
      </c>
      <c r="O330" s="70">
        <v>2.65374786229564</v>
      </c>
      <c r="P330" s="70">
        <v>2.65374786229564</v>
      </c>
    </row>
    <row r="331" hidden="1">
      <c r="A331" s="67" t="s">
        <v>1091</v>
      </c>
      <c r="B331" s="67" t="s">
        <v>519</v>
      </c>
      <c r="C331" s="68">
        <v>0.25</v>
      </c>
      <c r="D331" s="68">
        <v>0.1</v>
      </c>
      <c r="E331" s="68">
        <v>1.0</v>
      </c>
      <c r="F331" s="68">
        <v>4.0</v>
      </c>
      <c r="G331" s="68">
        <v>0.466302059947925</v>
      </c>
      <c r="H331" s="68">
        <v>0.558605536113522</v>
      </c>
      <c r="I331" s="69">
        <v>44309.22684027778</v>
      </c>
      <c r="J331" s="69">
        <v>44309.227002314816</v>
      </c>
      <c r="K331">
        <f>AVERAGE(H327:H331)</f>
        <v>151.6105452</v>
      </c>
      <c r="L331">
        <f>STDEV(H327:H331)</f>
        <v>100.7033287</v>
      </c>
      <c r="M331" s="70">
        <v>0.558605536113522</v>
      </c>
      <c r="N331" s="70">
        <v>0.558605536113522</v>
      </c>
      <c r="O331" s="70">
        <v>0.466302059947925</v>
      </c>
      <c r="P331" s="70">
        <v>0.466302059947925</v>
      </c>
    </row>
    <row r="332" hidden="1">
      <c r="A332" s="67" t="s">
        <v>1092</v>
      </c>
      <c r="B332" s="67" t="s">
        <v>519</v>
      </c>
      <c r="C332" s="68">
        <v>0.25</v>
      </c>
      <c r="D332" s="68">
        <v>0.25</v>
      </c>
      <c r="E332" s="68">
        <v>1.0</v>
      </c>
      <c r="F332" s="68">
        <v>0.0</v>
      </c>
      <c r="G332" s="68">
        <v>7.60132618640073</v>
      </c>
      <c r="H332" s="68">
        <v>276.004639355661</v>
      </c>
      <c r="I332" s="69">
        <v>44309.22771990741</v>
      </c>
      <c r="J332" s="69">
        <v>44309.22796296296</v>
      </c>
      <c r="K332">
        <f>AVERAGE(H332:H336)</f>
        <v>183.3942526</v>
      </c>
      <c r="L332">
        <f>STDEV(H332:H336)</f>
        <v>71.66127841</v>
      </c>
      <c r="M332" s="70">
        <v>276.004639355661</v>
      </c>
      <c r="N332" s="70">
        <v>276.004639355661</v>
      </c>
      <c r="O332" s="70">
        <v>7.60132618640073</v>
      </c>
      <c r="P332" s="70">
        <v>7.60132618640073</v>
      </c>
    </row>
    <row r="333" hidden="1">
      <c r="A333" s="67" t="s">
        <v>1093</v>
      </c>
      <c r="B333" s="67" t="s">
        <v>519</v>
      </c>
      <c r="C333" s="68">
        <v>0.25</v>
      </c>
      <c r="D333" s="68">
        <v>0.25</v>
      </c>
      <c r="E333" s="68">
        <v>1.0</v>
      </c>
      <c r="F333" s="68">
        <v>1.0</v>
      </c>
      <c r="G333" s="68">
        <v>1.75470108569779</v>
      </c>
      <c r="H333" s="68">
        <v>85.9324364660848</v>
      </c>
      <c r="I333" s="69">
        <v>44309.228680555556</v>
      </c>
      <c r="J333" s="69">
        <v>44309.23082175926</v>
      </c>
      <c r="K333">
        <f>AVERAGE(H332:H336)</f>
        <v>183.3942526</v>
      </c>
      <c r="L333">
        <f>STDEV(H332:H336)</f>
        <v>71.66127841</v>
      </c>
      <c r="M333" s="70">
        <v>85.9324364660848</v>
      </c>
      <c r="N333" s="70">
        <v>85.9324364660848</v>
      </c>
      <c r="O333" s="70">
        <v>1.75470108569779</v>
      </c>
      <c r="P333" s="70">
        <v>1.75470108569779</v>
      </c>
    </row>
    <row r="334" hidden="1">
      <c r="A334" s="67" t="s">
        <v>1094</v>
      </c>
      <c r="B334" s="67" t="s">
        <v>519</v>
      </c>
      <c r="C334" s="68">
        <v>0.25</v>
      </c>
      <c r="D334" s="68">
        <v>0.25</v>
      </c>
      <c r="E334" s="68">
        <v>1.0</v>
      </c>
      <c r="F334" s="68">
        <v>2.0</v>
      </c>
      <c r="G334" s="68">
        <v>9.71486634877425</v>
      </c>
      <c r="H334" s="68">
        <v>224.984091174949</v>
      </c>
      <c r="I334" s="69">
        <v>44309.231527777774</v>
      </c>
      <c r="J334" s="69">
        <v>44309.23163194444</v>
      </c>
      <c r="K334">
        <f>AVERAGE(H332:H336)</f>
        <v>183.3942526</v>
      </c>
      <c r="L334">
        <f>STDEV(H332:H336)</f>
        <v>71.66127841</v>
      </c>
      <c r="M334" s="70">
        <v>224.984091174949</v>
      </c>
      <c r="N334" s="70">
        <v>224.984091174949</v>
      </c>
      <c r="O334" s="70">
        <v>9.71486634877425</v>
      </c>
      <c r="P334" s="70">
        <v>9.71486634877425</v>
      </c>
    </row>
    <row r="335" hidden="1">
      <c r="A335" s="67" t="s">
        <v>1095</v>
      </c>
      <c r="B335" s="67" t="s">
        <v>519</v>
      </c>
      <c r="C335" s="68">
        <v>0.25</v>
      </c>
      <c r="D335" s="68">
        <v>0.25</v>
      </c>
      <c r="E335" s="68">
        <v>1.0</v>
      </c>
      <c r="F335" s="68">
        <v>3.0</v>
      </c>
      <c r="G335" s="68">
        <v>3.26020200195476</v>
      </c>
      <c r="H335" s="68">
        <v>159.488987460903</v>
      </c>
      <c r="I335" s="69">
        <v>44309.23233796296</v>
      </c>
      <c r="J335" s="69">
        <v>44309.2800462963</v>
      </c>
      <c r="K335">
        <f>AVERAGE(H332:H336)</f>
        <v>183.3942526</v>
      </c>
      <c r="L335">
        <f>STDEV(H332:H336)</f>
        <v>71.66127841</v>
      </c>
      <c r="M335" s="70">
        <v>159.488987460903</v>
      </c>
      <c r="N335" s="70">
        <v>159.488987460903</v>
      </c>
      <c r="O335" s="70">
        <v>3.26020200195476</v>
      </c>
      <c r="P335" s="70">
        <v>3.26020200195476</v>
      </c>
    </row>
    <row r="336" hidden="1">
      <c r="A336" s="67" t="s">
        <v>1096</v>
      </c>
      <c r="B336" s="67" t="s">
        <v>519</v>
      </c>
      <c r="C336" s="68">
        <v>0.25</v>
      </c>
      <c r="D336" s="68">
        <v>0.25</v>
      </c>
      <c r="E336" s="68">
        <v>1.0</v>
      </c>
      <c r="F336" s="68">
        <v>4.0</v>
      </c>
      <c r="G336" s="68">
        <v>4.4827099137854</v>
      </c>
      <c r="H336" s="68">
        <v>170.561108746643</v>
      </c>
      <c r="I336" s="69">
        <v>44309.280752314815</v>
      </c>
      <c r="J336" s="69">
        <v>44309.28082175926</v>
      </c>
      <c r="K336">
        <f>AVERAGE(H332:H336)</f>
        <v>183.3942526</v>
      </c>
      <c r="L336">
        <f>STDEV(H332:H336)</f>
        <v>71.66127841</v>
      </c>
      <c r="M336" s="70">
        <v>170.561108746643</v>
      </c>
      <c r="N336" s="70">
        <v>170.561108746643</v>
      </c>
      <c r="O336" s="70">
        <v>4.4827099137854</v>
      </c>
      <c r="P336" s="70">
        <v>4.4827099137854</v>
      </c>
    </row>
    <row r="337" hidden="1">
      <c r="A337" s="67" t="s">
        <v>1097</v>
      </c>
      <c r="B337" s="67" t="s">
        <v>519</v>
      </c>
      <c r="C337" s="68">
        <v>0.25</v>
      </c>
      <c r="D337" s="68">
        <v>0.5</v>
      </c>
      <c r="E337" s="68">
        <v>1.0</v>
      </c>
      <c r="F337" s="68">
        <v>0.0</v>
      </c>
      <c r="G337" s="68">
        <v>2.88632867276444</v>
      </c>
      <c r="H337" s="68">
        <v>144.451017247751</v>
      </c>
      <c r="I337" s="69">
        <v>44309.28152777778</v>
      </c>
      <c r="J337" s="69">
        <v>44309.286157407405</v>
      </c>
      <c r="K337">
        <f>AVERAGE(H337:H341)</f>
        <v>107.1194923</v>
      </c>
      <c r="L337">
        <f>STDEV(H337:H341)</f>
        <v>103.7324753</v>
      </c>
      <c r="M337" s="70">
        <v>144.451017247751</v>
      </c>
      <c r="N337" s="70">
        <v>144.451017247751</v>
      </c>
      <c r="O337" s="70">
        <v>2.88632867276444</v>
      </c>
      <c r="P337" s="70">
        <v>2.88632867276444</v>
      </c>
    </row>
    <row r="338" hidden="1">
      <c r="A338" s="67" t="s">
        <v>1098</v>
      </c>
      <c r="B338" s="67" t="s">
        <v>519</v>
      </c>
      <c r="C338" s="68">
        <v>0.25</v>
      </c>
      <c r="D338" s="68">
        <v>0.5</v>
      </c>
      <c r="E338" s="68">
        <v>1.0</v>
      </c>
      <c r="F338" s="68">
        <v>1.0</v>
      </c>
      <c r="G338" s="68">
        <v>8.03667898362176</v>
      </c>
      <c r="H338" s="68">
        <v>237.590535750393</v>
      </c>
      <c r="I338" s="69">
        <v>44309.286875</v>
      </c>
      <c r="J338" s="69">
        <v>44309.28747685185</v>
      </c>
      <c r="K338">
        <f>AVERAGE(H337:H341)</f>
        <v>107.1194923</v>
      </c>
      <c r="L338">
        <f>STDEV(H337:H341)</f>
        <v>103.7324753</v>
      </c>
      <c r="M338" s="70">
        <v>237.590535750393</v>
      </c>
      <c r="N338" s="70">
        <v>237.590535750393</v>
      </c>
      <c r="O338" s="70">
        <v>8.03667898362176</v>
      </c>
      <c r="P338" s="70">
        <v>8.03667898362176</v>
      </c>
    </row>
    <row r="339" hidden="1">
      <c r="A339" s="67" t="s">
        <v>1099</v>
      </c>
      <c r="B339" s="67" t="s">
        <v>519</v>
      </c>
      <c r="C339" s="68">
        <v>0.25</v>
      </c>
      <c r="D339" s="68">
        <v>0.5</v>
      </c>
      <c r="E339" s="68">
        <v>1.0</v>
      </c>
      <c r="F339" s="68">
        <v>2.0</v>
      </c>
      <c r="G339" s="68">
        <v>0.515607342720771</v>
      </c>
      <c r="H339" s="68">
        <v>1.01580834411893</v>
      </c>
      <c r="I339" s="69">
        <v>44309.288194444445</v>
      </c>
      <c r="J339" s="69">
        <v>44309.28841435185</v>
      </c>
      <c r="K339">
        <f>AVERAGE(H337:H341)</f>
        <v>107.1194923</v>
      </c>
      <c r="L339">
        <f>STDEV(H337:H341)</f>
        <v>103.7324753</v>
      </c>
      <c r="M339" s="70">
        <v>1.01580834411893</v>
      </c>
      <c r="N339" s="70">
        <v>1.01580834411893</v>
      </c>
      <c r="O339" s="70">
        <v>0.515607342720771</v>
      </c>
      <c r="P339" s="70">
        <v>0.515607342720771</v>
      </c>
    </row>
    <row r="340" hidden="1">
      <c r="A340" s="67" t="s">
        <v>1100</v>
      </c>
      <c r="B340" s="67" t="s">
        <v>519</v>
      </c>
      <c r="C340" s="68">
        <v>0.25</v>
      </c>
      <c r="D340" s="68">
        <v>0.5</v>
      </c>
      <c r="E340" s="68">
        <v>1.0</v>
      </c>
      <c r="F340" s="68">
        <v>3.0</v>
      </c>
      <c r="G340" s="68">
        <v>0.46787001889004</v>
      </c>
      <c r="H340" s="68">
        <v>0.560071078147991</v>
      </c>
      <c r="I340" s="69">
        <v>44309.28912037037</v>
      </c>
      <c r="J340" s="69">
        <v>44309.289305555554</v>
      </c>
      <c r="K340">
        <f>AVERAGE(H337:H341)</f>
        <v>107.1194923</v>
      </c>
      <c r="L340">
        <f>STDEV(H337:H341)</f>
        <v>103.7324753</v>
      </c>
      <c r="M340" s="70">
        <v>0.560071078147991</v>
      </c>
      <c r="N340" s="70">
        <v>0.560071078147991</v>
      </c>
      <c r="O340" s="70">
        <v>0.46787001889004</v>
      </c>
      <c r="P340" s="70">
        <v>0.46787001889004</v>
      </c>
    </row>
    <row r="341" hidden="1">
      <c r="A341" s="67" t="s">
        <v>1101</v>
      </c>
      <c r="B341" s="67" t="s">
        <v>519</v>
      </c>
      <c r="C341" s="68">
        <v>0.25</v>
      </c>
      <c r="D341" s="68">
        <v>0.5</v>
      </c>
      <c r="E341" s="68">
        <v>1.0</v>
      </c>
      <c r="F341" s="68">
        <v>4.0</v>
      </c>
      <c r="G341" s="68">
        <v>3.15278586069549</v>
      </c>
      <c r="H341" s="68">
        <v>151.980029257768</v>
      </c>
      <c r="I341" s="69">
        <v>44309.29001157408</v>
      </c>
      <c r="J341" s="69">
        <v>44309.32858796296</v>
      </c>
      <c r="K341">
        <f>AVERAGE(H337:H341)</f>
        <v>107.1194923</v>
      </c>
      <c r="L341">
        <f>STDEV(H337:H341)</f>
        <v>103.7324753</v>
      </c>
      <c r="M341" s="70">
        <v>151.980029257768</v>
      </c>
      <c r="N341" s="70">
        <v>151.980029257768</v>
      </c>
      <c r="O341" s="70">
        <v>3.15278586069549</v>
      </c>
      <c r="P341" s="70">
        <v>3.15278586069549</v>
      </c>
    </row>
    <row r="342" hidden="1">
      <c r="A342" s="67" t="s">
        <v>1102</v>
      </c>
      <c r="B342" s="67" t="s">
        <v>519</v>
      </c>
      <c r="C342" s="68">
        <v>0.25</v>
      </c>
      <c r="D342" s="68">
        <v>0.75</v>
      </c>
      <c r="E342" s="68">
        <v>1.0</v>
      </c>
      <c r="F342" s="68">
        <v>0.0</v>
      </c>
      <c r="G342" s="68">
        <v>1.36716286918696</v>
      </c>
      <c r="H342" s="68">
        <v>70.0429647719832</v>
      </c>
      <c r="I342" s="69">
        <v>44309.329305555555</v>
      </c>
      <c r="J342" s="69">
        <v>44309.3303125</v>
      </c>
      <c r="K342">
        <f>AVERAGE(H342:H346)</f>
        <v>123.649775</v>
      </c>
      <c r="L342">
        <f>STDEV(H342:H346)</f>
        <v>87.08461526</v>
      </c>
      <c r="M342" s="70">
        <v>70.0429647719832</v>
      </c>
      <c r="N342" s="70">
        <v>70.0429647719832</v>
      </c>
      <c r="O342" s="70">
        <v>1.36716286918696</v>
      </c>
      <c r="P342" s="70">
        <v>1.36716286918696</v>
      </c>
    </row>
    <row r="343" hidden="1">
      <c r="A343" s="67" t="s">
        <v>1103</v>
      </c>
      <c r="B343" s="67" t="s">
        <v>519</v>
      </c>
      <c r="C343" s="68">
        <v>0.25</v>
      </c>
      <c r="D343" s="68">
        <v>0.75</v>
      </c>
      <c r="E343" s="68">
        <v>1.0</v>
      </c>
      <c r="F343" s="68">
        <v>1.0</v>
      </c>
      <c r="G343" s="68">
        <v>9.10369240045279</v>
      </c>
      <c r="H343" s="68">
        <v>217.686883912033</v>
      </c>
      <c r="I343" s="69">
        <v>44309.33101851852</v>
      </c>
      <c r="J343" s="69">
        <v>44309.33113425926</v>
      </c>
      <c r="K343">
        <f>AVERAGE(H342:H346)</f>
        <v>123.649775</v>
      </c>
      <c r="L343">
        <f>STDEV(H342:H346)</f>
        <v>87.08461526</v>
      </c>
      <c r="M343" s="70">
        <v>217.686883912033</v>
      </c>
      <c r="N343" s="70">
        <v>217.686883912033</v>
      </c>
      <c r="O343" s="70">
        <v>9.10369240045279</v>
      </c>
      <c r="P343" s="70">
        <v>9.10369240045279</v>
      </c>
    </row>
    <row r="344" hidden="1">
      <c r="A344" s="67" t="s">
        <v>1104</v>
      </c>
      <c r="B344" s="67" t="s">
        <v>519</v>
      </c>
      <c r="C344" s="68">
        <v>0.25</v>
      </c>
      <c r="D344" s="68">
        <v>0.75</v>
      </c>
      <c r="E344" s="68">
        <v>1.0</v>
      </c>
      <c r="F344" s="68">
        <v>2.0</v>
      </c>
      <c r="G344" s="68">
        <v>0.318624724666863</v>
      </c>
      <c r="H344" s="68">
        <v>0.406974241682714</v>
      </c>
      <c r="I344" s="69">
        <v>44309.33184027778</v>
      </c>
      <c r="J344" s="69">
        <v>44309.33189814815</v>
      </c>
      <c r="K344">
        <f>AVERAGE(H342:H346)</f>
        <v>123.649775</v>
      </c>
      <c r="L344">
        <f>STDEV(H342:H346)</f>
        <v>87.08461526</v>
      </c>
      <c r="M344" s="70">
        <v>0.406974241682714</v>
      </c>
      <c r="N344" s="70">
        <v>0.406974241682714</v>
      </c>
      <c r="O344" s="70">
        <v>0.318624724666863</v>
      </c>
      <c r="P344" s="70">
        <v>0.318624724666863</v>
      </c>
    </row>
    <row r="345" hidden="1">
      <c r="A345" s="67" t="s">
        <v>1105</v>
      </c>
      <c r="B345" s="67" t="s">
        <v>519</v>
      </c>
      <c r="C345" s="68">
        <v>0.25</v>
      </c>
      <c r="D345" s="68">
        <v>0.75</v>
      </c>
      <c r="E345" s="68">
        <v>1.0</v>
      </c>
      <c r="F345" s="68">
        <v>3.0</v>
      </c>
      <c r="G345" s="68">
        <v>3.38767093469968</v>
      </c>
      <c r="H345" s="68">
        <v>165.560862097962</v>
      </c>
      <c r="I345" s="69">
        <v>44309.33261574074</v>
      </c>
      <c r="J345" s="69">
        <v>44309.372453703705</v>
      </c>
      <c r="K345">
        <f>AVERAGE(H342:H346)</f>
        <v>123.649775</v>
      </c>
      <c r="L345">
        <f>STDEV(H342:H346)</f>
        <v>87.08461526</v>
      </c>
      <c r="M345" s="70">
        <v>165.560862097962</v>
      </c>
      <c r="N345" s="70">
        <v>165.560862097962</v>
      </c>
      <c r="O345" s="70">
        <v>3.38767093469968</v>
      </c>
      <c r="P345" s="70">
        <v>3.38767093469968</v>
      </c>
    </row>
    <row r="346" hidden="1">
      <c r="A346" s="67" t="s">
        <v>1106</v>
      </c>
      <c r="B346" s="67" t="s">
        <v>519</v>
      </c>
      <c r="C346" s="68">
        <v>0.25</v>
      </c>
      <c r="D346" s="68">
        <v>0.75</v>
      </c>
      <c r="E346" s="68">
        <v>1.0</v>
      </c>
      <c r="F346" s="68">
        <v>4.0</v>
      </c>
      <c r="G346" s="68">
        <v>3.7333890160516</v>
      </c>
      <c r="H346" s="68">
        <v>164.551189919136</v>
      </c>
      <c r="I346" s="69">
        <v>44309.3731712963</v>
      </c>
      <c r="J346" s="69">
        <v>44309.37762731482</v>
      </c>
      <c r="K346">
        <f>AVERAGE(H342:H346)</f>
        <v>123.649775</v>
      </c>
      <c r="L346">
        <f>STDEV(H342:H346)</f>
        <v>87.08461526</v>
      </c>
      <c r="M346" s="70">
        <v>164.551189919136</v>
      </c>
      <c r="N346" s="70">
        <v>164.551189919136</v>
      </c>
      <c r="O346" s="70">
        <v>3.7333890160516</v>
      </c>
      <c r="P346" s="70">
        <v>3.7333890160516</v>
      </c>
    </row>
    <row r="347" hidden="1">
      <c r="A347" s="67" t="s">
        <v>1107</v>
      </c>
      <c r="B347" s="67" t="s">
        <v>519</v>
      </c>
      <c r="C347" s="68">
        <v>0.25</v>
      </c>
      <c r="D347" s="68">
        <v>1.0</v>
      </c>
      <c r="E347" s="68">
        <v>1.0</v>
      </c>
      <c r="F347" s="68">
        <v>0.0</v>
      </c>
      <c r="G347" s="68">
        <v>0.470072223646614</v>
      </c>
      <c r="H347" s="68">
        <v>0.561461553922708</v>
      </c>
      <c r="I347" s="69">
        <v>44309.37834490741</v>
      </c>
      <c r="J347" s="69">
        <v>44309.37850694444</v>
      </c>
      <c r="K347">
        <f>AVERAGE(H347:H351)</f>
        <v>143.9521137</v>
      </c>
      <c r="L347">
        <f>STDEV(H347:H351)</f>
        <v>109.8707411</v>
      </c>
      <c r="M347" s="70">
        <v>0.561461553922708</v>
      </c>
      <c r="N347" s="70">
        <v>0.561461553922708</v>
      </c>
      <c r="O347" s="70">
        <v>0.470072223646614</v>
      </c>
      <c r="P347" s="70">
        <v>0.470072223646614</v>
      </c>
    </row>
    <row r="348" hidden="1">
      <c r="A348" s="67" t="s">
        <v>1108</v>
      </c>
      <c r="B348" s="67" t="s">
        <v>519</v>
      </c>
      <c r="C348" s="68">
        <v>0.25</v>
      </c>
      <c r="D348" s="68">
        <v>1.0</v>
      </c>
      <c r="E348" s="68">
        <v>1.0</v>
      </c>
      <c r="F348" s="68">
        <v>1.0</v>
      </c>
      <c r="G348" s="68">
        <v>3.26784742665797</v>
      </c>
      <c r="H348" s="68">
        <v>158.86562219218</v>
      </c>
      <c r="I348" s="69">
        <v>44309.379224537035</v>
      </c>
      <c r="J348" s="69">
        <v>44309.443449074075</v>
      </c>
      <c r="K348">
        <f>AVERAGE(H347:H351)</f>
        <v>143.9521137</v>
      </c>
      <c r="L348">
        <f>STDEV(H347:H351)</f>
        <v>109.8707411</v>
      </c>
      <c r="M348" s="70">
        <v>158.86562219218</v>
      </c>
      <c r="N348" s="70">
        <v>158.86562219218</v>
      </c>
      <c r="O348" s="70">
        <v>3.26784742665797</v>
      </c>
      <c r="P348" s="70">
        <v>3.26784742665797</v>
      </c>
    </row>
    <row r="349" hidden="1">
      <c r="A349" s="67" t="s">
        <v>1109</v>
      </c>
      <c r="B349" s="67" t="s">
        <v>519</v>
      </c>
      <c r="C349" s="68">
        <v>0.25</v>
      </c>
      <c r="D349" s="68">
        <v>1.0</v>
      </c>
      <c r="E349" s="68">
        <v>1.0</v>
      </c>
      <c r="F349" s="68">
        <v>2.0</v>
      </c>
      <c r="G349" s="68">
        <v>8.31574893060283</v>
      </c>
      <c r="H349" s="68">
        <v>273.16565286059</v>
      </c>
      <c r="I349" s="69">
        <v>44309.44415509259</v>
      </c>
      <c r="J349" s="69">
        <v>44309.44447916667</v>
      </c>
      <c r="K349">
        <f>AVERAGE(H347:H351)</f>
        <v>143.9521137</v>
      </c>
      <c r="L349">
        <f>STDEV(H347:H351)</f>
        <v>109.8707411</v>
      </c>
      <c r="M349" s="70">
        <v>273.16565286059</v>
      </c>
      <c r="N349" s="70">
        <v>273.16565286059</v>
      </c>
      <c r="O349" s="70">
        <v>8.31574893060283</v>
      </c>
      <c r="P349" s="70">
        <v>8.31574893060283</v>
      </c>
    </row>
    <row r="350" hidden="1">
      <c r="A350" s="67" t="s">
        <v>1110</v>
      </c>
      <c r="B350" s="67" t="s">
        <v>519</v>
      </c>
      <c r="C350" s="68">
        <v>0.25</v>
      </c>
      <c r="D350" s="68">
        <v>1.0</v>
      </c>
      <c r="E350" s="68">
        <v>1.0</v>
      </c>
      <c r="F350" s="68">
        <v>3.0</v>
      </c>
      <c r="G350" s="68">
        <v>9.05504069972896</v>
      </c>
      <c r="H350" s="68">
        <v>217.091117397817</v>
      </c>
      <c r="I350" s="69">
        <v>44309.445185185185</v>
      </c>
      <c r="J350" s="69">
        <v>44309.44530092592</v>
      </c>
      <c r="K350">
        <f>AVERAGE(H347:H351)</f>
        <v>143.9521137</v>
      </c>
      <c r="L350">
        <f>STDEV(H347:H351)</f>
        <v>109.8707411</v>
      </c>
      <c r="M350" s="70">
        <v>217.091117397817</v>
      </c>
      <c r="N350" s="70">
        <v>217.091117397817</v>
      </c>
      <c r="O350" s="70">
        <v>9.05504069972896</v>
      </c>
      <c r="P350" s="70">
        <v>9.05504069972896</v>
      </c>
    </row>
    <row r="351" hidden="1">
      <c r="A351" s="67" t="s">
        <v>1111</v>
      </c>
      <c r="B351" s="67" t="s">
        <v>519</v>
      </c>
      <c r="C351" s="68">
        <v>0.25</v>
      </c>
      <c r="D351" s="68">
        <v>1.0</v>
      </c>
      <c r="E351" s="68">
        <v>1.0</v>
      </c>
      <c r="F351" s="68">
        <v>4.0</v>
      </c>
      <c r="G351" s="68">
        <v>1.36772879819817</v>
      </c>
      <c r="H351" s="68">
        <v>70.0767144738989</v>
      </c>
      <c r="I351" s="69">
        <v>44309.44600694445</v>
      </c>
      <c r="J351" s="69">
        <v>44309.447118055556</v>
      </c>
      <c r="K351">
        <f>AVERAGE(H347:H351)</f>
        <v>143.9521137</v>
      </c>
      <c r="L351">
        <f>STDEV(H347:H351)</f>
        <v>109.8707411</v>
      </c>
      <c r="M351" s="70">
        <v>70.0767144738989</v>
      </c>
      <c r="N351" s="70">
        <v>70.0767144738989</v>
      </c>
      <c r="O351" s="70">
        <v>1.36772879819817</v>
      </c>
      <c r="P351" s="70">
        <v>1.36772879819817</v>
      </c>
    </row>
    <row r="352" hidden="1">
      <c r="A352" s="67" t="s">
        <v>1112</v>
      </c>
      <c r="B352" s="67" t="s">
        <v>519</v>
      </c>
      <c r="C352" s="68">
        <v>0.5</v>
      </c>
      <c r="D352" s="68">
        <v>0.1</v>
      </c>
      <c r="E352" s="68">
        <v>1.0</v>
      </c>
      <c r="F352" s="68">
        <v>0.0</v>
      </c>
      <c r="G352" s="68">
        <v>6.27716078679253</v>
      </c>
      <c r="H352" s="68">
        <v>184.995071772087</v>
      </c>
      <c r="I352" s="69">
        <v>44309.44783564815</v>
      </c>
      <c r="J352" s="69">
        <v>44309.44803240741</v>
      </c>
      <c r="K352">
        <f>AVERAGE(H352:H356)</f>
        <v>115.9989877</v>
      </c>
      <c r="L352">
        <f>STDEV(H352:H356)</f>
        <v>77.43873644</v>
      </c>
      <c r="M352" s="70">
        <v>184.995071772087</v>
      </c>
      <c r="N352" s="70">
        <v>184.995071772087</v>
      </c>
      <c r="O352" s="70">
        <v>6.27716078679253</v>
      </c>
      <c r="P352" s="70">
        <v>6.27716078679253</v>
      </c>
    </row>
    <row r="353" hidden="1">
      <c r="A353" s="67" t="s">
        <v>1113</v>
      </c>
      <c r="B353" s="67" t="s">
        <v>519</v>
      </c>
      <c r="C353" s="68">
        <v>0.5</v>
      </c>
      <c r="D353" s="68">
        <v>0.1</v>
      </c>
      <c r="E353" s="68">
        <v>1.0</v>
      </c>
      <c r="F353" s="68">
        <v>1.0</v>
      </c>
      <c r="G353" s="68">
        <v>3.93626924923667</v>
      </c>
      <c r="H353" s="68">
        <v>182.065866584798</v>
      </c>
      <c r="I353" s="69">
        <v>44309.44875</v>
      </c>
      <c r="J353" s="69">
        <v>44309.50096064815</v>
      </c>
      <c r="K353">
        <f>AVERAGE(H352:H356)</f>
        <v>115.9989877</v>
      </c>
      <c r="L353">
        <f>STDEV(H352:H356)</f>
        <v>77.43873644</v>
      </c>
      <c r="M353" s="70">
        <v>182.065866584798</v>
      </c>
      <c r="N353" s="70">
        <v>182.065866584798</v>
      </c>
      <c r="O353" s="70">
        <v>3.93626924923667</v>
      </c>
      <c r="P353" s="70">
        <v>3.93626924923667</v>
      </c>
    </row>
    <row r="354" hidden="1">
      <c r="A354" s="67" t="s">
        <v>1114</v>
      </c>
      <c r="B354" s="67" t="s">
        <v>519</v>
      </c>
      <c r="C354" s="68">
        <v>0.5</v>
      </c>
      <c r="D354" s="68">
        <v>0.1</v>
      </c>
      <c r="E354" s="68">
        <v>1.0</v>
      </c>
      <c r="F354" s="68">
        <v>2.0</v>
      </c>
      <c r="G354" s="68">
        <v>0.317145370870006</v>
      </c>
      <c r="H354" s="68">
        <v>0.406115963760371</v>
      </c>
      <c r="I354" s="69">
        <v>44309.50166666666</v>
      </c>
      <c r="J354" s="69">
        <v>44309.50172453704</v>
      </c>
      <c r="K354">
        <f>AVERAGE(H352:H356)</f>
        <v>115.9989877</v>
      </c>
      <c r="L354">
        <f>STDEV(H352:H356)</f>
        <v>77.43873644</v>
      </c>
      <c r="M354" s="70">
        <v>0.406115963760371</v>
      </c>
      <c r="N354" s="70">
        <v>0.406115963760371</v>
      </c>
      <c r="O354" s="70">
        <v>0.317145370870006</v>
      </c>
      <c r="P354" s="70">
        <v>0.317145370870006</v>
      </c>
    </row>
    <row r="355" hidden="1">
      <c r="A355" s="67" t="s">
        <v>1115</v>
      </c>
      <c r="B355" s="67" t="s">
        <v>519</v>
      </c>
      <c r="C355" s="68">
        <v>0.5</v>
      </c>
      <c r="D355" s="68">
        <v>0.1</v>
      </c>
      <c r="E355" s="68">
        <v>1.0</v>
      </c>
      <c r="F355" s="68">
        <v>3.0</v>
      </c>
      <c r="G355" s="68">
        <v>1.70160670633501</v>
      </c>
      <c r="H355" s="68">
        <v>80.6662343633771</v>
      </c>
      <c r="I355" s="69">
        <v>44309.502430555556</v>
      </c>
      <c r="J355" s="69">
        <v>44309.50582175926</v>
      </c>
      <c r="K355">
        <f>AVERAGE(H352:H356)</f>
        <v>115.9989877</v>
      </c>
      <c r="L355">
        <f>STDEV(H352:H356)</f>
        <v>77.43873644</v>
      </c>
      <c r="M355" s="70">
        <v>80.6662343633771</v>
      </c>
      <c r="N355" s="70">
        <v>80.6662343633771</v>
      </c>
      <c r="O355" s="70">
        <v>1.70160670633501</v>
      </c>
      <c r="P355" s="70">
        <v>1.70160670633501</v>
      </c>
    </row>
    <row r="356" hidden="1">
      <c r="A356" s="67" t="s">
        <v>1116</v>
      </c>
      <c r="B356" s="67" t="s">
        <v>519</v>
      </c>
      <c r="C356" s="68">
        <v>0.5</v>
      </c>
      <c r="D356" s="68">
        <v>0.1</v>
      </c>
      <c r="E356" s="68">
        <v>1.0</v>
      </c>
      <c r="F356" s="68">
        <v>4.0</v>
      </c>
      <c r="G356" s="68">
        <v>2.49005011380896</v>
      </c>
      <c r="H356" s="68">
        <v>131.861649856628</v>
      </c>
      <c r="I356" s="69">
        <v>44309.506527777776</v>
      </c>
      <c r="J356" s="69">
        <v>44309.506747685184</v>
      </c>
      <c r="K356">
        <f>AVERAGE(H352:H356)</f>
        <v>115.9989877</v>
      </c>
      <c r="L356">
        <f>STDEV(H352:H356)</f>
        <v>77.43873644</v>
      </c>
      <c r="M356" s="70">
        <v>131.861649856628</v>
      </c>
      <c r="N356" s="70">
        <v>131.861649856628</v>
      </c>
      <c r="O356" s="70">
        <v>2.49005011380896</v>
      </c>
      <c r="P356" s="70">
        <v>2.49005011380896</v>
      </c>
    </row>
    <row r="357" hidden="1">
      <c r="A357" s="67" t="s">
        <v>1117</v>
      </c>
      <c r="B357" s="67" t="s">
        <v>519</v>
      </c>
      <c r="C357" s="68">
        <v>0.5</v>
      </c>
      <c r="D357" s="68">
        <v>0.25</v>
      </c>
      <c r="E357" s="68">
        <v>1.0</v>
      </c>
      <c r="F357" s="68">
        <v>0.0</v>
      </c>
      <c r="G357" s="68">
        <v>3.61732417237487</v>
      </c>
      <c r="H357" s="68">
        <v>178.052436364949</v>
      </c>
      <c r="I357" s="69">
        <v>44309.50745370371</v>
      </c>
      <c r="J357" s="69">
        <v>44309.53260416666</v>
      </c>
      <c r="K357">
        <f>AVERAGE(H357:H361)</f>
        <v>101.5090948</v>
      </c>
      <c r="L357">
        <f>STDEV(H357:H361)</f>
        <v>87.7908107</v>
      </c>
      <c r="M357" s="70">
        <v>178.052436364949</v>
      </c>
      <c r="N357" s="70">
        <v>178.052436364949</v>
      </c>
      <c r="O357" s="70">
        <v>3.61732417237487</v>
      </c>
      <c r="P357" s="70">
        <v>3.61732417237487</v>
      </c>
    </row>
    <row r="358" hidden="1">
      <c r="A358" s="67" t="s">
        <v>1118</v>
      </c>
      <c r="B358" s="67" t="s">
        <v>519</v>
      </c>
      <c r="C358" s="68">
        <v>0.5</v>
      </c>
      <c r="D358" s="68">
        <v>0.25</v>
      </c>
      <c r="E358" s="68">
        <v>1.0</v>
      </c>
      <c r="F358" s="68">
        <v>1.0</v>
      </c>
      <c r="G358" s="68">
        <v>0.48112165143282</v>
      </c>
      <c r="H358" s="68">
        <v>0.602012040135375</v>
      </c>
      <c r="I358" s="69">
        <v>44309.53331018519</v>
      </c>
      <c r="J358" s="69">
        <v>44309.53365740741</v>
      </c>
      <c r="K358">
        <f>AVERAGE(H357:H361)</f>
        <v>101.5090948</v>
      </c>
      <c r="L358">
        <f>STDEV(H357:H361)</f>
        <v>87.7908107</v>
      </c>
      <c r="M358" s="70">
        <v>0.602012040135375</v>
      </c>
      <c r="N358" s="70">
        <v>0.602012040135375</v>
      </c>
      <c r="O358" s="70">
        <v>0.48112165143282</v>
      </c>
      <c r="P358" s="70">
        <v>0.48112165143282</v>
      </c>
    </row>
    <row r="359" hidden="1">
      <c r="A359" s="67" t="s">
        <v>1119</v>
      </c>
      <c r="B359" s="67" t="s">
        <v>519</v>
      </c>
      <c r="C359" s="68">
        <v>0.5</v>
      </c>
      <c r="D359" s="68">
        <v>0.25</v>
      </c>
      <c r="E359" s="68">
        <v>1.0</v>
      </c>
      <c r="F359" s="68">
        <v>2.0</v>
      </c>
      <c r="G359" s="68">
        <v>4.98036370207272</v>
      </c>
      <c r="H359" s="68">
        <v>158.164452098365</v>
      </c>
      <c r="I359" s="69">
        <v>44309.534363425926</v>
      </c>
      <c r="J359" s="69">
        <v>44309.53454861111</v>
      </c>
      <c r="K359">
        <f>AVERAGE(H357:H361)</f>
        <v>101.5090948</v>
      </c>
      <c r="L359">
        <f>STDEV(H357:H361)</f>
        <v>87.7908107</v>
      </c>
      <c r="M359" s="70">
        <v>158.164452098365</v>
      </c>
      <c r="N359" s="70">
        <v>158.164452098365</v>
      </c>
      <c r="O359" s="70">
        <v>4.98036370207272</v>
      </c>
      <c r="P359" s="70">
        <v>4.98036370207272</v>
      </c>
    </row>
    <row r="360" hidden="1">
      <c r="A360" s="67" t="s">
        <v>1120</v>
      </c>
      <c r="B360" s="67" t="s">
        <v>519</v>
      </c>
      <c r="C360" s="68">
        <v>0.5</v>
      </c>
      <c r="D360" s="68">
        <v>0.25</v>
      </c>
      <c r="E360" s="68">
        <v>1.0</v>
      </c>
      <c r="F360" s="68">
        <v>3.0</v>
      </c>
      <c r="G360" s="68">
        <v>3.8787517482756</v>
      </c>
      <c r="H360" s="68">
        <v>159.715756669238</v>
      </c>
      <c r="I360" s="69">
        <v>44309.53525462963</v>
      </c>
      <c r="J360" s="69">
        <v>44309.53938657408</v>
      </c>
      <c r="K360">
        <f>AVERAGE(H357:H361)</f>
        <v>101.5090948</v>
      </c>
      <c r="L360">
        <f>STDEV(H357:H361)</f>
        <v>87.7908107</v>
      </c>
      <c r="M360" s="70">
        <v>159.715756669238</v>
      </c>
      <c r="N360" s="70">
        <v>159.715756669238</v>
      </c>
      <c r="O360" s="70">
        <v>3.8787517482756</v>
      </c>
      <c r="P360" s="70">
        <v>3.8787517482756</v>
      </c>
    </row>
    <row r="361" hidden="1">
      <c r="A361" s="67" t="s">
        <v>1121</v>
      </c>
      <c r="B361" s="67" t="s">
        <v>519</v>
      </c>
      <c r="C361" s="68">
        <v>0.5</v>
      </c>
      <c r="D361" s="68">
        <v>0.25</v>
      </c>
      <c r="E361" s="68">
        <v>1.0</v>
      </c>
      <c r="F361" s="68">
        <v>4.0</v>
      </c>
      <c r="G361" s="68">
        <v>0.615458530545492</v>
      </c>
      <c r="H361" s="68">
        <v>11.0108169837769</v>
      </c>
      <c r="I361" s="69">
        <v>44309.54010416667</v>
      </c>
      <c r="J361" s="69">
        <v>44309.54075231482</v>
      </c>
      <c r="K361">
        <f>AVERAGE(H357:H361)</f>
        <v>101.5090948</v>
      </c>
      <c r="L361">
        <f>STDEV(H357:H361)</f>
        <v>87.7908107</v>
      </c>
      <c r="M361" s="70">
        <v>11.0108169837769</v>
      </c>
      <c r="N361" s="70">
        <v>11.0108169837769</v>
      </c>
      <c r="O361" s="70">
        <v>0.615458530545492</v>
      </c>
      <c r="P361" s="70">
        <v>0.615458530545492</v>
      </c>
    </row>
    <row r="362" hidden="1">
      <c r="A362" s="67" t="s">
        <v>1122</v>
      </c>
      <c r="B362" s="67" t="s">
        <v>519</v>
      </c>
      <c r="C362" s="68">
        <v>0.5</v>
      </c>
      <c r="D362" s="68">
        <v>0.5</v>
      </c>
      <c r="E362" s="68">
        <v>1.0</v>
      </c>
      <c r="F362" s="68">
        <v>0.0</v>
      </c>
      <c r="G362" s="68">
        <v>3.867204605399</v>
      </c>
      <c r="H362" s="68">
        <v>178.231113379907</v>
      </c>
      <c r="I362" s="69">
        <v>44309.54145833333</v>
      </c>
      <c r="J362" s="69">
        <v>44309.60221064815</v>
      </c>
      <c r="K362">
        <f>AVERAGE(H362:H366)</f>
        <v>107.1393874</v>
      </c>
      <c r="L362">
        <f>STDEV(H362:H366)</f>
        <v>65.93519645</v>
      </c>
      <c r="M362" s="70">
        <v>178.231113379907</v>
      </c>
      <c r="N362" s="70">
        <v>178.231113379907</v>
      </c>
      <c r="O362" s="70">
        <v>3.867204605399</v>
      </c>
      <c r="P362" s="70">
        <v>3.867204605399</v>
      </c>
    </row>
    <row r="363" hidden="1">
      <c r="A363" s="67" t="s">
        <v>1123</v>
      </c>
      <c r="B363" s="67" t="s">
        <v>519</v>
      </c>
      <c r="C363" s="68">
        <v>0.5</v>
      </c>
      <c r="D363" s="68">
        <v>0.5</v>
      </c>
      <c r="E363" s="68">
        <v>1.0</v>
      </c>
      <c r="F363" s="68">
        <v>1.0</v>
      </c>
      <c r="G363" s="68">
        <v>2.96220207060637</v>
      </c>
      <c r="H363" s="68">
        <v>132.767199754753</v>
      </c>
      <c r="I363" s="69">
        <v>44309.60291666666</v>
      </c>
      <c r="J363" s="69">
        <v>44309.60372685185</v>
      </c>
      <c r="K363">
        <f>AVERAGE(H362:H366)</f>
        <v>107.1393874</v>
      </c>
      <c r="L363">
        <f>STDEV(H362:H366)</f>
        <v>65.93519645</v>
      </c>
      <c r="M363" s="70">
        <v>132.767199754753</v>
      </c>
      <c r="N363" s="70">
        <v>132.767199754753</v>
      </c>
      <c r="O363" s="70">
        <v>2.96220207060637</v>
      </c>
      <c r="P363" s="70">
        <v>2.96220207060637</v>
      </c>
    </row>
    <row r="364" hidden="1">
      <c r="A364" s="67" t="s">
        <v>1124</v>
      </c>
      <c r="B364" s="67" t="s">
        <v>519</v>
      </c>
      <c r="C364" s="68">
        <v>0.5</v>
      </c>
      <c r="D364" s="68">
        <v>0.5</v>
      </c>
      <c r="E364" s="68">
        <v>1.0</v>
      </c>
      <c r="F364" s="68">
        <v>2.0</v>
      </c>
      <c r="G364" s="68">
        <v>1.71451680456541</v>
      </c>
      <c r="H364" s="68">
        <v>89.3432380183245</v>
      </c>
      <c r="I364" s="69">
        <v>44309.60443287037</v>
      </c>
      <c r="J364" s="69">
        <v>44309.60519675926</v>
      </c>
      <c r="K364">
        <f>AVERAGE(H362:H366)</f>
        <v>107.1393874</v>
      </c>
      <c r="L364">
        <f>STDEV(H362:H366)</f>
        <v>65.93519645</v>
      </c>
      <c r="M364" s="70">
        <v>89.3432380183245</v>
      </c>
      <c r="N364" s="70">
        <v>89.3432380183245</v>
      </c>
      <c r="O364" s="70">
        <v>1.71451680456541</v>
      </c>
      <c r="P364" s="70">
        <v>1.71451680456541</v>
      </c>
    </row>
    <row r="365" hidden="1">
      <c r="A365" s="67" t="s">
        <v>1125</v>
      </c>
      <c r="B365" s="67" t="s">
        <v>519</v>
      </c>
      <c r="C365" s="68">
        <v>0.5</v>
      </c>
      <c r="D365" s="68">
        <v>0.5</v>
      </c>
      <c r="E365" s="68">
        <v>1.0</v>
      </c>
      <c r="F365" s="68">
        <v>3.0</v>
      </c>
      <c r="G365" s="68">
        <v>2.19661449563354</v>
      </c>
      <c r="H365" s="68">
        <v>3.4599825385096</v>
      </c>
      <c r="I365" s="69">
        <v>44309.60590277778</v>
      </c>
      <c r="J365" s="69">
        <v>44309.60592592593</v>
      </c>
      <c r="K365">
        <f>AVERAGE(H362:H366)</f>
        <v>107.1393874</v>
      </c>
      <c r="L365">
        <f>STDEV(H362:H366)</f>
        <v>65.93519645</v>
      </c>
      <c r="M365" s="70">
        <v>3.4599825385096</v>
      </c>
      <c r="N365" s="70">
        <v>3.4599825385096</v>
      </c>
      <c r="O365" s="70">
        <v>2.19661449563354</v>
      </c>
      <c r="P365" s="70">
        <v>2.19661449563354</v>
      </c>
    </row>
    <row r="366" hidden="1">
      <c r="A366" s="67" t="s">
        <v>1126</v>
      </c>
      <c r="B366" s="67" t="s">
        <v>519</v>
      </c>
      <c r="C366" s="68">
        <v>0.5</v>
      </c>
      <c r="D366" s="68">
        <v>0.5</v>
      </c>
      <c r="E366" s="68">
        <v>1.0</v>
      </c>
      <c r="F366" s="68">
        <v>4.0</v>
      </c>
      <c r="G366" s="68">
        <v>2.49007740517207</v>
      </c>
      <c r="H366" s="68">
        <v>131.895403448316</v>
      </c>
      <c r="I366" s="69">
        <v>44309.60664351852</v>
      </c>
      <c r="J366" s="69">
        <v>44309.60686342593</v>
      </c>
      <c r="K366">
        <f>AVERAGE(H362:H366)</f>
        <v>107.1393874</v>
      </c>
      <c r="L366">
        <f>STDEV(H362:H366)</f>
        <v>65.93519645</v>
      </c>
      <c r="M366" s="70">
        <v>131.895403448316</v>
      </c>
      <c r="N366" s="70">
        <v>131.895403448316</v>
      </c>
      <c r="O366" s="70">
        <v>2.49007740517207</v>
      </c>
      <c r="P366" s="70">
        <v>2.49007740517207</v>
      </c>
    </row>
    <row r="367" hidden="1">
      <c r="A367" s="67" t="s">
        <v>1127</v>
      </c>
      <c r="B367" s="67" t="s">
        <v>519</v>
      </c>
      <c r="C367" s="68">
        <v>0.5</v>
      </c>
      <c r="D367" s="68">
        <v>0.75</v>
      </c>
      <c r="E367" s="68">
        <v>1.0</v>
      </c>
      <c r="F367" s="68">
        <v>0.0</v>
      </c>
      <c r="G367" s="68">
        <v>2.49364444754091</v>
      </c>
      <c r="H367" s="68">
        <v>131.969312469032</v>
      </c>
      <c r="I367" s="69">
        <v>44309.607569444444</v>
      </c>
      <c r="J367" s="69">
        <v>44309.60778935185</v>
      </c>
      <c r="K367">
        <f>AVERAGE(H367:H371)</f>
        <v>116.8888605</v>
      </c>
      <c r="L367">
        <f>STDEV(H367:H371)</f>
        <v>70.14018026</v>
      </c>
      <c r="M367" s="70">
        <v>131.969312469032</v>
      </c>
      <c r="N367" s="70">
        <v>131.969312469032</v>
      </c>
      <c r="O367" s="70">
        <v>2.49364444754091</v>
      </c>
      <c r="P367" s="70">
        <v>2.49364444754091</v>
      </c>
    </row>
    <row r="368" hidden="1">
      <c r="A368" s="67" t="s">
        <v>1128</v>
      </c>
      <c r="B368" s="67" t="s">
        <v>519</v>
      </c>
      <c r="C368" s="68">
        <v>0.5</v>
      </c>
      <c r="D368" s="68">
        <v>0.75</v>
      </c>
      <c r="E368" s="68">
        <v>1.0</v>
      </c>
      <c r="F368" s="68">
        <v>1.0</v>
      </c>
      <c r="G368" s="68">
        <v>5.75617039358925</v>
      </c>
      <c r="H368" s="68">
        <v>170.521182680012</v>
      </c>
      <c r="I368" s="69">
        <v>44309.60849537037</v>
      </c>
      <c r="J368" s="69">
        <v>44309.60865740741</v>
      </c>
      <c r="K368">
        <f>AVERAGE(H367:H371)</f>
        <v>116.8888605</v>
      </c>
      <c r="L368">
        <f>STDEV(H367:H371)</f>
        <v>70.14018026</v>
      </c>
      <c r="M368" s="70">
        <v>170.521182680012</v>
      </c>
      <c r="N368" s="70">
        <v>170.521182680012</v>
      </c>
      <c r="O368" s="70">
        <v>5.75617039358925</v>
      </c>
      <c r="P368" s="70">
        <v>5.75617039358925</v>
      </c>
    </row>
    <row r="369" hidden="1">
      <c r="A369" s="67" t="s">
        <v>1129</v>
      </c>
      <c r="B369" s="67" t="s">
        <v>519</v>
      </c>
      <c r="C369" s="68">
        <v>0.5</v>
      </c>
      <c r="D369" s="68">
        <v>0.75</v>
      </c>
      <c r="E369" s="68">
        <v>1.0</v>
      </c>
      <c r="F369" s="68">
        <v>2.0</v>
      </c>
      <c r="G369" s="68">
        <v>3.58346289242201</v>
      </c>
      <c r="H369" s="68">
        <v>171.772786605622</v>
      </c>
      <c r="I369" s="69">
        <v>44309.60936342592</v>
      </c>
      <c r="J369" s="69">
        <v>44309.657743055555</v>
      </c>
      <c r="K369">
        <f>AVERAGE(H367:H371)</f>
        <v>116.8888605</v>
      </c>
      <c r="L369">
        <f>STDEV(H367:H371)</f>
        <v>70.14018026</v>
      </c>
      <c r="M369" s="70">
        <v>171.772786605622</v>
      </c>
      <c r="N369" s="70">
        <v>171.772786605622</v>
      </c>
      <c r="O369" s="70">
        <v>3.58346289242201</v>
      </c>
      <c r="P369" s="70">
        <v>3.58346289242201</v>
      </c>
    </row>
    <row r="370" hidden="1">
      <c r="A370" s="67" t="s">
        <v>1130</v>
      </c>
      <c r="B370" s="67" t="s">
        <v>519</v>
      </c>
      <c r="C370" s="68">
        <v>0.5</v>
      </c>
      <c r="D370" s="68">
        <v>0.75</v>
      </c>
      <c r="E370" s="68">
        <v>1.0</v>
      </c>
      <c r="F370" s="68">
        <v>3.0</v>
      </c>
      <c r="G370" s="68">
        <v>2.46177895921313</v>
      </c>
      <c r="H370" s="68">
        <v>109.51668087152</v>
      </c>
      <c r="I370" s="69">
        <v>44309.65844907407</v>
      </c>
      <c r="J370" s="69">
        <v>44309.659525462965</v>
      </c>
      <c r="K370">
        <f>AVERAGE(H367:H371)</f>
        <v>116.8888605</v>
      </c>
      <c r="L370">
        <f>STDEV(H367:H371)</f>
        <v>70.14018026</v>
      </c>
      <c r="M370" s="70">
        <v>109.51668087152</v>
      </c>
      <c r="N370" s="70">
        <v>109.51668087152</v>
      </c>
      <c r="O370" s="70">
        <v>2.46177895921313</v>
      </c>
      <c r="P370" s="70">
        <v>2.46177895921313</v>
      </c>
    </row>
    <row r="371" hidden="1">
      <c r="A371" s="67" t="s">
        <v>1131</v>
      </c>
      <c r="B371" s="67" t="s">
        <v>519</v>
      </c>
      <c r="C371" s="68">
        <v>0.5</v>
      </c>
      <c r="D371" s="68">
        <v>0.75</v>
      </c>
      <c r="E371" s="68">
        <v>1.0</v>
      </c>
      <c r="F371" s="68">
        <v>4.0</v>
      </c>
      <c r="G371" s="68">
        <v>0.50572633656967</v>
      </c>
      <c r="H371" s="68">
        <v>0.66434003499028</v>
      </c>
      <c r="I371" s="69">
        <v>44309.66023148148</v>
      </c>
      <c r="J371" s="69">
        <v>44309.66032407407</v>
      </c>
      <c r="K371">
        <f>AVERAGE(H367:H371)</f>
        <v>116.8888605</v>
      </c>
      <c r="L371">
        <f>STDEV(H367:H371)</f>
        <v>70.14018026</v>
      </c>
      <c r="M371" s="70">
        <v>0.66434003499028</v>
      </c>
      <c r="N371" s="70">
        <v>0.66434003499028</v>
      </c>
      <c r="O371" s="70">
        <v>0.50572633656967</v>
      </c>
      <c r="P371" s="70">
        <v>0.50572633656967</v>
      </c>
    </row>
    <row r="372" hidden="1">
      <c r="A372" s="67" t="s">
        <v>1132</v>
      </c>
      <c r="B372" s="67" t="s">
        <v>519</v>
      </c>
      <c r="C372" s="68">
        <v>0.5</v>
      </c>
      <c r="D372" s="68">
        <v>1.0</v>
      </c>
      <c r="E372" s="68">
        <v>1.0</v>
      </c>
      <c r="F372" s="68">
        <v>0.0</v>
      </c>
      <c r="G372" s="68">
        <v>2.75913535454464</v>
      </c>
      <c r="H372" s="68">
        <v>121.902096289871</v>
      </c>
      <c r="I372" s="69">
        <v>44309.66103009259</v>
      </c>
      <c r="J372" s="69">
        <v>44309.66189814815</v>
      </c>
      <c r="K372">
        <f>AVERAGE(H372:H376)</f>
        <v>91.72385122</v>
      </c>
      <c r="L372">
        <f>STDEV(H372:H376)</f>
        <v>83.59858996</v>
      </c>
      <c r="M372" s="70">
        <v>121.902096289871</v>
      </c>
      <c r="N372" s="70">
        <v>121.902096289871</v>
      </c>
      <c r="O372" s="70">
        <v>2.75913535454464</v>
      </c>
      <c r="P372" s="70">
        <v>2.75913535454464</v>
      </c>
    </row>
    <row r="373" hidden="1">
      <c r="A373" s="67" t="s">
        <v>1133</v>
      </c>
      <c r="B373" s="67" t="s">
        <v>519</v>
      </c>
      <c r="C373" s="68">
        <v>0.5</v>
      </c>
      <c r="D373" s="68">
        <v>1.0</v>
      </c>
      <c r="E373" s="68">
        <v>1.0</v>
      </c>
      <c r="F373" s="68">
        <v>1.0</v>
      </c>
      <c r="G373" s="68">
        <v>0.480297021125726</v>
      </c>
      <c r="H373" s="68">
        <v>3.9689951832986</v>
      </c>
      <c r="I373" s="69">
        <v>44309.66261574074</v>
      </c>
      <c r="J373" s="69">
        <v>44309.66305555555</v>
      </c>
      <c r="K373">
        <f>AVERAGE(H372:H376)</f>
        <v>91.72385122</v>
      </c>
      <c r="L373">
        <f>STDEV(H372:H376)</f>
        <v>83.59858996</v>
      </c>
      <c r="M373" s="70">
        <v>3.9689951832986</v>
      </c>
      <c r="N373" s="70">
        <v>3.9689951832986</v>
      </c>
      <c r="O373" s="70">
        <v>0.480297021125726</v>
      </c>
      <c r="P373" s="70">
        <v>0.480297021125726</v>
      </c>
    </row>
    <row r="374" hidden="1">
      <c r="A374" s="67" t="s">
        <v>1134</v>
      </c>
      <c r="B374" s="67" t="s">
        <v>519</v>
      </c>
      <c r="C374" s="68">
        <v>0.5</v>
      </c>
      <c r="D374" s="68">
        <v>1.0</v>
      </c>
      <c r="E374" s="68">
        <v>1.0</v>
      </c>
      <c r="F374" s="68">
        <v>2.0</v>
      </c>
      <c r="G374" s="68">
        <v>3.68862469297566</v>
      </c>
      <c r="H374" s="68">
        <v>154.156541039044</v>
      </c>
      <c r="I374" s="69">
        <v>44309.66376157408</v>
      </c>
      <c r="J374" s="69">
        <v>44309.664085648146</v>
      </c>
      <c r="K374">
        <f>AVERAGE(H372:H376)</f>
        <v>91.72385122</v>
      </c>
      <c r="L374">
        <f>STDEV(H372:H376)</f>
        <v>83.59858996</v>
      </c>
      <c r="M374" s="70">
        <v>154.156541039044</v>
      </c>
      <c r="N374" s="70">
        <v>154.156541039044</v>
      </c>
      <c r="O374" s="70">
        <v>3.68862469297566</v>
      </c>
      <c r="P374" s="70">
        <v>3.68862469297566</v>
      </c>
    </row>
    <row r="375" hidden="1">
      <c r="A375" s="67" t="s">
        <v>1135</v>
      </c>
      <c r="B375" s="67" t="s">
        <v>519</v>
      </c>
      <c r="C375" s="68">
        <v>0.5</v>
      </c>
      <c r="D375" s="68">
        <v>1.0</v>
      </c>
      <c r="E375" s="68">
        <v>1.0</v>
      </c>
      <c r="F375" s="68">
        <v>3.0</v>
      </c>
      <c r="G375" s="68">
        <v>3.84827279770181</v>
      </c>
      <c r="H375" s="68">
        <v>177.141199361693</v>
      </c>
      <c r="I375" s="69">
        <v>44309.66480324074</v>
      </c>
      <c r="J375" s="69">
        <v>44309.70866898148</v>
      </c>
      <c r="K375">
        <f>AVERAGE(H372:H376)</f>
        <v>91.72385122</v>
      </c>
      <c r="L375">
        <f>STDEV(H372:H376)</f>
        <v>83.59858996</v>
      </c>
      <c r="M375" s="70">
        <v>177.141199361693</v>
      </c>
      <c r="N375" s="70">
        <v>177.141199361693</v>
      </c>
      <c r="O375" s="70">
        <v>3.84827279770181</v>
      </c>
      <c r="P375" s="70">
        <v>3.84827279770181</v>
      </c>
    </row>
    <row r="376" hidden="1">
      <c r="A376" s="67" t="s">
        <v>1136</v>
      </c>
      <c r="B376" s="67" t="s">
        <v>519</v>
      </c>
      <c r="C376" s="68">
        <v>0.5</v>
      </c>
      <c r="D376" s="68">
        <v>1.0</v>
      </c>
      <c r="E376" s="68">
        <v>1.0</v>
      </c>
      <c r="F376" s="68">
        <v>4.0</v>
      </c>
      <c r="G376" s="68">
        <v>1.07991001504809</v>
      </c>
      <c r="H376" s="68">
        <v>1.4504242499467</v>
      </c>
      <c r="I376" s="69">
        <v>44309.709375</v>
      </c>
      <c r="J376" s="69">
        <v>44309.70949074074</v>
      </c>
      <c r="K376">
        <f>AVERAGE(H372:H376)</f>
        <v>91.72385122</v>
      </c>
      <c r="L376">
        <f>STDEV(H372:H376)</f>
        <v>83.59858996</v>
      </c>
      <c r="M376" s="70">
        <v>1.4504242499467</v>
      </c>
      <c r="N376" s="70">
        <v>1.4504242499467</v>
      </c>
      <c r="O376" s="70">
        <v>1.07991001504809</v>
      </c>
      <c r="P376" s="70">
        <v>1.07991001504809</v>
      </c>
    </row>
    <row r="377" hidden="1">
      <c r="A377" s="67" t="s">
        <v>1137</v>
      </c>
      <c r="B377" s="67" t="s">
        <v>519</v>
      </c>
      <c r="C377" s="68">
        <v>0.75</v>
      </c>
      <c r="D377" s="68">
        <v>0.1</v>
      </c>
      <c r="E377" s="68">
        <v>1.0</v>
      </c>
      <c r="F377" s="68">
        <v>0.0</v>
      </c>
      <c r="G377" s="68">
        <v>0.397667612026156</v>
      </c>
      <c r="H377" s="68">
        <v>0.500655777214547</v>
      </c>
      <c r="I377" s="69">
        <v>44309.71019675926</v>
      </c>
      <c r="J377" s="69">
        <v>44309.7103125</v>
      </c>
      <c r="K377">
        <f>AVERAGE(H377:H381)</f>
        <v>107.1020257</v>
      </c>
      <c r="L377">
        <f>STDEV(H377:H381)</f>
        <v>99.74258294</v>
      </c>
      <c r="M377" s="70">
        <v>0.500655777214547</v>
      </c>
      <c r="N377" s="70">
        <v>0.500655777214547</v>
      </c>
      <c r="O377" s="70">
        <v>0.397667612026156</v>
      </c>
      <c r="P377" s="70">
        <v>0.397667612026156</v>
      </c>
    </row>
    <row r="378" hidden="1">
      <c r="A378" s="67" t="s">
        <v>1138</v>
      </c>
      <c r="B378" s="67" t="s">
        <v>519</v>
      </c>
      <c r="C378" s="68">
        <v>0.75</v>
      </c>
      <c r="D378" s="68">
        <v>0.1</v>
      </c>
      <c r="E378" s="68">
        <v>1.0</v>
      </c>
      <c r="F378" s="68">
        <v>1.0</v>
      </c>
      <c r="G378" s="68">
        <v>0.96900754444282</v>
      </c>
      <c r="H378" s="68">
        <v>1.71410931168936</v>
      </c>
      <c r="I378" s="69">
        <v>44309.711018518516</v>
      </c>
      <c r="J378" s="69">
        <v>44309.71135416667</v>
      </c>
      <c r="K378">
        <f>AVERAGE(H377:H381)</f>
        <v>107.1020257</v>
      </c>
      <c r="L378">
        <f>STDEV(H377:H381)</f>
        <v>99.74258294</v>
      </c>
      <c r="M378" s="70">
        <v>1.71410931168936</v>
      </c>
      <c r="N378" s="70">
        <v>1.71410931168936</v>
      </c>
      <c r="O378" s="70">
        <v>0.96900754444282</v>
      </c>
      <c r="P378" s="70">
        <v>0.96900754444282</v>
      </c>
    </row>
    <row r="379" hidden="1">
      <c r="A379" s="67" t="s">
        <v>1139</v>
      </c>
      <c r="B379" s="67" t="s">
        <v>519</v>
      </c>
      <c r="C379" s="68">
        <v>0.75</v>
      </c>
      <c r="D379" s="68">
        <v>0.1</v>
      </c>
      <c r="E379" s="68">
        <v>1.0</v>
      </c>
      <c r="F379" s="68">
        <v>2.0</v>
      </c>
      <c r="G379" s="68">
        <v>5.64556992732862</v>
      </c>
      <c r="H379" s="68">
        <v>202.29016302821</v>
      </c>
      <c r="I379" s="69">
        <v>44309.712060185186</v>
      </c>
      <c r="J379" s="69">
        <v>44309.71487268519</v>
      </c>
      <c r="K379">
        <f>AVERAGE(H377:H381)</f>
        <v>107.1020257</v>
      </c>
      <c r="L379">
        <f>STDEV(H377:H381)</f>
        <v>99.74258294</v>
      </c>
      <c r="M379" s="70">
        <v>202.29016302821</v>
      </c>
      <c r="N379" s="70">
        <v>202.29016302821</v>
      </c>
      <c r="O379" s="70">
        <v>5.64556992732862</v>
      </c>
      <c r="P379" s="70">
        <v>5.64556992732862</v>
      </c>
    </row>
    <row r="380" hidden="1">
      <c r="A380" s="67" t="s">
        <v>1140</v>
      </c>
      <c r="B380" s="67" t="s">
        <v>519</v>
      </c>
      <c r="C380" s="68">
        <v>0.75</v>
      </c>
      <c r="D380" s="68">
        <v>0.1</v>
      </c>
      <c r="E380" s="68">
        <v>1.0</v>
      </c>
      <c r="F380" s="68">
        <v>3.0</v>
      </c>
      <c r="G380" s="68">
        <v>5.09221469153763</v>
      </c>
      <c r="H380" s="68">
        <v>192.352467164383</v>
      </c>
      <c r="I380" s="69">
        <v>44309.715578703705</v>
      </c>
      <c r="J380" s="69">
        <v>44309.71576388889</v>
      </c>
      <c r="K380">
        <f>AVERAGE(H377:H381)</f>
        <v>107.1020257</v>
      </c>
      <c r="L380">
        <f>STDEV(H377:H381)</f>
        <v>99.74258294</v>
      </c>
      <c r="M380" s="70">
        <v>192.352467164383</v>
      </c>
      <c r="N380" s="70">
        <v>192.352467164383</v>
      </c>
      <c r="O380" s="70">
        <v>5.09221469153763</v>
      </c>
      <c r="P380" s="70">
        <v>5.09221469153763</v>
      </c>
    </row>
    <row r="381" hidden="1">
      <c r="A381" s="67" t="s">
        <v>1141</v>
      </c>
      <c r="B381" s="67" t="s">
        <v>519</v>
      </c>
      <c r="C381" s="68">
        <v>0.75</v>
      </c>
      <c r="D381" s="68">
        <v>0.1</v>
      </c>
      <c r="E381" s="68">
        <v>1.0</v>
      </c>
      <c r="F381" s="68">
        <v>4.0</v>
      </c>
      <c r="G381" s="68">
        <v>2.80686114696594</v>
      </c>
      <c r="H381" s="68">
        <v>138.652733438769</v>
      </c>
      <c r="I381" s="69">
        <v>44309.71648148148</v>
      </c>
      <c r="J381" s="69">
        <v>44309.77045138889</v>
      </c>
      <c r="K381">
        <f>AVERAGE(H377:H381)</f>
        <v>107.1020257</v>
      </c>
      <c r="L381">
        <f>STDEV(H377:H381)</f>
        <v>99.74258294</v>
      </c>
      <c r="M381" s="70">
        <v>138.652733438769</v>
      </c>
      <c r="N381" s="70">
        <v>138.652733438769</v>
      </c>
      <c r="O381" s="70">
        <v>2.80686114696594</v>
      </c>
      <c r="P381" s="70">
        <v>2.80686114696594</v>
      </c>
    </row>
    <row r="382" hidden="1">
      <c r="A382" s="67" t="s">
        <v>1142</v>
      </c>
      <c r="B382" s="67" t="s">
        <v>519</v>
      </c>
      <c r="C382" s="68">
        <v>0.75</v>
      </c>
      <c r="D382" s="68">
        <v>0.25</v>
      </c>
      <c r="E382" s="68">
        <v>1.0</v>
      </c>
      <c r="F382" s="68">
        <v>0.0</v>
      </c>
      <c r="G382" s="68">
        <v>9.01352815684302</v>
      </c>
      <c r="H382" s="68">
        <v>256.213386016782</v>
      </c>
      <c r="I382" s="69">
        <v>44309.771157407406</v>
      </c>
      <c r="J382" s="69">
        <v>44309.771689814814</v>
      </c>
      <c r="K382">
        <f>AVERAGE(H382:H386)</f>
        <v>159.8395831</v>
      </c>
      <c r="L382">
        <f>STDEV(H382:H386)</f>
        <v>96.85633057</v>
      </c>
      <c r="M382" s="70">
        <v>256.213386016782</v>
      </c>
      <c r="N382" s="70">
        <v>256.213386016782</v>
      </c>
      <c r="O382" s="70">
        <v>9.01352815684302</v>
      </c>
      <c r="P382" s="70">
        <v>9.01352815684302</v>
      </c>
    </row>
    <row r="383" hidden="1">
      <c r="A383" s="67" t="s">
        <v>1143</v>
      </c>
      <c r="B383" s="67" t="s">
        <v>519</v>
      </c>
      <c r="C383" s="68">
        <v>0.75</v>
      </c>
      <c r="D383" s="68">
        <v>0.25</v>
      </c>
      <c r="E383" s="68">
        <v>1.0</v>
      </c>
      <c r="F383" s="68">
        <v>1.0</v>
      </c>
      <c r="G383" s="68">
        <v>0.515336982948604</v>
      </c>
      <c r="H383" s="68">
        <v>2.71066021829591</v>
      </c>
      <c r="I383" s="69">
        <v>44309.77240740741</v>
      </c>
      <c r="J383" s="69">
        <v>44309.77271990741</v>
      </c>
      <c r="K383">
        <f>AVERAGE(H382:H386)</f>
        <v>159.8395831</v>
      </c>
      <c r="L383">
        <f>STDEV(H382:H386)</f>
        <v>96.85633057</v>
      </c>
      <c r="M383" s="70">
        <v>2.71066021829591</v>
      </c>
      <c r="N383" s="70">
        <v>2.71066021829591</v>
      </c>
      <c r="O383" s="70">
        <v>0.515336982948604</v>
      </c>
      <c r="P383" s="70">
        <v>0.515336982948604</v>
      </c>
    </row>
    <row r="384" hidden="1">
      <c r="A384" s="67" t="s">
        <v>1144</v>
      </c>
      <c r="B384" s="67" t="s">
        <v>519</v>
      </c>
      <c r="C384" s="68">
        <v>0.75</v>
      </c>
      <c r="D384" s="68">
        <v>0.25</v>
      </c>
      <c r="E384" s="68">
        <v>1.0</v>
      </c>
      <c r="F384" s="68">
        <v>2.0</v>
      </c>
      <c r="G384" s="68">
        <v>2.74548196918091</v>
      </c>
      <c r="H384" s="68">
        <v>151.148427895104</v>
      </c>
      <c r="I384" s="69">
        <v>44309.7734375</v>
      </c>
      <c r="J384" s="69">
        <v>44309.82925925926</v>
      </c>
      <c r="K384">
        <f>AVERAGE(H382:H386)</f>
        <v>159.8395831</v>
      </c>
      <c r="L384">
        <f>STDEV(H382:H386)</f>
        <v>96.85633057</v>
      </c>
      <c r="M384" s="70">
        <v>151.148427895104</v>
      </c>
      <c r="N384" s="70">
        <v>151.148427895104</v>
      </c>
      <c r="O384" s="70">
        <v>2.74548196918091</v>
      </c>
      <c r="P384" s="70">
        <v>2.74548196918091</v>
      </c>
    </row>
    <row r="385" hidden="1">
      <c r="A385" s="67" t="s">
        <v>1145</v>
      </c>
      <c r="B385" s="67" t="s">
        <v>519</v>
      </c>
      <c r="C385" s="68">
        <v>0.75</v>
      </c>
      <c r="D385" s="68">
        <v>0.25</v>
      </c>
      <c r="E385" s="68">
        <v>1.0</v>
      </c>
      <c r="F385" s="68">
        <v>3.0</v>
      </c>
      <c r="G385" s="68">
        <v>9.09544290462577</v>
      </c>
      <c r="H385" s="68">
        <v>217.587251570924</v>
      </c>
      <c r="I385" s="69">
        <v>44309.82996527778</v>
      </c>
      <c r="J385" s="69">
        <v>44309.83008101852</v>
      </c>
      <c r="K385">
        <f>AVERAGE(H382:H386)</f>
        <v>159.8395831</v>
      </c>
      <c r="L385">
        <f>STDEV(H382:H386)</f>
        <v>96.85633057</v>
      </c>
      <c r="M385" s="70">
        <v>217.587251570924</v>
      </c>
      <c r="N385" s="70">
        <v>217.587251570924</v>
      </c>
      <c r="O385" s="70">
        <v>9.09544290462577</v>
      </c>
      <c r="P385" s="70">
        <v>9.09544290462577</v>
      </c>
    </row>
    <row r="386" hidden="1">
      <c r="A386" s="67" t="s">
        <v>1146</v>
      </c>
      <c r="B386" s="67" t="s">
        <v>519</v>
      </c>
      <c r="C386" s="68">
        <v>0.75</v>
      </c>
      <c r="D386" s="68">
        <v>0.25</v>
      </c>
      <c r="E386" s="68">
        <v>1.0</v>
      </c>
      <c r="F386" s="68">
        <v>4.0</v>
      </c>
      <c r="G386" s="68">
        <v>5.00656359174192</v>
      </c>
      <c r="H386" s="68">
        <v>171.538189671725</v>
      </c>
      <c r="I386" s="69">
        <v>44309.83078703703</v>
      </c>
      <c r="J386" s="69">
        <v>44309.8308912037</v>
      </c>
      <c r="K386">
        <f>AVERAGE(H382:H386)</f>
        <v>159.8395831</v>
      </c>
      <c r="L386">
        <f>STDEV(H382:H386)</f>
        <v>96.85633057</v>
      </c>
      <c r="M386" s="70">
        <v>171.538189671725</v>
      </c>
      <c r="N386" s="70">
        <v>171.538189671725</v>
      </c>
      <c r="O386" s="70">
        <v>5.00656359174192</v>
      </c>
      <c r="P386" s="70">
        <v>5.00656359174192</v>
      </c>
    </row>
    <row r="387" hidden="1">
      <c r="A387" s="67" t="s">
        <v>1147</v>
      </c>
      <c r="B387" s="67" t="s">
        <v>519</v>
      </c>
      <c r="C387" s="68">
        <v>0.75</v>
      </c>
      <c r="D387" s="68">
        <v>0.5</v>
      </c>
      <c r="E387" s="68">
        <v>1.0</v>
      </c>
      <c r="F387" s="68">
        <v>0.0</v>
      </c>
      <c r="G387" s="68">
        <v>2.76411465144697</v>
      </c>
      <c r="H387" s="68">
        <v>146.244023920955</v>
      </c>
      <c r="I387" s="69">
        <v>44309.831608796296</v>
      </c>
      <c r="J387" s="69">
        <v>44309.88597222222</v>
      </c>
      <c r="K387">
        <f>AVERAGE(H387:H391)</f>
        <v>111.6823011</v>
      </c>
      <c r="L387">
        <f>STDEV(H387:H391)</f>
        <v>104.5224586</v>
      </c>
      <c r="M387" s="70">
        <v>146.244023920955</v>
      </c>
      <c r="N387" s="70">
        <v>146.244023920955</v>
      </c>
      <c r="O387" s="70">
        <v>2.76411465144697</v>
      </c>
      <c r="P387" s="70">
        <v>2.76411465144697</v>
      </c>
    </row>
    <row r="388" hidden="1">
      <c r="A388" s="67" t="s">
        <v>1148</v>
      </c>
      <c r="B388" s="67" t="s">
        <v>519</v>
      </c>
      <c r="C388" s="68">
        <v>0.75</v>
      </c>
      <c r="D388" s="68">
        <v>0.5</v>
      </c>
      <c r="E388" s="68">
        <v>1.0</v>
      </c>
      <c r="F388" s="68">
        <v>1.0</v>
      </c>
      <c r="G388" s="68">
        <v>4.91870635066716</v>
      </c>
      <c r="H388" s="68">
        <v>159.124699691079</v>
      </c>
      <c r="I388" s="69">
        <v>44309.88668981481</v>
      </c>
      <c r="J388" s="69">
        <v>44309.88686342593</v>
      </c>
      <c r="K388">
        <f>AVERAGE(H387:H391)</f>
        <v>111.6823011</v>
      </c>
      <c r="L388">
        <f>STDEV(H387:H391)</f>
        <v>104.5224586</v>
      </c>
      <c r="M388" s="70">
        <v>159.124699691079</v>
      </c>
      <c r="N388" s="70">
        <v>159.124699691079</v>
      </c>
      <c r="O388" s="70">
        <v>4.91870635066716</v>
      </c>
      <c r="P388" s="70">
        <v>4.91870635066716</v>
      </c>
    </row>
    <row r="389" hidden="1">
      <c r="A389" s="67" t="s">
        <v>1149</v>
      </c>
      <c r="B389" s="67" t="s">
        <v>519</v>
      </c>
      <c r="C389" s="68">
        <v>0.75</v>
      </c>
      <c r="D389" s="68">
        <v>0.5</v>
      </c>
      <c r="E389" s="68">
        <v>1.0</v>
      </c>
      <c r="F389" s="68">
        <v>2.0</v>
      </c>
      <c r="G389" s="68">
        <v>0.712862435196883</v>
      </c>
      <c r="H389" s="68">
        <v>0.949929176183165</v>
      </c>
      <c r="I389" s="69">
        <v>44309.88756944444</v>
      </c>
      <c r="J389" s="69">
        <v>44309.88778935185</v>
      </c>
      <c r="K389">
        <f>AVERAGE(H387:H391)</f>
        <v>111.6823011</v>
      </c>
      <c r="L389">
        <f>STDEV(H387:H391)</f>
        <v>104.5224586</v>
      </c>
      <c r="M389" s="70">
        <v>0.949929176183165</v>
      </c>
      <c r="N389" s="70">
        <v>0.949929176183165</v>
      </c>
      <c r="O389" s="70">
        <v>0.712862435196883</v>
      </c>
      <c r="P389" s="70">
        <v>0.712862435196883</v>
      </c>
    </row>
    <row r="390" hidden="1">
      <c r="A390" s="67" t="s">
        <v>1150</v>
      </c>
      <c r="B390" s="67" t="s">
        <v>519</v>
      </c>
      <c r="C390" s="68">
        <v>0.75</v>
      </c>
      <c r="D390" s="68">
        <v>0.5</v>
      </c>
      <c r="E390" s="68">
        <v>1.0</v>
      </c>
      <c r="F390" s="68">
        <v>3.0</v>
      </c>
      <c r="G390" s="68">
        <v>1.57536919769864</v>
      </c>
      <c r="H390" s="68">
        <v>8.61523541396833</v>
      </c>
      <c r="I390" s="69">
        <v>44309.888506944444</v>
      </c>
      <c r="J390" s="69">
        <v>44309.88856481481</v>
      </c>
      <c r="K390">
        <f>AVERAGE(H387:H391)</f>
        <v>111.6823011</v>
      </c>
      <c r="L390">
        <f>STDEV(H387:H391)</f>
        <v>104.5224586</v>
      </c>
      <c r="M390" s="70">
        <v>8.61523541396833</v>
      </c>
      <c r="N390" s="70">
        <v>8.61523541396833</v>
      </c>
      <c r="O390" s="70">
        <v>1.57536919769864</v>
      </c>
      <c r="P390" s="70">
        <v>1.57536919769864</v>
      </c>
    </row>
    <row r="391" hidden="1">
      <c r="A391" s="67" t="s">
        <v>1151</v>
      </c>
      <c r="B391" s="67" t="s">
        <v>519</v>
      </c>
      <c r="C391" s="68">
        <v>0.75</v>
      </c>
      <c r="D391" s="68">
        <v>0.5</v>
      </c>
      <c r="E391" s="68">
        <v>1.0</v>
      </c>
      <c r="F391" s="68">
        <v>4.0</v>
      </c>
      <c r="G391" s="68">
        <v>8.67036711413088</v>
      </c>
      <c r="H391" s="68">
        <v>243.477617097834</v>
      </c>
      <c r="I391" s="69">
        <v>44309.88928240741</v>
      </c>
      <c r="J391" s="69">
        <v>44309.88998842592</v>
      </c>
      <c r="K391">
        <f>AVERAGE(H387:H391)</f>
        <v>111.6823011</v>
      </c>
      <c r="L391">
        <f>STDEV(H387:H391)</f>
        <v>104.5224586</v>
      </c>
      <c r="M391" s="70">
        <v>243.477617097834</v>
      </c>
      <c r="N391" s="70">
        <v>243.477617097834</v>
      </c>
      <c r="O391" s="70">
        <v>8.67036711413088</v>
      </c>
      <c r="P391" s="70">
        <v>8.67036711413088</v>
      </c>
    </row>
    <row r="392" hidden="1">
      <c r="A392" s="67" t="s">
        <v>1152</v>
      </c>
      <c r="B392" s="67" t="s">
        <v>519</v>
      </c>
      <c r="C392" s="68">
        <v>0.75</v>
      </c>
      <c r="D392" s="68">
        <v>0.75</v>
      </c>
      <c r="E392" s="68">
        <v>1.0</v>
      </c>
      <c r="F392" s="68">
        <v>0.0</v>
      </c>
      <c r="G392" s="68">
        <v>9.15993654676367</v>
      </c>
      <c r="H392" s="68">
        <v>218.589242910801</v>
      </c>
      <c r="I392" s="69">
        <v>44309.890706018516</v>
      </c>
      <c r="J392" s="69">
        <v>44309.890810185185</v>
      </c>
      <c r="K392">
        <f>AVERAGE(H392:H396)</f>
        <v>111.0580347</v>
      </c>
      <c r="L392">
        <f>STDEV(H392:H396)</f>
        <v>102.9631066</v>
      </c>
      <c r="M392" s="70">
        <v>218.589242910801</v>
      </c>
      <c r="N392" s="70">
        <v>218.589242910801</v>
      </c>
      <c r="O392" s="70">
        <v>9.15993654676367</v>
      </c>
      <c r="P392" s="70">
        <v>9.15993654676367</v>
      </c>
    </row>
    <row r="393" hidden="1">
      <c r="A393" s="67" t="s">
        <v>1153</v>
      </c>
      <c r="B393" s="67" t="s">
        <v>519</v>
      </c>
      <c r="C393" s="68">
        <v>0.75</v>
      </c>
      <c r="D393" s="68">
        <v>0.75</v>
      </c>
      <c r="E393" s="68">
        <v>1.0</v>
      </c>
      <c r="F393" s="68">
        <v>1.0</v>
      </c>
      <c r="G393" s="68">
        <v>5.43181663438612</v>
      </c>
      <c r="H393" s="68">
        <v>169.907352692611</v>
      </c>
      <c r="I393" s="69">
        <v>44309.89152777778</v>
      </c>
      <c r="J393" s="69">
        <v>44309.89166666667</v>
      </c>
      <c r="K393">
        <f>AVERAGE(H392:H396)</f>
        <v>111.0580347</v>
      </c>
      <c r="L393">
        <f>STDEV(H392:H396)</f>
        <v>102.9631066</v>
      </c>
      <c r="M393" s="70">
        <v>169.907352692611</v>
      </c>
      <c r="N393" s="70">
        <v>169.907352692611</v>
      </c>
      <c r="O393" s="70">
        <v>5.43181663438612</v>
      </c>
      <c r="P393" s="70">
        <v>5.43181663438612</v>
      </c>
    </row>
    <row r="394" hidden="1">
      <c r="A394" s="67" t="s">
        <v>1154</v>
      </c>
      <c r="B394" s="67" t="s">
        <v>519</v>
      </c>
      <c r="C394" s="68">
        <v>0.75</v>
      </c>
      <c r="D394" s="68">
        <v>0.75</v>
      </c>
      <c r="E394" s="68">
        <v>1.0</v>
      </c>
      <c r="F394" s="68">
        <v>2.0</v>
      </c>
      <c r="G394" s="68">
        <v>0.605604034949925</v>
      </c>
      <c r="H394" s="68">
        <v>0.784033732276951</v>
      </c>
      <c r="I394" s="69">
        <v>44309.892384259256</v>
      </c>
      <c r="J394" s="69">
        <v>44309.892916666664</v>
      </c>
      <c r="K394">
        <f>AVERAGE(H392:H396)</f>
        <v>111.0580347</v>
      </c>
      <c r="L394">
        <f>STDEV(H392:H396)</f>
        <v>102.9631066</v>
      </c>
      <c r="M394" s="70">
        <v>0.784033732276951</v>
      </c>
      <c r="N394" s="70">
        <v>0.784033732276951</v>
      </c>
      <c r="O394" s="70">
        <v>0.605604034949925</v>
      </c>
      <c r="P394" s="70">
        <v>0.605604034949925</v>
      </c>
    </row>
    <row r="395" hidden="1">
      <c r="A395" s="67" t="s">
        <v>1155</v>
      </c>
      <c r="B395" s="67" t="s">
        <v>519</v>
      </c>
      <c r="C395" s="68">
        <v>0.75</v>
      </c>
      <c r="D395" s="68">
        <v>0.75</v>
      </c>
      <c r="E395" s="68">
        <v>1.0</v>
      </c>
      <c r="F395" s="68">
        <v>3.0</v>
      </c>
      <c r="G395" s="68">
        <v>0.317145370870006</v>
      </c>
      <c r="H395" s="68">
        <v>0.406115963760371</v>
      </c>
      <c r="I395" s="69">
        <v>44309.89362268519</v>
      </c>
      <c r="J395" s="69">
        <v>44309.89368055556</v>
      </c>
      <c r="K395">
        <f>AVERAGE(H392:H396)</f>
        <v>111.0580347</v>
      </c>
      <c r="L395">
        <f>STDEV(H392:H396)</f>
        <v>102.9631066</v>
      </c>
      <c r="M395" s="70">
        <v>0.406115963760371</v>
      </c>
      <c r="N395" s="70">
        <v>0.406115963760371</v>
      </c>
      <c r="O395" s="70">
        <v>0.317145370870006</v>
      </c>
      <c r="P395" s="70">
        <v>0.317145370870006</v>
      </c>
    </row>
    <row r="396" hidden="1">
      <c r="A396" s="67" t="s">
        <v>1156</v>
      </c>
      <c r="B396" s="67" t="s">
        <v>519</v>
      </c>
      <c r="C396" s="68">
        <v>0.75</v>
      </c>
      <c r="D396" s="68">
        <v>0.75</v>
      </c>
      <c r="E396" s="68">
        <v>1.0</v>
      </c>
      <c r="F396" s="68">
        <v>4.0</v>
      </c>
      <c r="G396" s="68">
        <v>3.42447696481831</v>
      </c>
      <c r="H396" s="68">
        <v>165.603427991019</v>
      </c>
      <c r="I396" s="69">
        <v>44309.89439814815</v>
      </c>
      <c r="J396" s="69">
        <v>44309.96506944444</v>
      </c>
      <c r="K396">
        <f>AVERAGE(H392:H396)</f>
        <v>111.0580347</v>
      </c>
      <c r="L396">
        <f>STDEV(H392:H396)</f>
        <v>102.9631066</v>
      </c>
      <c r="M396" s="70">
        <v>165.603427991019</v>
      </c>
      <c r="N396" s="70">
        <v>165.603427991019</v>
      </c>
      <c r="O396" s="70">
        <v>3.42447696481831</v>
      </c>
      <c r="P396" s="70">
        <v>3.42447696481831</v>
      </c>
    </row>
    <row r="397" hidden="1">
      <c r="A397" s="67" t="s">
        <v>1157</v>
      </c>
      <c r="B397" s="67" t="s">
        <v>519</v>
      </c>
      <c r="C397" s="68">
        <v>0.75</v>
      </c>
      <c r="D397" s="68">
        <v>1.0</v>
      </c>
      <c r="E397" s="68">
        <v>1.0</v>
      </c>
      <c r="F397" s="68">
        <v>0.0</v>
      </c>
      <c r="G397" s="68">
        <v>0.696332658760867</v>
      </c>
      <c r="H397" s="68">
        <v>0.915935142035601</v>
      </c>
      <c r="I397" s="69">
        <v>44309.965787037036</v>
      </c>
      <c r="J397" s="69">
        <v>44309.9659837963</v>
      </c>
      <c r="K397">
        <f>AVERAGE(H397:H401)</f>
        <v>111.0434511</v>
      </c>
      <c r="L397">
        <f>STDEV(H397:H401)</f>
        <v>102.913677</v>
      </c>
      <c r="M397" s="70">
        <v>0.915935142035601</v>
      </c>
      <c r="N397" s="70">
        <v>0.915935142035601</v>
      </c>
      <c r="O397" s="70">
        <v>0.696332658760867</v>
      </c>
      <c r="P397" s="70">
        <v>0.696332658760867</v>
      </c>
    </row>
    <row r="398" hidden="1">
      <c r="A398" s="67" t="s">
        <v>1158</v>
      </c>
      <c r="B398" s="67" t="s">
        <v>519</v>
      </c>
      <c r="C398" s="68">
        <v>0.75</v>
      </c>
      <c r="D398" s="68">
        <v>1.0</v>
      </c>
      <c r="E398" s="68">
        <v>1.0</v>
      </c>
      <c r="F398" s="68">
        <v>1.0</v>
      </c>
      <c r="G398" s="68">
        <v>9.17672354867105</v>
      </c>
      <c r="H398" s="68">
        <v>218.79142230488</v>
      </c>
      <c r="I398" s="69">
        <v>44309.96668981481</v>
      </c>
      <c r="J398" s="69">
        <v>44309.96680555555</v>
      </c>
      <c r="K398">
        <f>AVERAGE(H397:H401)</f>
        <v>111.0434511</v>
      </c>
      <c r="L398">
        <f>STDEV(H397:H401)</f>
        <v>102.913677</v>
      </c>
      <c r="M398" s="70">
        <v>218.79142230488</v>
      </c>
      <c r="N398" s="70">
        <v>218.79142230488</v>
      </c>
      <c r="O398" s="70">
        <v>9.17672354867105</v>
      </c>
      <c r="P398" s="70">
        <v>9.17672354867105</v>
      </c>
    </row>
    <row r="399" hidden="1">
      <c r="A399" s="67" t="s">
        <v>1159</v>
      </c>
      <c r="B399" s="67" t="s">
        <v>519</v>
      </c>
      <c r="C399" s="68">
        <v>0.75</v>
      </c>
      <c r="D399" s="68">
        <v>1.0</v>
      </c>
      <c r="E399" s="68">
        <v>1.0</v>
      </c>
      <c r="F399" s="68">
        <v>2.0</v>
      </c>
      <c r="G399" s="68">
        <v>3.33607784968528</v>
      </c>
      <c r="H399" s="68">
        <v>163.163259351042</v>
      </c>
      <c r="I399" s="69">
        <v>44309.967511574076</v>
      </c>
      <c r="J399" s="69">
        <v>44310.091261574074</v>
      </c>
      <c r="K399">
        <f>AVERAGE(H397:H401)</f>
        <v>111.0434511</v>
      </c>
      <c r="L399">
        <f>STDEV(H397:H401)</f>
        <v>102.913677</v>
      </c>
      <c r="M399" s="70">
        <v>163.163259351042</v>
      </c>
      <c r="N399" s="70">
        <v>163.163259351042</v>
      </c>
      <c r="O399" s="70">
        <v>3.33607784968528</v>
      </c>
      <c r="P399" s="70">
        <v>3.33607784968528</v>
      </c>
    </row>
    <row r="400" hidden="1">
      <c r="A400" s="67" t="s">
        <v>1160</v>
      </c>
      <c r="B400" s="67" t="s">
        <v>519</v>
      </c>
      <c r="C400" s="68">
        <v>0.75</v>
      </c>
      <c r="D400" s="68">
        <v>1.0</v>
      </c>
      <c r="E400" s="68">
        <v>1.0</v>
      </c>
      <c r="F400" s="68">
        <v>3.0</v>
      </c>
      <c r="G400" s="68">
        <v>5.54433177508828</v>
      </c>
      <c r="H400" s="68">
        <v>171.828684956385</v>
      </c>
      <c r="I400" s="69">
        <v>44310.09197916667</v>
      </c>
      <c r="J400" s="69">
        <v>44310.09211805555</v>
      </c>
      <c r="K400">
        <f>AVERAGE(H397:H401)</f>
        <v>111.0434511</v>
      </c>
      <c r="L400">
        <f>STDEV(H397:H401)</f>
        <v>102.913677</v>
      </c>
      <c r="M400" s="70">
        <v>171.828684956385</v>
      </c>
      <c r="N400" s="70">
        <v>171.828684956385</v>
      </c>
      <c r="O400" s="70">
        <v>5.54433177508828</v>
      </c>
      <c r="P400" s="70">
        <v>5.54433177508828</v>
      </c>
    </row>
    <row r="401" hidden="1">
      <c r="A401" s="67" t="s">
        <v>1161</v>
      </c>
      <c r="B401" s="67" t="s">
        <v>519</v>
      </c>
      <c r="C401" s="68">
        <v>0.75</v>
      </c>
      <c r="D401" s="68">
        <v>1.0</v>
      </c>
      <c r="E401" s="68">
        <v>1.0</v>
      </c>
      <c r="F401" s="68">
        <v>4.0</v>
      </c>
      <c r="G401" s="68">
        <v>0.434269144776912</v>
      </c>
      <c r="H401" s="68">
        <v>0.517953783045733</v>
      </c>
      <c r="I401" s="69">
        <v>44310.092824074076</v>
      </c>
      <c r="J401" s="69">
        <v>44310.092939814815</v>
      </c>
      <c r="K401">
        <f>AVERAGE(H397:H401)</f>
        <v>111.0434511</v>
      </c>
      <c r="L401">
        <f>STDEV(H397:H401)</f>
        <v>102.913677</v>
      </c>
      <c r="M401" s="70">
        <v>0.517953783045733</v>
      </c>
      <c r="N401" s="70">
        <v>0.517953783045733</v>
      </c>
      <c r="O401" s="70">
        <v>0.434269144776912</v>
      </c>
      <c r="P401" s="70">
        <v>0.434269144776912</v>
      </c>
    </row>
    <row r="402" hidden="1">
      <c r="A402" s="67" t="s">
        <v>1162</v>
      </c>
      <c r="B402" s="67" t="s">
        <v>519</v>
      </c>
      <c r="C402" s="68">
        <v>1.0</v>
      </c>
      <c r="D402" s="68">
        <v>0.1</v>
      </c>
      <c r="E402" s="68">
        <v>1.0</v>
      </c>
      <c r="F402" s="68">
        <v>0.0</v>
      </c>
      <c r="G402" s="68">
        <v>6.85167965845091</v>
      </c>
      <c r="H402" s="68">
        <v>225.735258168861</v>
      </c>
      <c r="I402" s="69">
        <v>44310.09364583333</v>
      </c>
      <c r="J402" s="69">
        <v>44310.09384259259</v>
      </c>
      <c r="K402">
        <f>AVERAGE(H402:H406)</f>
        <v>176.0090236</v>
      </c>
      <c r="L402">
        <f>STDEV(H402:H406)</f>
        <v>37.4481727</v>
      </c>
      <c r="M402" s="70">
        <v>225.735258168861</v>
      </c>
      <c r="N402" s="70">
        <v>225.735258168861</v>
      </c>
      <c r="O402" s="70">
        <v>6.85167965845091</v>
      </c>
      <c r="P402" s="70">
        <v>6.85167965845091</v>
      </c>
    </row>
    <row r="403" hidden="1">
      <c r="A403" s="67" t="s">
        <v>1163</v>
      </c>
      <c r="B403" s="67" t="s">
        <v>519</v>
      </c>
      <c r="C403" s="68">
        <v>1.0</v>
      </c>
      <c r="D403" s="68">
        <v>0.1</v>
      </c>
      <c r="E403" s="68">
        <v>1.0</v>
      </c>
      <c r="F403" s="68">
        <v>1.0</v>
      </c>
      <c r="G403" s="68">
        <v>5.01165439425638</v>
      </c>
      <c r="H403" s="68">
        <v>151.866597515582</v>
      </c>
      <c r="I403" s="69">
        <v>44310.09454861111</v>
      </c>
      <c r="J403" s="69">
        <v>44310.09465277778</v>
      </c>
      <c r="K403">
        <f>AVERAGE(H402:H406)</f>
        <v>176.0090236</v>
      </c>
      <c r="L403">
        <f>STDEV(H402:H406)</f>
        <v>37.4481727</v>
      </c>
      <c r="M403" s="70">
        <v>151.866597515582</v>
      </c>
      <c r="N403" s="70">
        <v>151.866597515582</v>
      </c>
      <c r="O403" s="70">
        <v>5.01165439425638</v>
      </c>
      <c r="P403" s="70">
        <v>5.01165439425638</v>
      </c>
    </row>
    <row r="404" hidden="1">
      <c r="A404" s="67" t="s">
        <v>1164</v>
      </c>
      <c r="B404" s="67" t="s">
        <v>519</v>
      </c>
      <c r="C404" s="68">
        <v>1.0</v>
      </c>
      <c r="D404" s="68">
        <v>0.1</v>
      </c>
      <c r="E404" s="68">
        <v>1.0</v>
      </c>
      <c r="F404" s="68">
        <v>2.0</v>
      </c>
      <c r="G404" s="68">
        <v>5.60776333176731</v>
      </c>
      <c r="H404" s="68">
        <v>201.807487194401</v>
      </c>
      <c r="I404" s="69">
        <v>44310.09537037037</v>
      </c>
      <c r="J404" s="69">
        <v>44310.097858796296</v>
      </c>
      <c r="K404">
        <f>AVERAGE(H402:H406)</f>
        <v>176.0090236</v>
      </c>
      <c r="L404">
        <f>STDEV(H402:H406)</f>
        <v>37.4481727</v>
      </c>
      <c r="M404" s="70">
        <v>201.807487194401</v>
      </c>
      <c r="N404" s="70">
        <v>201.807487194401</v>
      </c>
      <c r="O404" s="70">
        <v>5.60776333176731</v>
      </c>
      <c r="P404" s="70">
        <v>5.60776333176731</v>
      </c>
    </row>
    <row r="405" hidden="1">
      <c r="A405" s="67" t="s">
        <v>1165</v>
      </c>
      <c r="B405" s="67" t="s">
        <v>519</v>
      </c>
      <c r="C405" s="68">
        <v>1.0</v>
      </c>
      <c r="D405" s="68">
        <v>0.1</v>
      </c>
      <c r="E405" s="68">
        <v>1.0</v>
      </c>
      <c r="F405" s="68">
        <v>3.0</v>
      </c>
      <c r="G405" s="68">
        <v>4.4973012276695</v>
      </c>
      <c r="H405" s="68">
        <v>167.174306937859</v>
      </c>
      <c r="I405" s="69">
        <v>44310.09856481481</v>
      </c>
      <c r="J405" s="69">
        <v>44310.098715277774</v>
      </c>
      <c r="K405">
        <f>AVERAGE(H402:H406)</f>
        <v>176.0090236</v>
      </c>
      <c r="L405">
        <f>STDEV(H402:H406)</f>
        <v>37.4481727</v>
      </c>
      <c r="M405" s="70">
        <v>167.174306937859</v>
      </c>
      <c r="N405" s="70">
        <v>167.174306937859</v>
      </c>
      <c r="O405" s="70">
        <v>4.4973012276695</v>
      </c>
      <c r="P405" s="70">
        <v>4.4973012276695</v>
      </c>
    </row>
    <row r="406" hidden="1">
      <c r="A406" s="67" t="s">
        <v>1166</v>
      </c>
      <c r="B406" s="67" t="s">
        <v>519</v>
      </c>
      <c r="C406" s="68">
        <v>1.0</v>
      </c>
      <c r="D406" s="68">
        <v>0.1</v>
      </c>
      <c r="E406" s="68">
        <v>1.0</v>
      </c>
      <c r="F406" s="68">
        <v>4.0</v>
      </c>
      <c r="G406" s="68">
        <v>2.36076397338825</v>
      </c>
      <c r="H406" s="68">
        <v>133.461468204446</v>
      </c>
      <c r="I406" s="69">
        <v>44310.0994212963</v>
      </c>
      <c r="J406" s="69">
        <v>44310.15008101852</v>
      </c>
      <c r="K406">
        <f>AVERAGE(H402:H406)</f>
        <v>176.0090236</v>
      </c>
      <c r="L406">
        <f>STDEV(H402:H406)</f>
        <v>37.4481727</v>
      </c>
      <c r="M406" s="70">
        <v>133.461468204446</v>
      </c>
      <c r="N406" s="70">
        <v>133.461468204446</v>
      </c>
      <c r="O406" s="70">
        <v>2.36076397338825</v>
      </c>
      <c r="P406" s="70">
        <v>2.36076397338825</v>
      </c>
    </row>
    <row r="407" hidden="1">
      <c r="A407" s="67" t="s">
        <v>1167</v>
      </c>
      <c r="B407" s="67" t="s">
        <v>519</v>
      </c>
      <c r="C407" s="68">
        <v>1.0</v>
      </c>
      <c r="D407" s="68">
        <v>0.25</v>
      </c>
      <c r="E407" s="68">
        <v>1.0</v>
      </c>
      <c r="F407" s="68">
        <v>0.0</v>
      </c>
      <c r="G407" s="68">
        <v>0.578395978654642</v>
      </c>
      <c r="H407" s="68">
        <v>11.3450548532629</v>
      </c>
      <c r="I407" s="69">
        <v>44310.15079861111</v>
      </c>
      <c r="J407" s="69">
        <v>44310.15125</v>
      </c>
      <c r="K407">
        <f>AVERAGE(H407:H411)</f>
        <v>161.8483219</v>
      </c>
      <c r="L407">
        <f>STDEV(H407:H411)</f>
        <v>94.6134465</v>
      </c>
      <c r="M407" s="70">
        <v>11.3450548532629</v>
      </c>
      <c r="N407" s="70">
        <v>11.3450548532629</v>
      </c>
      <c r="O407" s="70">
        <v>0.578395978654642</v>
      </c>
      <c r="P407" s="70">
        <v>0.578395978654642</v>
      </c>
    </row>
    <row r="408" hidden="1">
      <c r="A408" s="67" t="s">
        <v>1168</v>
      </c>
      <c r="B408" s="67" t="s">
        <v>519</v>
      </c>
      <c r="C408" s="68">
        <v>1.0</v>
      </c>
      <c r="D408" s="68">
        <v>0.25</v>
      </c>
      <c r="E408" s="68">
        <v>1.0</v>
      </c>
      <c r="F408" s="68">
        <v>1.0</v>
      </c>
      <c r="G408" s="68">
        <v>9.1154120540967</v>
      </c>
      <c r="H408" s="68">
        <v>261.07745743396</v>
      </c>
      <c r="I408" s="69">
        <v>44310.15195601852</v>
      </c>
      <c r="J408" s="69">
        <v>44310.152395833335</v>
      </c>
      <c r="K408">
        <f>AVERAGE(H407:H411)</f>
        <v>161.8483219</v>
      </c>
      <c r="L408">
        <f>STDEV(H407:H411)</f>
        <v>94.6134465</v>
      </c>
      <c r="M408" s="70">
        <v>261.07745743396</v>
      </c>
      <c r="N408" s="70">
        <v>261.07745743396</v>
      </c>
      <c r="O408" s="70">
        <v>9.1154120540967</v>
      </c>
      <c r="P408" s="70">
        <v>9.1154120540967</v>
      </c>
    </row>
    <row r="409" hidden="1">
      <c r="A409" s="67" t="s">
        <v>1169</v>
      </c>
      <c r="B409" s="67" t="s">
        <v>519</v>
      </c>
      <c r="C409" s="68">
        <v>1.0</v>
      </c>
      <c r="D409" s="68">
        <v>0.25</v>
      </c>
      <c r="E409" s="68">
        <v>1.0</v>
      </c>
      <c r="F409" s="68">
        <v>2.0</v>
      </c>
      <c r="G409" s="68">
        <v>9.13135080815937</v>
      </c>
      <c r="H409" s="68">
        <v>218.22007758856</v>
      </c>
      <c r="I409" s="69">
        <v>44310.15310185185</v>
      </c>
      <c r="J409" s="69">
        <v>44310.15321759259</v>
      </c>
      <c r="K409">
        <f>AVERAGE(H407:H411)</f>
        <v>161.8483219</v>
      </c>
      <c r="L409">
        <f>STDEV(H407:H411)</f>
        <v>94.6134465</v>
      </c>
      <c r="M409" s="70">
        <v>218.22007758856</v>
      </c>
      <c r="N409" s="70">
        <v>218.22007758856</v>
      </c>
      <c r="O409" s="70">
        <v>9.13135080815937</v>
      </c>
      <c r="P409" s="70">
        <v>9.13135080815937</v>
      </c>
    </row>
    <row r="410" hidden="1">
      <c r="A410" s="67" t="s">
        <v>1170</v>
      </c>
      <c r="B410" s="67" t="s">
        <v>519</v>
      </c>
      <c r="C410" s="68">
        <v>1.0</v>
      </c>
      <c r="D410" s="68">
        <v>0.25</v>
      </c>
      <c r="E410" s="68">
        <v>1.0</v>
      </c>
      <c r="F410" s="68">
        <v>3.0</v>
      </c>
      <c r="G410" s="68">
        <v>4.20652215090191</v>
      </c>
      <c r="H410" s="68">
        <v>166.99348731048</v>
      </c>
      <c r="I410" s="69">
        <v>44310.15392361111</v>
      </c>
      <c r="J410" s="69">
        <v>44310.15447916667</v>
      </c>
      <c r="K410">
        <f>AVERAGE(H407:H411)</f>
        <v>161.8483219</v>
      </c>
      <c r="L410">
        <f>STDEV(H407:H411)</f>
        <v>94.6134465</v>
      </c>
      <c r="M410" s="70">
        <v>166.99348731048</v>
      </c>
      <c r="N410" s="70">
        <v>166.99348731048</v>
      </c>
      <c r="O410" s="70">
        <v>4.20652215090191</v>
      </c>
      <c r="P410" s="70">
        <v>4.20652215090191</v>
      </c>
    </row>
    <row r="411" hidden="1">
      <c r="A411" s="67" t="s">
        <v>1171</v>
      </c>
      <c r="B411" s="67" t="s">
        <v>519</v>
      </c>
      <c r="C411" s="68">
        <v>1.0</v>
      </c>
      <c r="D411" s="68">
        <v>0.25</v>
      </c>
      <c r="E411" s="68">
        <v>1.0</v>
      </c>
      <c r="F411" s="68">
        <v>4.0</v>
      </c>
      <c r="G411" s="68">
        <v>2.79339218464581</v>
      </c>
      <c r="H411" s="68">
        <v>151.605532310017</v>
      </c>
      <c r="I411" s="69">
        <v>44310.155185185184</v>
      </c>
      <c r="J411" s="69">
        <v>44310.241006944445</v>
      </c>
      <c r="K411">
        <f>AVERAGE(H407:H411)</f>
        <v>161.8483219</v>
      </c>
      <c r="L411">
        <f>STDEV(H407:H411)</f>
        <v>94.6134465</v>
      </c>
      <c r="M411" s="70">
        <v>151.605532310017</v>
      </c>
      <c r="N411" s="70">
        <v>151.605532310017</v>
      </c>
      <c r="O411" s="70">
        <v>2.79339218464581</v>
      </c>
      <c r="P411" s="70">
        <v>2.79339218464581</v>
      </c>
    </row>
    <row r="412" hidden="1">
      <c r="A412" s="67" t="s">
        <v>1172</v>
      </c>
      <c r="B412" s="67" t="s">
        <v>519</v>
      </c>
      <c r="C412" s="68">
        <v>1.0</v>
      </c>
      <c r="D412" s="68">
        <v>0.5</v>
      </c>
      <c r="E412" s="68">
        <v>1.0</v>
      </c>
      <c r="F412" s="68">
        <v>0.0</v>
      </c>
      <c r="G412" s="68">
        <v>0.453794132316755</v>
      </c>
      <c r="H412" s="68">
        <v>0.580648075829932</v>
      </c>
      <c r="I412" s="69">
        <v>44310.24171296296</v>
      </c>
      <c r="J412" s="69">
        <v>44310.241898148146</v>
      </c>
      <c r="K412">
        <f>AVERAGE(H412:H416)</f>
        <v>112.5544993</v>
      </c>
      <c r="L412">
        <f>STDEV(H412:H416)</f>
        <v>94.45471355</v>
      </c>
      <c r="M412" s="70">
        <v>0.580648075829932</v>
      </c>
      <c r="N412" s="70">
        <v>0.580648075829932</v>
      </c>
      <c r="O412" s="70">
        <v>0.453794132316755</v>
      </c>
      <c r="P412" s="70">
        <v>0.453794132316755</v>
      </c>
    </row>
    <row r="413" hidden="1">
      <c r="A413" s="67" t="s">
        <v>1173</v>
      </c>
      <c r="B413" s="67" t="s">
        <v>519</v>
      </c>
      <c r="C413" s="68">
        <v>1.0</v>
      </c>
      <c r="D413" s="68">
        <v>0.5</v>
      </c>
      <c r="E413" s="68">
        <v>1.0</v>
      </c>
      <c r="F413" s="68">
        <v>1.0</v>
      </c>
      <c r="G413" s="68">
        <v>5.85967461094811</v>
      </c>
      <c r="H413" s="68">
        <v>172.409695818473</v>
      </c>
      <c r="I413" s="69">
        <v>44310.24260416667</v>
      </c>
      <c r="J413" s="69">
        <v>44310.2428125</v>
      </c>
      <c r="K413">
        <f>AVERAGE(H412:H416)</f>
        <v>112.5544993</v>
      </c>
      <c r="L413">
        <f>STDEV(H412:H416)</f>
        <v>94.45471355</v>
      </c>
      <c r="M413" s="70">
        <v>172.409695818473</v>
      </c>
      <c r="N413" s="70">
        <v>172.409695818473</v>
      </c>
      <c r="O413" s="70">
        <v>5.85967461094811</v>
      </c>
      <c r="P413" s="70">
        <v>5.85967461094811</v>
      </c>
    </row>
    <row r="414" hidden="1">
      <c r="A414" s="67" t="s">
        <v>1174</v>
      </c>
      <c r="B414" s="67" t="s">
        <v>519</v>
      </c>
      <c r="C414" s="68">
        <v>1.0</v>
      </c>
      <c r="D414" s="68">
        <v>0.5</v>
      </c>
      <c r="E414" s="68">
        <v>1.0</v>
      </c>
      <c r="F414" s="68">
        <v>2.0</v>
      </c>
      <c r="G414" s="68">
        <v>6.64539843650928</v>
      </c>
      <c r="H414" s="68">
        <v>214.141777398954</v>
      </c>
      <c r="I414" s="69">
        <v>44310.24351851852</v>
      </c>
      <c r="J414" s="69">
        <v>44310.244375</v>
      </c>
      <c r="K414">
        <f>AVERAGE(H412:H416)</f>
        <v>112.5544993</v>
      </c>
      <c r="L414">
        <f>STDEV(H412:H416)</f>
        <v>94.45471355</v>
      </c>
      <c r="M414" s="70">
        <v>214.141777398954</v>
      </c>
      <c r="N414" s="70">
        <v>214.141777398954</v>
      </c>
      <c r="O414" s="70">
        <v>6.64539843650928</v>
      </c>
      <c r="P414" s="70">
        <v>6.64539843650928</v>
      </c>
    </row>
    <row r="415" hidden="1">
      <c r="A415" s="67" t="s">
        <v>1175</v>
      </c>
      <c r="B415" s="67" t="s">
        <v>519</v>
      </c>
      <c r="C415" s="68">
        <v>1.0</v>
      </c>
      <c r="D415" s="68">
        <v>0.5</v>
      </c>
      <c r="E415" s="68">
        <v>1.0</v>
      </c>
      <c r="F415" s="68">
        <v>3.0</v>
      </c>
      <c r="G415" s="68">
        <v>2.91215232703243</v>
      </c>
      <c r="H415" s="68">
        <v>151.154366050489</v>
      </c>
      <c r="I415" s="69">
        <v>44310.245092592595</v>
      </c>
      <c r="J415" s="69">
        <v>44310.30260416667</v>
      </c>
      <c r="K415">
        <f>AVERAGE(H412:H416)</f>
        <v>112.5544993</v>
      </c>
      <c r="L415">
        <f>STDEV(H412:H416)</f>
        <v>94.45471355</v>
      </c>
      <c r="M415" s="70">
        <v>151.154366050489</v>
      </c>
      <c r="N415" s="70">
        <v>151.154366050489</v>
      </c>
      <c r="O415" s="70">
        <v>2.91215232703243</v>
      </c>
      <c r="P415" s="70">
        <v>2.91215232703243</v>
      </c>
    </row>
    <row r="416" hidden="1">
      <c r="A416" s="67" t="s">
        <v>1176</v>
      </c>
      <c r="B416" s="67" t="s">
        <v>519</v>
      </c>
      <c r="C416" s="68">
        <v>1.0</v>
      </c>
      <c r="D416" s="68">
        <v>0.5</v>
      </c>
      <c r="E416" s="68">
        <v>1.0</v>
      </c>
      <c r="F416" s="68">
        <v>4.0</v>
      </c>
      <c r="G416" s="68">
        <v>1.32052367994175</v>
      </c>
      <c r="H416" s="68">
        <v>24.4860091797393</v>
      </c>
      <c r="I416" s="69">
        <v>44310.30332175926</v>
      </c>
      <c r="J416" s="69">
        <v>44310.30359953704</v>
      </c>
      <c r="K416">
        <f>AVERAGE(H412:H416)</f>
        <v>112.5544993</v>
      </c>
      <c r="L416">
        <f>STDEV(H412:H416)</f>
        <v>94.45471355</v>
      </c>
      <c r="M416" s="70">
        <v>24.4860091797393</v>
      </c>
      <c r="N416" s="70">
        <v>24.4860091797393</v>
      </c>
      <c r="O416" s="70">
        <v>1.32052367994175</v>
      </c>
      <c r="P416" s="70">
        <v>1.32052367994175</v>
      </c>
    </row>
    <row r="417" hidden="1">
      <c r="A417" s="67" t="s">
        <v>1177</v>
      </c>
      <c r="B417" s="67" t="s">
        <v>519</v>
      </c>
      <c r="C417" s="68">
        <v>1.0</v>
      </c>
      <c r="D417" s="68">
        <v>0.75</v>
      </c>
      <c r="E417" s="68">
        <v>1.0</v>
      </c>
      <c r="F417" s="68">
        <v>0.0</v>
      </c>
      <c r="G417" s="68">
        <v>2.22694986785518</v>
      </c>
      <c r="H417" s="68">
        <v>38.1856194721244</v>
      </c>
      <c r="I417" s="69">
        <v>44310.30431712963</v>
      </c>
      <c r="J417" s="69">
        <v>44310.304398148146</v>
      </c>
      <c r="K417">
        <f>AVERAGE(H417:H421)</f>
        <v>160.8527675</v>
      </c>
      <c r="L417">
        <f>STDEV(H417:H421)</f>
        <v>79.2206436</v>
      </c>
      <c r="M417" s="70">
        <v>38.1856194721244</v>
      </c>
      <c r="N417" s="70">
        <v>38.1856194721244</v>
      </c>
      <c r="O417" s="70">
        <v>2.22694986785518</v>
      </c>
      <c r="P417" s="70">
        <v>2.22694986785518</v>
      </c>
    </row>
    <row r="418" hidden="1">
      <c r="A418" s="67" t="s">
        <v>1178</v>
      </c>
      <c r="B418" s="67" t="s">
        <v>519</v>
      </c>
      <c r="C418" s="68">
        <v>1.0</v>
      </c>
      <c r="D418" s="68">
        <v>0.75</v>
      </c>
      <c r="E418" s="68">
        <v>1.0</v>
      </c>
      <c r="F418" s="68">
        <v>1.0</v>
      </c>
      <c r="G418" s="68">
        <v>11.3396703510758</v>
      </c>
      <c r="H418" s="68">
        <v>243.040775234622</v>
      </c>
      <c r="I418" s="69">
        <v>44310.30510416667</v>
      </c>
      <c r="J418" s="69">
        <v>44310.30519675926</v>
      </c>
      <c r="K418">
        <f>AVERAGE(H417:H421)</f>
        <v>160.8527675</v>
      </c>
      <c r="L418">
        <f>STDEV(H417:H421)</f>
        <v>79.2206436</v>
      </c>
      <c r="M418" s="70">
        <v>243.040775234622</v>
      </c>
      <c r="N418" s="70">
        <v>243.040775234622</v>
      </c>
      <c r="O418" s="70">
        <v>11.3396703510758</v>
      </c>
      <c r="P418" s="70">
        <v>11.3396703510758</v>
      </c>
    </row>
    <row r="419" hidden="1">
      <c r="A419" s="67" t="s">
        <v>1179</v>
      </c>
      <c r="B419" s="67" t="s">
        <v>519</v>
      </c>
      <c r="C419" s="68">
        <v>1.0</v>
      </c>
      <c r="D419" s="68">
        <v>0.75</v>
      </c>
      <c r="E419" s="68">
        <v>1.0</v>
      </c>
      <c r="F419" s="68">
        <v>2.0</v>
      </c>
      <c r="G419" s="68">
        <v>3.27833053726279</v>
      </c>
      <c r="H419" s="68">
        <v>151.945135227677</v>
      </c>
      <c r="I419" s="69">
        <v>44310.305914351855</v>
      </c>
      <c r="J419" s="69">
        <v>44310.30625</v>
      </c>
      <c r="K419">
        <f>AVERAGE(H417:H421)</f>
        <v>160.8527675</v>
      </c>
      <c r="L419">
        <f>STDEV(H417:H421)</f>
        <v>79.2206436</v>
      </c>
      <c r="M419" s="70">
        <v>151.945135227677</v>
      </c>
      <c r="N419" s="70">
        <v>151.945135227677</v>
      </c>
      <c r="O419" s="70">
        <v>3.27833053726279</v>
      </c>
      <c r="P419" s="70">
        <v>3.27833053726279</v>
      </c>
    </row>
    <row r="420" hidden="1">
      <c r="A420" s="67" t="s">
        <v>1180</v>
      </c>
      <c r="B420" s="67" t="s">
        <v>519</v>
      </c>
      <c r="C420" s="68">
        <v>1.0</v>
      </c>
      <c r="D420" s="68">
        <v>0.75</v>
      </c>
      <c r="E420" s="68">
        <v>1.0</v>
      </c>
      <c r="F420" s="68">
        <v>3.0</v>
      </c>
      <c r="G420" s="68">
        <v>2.94360741762379</v>
      </c>
      <c r="H420" s="68">
        <v>153.902267505651</v>
      </c>
      <c r="I420" s="69">
        <v>44310.30695601852</v>
      </c>
      <c r="J420" s="69">
        <v>44310.38209490741</v>
      </c>
      <c r="K420">
        <f>AVERAGE(H417:H421)</f>
        <v>160.8527675</v>
      </c>
      <c r="L420">
        <f>STDEV(H417:H421)</f>
        <v>79.2206436</v>
      </c>
      <c r="M420" s="70">
        <v>153.902267505651</v>
      </c>
      <c r="N420" s="70">
        <v>153.902267505651</v>
      </c>
      <c r="O420" s="70">
        <v>2.94360741762379</v>
      </c>
      <c r="P420" s="70">
        <v>2.94360741762379</v>
      </c>
    </row>
    <row r="421" hidden="1">
      <c r="A421" s="67" t="s">
        <v>1181</v>
      </c>
      <c r="B421" s="67" t="s">
        <v>519</v>
      </c>
      <c r="C421" s="68">
        <v>1.0</v>
      </c>
      <c r="D421" s="68">
        <v>0.75</v>
      </c>
      <c r="E421" s="68">
        <v>1.0</v>
      </c>
      <c r="F421" s="68">
        <v>4.0</v>
      </c>
      <c r="G421" s="68">
        <v>9.06053790305725</v>
      </c>
      <c r="H421" s="68">
        <v>217.19004028257</v>
      </c>
      <c r="I421" s="69">
        <v>44310.3828125</v>
      </c>
      <c r="J421" s="69">
        <v>44310.38291666667</v>
      </c>
      <c r="K421">
        <f>AVERAGE(H417:H421)</f>
        <v>160.8527675</v>
      </c>
      <c r="L421">
        <f>STDEV(H417:H421)</f>
        <v>79.2206436</v>
      </c>
      <c r="M421" s="70">
        <v>217.19004028257</v>
      </c>
      <c r="N421" s="70">
        <v>217.19004028257</v>
      </c>
      <c r="O421" s="70">
        <v>9.06053790305725</v>
      </c>
      <c r="P421" s="70">
        <v>9.06053790305725</v>
      </c>
    </row>
    <row r="422" hidden="1">
      <c r="A422" s="67" t="s">
        <v>1182</v>
      </c>
      <c r="B422" s="67" t="s">
        <v>519</v>
      </c>
      <c r="C422" s="68">
        <v>1.0</v>
      </c>
      <c r="D422" s="68">
        <v>1.0</v>
      </c>
      <c r="E422" s="68">
        <v>1.0</v>
      </c>
      <c r="F422" s="68">
        <v>0.0</v>
      </c>
      <c r="G422" s="68">
        <v>13.8739388214106</v>
      </c>
      <c r="H422" s="68">
        <v>273.347825166358</v>
      </c>
      <c r="I422" s="69">
        <v>44310.38363425926</v>
      </c>
      <c r="J422" s="69">
        <v>44310.38369212963</v>
      </c>
      <c r="K422">
        <f>AVERAGE(H422:H426)</f>
        <v>120.3166454</v>
      </c>
      <c r="L422">
        <f>STDEV(H422:H426)</f>
        <v>117.8997023</v>
      </c>
      <c r="M422" s="70">
        <v>273.347825166358</v>
      </c>
      <c r="N422" s="70">
        <v>273.347825166358</v>
      </c>
      <c r="O422" s="70">
        <v>13.8739388214106</v>
      </c>
      <c r="P422" s="70">
        <v>13.8739388214106</v>
      </c>
    </row>
    <row r="423" hidden="1">
      <c r="A423" s="67" t="s">
        <v>1183</v>
      </c>
      <c r="B423" s="67" t="s">
        <v>519</v>
      </c>
      <c r="C423" s="68">
        <v>1.0</v>
      </c>
      <c r="D423" s="68">
        <v>1.0</v>
      </c>
      <c r="E423" s="68">
        <v>1.0</v>
      </c>
      <c r="F423" s="68">
        <v>1.0</v>
      </c>
      <c r="G423" s="68">
        <v>5.42246469496464</v>
      </c>
      <c r="H423" s="68">
        <v>169.857992921404</v>
      </c>
      <c r="I423" s="69">
        <v>44310.38439814815</v>
      </c>
      <c r="J423" s="69">
        <v>44310.38454861111</v>
      </c>
      <c r="K423">
        <f>AVERAGE(H422:H426)</f>
        <v>120.3166454</v>
      </c>
      <c r="L423">
        <f>STDEV(H422:H426)</f>
        <v>117.8997023</v>
      </c>
      <c r="M423" s="70">
        <v>169.857992921404</v>
      </c>
      <c r="N423" s="70">
        <v>169.857992921404</v>
      </c>
      <c r="O423" s="70">
        <v>5.42246469496464</v>
      </c>
      <c r="P423" s="70">
        <v>5.42246469496464</v>
      </c>
    </row>
    <row r="424" hidden="1">
      <c r="A424" s="67" t="s">
        <v>1184</v>
      </c>
      <c r="B424" s="67" t="s">
        <v>519</v>
      </c>
      <c r="C424" s="68">
        <v>1.0</v>
      </c>
      <c r="D424" s="68">
        <v>1.0</v>
      </c>
      <c r="E424" s="68">
        <v>1.0</v>
      </c>
      <c r="F424" s="68">
        <v>2.0</v>
      </c>
      <c r="G424" s="68">
        <v>0.453966619139546</v>
      </c>
      <c r="H424" s="68">
        <v>0.536387596530594</v>
      </c>
      <c r="I424" s="69">
        <v>44310.38525462963</v>
      </c>
      <c r="J424" s="69">
        <v>44310.3852662037</v>
      </c>
      <c r="K424">
        <f>AVERAGE(H422:H426)</f>
        <v>120.3166454</v>
      </c>
      <c r="L424">
        <f>STDEV(H422:H426)</f>
        <v>117.8997023</v>
      </c>
      <c r="M424" s="70">
        <v>0.536387596530594</v>
      </c>
      <c r="N424" s="70">
        <v>0.536387596530594</v>
      </c>
      <c r="O424" s="70">
        <v>0.453966619139546</v>
      </c>
      <c r="P424" s="70">
        <v>0.453966619139546</v>
      </c>
    </row>
    <row r="425" hidden="1">
      <c r="A425" s="67" t="s">
        <v>1185</v>
      </c>
      <c r="B425" s="67" t="s">
        <v>519</v>
      </c>
      <c r="C425" s="68">
        <v>1.0</v>
      </c>
      <c r="D425" s="68">
        <v>1.0</v>
      </c>
      <c r="E425" s="68">
        <v>1.0</v>
      </c>
      <c r="F425" s="68">
        <v>3.0</v>
      </c>
      <c r="G425" s="68">
        <v>3.11131363514577</v>
      </c>
      <c r="H425" s="68">
        <v>156.231188855178</v>
      </c>
      <c r="I425" s="69">
        <v>44310.38597222222</v>
      </c>
      <c r="J425" s="69">
        <v>44310.54318287037</v>
      </c>
      <c r="K425">
        <f>AVERAGE(H422:H426)</f>
        <v>120.3166454</v>
      </c>
      <c r="L425">
        <f>STDEV(H422:H426)</f>
        <v>117.8997023</v>
      </c>
      <c r="M425" s="70">
        <v>156.231188855178</v>
      </c>
      <c r="N425" s="70">
        <v>156.231188855178</v>
      </c>
      <c r="O425" s="70">
        <v>3.11131363514577</v>
      </c>
      <c r="P425" s="70">
        <v>3.11131363514577</v>
      </c>
    </row>
    <row r="426" hidden="1">
      <c r="A426" s="67" t="s">
        <v>1186</v>
      </c>
      <c r="B426" s="67" t="s">
        <v>519</v>
      </c>
      <c r="C426" s="68">
        <v>1.0</v>
      </c>
      <c r="D426" s="68">
        <v>1.0</v>
      </c>
      <c r="E426" s="68">
        <v>1.0</v>
      </c>
      <c r="F426" s="68">
        <v>4.0</v>
      </c>
      <c r="G426" s="68">
        <v>0.921000420857574</v>
      </c>
      <c r="H426" s="68">
        <v>1.60983228544373</v>
      </c>
      <c r="I426" s="69">
        <v>44310.543900462966</v>
      </c>
      <c r="J426" s="69">
        <v>44310.543912037036</v>
      </c>
      <c r="K426">
        <f>AVERAGE(H422:H426)</f>
        <v>120.3166454</v>
      </c>
      <c r="L426">
        <f>STDEV(H422:H426)</f>
        <v>117.8997023</v>
      </c>
      <c r="M426" s="70">
        <v>1.60983228544373</v>
      </c>
      <c r="N426" s="70">
        <v>1.60983228544373</v>
      </c>
      <c r="O426" s="70">
        <v>0.921000420857574</v>
      </c>
      <c r="P426" s="70">
        <v>0.921000420857574</v>
      </c>
    </row>
    <row r="427" hidden="1">
      <c r="A427" s="67" t="s">
        <v>1187</v>
      </c>
      <c r="B427" s="67" t="s">
        <v>17</v>
      </c>
      <c r="C427" s="68">
        <v>0.1</v>
      </c>
      <c r="D427" s="68">
        <v>0.1</v>
      </c>
      <c r="E427" s="68">
        <v>10.0</v>
      </c>
      <c r="F427" s="68">
        <v>0.0</v>
      </c>
      <c r="G427" s="68">
        <v>3.24003064919809</v>
      </c>
      <c r="H427" s="68">
        <v>146.537248247829</v>
      </c>
      <c r="I427" s="69">
        <v>44353.970497685186</v>
      </c>
      <c r="J427" s="69">
        <v>44354.09747685185</v>
      </c>
      <c r="K427">
        <f>AVERAGE(H427:H431)</f>
        <v>87.24139455</v>
      </c>
      <c r="L427">
        <f>STDEV(H427:H431)</f>
        <v>128.0036151</v>
      </c>
      <c r="M427" s="70">
        <v>146.537248247829</v>
      </c>
      <c r="N427" s="70">
        <v>146.537248247829</v>
      </c>
      <c r="O427" s="70">
        <v>3.24003064919809</v>
      </c>
      <c r="P427" s="70">
        <v>3.24003064919809</v>
      </c>
    </row>
    <row r="428" hidden="1">
      <c r="A428" s="67" t="s">
        <v>1188</v>
      </c>
      <c r="B428" s="67" t="s">
        <v>17</v>
      </c>
      <c r="C428" s="68">
        <v>0.1</v>
      </c>
      <c r="D428" s="68">
        <v>0.1</v>
      </c>
      <c r="E428" s="68">
        <v>10.0</v>
      </c>
      <c r="F428" s="68">
        <v>1.0</v>
      </c>
      <c r="G428" s="68">
        <v>0.542100508846485</v>
      </c>
      <c r="H428" s="68">
        <v>0.663631099788332</v>
      </c>
      <c r="I428" s="69">
        <v>44354.0981712963</v>
      </c>
      <c r="J428" s="69">
        <v>44354.09952546296</v>
      </c>
      <c r="K428">
        <f>AVERAGE(H427:H431)</f>
        <v>87.24139455</v>
      </c>
      <c r="L428">
        <f>STDEV(H427:H431)</f>
        <v>128.0036151</v>
      </c>
      <c r="M428" s="70">
        <v>0.663631099788332</v>
      </c>
      <c r="N428" s="70">
        <v>0.663631099788332</v>
      </c>
      <c r="O428" s="70">
        <v>0.542100508846485</v>
      </c>
      <c r="P428" s="70">
        <v>0.542100508846485</v>
      </c>
    </row>
    <row r="429" hidden="1">
      <c r="A429" s="67" t="s">
        <v>1189</v>
      </c>
      <c r="B429" s="67" t="s">
        <v>17</v>
      </c>
      <c r="C429" s="68">
        <v>0.1</v>
      </c>
      <c r="D429" s="68">
        <v>0.1</v>
      </c>
      <c r="E429" s="68">
        <v>10.0</v>
      </c>
      <c r="F429" s="68">
        <v>2.0</v>
      </c>
      <c r="G429" s="68">
        <v>1.10047942340223</v>
      </c>
      <c r="H429" s="68">
        <v>1.8846569151477</v>
      </c>
      <c r="I429" s="69">
        <v>44354.10021990741</v>
      </c>
      <c r="J429" s="69">
        <v>44354.100266203706</v>
      </c>
      <c r="K429">
        <f>AVERAGE(H427:H431)</f>
        <v>87.24139455</v>
      </c>
      <c r="L429">
        <f>STDEV(H427:H431)</f>
        <v>128.0036151</v>
      </c>
      <c r="M429" s="70">
        <v>1.8846569151477</v>
      </c>
      <c r="N429" s="70">
        <v>1.8846569151477</v>
      </c>
      <c r="O429" s="70">
        <v>1.10047942340223</v>
      </c>
      <c r="P429" s="70">
        <v>1.10047942340223</v>
      </c>
    </row>
    <row r="430" hidden="1">
      <c r="A430" s="67" t="s">
        <v>1190</v>
      </c>
      <c r="B430" s="67" t="s">
        <v>17</v>
      </c>
      <c r="C430" s="68">
        <v>0.1</v>
      </c>
      <c r="D430" s="68">
        <v>0.1</v>
      </c>
      <c r="E430" s="68">
        <v>10.0</v>
      </c>
      <c r="F430" s="68">
        <v>3.0</v>
      </c>
      <c r="G430" s="68">
        <v>8.13289283524069</v>
      </c>
      <c r="H430" s="68">
        <v>286.561573915839</v>
      </c>
      <c r="I430" s="69">
        <v>44354.100960648146</v>
      </c>
      <c r="J430" s="69">
        <v>44354.10333333333</v>
      </c>
      <c r="K430">
        <f>AVERAGE(H427:H431)</f>
        <v>87.24139455</v>
      </c>
      <c r="L430">
        <f>STDEV(H427:H431)</f>
        <v>128.0036151</v>
      </c>
      <c r="M430" s="70">
        <v>286.561573915839</v>
      </c>
      <c r="N430" s="70">
        <v>286.561573915839</v>
      </c>
      <c r="O430" s="70">
        <v>8.13289283524069</v>
      </c>
      <c r="P430" s="70">
        <v>8.13289283524069</v>
      </c>
    </row>
    <row r="431" hidden="1">
      <c r="A431" s="67" t="s">
        <v>1191</v>
      </c>
      <c r="B431" s="67" t="s">
        <v>17</v>
      </c>
      <c r="C431" s="68">
        <v>0.1</v>
      </c>
      <c r="D431" s="68">
        <v>0.1</v>
      </c>
      <c r="E431" s="68">
        <v>10.0</v>
      </c>
      <c r="F431" s="68">
        <v>4.0</v>
      </c>
      <c r="G431" s="68">
        <v>0.467788754977231</v>
      </c>
      <c r="H431" s="68">
        <v>0.559862594634035</v>
      </c>
      <c r="I431" s="69">
        <v>44354.10402777778</v>
      </c>
      <c r="J431" s="69">
        <v>44354.104375</v>
      </c>
      <c r="K431">
        <f>AVERAGE(H427:H431)</f>
        <v>87.24139455</v>
      </c>
      <c r="L431">
        <f>STDEV(H427:H431)</f>
        <v>128.0036151</v>
      </c>
      <c r="M431" s="70">
        <v>0.559862594634035</v>
      </c>
      <c r="N431" s="70">
        <v>0.559862594634035</v>
      </c>
      <c r="O431" s="70">
        <v>0.467788754977231</v>
      </c>
      <c r="P431" s="70">
        <v>0.467788754977231</v>
      </c>
    </row>
    <row r="432" hidden="1">
      <c r="A432" s="67" t="s">
        <v>1192</v>
      </c>
      <c r="B432" s="67" t="s">
        <v>17</v>
      </c>
      <c r="C432" s="68">
        <v>0.1</v>
      </c>
      <c r="D432" s="68">
        <v>0.25</v>
      </c>
      <c r="E432" s="68">
        <v>10.0</v>
      </c>
      <c r="F432" s="68">
        <v>0.0</v>
      </c>
      <c r="G432" s="68">
        <v>3.94679088272555</v>
      </c>
      <c r="H432" s="68">
        <v>186.44805952516</v>
      </c>
      <c r="I432" s="69">
        <v>44354.10506944444</v>
      </c>
      <c r="J432" s="69">
        <v>44354.14196759259</v>
      </c>
      <c r="K432">
        <f>AVERAGE(H432:H436)</f>
        <v>113.9160489</v>
      </c>
      <c r="L432">
        <f>STDEV(H432:H436)</f>
        <v>93.75583237</v>
      </c>
      <c r="M432" s="70">
        <v>186.44805952516</v>
      </c>
      <c r="N432" s="70">
        <v>186.44805952516</v>
      </c>
      <c r="O432" s="70">
        <v>3.94679088272555</v>
      </c>
      <c r="P432" s="70">
        <v>3.94679088272555</v>
      </c>
    </row>
    <row r="433" hidden="1">
      <c r="A433" s="67" t="s">
        <v>1193</v>
      </c>
      <c r="B433" s="67" t="s">
        <v>17</v>
      </c>
      <c r="C433" s="68">
        <v>0.1</v>
      </c>
      <c r="D433" s="68">
        <v>0.25</v>
      </c>
      <c r="E433" s="68">
        <v>10.0</v>
      </c>
      <c r="F433" s="68">
        <v>1.0</v>
      </c>
      <c r="G433" s="68">
        <v>3.51354701381129</v>
      </c>
      <c r="H433" s="68">
        <v>157.727212209401</v>
      </c>
      <c r="I433" s="69">
        <v>44354.14266203704</v>
      </c>
      <c r="J433" s="69">
        <v>44354.17355324074</v>
      </c>
      <c r="K433">
        <f>AVERAGE(H432:H436)</f>
        <v>113.9160489</v>
      </c>
      <c r="L433">
        <f>STDEV(H432:H436)</f>
        <v>93.75583237</v>
      </c>
      <c r="M433" s="70">
        <v>157.727212209401</v>
      </c>
      <c r="N433" s="70">
        <v>157.727212209401</v>
      </c>
      <c r="O433" s="70">
        <v>3.51354701381129</v>
      </c>
      <c r="P433" s="70">
        <v>3.51354701381129</v>
      </c>
    </row>
    <row r="434" hidden="1">
      <c r="A434" s="67" t="s">
        <v>1194</v>
      </c>
      <c r="B434" s="67" t="s">
        <v>17</v>
      </c>
      <c r="C434" s="68">
        <v>0.1</v>
      </c>
      <c r="D434" s="68">
        <v>0.25</v>
      </c>
      <c r="E434" s="68">
        <v>10.0</v>
      </c>
      <c r="F434" s="68">
        <v>2.0</v>
      </c>
      <c r="G434" s="68">
        <v>0.466491018990041</v>
      </c>
      <c r="H434" s="68">
        <v>0.558846337991739</v>
      </c>
      <c r="I434" s="69">
        <v>44354.174259259256</v>
      </c>
      <c r="J434" s="69">
        <v>44354.17459490741</v>
      </c>
      <c r="K434">
        <f>AVERAGE(H432:H436)</f>
        <v>113.9160489</v>
      </c>
      <c r="L434">
        <f>STDEV(H432:H436)</f>
        <v>93.75583237</v>
      </c>
      <c r="M434" s="70">
        <v>0.558846337991739</v>
      </c>
      <c r="N434" s="70">
        <v>0.558846337991739</v>
      </c>
      <c r="O434" s="70">
        <v>0.466491018990041</v>
      </c>
      <c r="P434" s="70">
        <v>0.466491018990041</v>
      </c>
    </row>
    <row r="435" hidden="1">
      <c r="A435" s="67" t="s">
        <v>1195</v>
      </c>
      <c r="B435" s="67" t="s">
        <v>17</v>
      </c>
      <c r="C435" s="68">
        <v>0.1</v>
      </c>
      <c r="D435" s="68">
        <v>0.25</v>
      </c>
      <c r="E435" s="68">
        <v>10.0</v>
      </c>
      <c r="F435" s="68">
        <v>3.0</v>
      </c>
      <c r="G435" s="68">
        <v>5.71470343911621</v>
      </c>
      <c r="H435" s="68">
        <v>199.388574836441</v>
      </c>
      <c r="I435" s="69">
        <v>44354.17528935185</v>
      </c>
      <c r="J435" s="69">
        <v>44354.175787037035</v>
      </c>
      <c r="K435">
        <f>AVERAGE(H432:H436)</f>
        <v>113.9160489</v>
      </c>
      <c r="L435">
        <f>STDEV(H432:H436)</f>
        <v>93.75583237</v>
      </c>
      <c r="M435" s="70">
        <v>199.388574836441</v>
      </c>
      <c r="N435" s="70">
        <v>199.388574836441</v>
      </c>
      <c r="O435" s="70">
        <v>5.71470343911621</v>
      </c>
      <c r="P435" s="70">
        <v>5.71470343911621</v>
      </c>
    </row>
    <row r="436" hidden="1">
      <c r="A436" s="67" t="s">
        <v>1196</v>
      </c>
      <c r="B436" s="67" t="s">
        <v>17</v>
      </c>
      <c r="C436" s="68">
        <v>0.1</v>
      </c>
      <c r="D436" s="68">
        <v>0.25</v>
      </c>
      <c r="E436" s="68">
        <v>10.0</v>
      </c>
      <c r="F436" s="68">
        <v>4.0</v>
      </c>
      <c r="G436" s="68">
        <v>1.63631546203252</v>
      </c>
      <c r="H436" s="68">
        <v>25.4575515538538</v>
      </c>
      <c r="I436" s="69">
        <v>44354.17648148148</v>
      </c>
      <c r="J436" s="69">
        <v>44354.179756944446</v>
      </c>
      <c r="K436">
        <f>AVERAGE(H432:H436)</f>
        <v>113.9160489</v>
      </c>
      <c r="L436">
        <f>STDEV(H432:H436)</f>
        <v>93.75583237</v>
      </c>
      <c r="M436" s="70">
        <v>25.4575515538538</v>
      </c>
      <c r="N436" s="70">
        <v>25.4575515538538</v>
      </c>
      <c r="O436" s="70">
        <v>1.63631546203252</v>
      </c>
      <c r="P436" s="70">
        <v>1.63631546203252</v>
      </c>
    </row>
    <row r="437" hidden="1">
      <c r="A437" s="67" t="s">
        <v>1197</v>
      </c>
      <c r="B437" s="67" t="s">
        <v>17</v>
      </c>
      <c r="C437" s="68">
        <v>0.1</v>
      </c>
      <c r="D437" s="68">
        <v>0.5</v>
      </c>
      <c r="E437" s="68">
        <v>10.0</v>
      </c>
      <c r="F437" s="68">
        <v>0.0</v>
      </c>
      <c r="G437" s="68">
        <v>3.9751297884095</v>
      </c>
      <c r="H437" s="68">
        <v>175.405744244602</v>
      </c>
      <c r="I437" s="69">
        <v>44354.180451388886</v>
      </c>
      <c r="J437" s="69">
        <v>44354.29414351852</v>
      </c>
      <c r="K437">
        <f>AVERAGE(H437:H441)</f>
        <v>70.12006451</v>
      </c>
      <c r="L437">
        <f>STDEV(H437:H441)</f>
        <v>78.3754434</v>
      </c>
      <c r="M437" s="70">
        <v>175.405744244602</v>
      </c>
      <c r="N437" s="70">
        <v>175.405744244602</v>
      </c>
      <c r="O437" s="70">
        <v>3.9751297884095</v>
      </c>
      <c r="P437" s="70">
        <v>3.9751297884095</v>
      </c>
    </row>
    <row r="438" hidden="1">
      <c r="A438" s="67" t="s">
        <v>1198</v>
      </c>
      <c r="B438" s="67" t="s">
        <v>17</v>
      </c>
      <c r="C438" s="68">
        <v>0.1</v>
      </c>
      <c r="D438" s="68">
        <v>0.5</v>
      </c>
      <c r="E438" s="68">
        <v>10.0</v>
      </c>
      <c r="F438" s="68">
        <v>1.0</v>
      </c>
      <c r="G438" s="68">
        <v>0.531156661387634</v>
      </c>
      <c r="H438" s="68">
        <v>0.650712306498599</v>
      </c>
      <c r="I438" s="69">
        <v>44354.29483796296</v>
      </c>
      <c r="J438" s="69">
        <v>44354.296122685184</v>
      </c>
      <c r="K438">
        <f>AVERAGE(H437:H441)</f>
        <v>70.12006451</v>
      </c>
      <c r="L438">
        <f>STDEV(H437:H441)</f>
        <v>78.3754434</v>
      </c>
      <c r="M438" s="70">
        <v>0.650712306498599</v>
      </c>
      <c r="N438" s="70">
        <v>0.650712306498599</v>
      </c>
      <c r="O438" s="70">
        <v>0.531156661387634</v>
      </c>
      <c r="P438" s="70">
        <v>0.531156661387634</v>
      </c>
    </row>
    <row r="439" hidden="1">
      <c r="A439" s="67" t="s">
        <v>1199</v>
      </c>
      <c r="B439" s="67" t="s">
        <v>17</v>
      </c>
      <c r="C439" s="68">
        <v>0.1</v>
      </c>
      <c r="D439" s="68">
        <v>0.5</v>
      </c>
      <c r="E439" s="68">
        <v>10.0</v>
      </c>
      <c r="F439" s="68">
        <v>2.0</v>
      </c>
      <c r="G439" s="68">
        <v>1.67872046377875</v>
      </c>
      <c r="H439" s="68">
        <v>28.5159216043483</v>
      </c>
      <c r="I439" s="69">
        <v>44354.29681712963</v>
      </c>
      <c r="J439" s="69">
        <v>44354.2978125</v>
      </c>
      <c r="K439">
        <f>AVERAGE(H437:H441)</f>
        <v>70.12006451</v>
      </c>
      <c r="L439">
        <f>STDEV(H437:H441)</f>
        <v>78.3754434</v>
      </c>
      <c r="M439" s="70">
        <v>28.5159216043483</v>
      </c>
      <c r="N439" s="70">
        <v>28.5159216043483</v>
      </c>
      <c r="O439" s="70">
        <v>1.67872046377875</v>
      </c>
      <c r="P439" s="70">
        <v>1.67872046377875</v>
      </c>
    </row>
    <row r="440" hidden="1">
      <c r="A440" s="67" t="s">
        <v>1200</v>
      </c>
      <c r="B440" s="67" t="s">
        <v>17</v>
      </c>
      <c r="C440" s="68">
        <v>0.1</v>
      </c>
      <c r="D440" s="68">
        <v>0.5</v>
      </c>
      <c r="E440" s="68">
        <v>10.0</v>
      </c>
      <c r="F440" s="68">
        <v>3.0</v>
      </c>
      <c r="G440" s="68">
        <v>2.48906956651208</v>
      </c>
      <c r="H440" s="68">
        <v>131.80224121552</v>
      </c>
      <c r="I440" s="69">
        <v>44354.29850694445</v>
      </c>
      <c r="J440" s="69">
        <v>44354.298946759256</v>
      </c>
      <c r="K440">
        <f>AVERAGE(H437:H441)</f>
        <v>70.12006451</v>
      </c>
      <c r="L440">
        <f>STDEV(H437:H441)</f>
        <v>78.3754434</v>
      </c>
      <c r="M440" s="70">
        <v>131.80224121552</v>
      </c>
      <c r="N440" s="70">
        <v>131.80224121552</v>
      </c>
      <c r="O440" s="70">
        <v>2.48906956651208</v>
      </c>
      <c r="P440" s="70">
        <v>2.48906956651208</v>
      </c>
    </row>
    <row r="441" hidden="1">
      <c r="A441" s="67" t="s">
        <v>1201</v>
      </c>
      <c r="B441" s="67" t="s">
        <v>17</v>
      </c>
      <c r="C441" s="68">
        <v>0.1</v>
      </c>
      <c r="D441" s="68">
        <v>0.5</v>
      </c>
      <c r="E441" s="68">
        <v>10.0</v>
      </c>
      <c r="F441" s="68">
        <v>4.0</v>
      </c>
      <c r="G441" s="68">
        <v>0.985273964131403</v>
      </c>
      <c r="H441" s="68">
        <v>14.2257031620266</v>
      </c>
      <c r="I441" s="69">
        <v>44354.2996412037</v>
      </c>
      <c r="J441" s="69">
        <v>44354.299849537034</v>
      </c>
      <c r="K441">
        <f>AVERAGE(H437:H441)</f>
        <v>70.12006451</v>
      </c>
      <c r="L441">
        <f>STDEV(H437:H441)</f>
        <v>78.3754434</v>
      </c>
      <c r="M441" s="70">
        <v>14.2257031620266</v>
      </c>
      <c r="N441" s="70">
        <v>14.2257031620266</v>
      </c>
      <c r="O441" s="70">
        <v>0.985273964131403</v>
      </c>
      <c r="P441" s="70">
        <v>0.985273964131403</v>
      </c>
    </row>
    <row r="442" hidden="1">
      <c r="A442" s="67" t="s">
        <v>1202</v>
      </c>
      <c r="B442" s="67" t="s">
        <v>17</v>
      </c>
      <c r="C442" s="68">
        <v>0.1</v>
      </c>
      <c r="D442" s="68">
        <v>0.75</v>
      </c>
      <c r="E442" s="68">
        <v>10.0</v>
      </c>
      <c r="F442" s="68">
        <v>0.0</v>
      </c>
      <c r="G442" s="68">
        <v>0.98741501077339</v>
      </c>
      <c r="H442" s="68">
        <v>14.2919937144437</v>
      </c>
      <c r="I442" s="69">
        <v>44354.30054398148</v>
      </c>
      <c r="J442" s="69">
        <v>44354.30075231481</v>
      </c>
      <c r="K442">
        <f>AVERAGE(H442:H446)</f>
        <v>148.2153058</v>
      </c>
      <c r="L442">
        <f>STDEV(H442:H446)</f>
        <v>112.1424394</v>
      </c>
      <c r="M442" s="70">
        <v>14.2919937144437</v>
      </c>
      <c r="N442" s="70">
        <v>14.2919937144437</v>
      </c>
      <c r="O442" s="70">
        <v>0.98741501077339</v>
      </c>
      <c r="P442" s="70">
        <v>0.98741501077339</v>
      </c>
    </row>
    <row r="443" hidden="1">
      <c r="A443" s="67" t="s">
        <v>1203</v>
      </c>
      <c r="B443" s="67" t="s">
        <v>17</v>
      </c>
      <c r="C443" s="68">
        <v>0.1</v>
      </c>
      <c r="D443" s="68">
        <v>0.75</v>
      </c>
      <c r="E443" s="68">
        <v>10.0</v>
      </c>
      <c r="F443" s="68">
        <v>1.0</v>
      </c>
      <c r="G443" s="68">
        <v>1.6616184985954</v>
      </c>
      <c r="H443" s="68">
        <v>62.0428843948718</v>
      </c>
      <c r="I443" s="69">
        <v>44354.30144675926</v>
      </c>
      <c r="J443" s="69">
        <v>44354.31690972222</v>
      </c>
      <c r="K443">
        <f>AVERAGE(H442:H446)</f>
        <v>148.2153058</v>
      </c>
      <c r="L443">
        <f>STDEV(H442:H446)</f>
        <v>112.1424394</v>
      </c>
      <c r="M443" s="70">
        <v>62.0428843948718</v>
      </c>
      <c r="N443" s="70">
        <v>62.0428843948718</v>
      </c>
      <c r="O443" s="70">
        <v>1.6616184985954</v>
      </c>
      <c r="P443" s="70">
        <v>1.6616184985954</v>
      </c>
    </row>
    <row r="444" hidden="1">
      <c r="A444" s="67" t="s">
        <v>1204</v>
      </c>
      <c r="B444" s="67" t="s">
        <v>17</v>
      </c>
      <c r="C444" s="68">
        <v>0.1</v>
      </c>
      <c r="D444" s="68">
        <v>0.75</v>
      </c>
      <c r="E444" s="68">
        <v>10.0</v>
      </c>
      <c r="F444" s="68">
        <v>2.0</v>
      </c>
      <c r="G444" s="68">
        <v>6.28613356713501</v>
      </c>
      <c r="H444" s="68">
        <v>221.015151991688</v>
      </c>
      <c r="I444" s="69">
        <v>44354.31760416667</v>
      </c>
      <c r="J444" s="69">
        <v>44354.31799768518</v>
      </c>
      <c r="K444">
        <f>AVERAGE(H442:H446)</f>
        <v>148.2153058</v>
      </c>
      <c r="L444">
        <f>STDEV(H442:H446)</f>
        <v>112.1424394</v>
      </c>
      <c r="M444" s="70">
        <v>221.015151991688</v>
      </c>
      <c r="N444" s="70">
        <v>221.015151991688</v>
      </c>
      <c r="O444" s="70">
        <v>6.28613356713501</v>
      </c>
      <c r="P444" s="70">
        <v>6.28613356713501</v>
      </c>
    </row>
    <row r="445" hidden="1">
      <c r="A445" s="67" t="s">
        <v>1205</v>
      </c>
      <c r="B445" s="67" t="s">
        <v>17</v>
      </c>
      <c r="C445" s="68">
        <v>0.1</v>
      </c>
      <c r="D445" s="68">
        <v>0.75</v>
      </c>
      <c r="E445" s="68">
        <v>10.0</v>
      </c>
      <c r="F445" s="68">
        <v>3.0</v>
      </c>
      <c r="G445" s="68">
        <v>3.26009847238679</v>
      </c>
      <c r="H445" s="68">
        <v>155.550693023351</v>
      </c>
      <c r="I445" s="69">
        <v>44354.31869212963</v>
      </c>
      <c r="J445" s="69">
        <v>44354.37719907407</v>
      </c>
      <c r="K445">
        <f>AVERAGE(H442:H446)</f>
        <v>148.2153058</v>
      </c>
      <c r="L445">
        <f>STDEV(H442:H446)</f>
        <v>112.1424394</v>
      </c>
      <c r="M445" s="70">
        <v>155.550693023351</v>
      </c>
      <c r="N445" s="70">
        <v>155.550693023351</v>
      </c>
      <c r="O445" s="70">
        <v>3.26009847238679</v>
      </c>
      <c r="P445" s="70">
        <v>3.26009847238679</v>
      </c>
    </row>
    <row r="446" hidden="1">
      <c r="A446" s="67" t="s">
        <v>1206</v>
      </c>
      <c r="B446" s="67" t="s">
        <v>17</v>
      </c>
      <c r="C446" s="68">
        <v>0.1</v>
      </c>
      <c r="D446" s="68">
        <v>0.75</v>
      </c>
      <c r="E446" s="68">
        <v>10.0</v>
      </c>
      <c r="F446" s="68">
        <v>4.0</v>
      </c>
      <c r="G446" s="68">
        <v>8.21880445515679</v>
      </c>
      <c r="H446" s="68">
        <v>288.175805929906</v>
      </c>
      <c r="I446" s="69">
        <v>44354.37789351852</v>
      </c>
      <c r="J446" s="69">
        <v>44354.38030092593</v>
      </c>
      <c r="K446">
        <f>AVERAGE(H442:H446)</f>
        <v>148.2153058</v>
      </c>
      <c r="L446">
        <f>STDEV(H442:H446)</f>
        <v>112.1424394</v>
      </c>
      <c r="M446" s="70">
        <v>288.175805929906</v>
      </c>
      <c r="N446" s="70">
        <v>288.175805929906</v>
      </c>
      <c r="O446" s="70">
        <v>8.21880445515679</v>
      </c>
      <c r="P446" s="70">
        <v>8.21880445515679</v>
      </c>
    </row>
    <row r="447" hidden="1">
      <c r="A447" s="67" t="s">
        <v>1207</v>
      </c>
      <c r="B447" s="67" t="s">
        <v>17</v>
      </c>
      <c r="C447" s="68">
        <v>0.1</v>
      </c>
      <c r="D447" s="68">
        <v>1.0</v>
      </c>
      <c r="E447" s="68">
        <v>10.0</v>
      </c>
      <c r="F447" s="68">
        <v>0.0</v>
      </c>
      <c r="G447" s="68">
        <v>0.317145370870006</v>
      </c>
      <c r="H447" s="68">
        <v>0.406115963760371</v>
      </c>
      <c r="I447" s="69">
        <v>44354.38099537037</v>
      </c>
      <c r="J447" s="69">
        <v>44354.38107638889</v>
      </c>
      <c r="K447">
        <f>AVERAGE(H447:H451)</f>
        <v>101.7369364</v>
      </c>
      <c r="L447">
        <f>STDEV(H447:H451)</f>
        <v>153.8365994</v>
      </c>
      <c r="M447" s="70">
        <v>0.406115963760371</v>
      </c>
      <c r="N447" s="70">
        <v>0.406115963760371</v>
      </c>
      <c r="O447" s="70">
        <v>0.317145370870006</v>
      </c>
      <c r="P447" s="70">
        <v>0.317145370870006</v>
      </c>
    </row>
    <row r="448" hidden="1">
      <c r="A448" s="67" t="s">
        <v>1208</v>
      </c>
      <c r="B448" s="67" t="s">
        <v>17</v>
      </c>
      <c r="C448" s="68">
        <v>0.1</v>
      </c>
      <c r="D448" s="68">
        <v>1.0</v>
      </c>
      <c r="E448" s="68">
        <v>10.0</v>
      </c>
      <c r="F448" s="68">
        <v>1.0</v>
      </c>
      <c r="G448" s="68">
        <v>0.71308046422986</v>
      </c>
      <c r="H448" s="68">
        <v>0.950301544091779</v>
      </c>
      <c r="I448" s="69">
        <v>44354.38177083333</v>
      </c>
      <c r="J448" s="69">
        <v>44354.3822337963</v>
      </c>
      <c r="K448">
        <f>AVERAGE(H447:H451)</f>
        <v>101.7369364</v>
      </c>
      <c r="L448">
        <f>STDEV(H447:H451)</f>
        <v>153.8365994</v>
      </c>
      <c r="M448" s="70">
        <v>0.950301544091779</v>
      </c>
      <c r="N448" s="70">
        <v>0.950301544091779</v>
      </c>
      <c r="O448" s="70">
        <v>0.71308046422986</v>
      </c>
      <c r="P448" s="70">
        <v>0.71308046422986</v>
      </c>
    </row>
    <row r="449" hidden="1">
      <c r="A449" s="67" t="s">
        <v>1209</v>
      </c>
      <c r="B449" s="67" t="s">
        <v>17</v>
      </c>
      <c r="C449" s="68">
        <v>0.1</v>
      </c>
      <c r="D449" s="68">
        <v>1.0</v>
      </c>
      <c r="E449" s="68">
        <v>10.0</v>
      </c>
      <c r="F449" s="68">
        <v>2.0</v>
      </c>
      <c r="G449" s="68">
        <v>3.53282838009</v>
      </c>
      <c r="H449" s="68">
        <v>158.410448927853</v>
      </c>
      <c r="I449" s="69">
        <v>44354.38292824074</v>
      </c>
      <c r="J449" s="69">
        <v>44354.5477662037</v>
      </c>
      <c r="K449">
        <f>AVERAGE(H447:H451)</f>
        <v>101.7369364</v>
      </c>
      <c r="L449">
        <f>STDEV(H447:H451)</f>
        <v>153.8365994</v>
      </c>
      <c r="M449" s="70">
        <v>158.410448927853</v>
      </c>
      <c r="N449" s="70">
        <v>158.410448927853</v>
      </c>
      <c r="O449" s="70">
        <v>3.53282838009</v>
      </c>
      <c r="P449" s="70">
        <v>3.53282838009</v>
      </c>
    </row>
    <row r="450" hidden="1">
      <c r="A450" s="67" t="s">
        <v>1210</v>
      </c>
      <c r="B450" s="67" t="s">
        <v>17</v>
      </c>
      <c r="C450" s="68">
        <v>0.1</v>
      </c>
      <c r="D450" s="68">
        <v>1.0</v>
      </c>
      <c r="E450" s="68">
        <v>10.0</v>
      </c>
      <c r="F450" s="68">
        <v>3.0</v>
      </c>
      <c r="G450" s="68">
        <v>11.7052434222253</v>
      </c>
      <c r="H450" s="68">
        <v>348.309503111193</v>
      </c>
      <c r="I450" s="69">
        <v>44354.54846064815</v>
      </c>
      <c r="J450" s="69">
        <v>44354.54858796296</v>
      </c>
      <c r="K450">
        <f>AVERAGE(H447:H451)</f>
        <v>101.7369364</v>
      </c>
      <c r="L450">
        <f>STDEV(H447:H451)</f>
        <v>153.8365994</v>
      </c>
      <c r="M450" s="70">
        <v>348.309503111193</v>
      </c>
      <c r="N450" s="70">
        <v>348.309503111193</v>
      </c>
      <c r="O450" s="70">
        <v>11.7052434222253</v>
      </c>
      <c r="P450" s="70">
        <v>11.7052434222253</v>
      </c>
    </row>
    <row r="451" hidden="1">
      <c r="A451" s="67" t="s">
        <v>1211</v>
      </c>
      <c r="B451" s="67" t="s">
        <v>17</v>
      </c>
      <c r="C451" s="68">
        <v>0.1</v>
      </c>
      <c r="D451" s="68">
        <v>1.0</v>
      </c>
      <c r="E451" s="68">
        <v>10.0</v>
      </c>
      <c r="F451" s="68">
        <v>4.0</v>
      </c>
      <c r="G451" s="68">
        <v>0.504203366281277</v>
      </c>
      <c r="H451" s="68">
        <v>0.60831233938854</v>
      </c>
      <c r="I451" s="69">
        <v>44354.54928240741</v>
      </c>
      <c r="J451" s="69">
        <v>44354.550358796296</v>
      </c>
      <c r="K451">
        <f>AVERAGE(H447:H451)</f>
        <v>101.7369364</v>
      </c>
      <c r="L451">
        <f>STDEV(H447:H451)</f>
        <v>153.8365994</v>
      </c>
      <c r="M451" s="70">
        <v>0.60831233938854</v>
      </c>
      <c r="N451" s="70">
        <v>0.60831233938854</v>
      </c>
      <c r="O451" s="70">
        <v>0.504203366281277</v>
      </c>
      <c r="P451" s="70">
        <v>0.504203366281277</v>
      </c>
    </row>
    <row r="452" hidden="1">
      <c r="A452" s="67" t="s">
        <v>1212</v>
      </c>
      <c r="B452" s="67" t="s">
        <v>17</v>
      </c>
      <c r="C452" s="68">
        <v>0.25</v>
      </c>
      <c r="D452" s="68">
        <v>0.1</v>
      </c>
      <c r="E452" s="68">
        <v>10.0</v>
      </c>
      <c r="F452" s="68">
        <v>0.0</v>
      </c>
      <c r="G452" s="68">
        <v>1.49202420065743</v>
      </c>
      <c r="H452" s="68">
        <v>68.6605879022311</v>
      </c>
      <c r="I452" s="69">
        <v>44354.55105324074</v>
      </c>
      <c r="J452" s="69">
        <v>44354.581354166665</v>
      </c>
      <c r="K452">
        <f>AVERAGE(H452:H456)</f>
        <v>135.340283</v>
      </c>
      <c r="L452">
        <f>STDEV(H452:H456)</f>
        <v>108.3045354</v>
      </c>
      <c r="M452" s="70">
        <v>68.6605879022311</v>
      </c>
      <c r="N452" s="70">
        <v>68.6605879022311</v>
      </c>
      <c r="O452" s="70">
        <v>1.49202420065743</v>
      </c>
      <c r="P452" s="70">
        <v>1.49202420065743</v>
      </c>
    </row>
    <row r="453" hidden="1">
      <c r="A453" s="67" t="s">
        <v>1213</v>
      </c>
      <c r="B453" s="67" t="s">
        <v>17</v>
      </c>
      <c r="C453" s="68">
        <v>0.25</v>
      </c>
      <c r="D453" s="68">
        <v>0.1</v>
      </c>
      <c r="E453" s="68">
        <v>10.0</v>
      </c>
      <c r="F453" s="68">
        <v>1.0</v>
      </c>
      <c r="G453" s="68">
        <v>2.57646824034666</v>
      </c>
      <c r="H453" s="68">
        <v>148.473381632259</v>
      </c>
      <c r="I453" s="69">
        <v>44354.58204861111</v>
      </c>
      <c r="J453" s="69">
        <v>44354.5871875</v>
      </c>
      <c r="K453">
        <f>AVERAGE(H452:H456)</f>
        <v>135.340283</v>
      </c>
      <c r="L453">
        <f>STDEV(H452:H456)</f>
        <v>108.3045354</v>
      </c>
      <c r="M453" s="70">
        <v>148.473381632259</v>
      </c>
      <c r="N453" s="70">
        <v>148.473381632259</v>
      </c>
      <c r="O453" s="70">
        <v>2.57646824034666</v>
      </c>
      <c r="P453" s="70">
        <v>2.57646824034666</v>
      </c>
    </row>
    <row r="454" hidden="1">
      <c r="A454" s="67" t="s">
        <v>1214</v>
      </c>
      <c r="B454" s="67" t="s">
        <v>17</v>
      </c>
      <c r="C454" s="68">
        <v>0.25</v>
      </c>
      <c r="D454" s="68">
        <v>0.1</v>
      </c>
      <c r="E454" s="68">
        <v>10.0</v>
      </c>
      <c r="F454" s="68">
        <v>2.0</v>
      </c>
      <c r="G454" s="68">
        <v>4.38432485849919</v>
      </c>
      <c r="H454" s="68">
        <v>172.929544764947</v>
      </c>
      <c r="I454" s="69">
        <v>44354.58788194445</v>
      </c>
      <c r="J454" s="69">
        <v>44354.60655092593</v>
      </c>
      <c r="K454">
        <f>AVERAGE(H452:H456)</f>
        <v>135.340283</v>
      </c>
      <c r="L454">
        <f>STDEV(H452:H456)</f>
        <v>108.3045354</v>
      </c>
      <c r="M454" s="70">
        <v>172.929544764947</v>
      </c>
      <c r="N454" s="70">
        <v>172.929544764947</v>
      </c>
      <c r="O454" s="70">
        <v>4.38432485849919</v>
      </c>
      <c r="P454" s="70">
        <v>4.38432485849919</v>
      </c>
    </row>
    <row r="455" hidden="1">
      <c r="A455" s="67" t="s">
        <v>1215</v>
      </c>
      <c r="B455" s="67" t="s">
        <v>17</v>
      </c>
      <c r="C455" s="68">
        <v>0.25</v>
      </c>
      <c r="D455" s="68">
        <v>0.1</v>
      </c>
      <c r="E455" s="68">
        <v>10.0</v>
      </c>
      <c r="F455" s="68">
        <v>3.0</v>
      </c>
      <c r="G455" s="68">
        <v>8.91491667569673</v>
      </c>
      <c r="H455" s="68">
        <v>286.078466130565</v>
      </c>
      <c r="I455" s="69">
        <v>44354.60724537037</v>
      </c>
      <c r="J455" s="69">
        <v>44354.60925925926</v>
      </c>
      <c r="K455">
        <f>AVERAGE(H452:H456)</f>
        <v>135.340283</v>
      </c>
      <c r="L455">
        <f>STDEV(H452:H456)</f>
        <v>108.3045354</v>
      </c>
      <c r="M455" s="70">
        <v>286.078466130565</v>
      </c>
      <c r="N455" s="70">
        <v>286.078466130565</v>
      </c>
      <c r="O455" s="70">
        <v>8.91491667569673</v>
      </c>
      <c r="P455" s="70">
        <v>8.91491667569673</v>
      </c>
    </row>
    <row r="456" hidden="1">
      <c r="A456" s="67" t="s">
        <v>1216</v>
      </c>
      <c r="B456" s="67" t="s">
        <v>17</v>
      </c>
      <c r="C456" s="68">
        <v>0.25</v>
      </c>
      <c r="D456" s="68">
        <v>0.1</v>
      </c>
      <c r="E456" s="68">
        <v>10.0</v>
      </c>
      <c r="F456" s="68">
        <v>4.0</v>
      </c>
      <c r="G456" s="68">
        <v>0.467187299586246</v>
      </c>
      <c r="H456" s="68">
        <v>0.559434604263913</v>
      </c>
      <c r="I456" s="69">
        <v>44354.6099537037</v>
      </c>
      <c r="J456" s="69">
        <v>44354.610300925924</v>
      </c>
      <c r="K456">
        <f>AVERAGE(H452:H456)</f>
        <v>135.340283</v>
      </c>
      <c r="L456">
        <f>STDEV(H452:H456)</f>
        <v>108.3045354</v>
      </c>
      <c r="M456" s="70">
        <v>0.559434604263913</v>
      </c>
      <c r="N456" s="70">
        <v>0.559434604263913</v>
      </c>
      <c r="O456" s="70">
        <v>0.467187299586246</v>
      </c>
      <c r="P456" s="70">
        <v>0.467187299586246</v>
      </c>
    </row>
    <row r="457" hidden="1">
      <c r="A457" s="67" t="s">
        <v>1217</v>
      </c>
      <c r="B457" s="67" t="s">
        <v>17</v>
      </c>
      <c r="C457" s="68">
        <v>0.25</v>
      </c>
      <c r="D457" s="68">
        <v>0.25</v>
      </c>
      <c r="E457" s="68">
        <v>10.0</v>
      </c>
      <c r="F457" s="68">
        <v>0.0</v>
      </c>
      <c r="G457" s="68">
        <v>3.67236181062981</v>
      </c>
      <c r="H457" s="68">
        <v>158.409244953914</v>
      </c>
      <c r="I457" s="69">
        <v>44354.61099537037</v>
      </c>
      <c r="J457" s="69">
        <v>44354.615219907406</v>
      </c>
      <c r="K457">
        <f>AVERAGE(H457:H461)</f>
        <v>124.6445279</v>
      </c>
      <c r="L457">
        <f>STDEV(H457:H461)</f>
        <v>106.1114316</v>
      </c>
      <c r="M457" s="70">
        <v>158.409244953914</v>
      </c>
      <c r="N457" s="70">
        <v>158.409244953914</v>
      </c>
      <c r="O457" s="70">
        <v>3.67236181062981</v>
      </c>
      <c r="P457" s="70">
        <v>3.67236181062981</v>
      </c>
    </row>
    <row r="458" hidden="1">
      <c r="A458" s="67" t="s">
        <v>1218</v>
      </c>
      <c r="B458" s="67" t="s">
        <v>17</v>
      </c>
      <c r="C458" s="68">
        <v>0.25</v>
      </c>
      <c r="D458" s="68">
        <v>0.25</v>
      </c>
      <c r="E458" s="68">
        <v>10.0</v>
      </c>
      <c r="F458" s="68">
        <v>1.0</v>
      </c>
      <c r="G458" s="68">
        <v>2.44157698559805</v>
      </c>
      <c r="H458" s="68">
        <v>110.943484521832</v>
      </c>
      <c r="I458" s="69">
        <v>44354.61591435185</v>
      </c>
      <c r="J458" s="69">
        <v>44354.68510416667</v>
      </c>
      <c r="K458">
        <f>AVERAGE(H457:H461)</f>
        <v>124.6445279</v>
      </c>
      <c r="L458">
        <f>STDEV(H457:H461)</f>
        <v>106.1114316</v>
      </c>
      <c r="M458" s="70">
        <v>110.943484521832</v>
      </c>
      <c r="N458" s="70">
        <v>110.943484521832</v>
      </c>
      <c r="O458" s="70">
        <v>2.44157698559805</v>
      </c>
      <c r="P458" s="70">
        <v>2.44157698559805</v>
      </c>
    </row>
    <row r="459" hidden="1">
      <c r="A459" s="67" t="s">
        <v>1219</v>
      </c>
      <c r="B459" s="67" t="s">
        <v>17</v>
      </c>
      <c r="C459" s="68">
        <v>0.25</v>
      </c>
      <c r="D459" s="68">
        <v>0.25</v>
      </c>
      <c r="E459" s="68">
        <v>10.0</v>
      </c>
      <c r="F459" s="68">
        <v>2.0</v>
      </c>
      <c r="G459" s="68">
        <v>0.536084505656006</v>
      </c>
      <c r="H459" s="68">
        <v>0.656295341884887</v>
      </c>
      <c r="I459" s="69">
        <v>44354.68579861111</v>
      </c>
      <c r="J459" s="69">
        <v>44354.68712962963</v>
      </c>
      <c r="K459">
        <f>AVERAGE(H457:H461)</f>
        <v>124.6445279</v>
      </c>
      <c r="L459">
        <f>STDEV(H457:H461)</f>
        <v>106.1114316</v>
      </c>
      <c r="M459" s="70">
        <v>0.656295341884887</v>
      </c>
      <c r="N459" s="70">
        <v>0.656295341884887</v>
      </c>
      <c r="O459" s="70">
        <v>0.536084505656006</v>
      </c>
      <c r="P459" s="70">
        <v>0.536084505656006</v>
      </c>
    </row>
    <row r="460" hidden="1">
      <c r="A460" s="67" t="s">
        <v>1220</v>
      </c>
      <c r="B460" s="67" t="s">
        <v>17</v>
      </c>
      <c r="C460" s="68">
        <v>0.25</v>
      </c>
      <c r="D460" s="68">
        <v>0.25</v>
      </c>
      <c r="E460" s="68">
        <v>10.0</v>
      </c>
      <c r="F460" s="68">
        <v>3.0</v>
      </c>
      <c r="G460" s="68">
        <v>1.35224836248878</v>
      </c>
      <c r="H460" s="68">
        <v>69.5144870271492</v>
      </c>
      <c r="I460" s="69">
        <v>44354.68782407408</v>
      </c>
      <c r="J460" s="69">
        <v>44354.690462962964</v>
      </c>
      <c r="K460">
        <f>AVERAGE(H457:H461)</f>
        <v>124.6445279</v>
      </c>
      <c r="L460">
        <f>STDEV(H457:H461)</f>
        <v>106.1114316</v>
      </c>
      <c r="M460" s="70">
        <v>69.5144870271492</v>
      </c>
      <c r="N460" s="70">
        <v>69.5144870271492</v>
      </c>
      <c r="O460" s="70">
        <v>1.35224836248878</v>
      </c>
      <c r="P460" s="70">
        <v>1.35224836248878</v>
      </c>
    </row>
    <row r="461" hidden="1">
      <c r="A461" s="67" t="s">
        <v>1221</v>
      </c>
      <c r="B461" s="67" t="s">
        <v>17</v>
      </c>
      <c r="C461" s="68">
        <v>0.25</v>
      </c>
      <c r="D461" s="68">
        <v>0.25</v>
      </c>
      <c r="E461" s="68">
        <v>10.0</v>
      </c>
      <c r="F461" s="68">
        <v>4.0</v>
      </c>
      <c r="G461" s="68">
        <v>8.5620787118494</v>
      </c>
      <c r="H461" s="68">
        <v>283.69912779146</v>
      </c>
      <c r="I461" s="69">
        <v>44354.691157407404</v>
      </c>
      <c r="J461" s="69">
        <v>44354.69517361111</v>
      </c>
      <c r="K461">
        <f>AVERAGE(H457:H461)</f>
        <v>124.6445279</v>
      </c>
      <c r="L461">
        <f>STDEV(H457:H461)</f>
        <v>106.1114316</v>
      </c>
      <c r="M461" s="70">
        <v>283.69912779146</v>
      </c>
      <c r="N461" s="70">
        <v>283.69912779146</v>
      </c>
      <c r="O461" s="70">
        <v>8.5620787118494</v>
      </c>
      <c r="P461" s="70">
        <v>8.5620787118494</v>
      </c>
    </row>
    <row r="462" hidden="1">
      <c r="A462" s="67" t="s">
        <v>1222</v>
      </c>
      <c r="B462" s="67" t="s">
        <v>17</v>
      </c>
      <c r="C462" s="68">
        <v>0.25</v>
      </c>
      <c r="D462" s="68">
        <v>0.5</v>
      </c>
      <c r="E462" s="68">
        <v>10.0</v>
      </c>
      <c r="F462" s="68">
        <v>0.0</v>
      </c>
      <c r="G462" s="68">
        <v>1.07991001504809</v>
      </c>
      <c r="H462" s="68">
        <v>1.4504242499467</v>
      </c>
      <c r="I462" s="69">
        <v>44354.695868055554</v>
      </c>
      <c r="J462" s="69">
        <v>44354.696076388886</v>
      </c>
      <c r="K462">
        <f>AVERAGE(H462:H466)</f>
        <v>108.1487672</v>
      </c>
      <c r="L462">
        <f>STDEV(H462:H466)</f>
        <v>111.2209891</v>
      </c>
      <c r="M462" s="70">
        <v>1.4504242499467</v>
      </c>
      <c r="N462" s="70">
        <v>1.4504242499467</v>
      </c>
      <c r="O462" s="70">
        <v>1.07991001504809</v>
      </c>
      <c r="P462" s="70">
        <v>1.07991001504809</v>
      </c>
    </row>
    <row r="463" hidden="1">
      <c r="A463" s="67" t="s">
        <v>1223</v>
      </c>
      <c r="B463" s="67" t="s">
        <v>17</v>
      </c>
      <c r="C463" s="68">
        <v>0.25</v>
      </c>
      <c r="D463" s="68">
        <v>0.5</v>
      </c>
      <c r="E463" s="68">
        <v>10.0</v>
      </c>
      <c r="F463" s="68">
        <v>1.0</v>
      </c>
      <c r="G463" s="68">
        <v>3.73802620081837</v>
      </c>
      <c r="H463" s="68">
        <v>169.578795489985</v>
      </c>
      <c r="I463" s="69">
        <v>44354.69677083333</v>
      </c>
      <c r="J463" s="69">
        <v>44354.80453703704</v>
      </c>
      <c r="K463">
        <f>AVERAGE(H462:H466)</f>
        <v>108.1487672</v>
      </c>
      <c r="L463">
        <f>STDEV(H462:H466)</f>
        <v>111.2209891</v>
      </c>
      <c r="M463" s="70">
        <v>169.578795489985</v>
      </c>
      <c r="N463" s="70">
        <v>169.578795489985</v>
      </c>
      <c r="O463" s="70">
        <v>3.73802620081837</v>
      </c>
      <c r="P463" s="70">
        <v>3.73802620081837</v>
      </c>
    </row>
    <row r="464" hidden="1">
      <c r="A464" s="67" t="s">
        <v>1224</v>
      </c>
      <c r="B464" s="67" t="s">
        <v>17</v>
      </c>
      <c r="C464" s="68">
        <v>0.25</v>
      </c>
      <c r="D464" s="68">
        <v>0.5</v>
      </c>
      <c r="E464" s="68">
        <v>10.0</v>
      </c>
      <c r="F464" s="68">
        <v>2.0</v>
      </c>
      <c r="G464" s="68">
        <v>1.35105551055397</v>
      </c>
      <c r="H464" s="68">
        <v>69.4492772349691</v>
      </c>
      <c r="I464" s="69">
        <v>44354.805231481485</v>
      </c>
      <c r="J464" s="69">
        <v>44354.80726851852</v>
      </c>
      <c r="K464">
        <f>AVERAGE(H462:H466)</f>
        <v>108.1487672</v>
      </c>
      <c r="L464">
        <f>STDEV(H462:H466)</f>
        <v>111.2209891</v>
      </c>
      <c r="M464" s="70">
        <v>69.4492772349691</v>
      </c>
      <c r="N464" s="70">
        <v>69.4492772349691</v>
      </c>
      <c r="O464" s="70">
        <v>1.35105551055397</v>
      </c>
      <c r="P464" s="70">
        <v>1.35105551055397</v>
      </c>
    </row>
    <row r="465" hidden="1">
      <c r="A465" s="67" t="s">
        <v>1225</v>
      </c>
      <c r="B465" s="67" t="s">
        <v>17</v>
      </c>
      <c r="C465" s="68">
        <v>0.25</v>
      </c>
      <c r="D465" s="68">
        <v>0.5</v>
      </c>
      <c r="E465" s="68">
        <v>10.0</v>
      </c>
      <c r="F465" s="68">
        <v>3.0</v>
      </c>
      <c r="G465" s="68">
        <v>1.69792433606575</v>
      </c>
      <c r="H465" s="68">
        <v>29.0969264567119</v>
      </c>
      <c r="I465" s="69">
        <v>44354.807962962965</v>
      </c>
      <c r="J465" s="69">
        <v>44354.80869212963</v>
      </c>
      <c r="K465">
        <f>AVERAGE(H462:H466)</f>
        <v>108.1487672</v>
      </c>
      <c r="L465">
        <f>STDEV(H462:H466)</f>
        <v>111.2209891</v>
      </c>
      <c r="M465" s="70">
        <v>29.0969264567119</v>
      </c>
      <c r="N465" s="70">
        <v>29.0969264567119</v>
      </c>
      <c r="O465" s="70">
        <v>1.69792433606575</v>
      </c>
      <c r="P465" s="70">
        <v>1.69792433606575</v>
      </c>
    </row>
    <row r="466" hidden="1">
      <c r="A466" s="67" t="s">
        <v>1226</v>
      </c>
      <c r="B466" s="67" t="s">
        <v>17</v>
      </c>
      <c r="C466" s="68">
        <v>0.25</v>
      </c>
      <c r="D466" s="68">
        <v>0.5</v>
      </c>
      <c r="E466" s="68">
        <v>10.0</v>
      </c>
      <c r="F466" s="68">
        <v>4.0</v>
      </c>
      <c r="G466" s="68">
        <v>7.35517505635339</v>
      </c>
      <c r="H466" s="68">
        <v>271.168412708723</v>
      </c>
      <c r="I466" s="69">
        <v>44354.80939814815</v>
      </c>
      <c r="J466" s="69">
        <v>44354.80983796297</v>
      </c>
      <c r="K466">
        <f>AVERAGE(H462:H466)</f>
        <v>108.1487672</v>
      </c>
      <c r="L466">
        <f>STDEV(H462:H466)</f>
        <v>111.2209891</v>
      </c>
      <c r="M466" s="70">
        <v>271.168412708723</v>
      </c>
      <c r="N466" s="70">
        <v>271.168412708723</v>
      </c>
      <c r="O466" s="70">
        <v>7.35517505635339</v>
      </c>
      <c r="P466" s="70">
        <v>7.35517505635339</v>
      </c>
    </row>
    <row r="467" hidden="1">
      <c r="A467" s="67" t="s">
        <v>1227</v>
      </c>
      <c r="B467" s="67" t="s">
        <v>17</v>
      </c>
      <c r="C467" s="68">
        <v>0.25</v>
      </c>
      <c r="D467" s="68">
        <v>0.75</v>
      </c>
      <c r="E467" s="68">
        <v>10.0</v>
      </c>
      <c r="F467" s="68">
        <v>0.0</v>
      </c>
      <c r="G467" s="68">
        <v>4.25826598834738</v>
      </c>
      <c r="H467" s="68">
        <v>186.71038261823</v>
      </c>
      <c r="I467" s="69">
        <v>44354.810532407406</v>
      </c>
      <c r="J467" s="69">
        <v>44354.83002314815</v>
      </c>
      <c r="K467">
        <f>AVERAGE(H467:H471)</f>
        <v>91.59981923</v>
      </c>
      <c r="L467">
        <f>STDEV(H467:H471)</f>
        <v>85.73321586</v>
      </c>
      <c r="M467" s="70">
        <v>186.71038261823</v>
      </c>
      <c r="N467" s="70">
        <v>186.71038261823</v>
      </c>
      <c r="O467" s="70">
        <v>4.25826598834738</v>
      </c>
      <c r="P467" s="70">
        <v>4.25826598834738</v>
      </c>
    </row>
    <row r="468" hidden="1">
      <c r="A468" s="67" t="s">
        <v>1228</v>
      </c>
      <c r="B468" s="67" t="s">
        <v>17</v>
      </c>
      <c r="C468" s="68">
        <v>0.25</v>
      </c>
      <c r="D468" s="68">
        <v>0.75</v>
      </c>
      <c r="E468" s="68">
        <v>10.0</v>
      </c>
      <c r="F468" s="68">
        <v>1.0</v>
      </c>
      <c r="G468" s="68">
        <v>3.17286220804346</v>
      </c>
      <c r="H468" s="68">
        <v>138.115807726267</v>
      </c>
      <c r="I468" s="69">
        <v>44354.830717592595</v>
      </c>
      <c r="J468" s="69">
        <v>44354.90216435185</v>
      </c>
      <c r="K468">
        <f>AVERAGE(H467:H471)</f>
        <v>91.59981923</v>
      </c>
      <c r="L468">
        <f>STDEV(H467:H471)</f>
        <v>85.73321586</v>
      </c>
      <c r="M468" s="70">
        <v>138.115807726267</v>
      </c>
      <c r="N468" s="70">
        <v>138.115807726267</v>
      </c>
      <c r="O468" s="70">
        <v>3.17286220804346</v>
      </c>
      <c r="P468" s="70">
        <v>3.17286220804346</v>
      </c>
    </row>
    <row r="469" hidden="1">
      <c r="A469" s="67" t="s">
        <v>1229</v>
      </c>
      <c r="B469" s="67" t="s">
        <v>17</v>
      </c>
      <c r="C469" s="68">
        <v>0.25</v>
      </c>
      <c r="D469" s="68">
        <v>0.75</v>
      </c>
      <c r="E469" s="68">
        <v>10.0</v>
      </c>
      <c r="F469" s="68">
        <v>2.0</v>
      </c>
      <c r="G469" s="68">
        <v>2.49328034962596</v>
      </c>
      <c r="H469" s="68">
        <v>131.969316164947</v>
      </c>
      <c r="I469" s="69">
        <v>44354.9028587963</v>
      </c>
      <c r="J469" s="69">
        <v>44354.90321759259</v>
      </c>
      <c r="K469">
        <f>AVERAGE(H467:H471)</f>
        <v>91.59981923</v>
      </c>
      <c r="L469">
        <f>STDEV(H467:H471)</f>
        <v>85.73321586</v>
      </c>
      <c r="M469" s="70">
        <v>131.969316164947</v>
      </c>
      <c r="N469" s="70">
        <v>131.969316164947</v>
      </c>
      <c r="O469" s="70">
        <v>2.49328034962596</v>
      </c>
      <c r="P469" s="70">
        <v>2.49328034962596</v>
      </c>
    </row>
    <row r="470" hidden="1">
      <c r="A470" s="67" t="s">
        <v>1230</v>
      </c>
      <c r="B470" s="67" t="s">
        <v>17</v>
      </c>
      <c r="C470" s="68">
        <v>0.25</v>
      </c>
      <c r="D470" s="68">
        <v>0.75</v>
      </c>
      <c r="E470" s="68">
        <v>10.0</v>
      </c>
      <c r="F470" s="68">
        <v>3.0</v>
      </c>
      <c r="G470" s="68">
        <v>0.524705654849702</v>
      </c>
      <c r="H470" s="68">
        <v>0.644090311294903</v>
      </c>
      <c r="I470" s="69">
        <v>44354.903912037036</v>
      </c>
      <c r="J470" s="69">
        <v>44354.90416666667</v>
      </c>
      <c r="K470">
        <f>AVERAGE(H467:H471)</f>
        <v>91.59981923</v>
      </c>
      <c r="L470">
        <f>STDEV(H467:H471)</f>
        <v>85.73321586</v>
      </c>
      <c r="M470" s="70">
        <v>0.644090311294903</v>
      </c>
      <c r="N470" s="70">
        <v>0.644090311294903</v>
      </c>
      <c r="O470" s="70">
        <v>0.524705654849702</v>
      </c>
      <c r="P470" s="70">
        <v>0.524705654849702</v>
      </c>
    </row>
    <row r="471" hidden="1">
      <c r="A471" s="67" t="s">
        <v>1231</v>
      </c>
      <c r="B471" s="67" t="s">
        <v>17</v>
      </c>
      <c r="C471" s="68">
        <v>0.25</v>
      </c>
      <c r="D471" s="68">
        <v>0.75</v>
      </c>
      <c r="E471" s="68">
        <v>10.0</v>
      </c>
      <c r="F471" s="68">
        <v>4.0</v>
      </c>
      <c r="G471" s="68">
        <v>0.467255932263021</v>
      </c>
      <c r="H471" s="68">
        <v>0.559499313902455</v>
      </c>
      <c r="I471" s="69">
        <v>44354.904861111114</v>
      </c>
      <c r="J471" s="69">
        <v>44354.90513888889</v>
      </c>
      <c r="K471">
        <f>AVERAGE(H467:H471)</f>
        <v>91.59981923</v>
      </c>
      <c r="L471">
        <f>STDEV(H467:H471)</f>
        <v>85.73321586</v>
      </c>
      <c r="M471" s="70">
        <v>0.559499313902455</v>
      </c>
      <c r="N471" s="70">
        <v>0.559499313902455</v>
      </c>
      <c r="O471" s="70">
        <v>0.467255932263021</v>
      </c>
      <c r="P471" s="70">
        <v>0.467255932263021</v>
      </c>
    </row>
    <row r="472" hidden="1">
      <c r="A472" s="67" t="s">
        <v>1232</v>
      </c>
      <c r="B472" s="67" t="s">
        <v>17</v>
      </c>
      <c r="C472" s="68">
        <v>0.25</v>
      </c>
      <c r="D472" s="68">
        <v>1.0</v>
      </c>
      <c r="E472" s="68">
        <v>10.0</v>
      </c>
      <c r="F472" s="68">
        <v>0.0</v>
      </c>
      <c r="G472" s="68">
        <v>4.49484823610542</v>
      </c>
      <c r="H472" s="68">
        <v>186.811927670747</v>
      </c>
      <c r="I472" s="69">
        <v>44354.90583333333</v>
      </c>
      <c r="J472" s="69">
        <v>44354.94553240741</v>
      </c>
      <c r="K472">
        <f>AVERAGE(H472:H476)</f>
        <v>77.15871759</v>
      </c>
      <c r="L472">
        <f>STDEV(H472:H476)</f>
        <v>81.28717838</v>
      </c>
      <c r="M472" s="70">
        <v>186.811927670747</v>
      </c>
      <c r="N472" s="70">
        <v>186.811927670747</v>
      </c>
      <c r="O472" s="70">
        <v>4.49484823610542</v>
      </c>
      <c r="P472" s="70">
        <v>4.49484823610542</v>
      </c>
    </row>
    <row r="473" hidden="1">
      <c r="A473" s="67" t="s">
        <v>1233</v>
      </c>
      <c r="B473" s="67" t="s">
        <v>17</v>
      </c>
      <c r="C473" s="68">
        <v>0.25</v>
      </c>
      <c r="D473" s="68">
        <v>1.0</v>
      </c>
      <c r="E473" s="68">
        <v>10.0</v>
      </c>
      <c r="F473" s="68">
        <v>1.0</v>
      </c>
      <c r="G473" s="68">
        <v>0.504485153283034</v>
      </c>
      <c r="H473" s="68">
        <v>0.608617691501396</v>
      </c>
      <c r="I473" s="69">
        <v>44354.946226851855</v>
      </c>
      <c r="J473" s="69">
        <v>44354.947071759256</v>
      </c>
      <c r="K473">
        <f>AVERAGE(H472:H476)</f>
        <v>77.15871759</v>
      </c>
      <c r="L473">
        <f>STDEV(H472:H476)</f>
        <v>81.28717838</v>
      </c>
      <c r="M473" s="70">
        <v>0.608617691501396</v>
      </c>
      <c r="N473" s="70">
        <v>0.608617691501396</v>
      </c>
      <c r="O473" s="70">
        <v>0.504485153283034</v>
      </c>
      <c r="P473" s="70">
        <v>0.504485153283034</v>
      </c>
    </row>
    <row r="474" hidden="1">
      <c r="A474" s="67" t="s">
        <v>1234</v>
      </c>
      <c r="B474" s="67" t="s">
        <v>17</v>
      </c>
      <c r="C474" s="68">
        <v>0.25</v>
      </c>
      <c r="D474" s="68">
        <v>1.0</v>
      </c>
      <c r="E474" s="68">
        <v>10.0</v>
      </c>
      <c r="F474" s="68">
        <v>2.0</v>
      </c>
      <c r="G474" s="68">
        <v>2.80211948269696</v>
      </c>
      <c r="H474" s="68">
        <v>128.345663765513</v>
      </c>
      <c r="I474" s="69">
        <v>44354.9477662037</v>
      </c>
      <c r="J474" s="69">
        <v>44354.96241898148</v>
      </c>
      <c r="K474">
        <f>AVERAGE(H472:H476)</f>
        <v>77.15871759</v>
      </c>
      <c r="L474">
        <f>STDEV(H472:H476)</f>
        <v>81.28717838</v>
      </c>
      <c r="M474" s="70">
        <v>128.345663765513</v>
      </c>
      <c r="N474" s="70">
        <v>128.345663765513</v>
      </c>
      <c r="O474" s="70">
        <v>2.80211948269696</v>
      </c>
      <c r="P474" s="70">
        <v>2.80211948269696</v>
      </c>
    </row>
    <row r="475" hidden="1">
      <c r="A475" s="67" t="s">
        <v>1235</v>
      </c>
      <c r="B475" s="67" t="s">
        <v>17</v>
      </c>
      <c r="C475" s="68">
        <v>0.25</v>
      </c>
      <c r="D475" s="68">
        <v>1.0</v>
      </c>
      <c r="E475" s="68">
        <v>10.0</v>
      </c>
      <c r="F475" s="68">
        <v>3.0</v>
      </c>
      <c r="G475" s="68">
        <v>1.35166836110729</v>
      </c>
      <c r="H475" s="68">
        <v>69.4677670857071</v>
      </c>
      <c r="I475" s="69">
        <v>44354.963113425925</v>
      </c>
      <c r="J475" s="69">
        <v>44354.96538194444</v>
      </c>
      <c r="K475">
        <f>AVERAGE(H472:H476)</f>
        <v>77.15871759</v>
      </c>
      <c r="L475">
        <f>STDEV(H472:H476)</f>
        <v>81.28717838</v>
      </c>
      <c r="M475" s="70">
        <v>69.4677670857071</v>
      </c>
      <c r="N475" s="70">
        <v>69.4677670857071</v>
      </c>
      <c r="O475" s="70">
        <v>1.35166836110729</v>
      </c>
      <c r="P475" s="70">
        <v>1.35166836110729</v>
      </c>
    </row>
    <row r="476" hidden="1">
      <c r="A476" s="67" t="s">
        <v>1236</v>
      </c>
      <c r="B476" s="67" t="s">
        <v>17</v>
      </c>
      <c r="C476" s="68">
        <v>0.25</v>
      </c>
      <c r="D476" s="68">
        <v>1.0</v>
      </c>
      <c r="E476" s="68">
        <v>10.0</v>
      </c>
      <c r="F476" s="68">
        <v>4.0</v>
      </c>
      <c r="G476" s="68">
        <v>0.467489314643222</v>
      </c>
      <c r="H476" s="68">
        <v>0.559611722484267</v>
      </c>
      <c r="I476" s="69">
        <v>44354.96607638889</v>
      </c>
      <c r="J476" s="69">
        <v>44354.966365740744</v>
      </c>
      <c r="K476">
        <f>AVERAGE(H472:H476)</f>
        <v>77.15871759</v>
      </c>
      <c r="L476">
        <f>STDEV(H472:H476)</f>
        <v>81.28717838</v>
      </c>
      <c r="M476" s="70">
        <v>0.559611722484267</v>
      </c>
      <c r="N476" s="70">
        <v>0.559611722484267</v>
      </c>
      <c r="O476" s="70">
        <v>0.467489314643222</v>
      </c>
      <c r="P476" s="70">
        <v>0.467489314643222</v>
      </c>
    </row>
    <row r="477" hidden="1">
      <c r="A477" s="67" t="s">
        <v>1237</v>
      </c>
      <c r="B477" s="67" t="s">
        <v>17</v>
      </c>
      <c r="C477" s="68">
        <v>0.5</v>
      </c>
      <c r="D477" s="68">
        <v>0.1</v>
      </c>
      <c r="E477" s="68">
        <v>10.0</v>
      </c>
      <c r="F477" s="68">
        <v>0.0</v>
      </c>
      <c r="G477" s="68">
        <v>3.84740282770275</v>
      </c>
      <c r="H477" s="68">
        <v>171.635234339836</v>
      </c>
      <c r="I477" s="69">
        <v>44354.96706018518</v>
      </c>
      <c r="J477" s="69">
        <v>44355.104317129626</v>
      </c>
      <c r="K477">
        <f>AVERAGE(H477:H481)</f>
        <v>78.68426645</v>
      </c>
      <c r="L477">
        <f>STDEV(H477:H481)</f>
        <v>101.5944071</v>
      </c>
      <c r="M477" s="70">
        <v>171.635234339836</v>
      </c>
      <c r="N477" s="70">
        <v>171.635234339836</v>
      </c>
      <c r="O477" s="70">
        <v>3.84740282770275</v>
      </c>
      <c r="P477" s="70">
        <v>3.84740282770275</v>
      </c>
    </row>
    <row r="478" hidden="1">
      <c r="A478" s="67" t="s">
        <v>1238</v>
      </c>
      <c r="B478" s="67" t="s">
        <v>17</v>
      </c>
      <c r="C478" s="68">
        <v>0.5</v>
      </c>
      <c r="D478" s="68">
        <v>0.1</v>
      </c>
      <c r="E478" s="68">
        <v>10.0</v>
      </c>
      <c r="F478" s="68">
        <v>1.0</v>
      </c>
      <c r="G478" s="68">
        <v>0.538985417324699</v>
      </c>
      <c r="H478" s="68">
        <v>0.657827381504745</v>
      </c>
      <c r="I478" s="69">
        <v>44355.10501157407</v>
      </c>
      <c r="J478" s="69">
        <v>44355.1062962963</v>
      </c>
      <c r="K478">
        <f>AVERAGE(H477:H481)</f>
        <v>78.68426645</v>
      </c>
      <c r="L478">
        <f>STDEV(H477:H481)</f>
        <v>101.5944071</v>
      </c>
      <c r="M478" s="70">
        <v>0.657827381504745</v>
      </c>
      <c r="N478" s="70">
        <v>0.657827381504745</v>
      </c>
      <c r="O478" s="70">
        <v>0.538985417324699</v>
      </c>
      <c r="P478" s="70">
        <v>0.538985417324699</v>
      </c>
    </row>
    <row r="479" hidden="1">
      <c r="A479" s="67" t="s">
        <v>1239</v>
      </c>
      <c r="B479" s="67" t="s">
        <v>17</v>
      </c>
      <c r="C479" s="68">
        <v>0.5</v>
      </c>
      <c r="D479" s="68">
        <v>0.1</v>
      </c>
      <c r="E479" s="68">
        <v>10.0</v>
      </c>
      <c r="F479" s="68">
        <v>2.0</v>
      </c>
      <c r="G479" s="68">
        <v>7.17535466366705</v>
      </c>
      <c r="H479" s="68">
        <v>206.349663817906</v>
      </c>
      <c r="I479" s="69">
        <v>44355.106990740744</v>
      </c>
      <c r="J479" s="69">
        <v>44355.10707175926</v>
      </c>
      <c r="K479">
        <f>AVERAGE(H477:H481)</f>
        <v>78.68426645</v>
      </c>
      <c r="L479">
        <f>STDEV(H477:H481)</f>
        <v>101.5944071</v>
      </c>
      <c r="M479" s="70">
        <v>206.349663817906</v>
      </c>
      <c r="N479" s="70">
        <v>206.349663817906</v>
      </c>
      <c r="O479" s="70">
        <v>7.17535466366705</v>
      </c>
      <c r="P479" s="70">
        <v>7.17535466366705</v>
      </c>
    </row>
    <row r="480" hidden="1">
      <c r="A480" s="67" t="s">
        <v>1240</v>
      </c>
      <c r="B480" s="67" t="s">
        <v>17</v>
      </c>
      <c r="C480" s="68">
        <v>0.5</v>
      </c>
      <c r="D480" s="68">
        <v>0.1</v>
      </c>
      <c r="E480" s="68">
        <v>10.0</v>
      </c>
      <c r="F480" s="68">
        <v>3.0</v>
      </c>
      <c r="G480" s="68">
        <v>0.467489314643222</v>
      </c>
      <c r="H480" s="68">
        <v>0.559611722484267</v>
      </c>
      <c r="I480" s="69">
        <v>44355.107766203706</v>
      </c>
      <c r="J480" s="69">
        <v>44355.10810185185</v>
      </c>
      <c r="K480">
        <f>AVERAGE(H477:H481)</f>
        <v>78.68426645</v>
      </c>
      <c r="L480">
        <f>STDEV(H477:H481)</f>
        <v>101.5944071</v>
      </c>
      <c r="M480" s="70">
        <v>0.559611722484267</v>
      </c>
      <c r="N480" s="70">
        <v>0.559611722484267</v>
      </c>
      <c r="O480" s="70">
        <v>0.467489314643222</v>
      </c>
      <c r="P480" s="70">
        <v>0.467489314643222</v>
      </c>
    </row>
    <row r="481" hidden="1">
      <c r="A481" s="67" t="s">
        <v>1241</v>
      </c>
      <c r="B481" s="67" t="s">
        <v>17</v>
      </c>
      <c r="C481" s="68">
        <v>0.5</v>
      </c>
      <c r="D481" s="68">
        <v>0.1</v>
      </c>
      <c r="E481" s="68">
        <v>10.0</v>
      </c>
      <c r="F481" s="68">
        <v>4.0</v>
      </c>
      <c r="G481" s="68">
        <v>0.986112075366586</v>
      </c>
      <c r="H481" s="68">
        <v>14.2189950103105</v>
      </c>
      <c r="I481" s="69">
        <v>44355.1087962963</v>
      </c>
      <c r="J481" s="69">
        <v>44355.10899305555</v>
      </c>
      <c r="K481">
        <f>AVERAGE(H477:H481)</f>
        <v>78.68426645</v>
      </c>
      <c r="L481">
        <f>STDEV(H477:H481)</f>
        <v>101.5944071</v>
      </c>
      <c r="M481" s="70">
        <v>14.2189950103105</v>
      </c>
      <c r="N481" s="70">
        <v>14.2189950103105</v>
      </c>
      <c r="O481" s="70">
        <v>0.986112075366586</v>
      </c>
      <c r="P481" s="70">
        <v>0.986112075366586</v>
      </c>
    </row>
    <row r="482" hidden="1">
      <c r="A482" s="67" t="s">
        <v>1242</v>
      </c>
      <c r="B482" s="67" t="s">
        <v>17</v>
      </c>
      <c r="C482" s="68">
        <v>0.5</v>
      </c>
      <c r="D482" s="68">
        <v>0.25</v>
      </c>
      <c r="E482" s="68">
        <v>10.0</v>
      </c>
      <c r="F482" s="68">
        <v>0.0</v>
      </c>
      <c r="G482" s="68">
        <v>1.68280638006119</v>
      </c>
      <c r="H482" s="68">
        <v>28.2486302806797</v>
      </c>
      <c r="I482" s="69">
        <v>44355.1096875</v>
      </c>
      <c r="J482" s="69">
        <v>44355.11069444445</v>
      </c>
      <c r="K482">
        <f>AVERAGE(H482:H486)</f>
        <v>112.8562163</v>
      </c>
      <c r="L482">
        <f>STDEV(H482:H486)</f>
        <v>118.91492</v>
      </c>
      <c r="M482" s="70">
        <v>28.2486302806797</v>
      </c>
      <c r="N482" s="70">
        <v>28.2486302806797</v>
      </c>
      <c r="O482" s="70">
        <v>1.68280638006119</v>
      </c>
      <c r="P482" s="70">
        <v>1.68280638006119</v>
      </c>
    </row>
    <row r="483" hidden="1">
      <c r="A483" s="67" t="s">
        <v>1243</v>
      </c>
      <c r="B483" s="67" t="s">
        <v>17</v>
      </c>
      <c r="C483" s="68">
        <v>0.5</v>
      </c>
      <c r="D483" s="68">
        <v>0.25</v>
      </c>
      <c r="E483" s="68">
        <v>10.0</v>
      </c>
      <c r="F483" s="68">
        <v>1.0</v>
      </c>
      <c r="G483" s="68">
        <v>1.4469599582603</v>
      </c>
      <c r="H483" s="68">
        <v>72.5534871589747</v>
      </c>
      <c r="I483" s="69">
        <v>44355.11138888889</v>
      </c>
      <c r="J483" s="69">
        <v>44355.11363425926</v>
      </c>
      <c r="K483">
        <f>AVERAGE(H482:H486)</f>
        <v>112.8562163</v>
      </c>
      <c r="L483">
        <f>STDEV(H482:H486)</f>
        <v>118.91492</v>
      </c>
      <c r="M483" s="70">
        <v>72.5534871589747</v>
      </c>
      <c r="N483" s="70">
        <v>72.5534871589747</v>
      </c>
      <c r="O483" s="70">
        <v>1.4469599582603</v>
      </c>
      <c r="P483" s="70">
        <v>1.4469599582603</v>
      </c>
    </row>
    <row r="484" hidden="1">
      <c r="A484" s="67" t="s">
        <v>1244</v>
      </c>
      <c r="B484" s="67" t="s">
        <v>17</v>
      </c>
      <c r="C484" s="68">
        <v>0.5</v>
      </c>
      <c r="D484" s="68">
        <v>0.25</v>
      </c>
      <c r="E484" s="68">
        <v>10.0</v>
      </c>
      <c r="F484" s="68">
        <v>2.0</v>
      </c>
      <c r="G484" s="68">
        <v>0.534521270569295</v>
      </c>
      <c r="H484" s="68">
        <v>0.652616502489626</v>
      </c>
      <c r="I484" s="69">
        <v>44355.114328703705</v>
      </c>
      <c r="J484" s="69">
        <v>44355.11568287037</v>
      </c>
      <c r="K484">
        <f>AVERAGE(H482:H486)</f>
        <v>112.8562163</v>
      </c>
      <c r="L484">
        <f>STDEV(H482:H486)</f>
        <v>118.91492</v>
      </c>
      <c r="M484" s="70">
        <v>0.652616502489626</v>
      </c>
      <c r="N484" s="70">
        <v>0.652616502489626</v>
      </c>
      <c r="O484" s="70">
        <v>0.534521270569295</v>
      </c>
      <c r="P484" s="70">
        <v>0.534521270569295</v>
      </c>
    </row>
    <row r="485" hidden="1">
      <c r="A485" s="67" t="s">
        <v>1245</v>
      </c>
      <c r="B485" s="67" t="s">
        <v>17</v>
      </c>
      <c r="C485" s="68">
        <v>0.5</v>
      </c>
      <c r="D485" s="68">
        <v>0.25</v>
      </c>
      <c r="E485" s="68">
        <v>10.0</v>
      </c>
      <c r="F485" s="68">
        <v>3.0</v>
      </c>
      <c r="G485" s="68">
        <v>3.83001612801733</v>
      </c>
      <c r="H485" s="68">
        <v>171.918942570652</v>
      </c>
      <c r="I485" s="69">
        <v>44355.116377314815</v>
      </c>
      <c r="J485" s="69">
        <v>44355.20777777778</v>
      </c>
      <c r="K485">
        <f>AVERAGE(H482:H486)</f>
        <v>112.8562163</v>
      </c>
      <c r="L485">
        <f>STDEV(H482:H486)</f>
        <v>118.91492</v>
      </c>
      <c r="M485" s="70">
        <v>171.918942570652</v>
      </c>
      <c r="N485" s="70">
        <v>171.918942570652</v>
      </c>
      <c r="O485" s="70">
        <v>3.83001612801733</v>
      </c>
      <c r="P485" s="70">
        <v>3.83001612801733</v>
      </c>
    </row>
    <row r="486" hidden="1">
      <c r="A486" s="67" t="s">
        <v>1246</v>
      </c>
      <c r="B486" s="67" t="s">
        <v>17</v>
      </c>
      <c r="C486" s="68">
        <v>0.5</v>
      </c>
      <c r="D486" s="68">
        <v>0.25</v>
      </c>
      <c r="E486" s="68">
        <v>10.0</v>
      </c>
      <c r="F486" s="68">
        <v>4.0</v>
      </c>
      <c r="G486" s="68">
        <v>9.16615260871227</v>
      </c>
      <c r="H486" s="68">
        <v>290.90740487938</v>
      </c>
      <c r="I486" s="69">
        <v>44355.20847222222</v>
      </c>
      <c r="J486" s="69">
        <v>44355.20884259259</v>
      </c>
      <c r="K486">
        <f>AVERAGE(H482:H486)</f>
        <v>112.8562163</v>
      </c>
      <c r="L486">
        <f>STDEV(H482:H486)</f>
        <v>118.91492</v>
      </c>
      <c r="M486" s="70">
        <v>290.90740487938</v>
      </c>
      <c r="N486" s="70">
        <v>290.90740487938</v>
      </c>
      <c r="O486" s="70">
        <v>9.16615260871227</v>
      </c>
      <c r="P486" s="70">
        <v>9.16615260871227</v>
      </c>
    </row>
    <row r="487" hidden="1">
      <c r="A487" s="67" t="s">
        <v>1247</v>
      </c>
      <c r="B487" s="67" t="s">
        <v>17</v>
      </c>
      <c r="C487" s="68">
        <v>0.5</v>
      </c>
      <c r="D487" s="68">
        <v>0.5</v>
      </c>
      <c r="E487" s="68">
        <v>10.0</v>
      </c>
      <c r="F487" s="68">
        <v>0.0</v>
      </c>
      <c r="G487" s="68">
        <v>4.64466852448533</v>
      </c>
      <c r="H487" s="68">
        <v>184.547420386526</v>
      </c>
      <c r="I487" s="69">
        <v>44355.20953703704</v>
      </c>
      <c r="J487" s="69">
        <v>44355.21556712963</v>
      </c>
      <c r="K487">
        <f>AVERAGE(H487:H491)</f>
        <v>141.4697856</v>
      </c>
      <c r="L487">
        <f>STDEV(H487:H491)</f>
        <v>111.4559625</v>
      </c>
      <c r="M487" s="70">
        <v>184.547420386526</v>
      </c>
      <c r="N487" s="70">
        <v>184.547420386526</v>
      </c>
      <c r="O487" s="70">
        <v>4.64466852448533</v>
      </c>
      <c r="P487" s="70">
        <v>4.64466852448533</v>
      </c>
    </row>
    <row r="488" hidden="1">
      <c r="A488" s="67" t="s">
        <v>1248</v>
      </c>
      <c r="B488" s="67" t="s">
        <v>17</v>
      </c>
      <c r="C488" s="68">
        <v>0.5</v>
      </c>
      <c r="D488" s="68">
        <v>0.5</v>
      </c>
      <c r="E488" s="68">
        <v>10.0</v>
      </c>
      <c r="F488" s="68">
        <v>1.0</v>
      </c>
      <c r="G488" s="68">
        <v>1.08269881214681</v>
      </c>
      <c r="H488" s="68">
        <v>1.45225338817616</v>
      </c>
      <c r="I488" s="69">
        <v>44355.216261574074</v>
      </c>
      <c r="J488" s="69">
        <v>44355.216458333336</v>
      </c>
      <c r="K488">
        <f>AVERAGE(H487:H491)</f>
        <v>141.4697856</v>
      </c>
      <c r="L488">
        <f>STDEV(H487:H491)</f>
        <v>111.4559625</v>
      </c>
      <c r="M488" s="70">
        <v>1.45225338817616</v>
      </c>
      <c r="N488" s="70">
        <v>1.45225338817616</v>
      </c>
      <c r="O488" s="70">
        <v>1.08269881214681</v>
      </c>
      <c r="P488" s="70">
        <v>1.08269881214681</v>
      </c>
    </row>
    <row r="489" hidden="1">
      <c r="A489" s="67" t="s">
        <v>1249</v>
      </c>
      <c r="B489" s="67" t="s">
        <v>17</v>
      </c>
      <c r="C489" s="68">
        <v>0.5</v>
      </c>
      <c r="D489" s="68">
        <v>0.5</v>
      </c>
      <c r="E489" s="68">
        <v>10.0</v>
      </c>
      <c r="F489" s="68">
        <v>2.0</v>
      </c>
      <c r="G489" s="68">
        <v>2.99258327117184</v>
      </c>
      <c r="H489" s="68">
        <v>155.726526128615</v>
      </c>
      <c r="I489" s="69">
        <v>44355.217152777775</v>
      </c>
      <c r="J489" s="69">
        <v>44355.2962962963</v>
      </c>
      <c r="K489">
        <f>AVERAGE(H487:H491)</f>
        <v>141.4697856</v>
      </c>
      <c r="L489">
        <f>STDEV(H487:H491)</f>
        <v>111.4559625</v>
      </c>
      <c r="M489" s="70">
        <v>155.726526128615</v>
      </c>
      <c r="N489" s="70">
        <v>155.726526128615</v>
      </c>
      <c r="O489" s="70">
        <v>2.99258327117184</v>
      </c>
      <c r="P489" s="70">
        <v>2.99258327117184</v>
      </c>
    </row>
    <row r="490" hidden="1">
      <c r="A490" s="67" t="s">
        <v>1250</v>
      </c>
      <c r="B490" s="67" t="s">
        <v>17</v>
      </c>
      <c r="C490" s="68">
        <v>0.5</v>
      </c>
      <c r="D490" s="68">
        <v>0.5</v>
      </c>
      <c r="E490" s="68">
        <v>10.0</v>
      </c>
      <c r="F490" s="68">
        <v>3.0</v>
      </c>
      <c r="G490" s="68">
        <v>1.5611052787877</v>
      </c>
      <c r="H490" s="68">
        <v>71.8888066434186</v>
      </c>
      <c r="I490" s="69">
        <v>44355.29699074074</v>
      </c>
      <c r="J490" s="69">
        <v>44355.302615740744</v>
      </c>
      <c r="K490">
        <f>AVERAGE(H487:H491)</f>
        <v>141.4697856</v>
      </c>
      <c r="L490">
        <f>STDEV(H487:H491)</f>
        <v>111.4559625</v>
      </c>
      <c r="M490" s="70">
        <v>71.8888066434186</v>
      </c>
      <c r="N490" s="70">
        <v>71.8888066434186</v>
      </c>
      <c r="O490" s="70">
        <v>1.5611052787877</v>
      </c>
      <c r="P490" s="70">
        <v>1.5611052787877</v>
      </c>
    </row>
    <row r="491" hidden="1">
      <c r="A491" s="67" t="s">
        <v>1251</v>
      </c>
      <c r="B491" s="67" t="s">
        <v>17</v>
      </c>
      <c r="C491" s="68">
        <v>0.5</v>
      </c>
      <c r="D491" s="68">
        <v>0.5</v>
      </c>
      <c r="E491" s="68">
        <v>10.0</v>
      </c>
      <c r="F491" s="68">
        <v>4.0</v>
      </c>
      <c r="G491" s="68">
        <v>9.37762773366589</v>
      </c>
      <c r="H491" s="68">
        <v>293.733921501643</v>
      </c>
      <c r="I491" s="69">
        <v>44355.30331018518</v>
      </c>
      <c r="J491" s="69">
        <v>44355.30369212963</v>
      </c>
      <c r="K491">
        <f>AVERAGE(H487:H491)</f>
        <v>141.4697856</v>
      </c>
      <c r="L491">
        <f>STDEV(H487:H491)</f>
        <v>111.4559625</v>
      </c>
      <c r="M491" s="70">
        <v>293.733921501643</v>
      </c>
      <c r="N491" s="70">
        <v>293.733921501643</v>
      </c>
      <c r="O491" s="70">
        <v>9.37762773366589</v>
      </c>
      <c r="P491" s="70">
        <v>9.37762773366589</v>
      </c>
    </row>
    <row r="492" hidden="1">
      <c r="A492" s="67" t="s">
        <v>1252</v>
      </c>
      <c r="B492" s="67" t="s">
        <v>17</v>
      </c>
      <c r="C492" s="68">
        <v>0.5</v>
      </c>
      <c r="D492" s="68">
        <v>0.75</v>
      </c>
      <c r="E492" s="68">
        <v>10.0</v>
      </c>
      <c r="F492" s="68">
        <v>0.0</v>
      </c>
      <c r="G492" s="68">
        <v>1.03805262900056</v>
      </c>
      <c r="H492" s="68">
        <v>9.95985896835867</v>
      </c>
      <c r="I492" s="69">
        <v>44355.30438657408</v>
      </c>
      <c r="J492" s="69">
        <v>44355.30504629629</v>
      </c>
      <c r="K492">
        <f>AVERAGE(H492:H496)</f>
        <v>76.99940134</v>
      </c>
      <c r="L492">
        <f>STDEV(H492:H496)</f>
        <v>99.92071752</v>
      </c>
      <c r="M492" s="70">
        <v>9.95985896835867</v>
      </c>
      <c r="N492" s="70">
        <v>9.95985896835867</v>
      </c>
      <c r="O492" s="70">
        <v>1.03805262900056</v>
      </c>
      <c r="P492" s="70">
        <v>1.03805262900056</v>
      </c>
    </row>
    <row r="493" hidden="1">
      <c r="A493" s="67" t="s">
        <v>1253</v>
      </c>
      <c r="B493" s="67" t="s">
        <v>17</v>
      </c>
      <c r="C493" s="68">
        <v>0.5</v>
      </c>
      <c r="D493" s="68">
        <v>0.75</v>
      </c>
      <c r="E493" s="68">
        <v>10.0</v>
      </c>
      <c r="F493" s="68">
        <v>1.0</v>
      </c>
      <c r="G493" s="68">
        <v>3.41519399265854</v>
      </c>
      <c r="H493" s="68">
        <v>157.294573228089</v>
      </c>
      <c r="I493" s="69">
        <v>44355.30574074074</v>
      </c>
      <c r="J493" s="69">
        <v>44355.51189814815</v>
      </c>
      <c r="K493">
        <f>AVERAGE(H492:H496)</f>
        <v>76.99940134</v>
      </c>
      <c r="L493">
        <f>STDEV(H492:H496)</f>
        <v>99.92071752</v>
      </c>
      <c r="M493" s="70">
        <v>157.294573228089</v>
      </c>
      <c r="N493" s="70">
        <v>157.294573228089</v>
      </c>
      <c r="O493" s="70">
        <v>3.41519399265854</v>
      </c>
      <c r="P493" s="70">
        <v>3.41519399265854</v>
      </c>
    </row>
    <row r="494" hidden="1">
      <c r="A494" s="67" t="s">
        <v>1254</v>
      </c>
      <c r="B494" s="67" t="s">
        <v>17</v>
      </c>
      <c r="C494" s="68">
        <v>0.5</v>
      </c>
      <c r="D494" s="68">
        <v>0.75</v>
      </c>
      <c r="E494" s="68">
        <v>10.0</v>
      </c>
      <c r="F494" s="68">
        <v>2.0</v>
      </c>
      <c r="G494" s="68">
        <v>0.72961317910372</v>
      </c>
      <c r="H494" s="68">
        <v>5.34359554344347</v>
      </c>
      <c r="I494" s="69">
        <v>44355.51259259259</v>
      </c>
      <c r="J494" s="69">
        <v>44355.512650462966</v>
      </c>
      <c r="K494">
        <f>AVERAGE(H492:H496)</f>
        <v>76.99940134</v>
      </c>
      <c r="L494">
        <f>STDEV(H492:H496)</f>
        <v>99.92071752</v>
      </c>
      <c r="M494" s="70">
        <v>5.34359554344347</v>
      </c>
      <c r="N494" s="70">
        <v>5.34359554344347</v>
      </c>
      <c r="O494" s="70">
        <v>0.72961317910372</v>
      </c>
      <c r="P494" s="70">
        <v>0.72961317910372</v>
      </c>
    </row>
    <row r="495" hidden="1">
      <c r="A495" s="67" t="s">
        <v>1255</v>
      </c>
      <c r="B495" s="67" t="s">
        <v>17</v>
      </c>
      <c r="C495" s="68">
        <v>0.5</v>
      </c>
      <c r="D495" s="68">
        <v>0.75</v>
      </c>
      <c r="E495" s="68">
        <v>10.0</v>
      </c>
      <c r="F495" s="68">
        <v>3.0</v>
      </c>
      <c r="G495" s="68">
        <v>0.712448233317858</v>
      </c>
      <c r="H495" s="68">
        <v>0.949455072272579</v>
      </c>
      <c r="I495" s="69">
        <v>44355.513344907406</v>
      </c>
      <c r="J495" s="69">
        <v>44355.513703703706</v>
      </c>
      <c r="K495">
        <f>AVERAGE(H492:H496)</f>
        <v>76.99940134</v>
      </c>
      <c r="L495">
        <f>STDEV(H492:H496)</f>
        <v>99.92071752</v>
      </c>
      <c r="M495" s="70">
        <v>0.949455072272579</v>
      </c>
      <c r="N495" s="70">
        <v>0.949455072272579</v>
      </c>
      <c r="O495" s="70">
        <v>0.712448233317858</v>
      </c>
      <c r="P495" s="70">
        <v>0.712448233317858</v>
      </c>
    </row>
    <row r="496" hidden="1">
      <c r="A496" s="67" t="s">
        <v>1256</v>
      </c>
      <c r="B496" s="67" t="s">
        <v>17</v>
      </c>
      <c r="C496" s="68">
        <v>0.5</v>
      </c>
      <c r="D496" s="68">
        <v>0.75</v>
      </c>
      <c r="E496" s="68">
        <v>10.0</v>
      </c>
      <c r="F496" s="68">
        <v>4.0</v>
      </c>
      <c r="G496" s="68">
        <v>5.23209394333619</v>
      </c>
      <c r="H496" s="68">
        <v>211.449523902088</v>
      </c>
      <c r="I496" s="69">
        <v>44355.514398148145</v>
      </c>
      <c r="J496" s="69">
        <v>44355.5156712963</v>
      </c>
      <c r="K496">
        <f>AVERAGE(H492:H496)</f>
        <v>76.99940134</v>
      </c>
      <c r="L496">
        <f>STDEV(H492:H496)</f>
        <v>99.92071752</v>
      </c>
      <c r="M496" s="70">
        <v>211.449523902088</v>
      </c>
      <c r="N496" s="70">
        <v>211.449523902088</v>
      </c>
      <c r="O496" s="70">
        <v>5.23209394333619</v>
      </c>
      <c r="P496" s="70">
        <v>5.23209394333619</v>
      </c>
    </row>
    <row r="497" hidden="1">
      <c r="A497" s="67" t="s">
        <v>1257</v>
      </c>
      <c r="B497" s="67" t="s">
        <v>17</v>
      </c>
      <c r="C497" s="68">
        <v>0.5</v>
      </c>
      <c r="D497" s="68">
        <v>1.0</v>
      </c>
      <c r="E497" s="68">
        <v>10.0</v>
      </c>
      <c r="F497" s="68">
        <v>0.0</v>
      </c>
      <c r="G497" s="68">
        <v>9.31332216995043</v>
      </c>
      <c r="H497" s="68">
        <v>288.880792813303</v>
      </c>
      <c r="I497" s="69">
        <v>44355.51636574074</v>
      </c>
      <c r="J497" s="69">
        <v>44355.51912037037</v>
      </c>
      <c r="K497">
        <f>AVERAGE(H497:H501)</f>
        <v>102.7437068</v>
      </c>
      <c r="L497">
        <f>STDEV(H497:H501)</f>
        <v>120.8471882</v>
      </c>
      <c r="M497" s="70">
        <v>288.880792813303</v>
      </c>
      <c r="N497" s="70">
        <v>288.880792813303</v>
      </c>
      <c r="O497" s="70">
        <v>9.31332216995043</v>
      </c>
      <c r="P497" s="70">
        <v>9.31332216995043</v>
      </c>
    </row>
    <row r="498" hidden="1">
      <c r="A498" s="67" t="s">
        <v>1258</v>
      </c>
      <c r="B498" s="67" t="s">
        <v>17</v>
      </c>
      <c r="C498" s="68">
        <v>0.5</v>
      </c>
      <c r="D498" s="68">
        <v>1.0</v>
      </c>
      <c r="E498" s="68">
        <v>10.0</v>
      </c>
      <c r="F498" s="68">
        <v>1.0</v>
      </c>
      <c r="G498" s="68">
        <v>0.712368747006467</v>
      </c>
      <c r="H498" s="68">
        <v>0.949250738237319</v>
      </c>
      <c r="I498" s="69">
        <v>44355.51981481481</v>
      </c>
      <c r="J498" s="69">
        <v>44355.52019675926</v>
      </c>
      <c r="K498">
        <f>AVERAGE(H497:H501)</f>
        <v>102.7437068</v>
      </c>
      <c r="L498">
        <f>STDEV(H497:H501)</f>
        <v>120.8471882</v>
      </c>
      <c r="M498" s="70">
        <v>0.949250738237319</v>
      </c>
      <c r="N498" s="70">
        <v>0.949250738237319</v>
      </c>
      <c r="O498" s="70">
        <v>0.712368747006467</v>
      </c>
      <c r="P498" s="70">
        <v>0.712368747006467</v>
      </c>
    </row>
    <row r="499" hidden="1">
      <c r="A499" s="67" t="s">
        <v>1259</v>
      </c>
      <c r="B499" s="67" t="s">
        <v>17</v>
      </c>
      <c r="C499" s="68">
        <v>0.5</v>
      </c>
      <c r="D499" s="68">
        <v>1.0</v>
      </c>
      <c r="E499" s="68">
        <v>10.0</v>
      </c>
      <c r="F499" s="68">
        <v>2.0</v>
      </c>
      <c r="G499" s="68">
        <v>3.54141785048227</v>
      </c>
      <c r="H499" s="68">
        <v>149.96857598678</v>
      </c>
      <c r="I499" s="69">
        <v>44355.520891203705</v>
      </c>
      <c r="J499" s="69">
        <v>44355.556493055556</v>
      </c>
      <c r="K499">
        <f>AVERAGE(H497:H501)</f>
        <v>102.7437068</v>
      </c>
      <c r="L499">
        <f>STDEV(H497:H501)</f>
        <v>120.8471882</v>
      </c>
      <c r="M499" s="70">
        <v>149.96857598678</v>
      </c>
      <c r="N499" s="70">
        <v>149.96857598678</v>
      </c>
      <c r="O499" s="70">
        <v>3.54141785048227</v>
      </c>
      <c r="P499" s="70">
        <v>3.54141785048227</v>
      </c>
    </row>
    <row r="500" hidden="1">
      <c r="A500" s="67" t="s">
        <v>1260</v>
      </c>
      <c r="B500" s="67" t="s">
        <v>17</v>
      </c>
      <c r="C500" s="68">
        <v>0.5</v>
      </c>
      <c r="D500" s="68">
        <v>1.0</v>
      </c>
      <c r="E500" s="68">
        <v>10.0</v>
      </c>
      <c r="F500" s="68">
        <v>3.0</v>
      </c>
      <c r="G500" s="68">
        <v>1.30517712218869</v>
      </c>
      <c r="H500" s="68">
        <v>72.4694903043935</v>
      </c>
      <c r="I500" s="69">
        <v>44355.5571875</v>
      </c>
      <c r="J500" s="69">
        <v>44355.579363425924</v>
      </c>
      <c r="K500">
        <f>AVERAGE(H497:H501)</f>
        <v>102.7437068</v>
      </c>
      <c r="L500">
        <f>STDEV(H497:H501)</f>
        <v>120.8471882</v>
      </c>
      <c r="M500" s="70">
        <v>72.4694903043935</v>
      </c>
      <c r="N500" s="70">
        <v>72.4694903043935</v>
      </c>
      <c r="O500" s="70">
        <v>1.30517712218869</v>
      </c>
      <c r="P500" s="70">
        <v>1.30517712218869</v>
      </c>
    </row>
    <row r="501" hidden="1">
      <c r="A501" s="67" t="s">
        <v>1261</v>
      </c>
      <c r="B501" s="67" t="s">
        <v>17</v>
      </c>
      <c r="C501" s="68">
        <v>0.5</v>
      </c>
      <c r="D501" s="68">
        <v>1.0</v>
      </c>
      <c r="E501" s="68">
        <v>10.0</v>
      </c>
      <c r="F501" s="68">
        <v>4.0</v>
      </c>
      <c r="G501" s="68">
        <v>1.07991001504809</v>
      </c>
      <c r="H501" s="68">
        <v>1.4504242499467</v>
      </c>
      <c r="I501" s="69">
        <v>44355.58005787037</v>
      </c>
      <c r="J501" s="69">
        <v>44355.580243055556</v>
      </c>
      <c r="K501">
        <f>AVERAGE(H497:H501)</f>
        <v>102.7437068</v>
      </c>
      <c r="L501">
        <f>STDEV(H497:H501)</f>
        <v>120.8471882</v>
      </c>
      <c r="M501" s="70">
        <v>1.4504242499467</v>
      </c>
      <c r="N501" s="70">
        <v>1.4504242499467</v>
      </c>
      <c r="O501" s="70">
        <v>1.07991001504809</v>
      </c>
      <c r="P501" s="70">
        <v>1.07991001504809</v>
      </c>
    </row>
    <row r="502" hidden="1">
      <c r="A502" s="67" t="s">
        <v>1262</v>
      </c>
      <c r="B502" s="67" t="s">
        <v>17</v>
      </c>
      <c r="C502" s="68">
        <v>0.75</v>
      </c>
      <c r="D502" s="68">
        <v>0.1</v>
      </c>
      <c r="E502" s="68">
        <v>10.0</v>
      </c>
      <c r="F502" s="68">
        <v>0.0</v>
      </c>
      <c r="G502" s="68">
        <v>3.05528871992544</v>
      </c>
      <c r="H502" s="68">
        <v>158.981857399707</v>
      </c>
      <c r="I502" s="69">
        <v>44355.5809375</v>
      </c>
      <c r="J502" s="69">
        <v>44355.5812037037</v>
      </c>
      <c r="K502">
        <f>AVERAGE(H502:H506)</f>
        <v>119.4449165</v>
      </c>
      <c r="L502">
        <f>STDEV(H502:H506)</f>
        <v>117.1272981</v>
      </c>
      <c r="M502" s="70">
        <v>158.981857399707</v>
      </c>
      <c r="N502" s="70">
        <v>158.981857399707</v>
      </c>
      <c r="O502" s="70">
        <v>3.05528871992544</v>
      </c>
      <c r="P502" s="70">
        <v>3.05528871992544</v>
      </c>
    </row>
    <row r="503" hidden="1">
      <c r="A503" s="67" t="s">
        <v>1263</v>
      </c>
      <c r="B503" s="67" t="s">
        <v>17</v>
      </c>
      <c r="C503" s="68">
        <v>0.75</v>
      </c>
      <c r="D503" s="68">
        <v>0.1</v>
      </c>
      <c r="E503" s="68">
        <v>10.0</v>
      </c>
      <c r="F503" s="68">
        <v>1.0</v>
      </c>
      <c r="G503" s="68">
        <v>2.95238027976266</v>
      </c>
      <c r="H503" s="68">
        <v>137.332153591286</v>
      </c>
      <c r="I503" s="69">
        <v>44355.58189814815</v>
      </c>
      <c r="J503" s="69">
        <v>44355.7797337963</v>
      </c>
      <c r="K503">
        <f>AVERAGE(H502:H506)</f>
        <v>119.4449165</v>
      </c>
      <c r="L503">
        <f>STDEV(H502:H506)</f>
        <v>117.1272981</v>
      </c>
      <c r="M503" s="70">
        <v>137.332153591286</v>
      </c>
      <c r="N503" s="70">
        <v>137.332153591286</v>
      </c>
      <c r="O503" s="70">
        <v>2.95238027976266</v>
      </c>
      <c r="P503" s="70">
        <v>2.95238027976266</v>
      </c>
    </row>
    <row r="504" hidden="1">
      <c r="A504" s="67" t="s">
        <v>1264</v>
      </c>
      <c r="B504" s="67" t="s">
        <v>17</v>
      </c>
      <c r="C504" s="68">
        <v>0.75</v>
      </c>
      <c r="D504" s="68">
        <v>0.1</v>
      </c>
      <c r="E504" s="68">
        <v>10.0</v>
      </c>
      <c r="F504" s="68">
        <v>2.0</v>
      </c>
      <c r="G504" s="68">
        <v>0.987108773646402</v>
      </c>
      <c r="H504" s="68">
        <v>14.2285985555932</v>
      </c>
      <c r="I504" s="69">
        <v>44355.78042824074</v>
      </c>
      <c r="J504" s="69">
        <v>44355.78065972222</v>
      </c>
      <c r="K504">
        <f>AVERAGE(H502:H506)</f>
        <v>119.4449165</v>
      </c>
      <c r="L504">
        <f>STDEV(H502:H506)</f>
        <v>117.1272981</v>
      </c>
      <c r="M504" s="70">
        <v>14.2285985555932</v>
      </c>
      <c r="N504" s="70">
        <v>14.2285985555932</v>
      </c>
      <c r="O504" s="70">
        <v>0.987108773646402</v>
      </c>
      <c r="P504" s="70">
        <v>0.987108773646402</v>
      </c>
    </row>
    <row r="505" hidden="1">
      <c r="A505" s="67" t="s">
        <v>1265</v>
      </c>
      <c r="B505" s="67" t="s">
        <v>17</v>
      </c>
      <c r="C505" s="68">
        <v>0.75</v>
      </c>
      <c r="D505" s="68">
        <v>0.1</v>
      </c>
      <c r="E505" s="68">
        <v>10.0</v>
      </c>
      <c r="F505" s="68">
        <v>3.0</v>
      </c>
      <c r="G505" s="68">
        <v>8.92913084243715</v>
      </c>
      <c r="H505" s="68">
        <v>286.133799741676</v>
      </c>
      <c r="I505" s="69">
        <v>44355.78135416667</v>
      </c>
      <c r="J505" s="69">
        <v>44355.783229166664</v>
      </c>
      <c r="K505">
        <f>AVERAGE(H502:H506)</f>
        <v>119.4449165</v>
      </c>
      <c r="L505">
        <f>STDEV(H502:H506)</f>
        <v>117.1272981</v>
      </c>
      <c r="M505" s="70">
        <v>286.133799741676</v>
      </c>
      <c r="N505" s="70">
        <v>286.133799741676</v>
      </c>
      <c r="O505" s="70">
        <v>8.92913084243715</v>
      </c>
      <c r="P505" s="70">
        <v>8.92913084243715</v>
      </c>
    </row>
    <row r="506" hidden="1">
      <c r="A506" s="67" t="s">
        <v>1266</v>
      </c>
      <c r="B506" s="67" t="s">
        <v>17</v>
      </c>
      <c r="C506" s="68">
        <v>0.75</v>
      </c>
      <c r="D506" s="68">
        <v>0.1</v>
      </c>
      <c r="E506" s="68">
        <v>10.0</v>
      </c>
      <c r="F506" s="68">
        <v>4.0</v>
      </c>
      <c r="G506" s="68">
        <v>0.45804006466034</v>
      </c>
      <c r="H506" s="68">
        <v>0.548173195268089</v>
      </c>
      <c r="I506" s="69">
        <v>44355.78392361111</v>
      </c>
      <c r="J506" s="69">
        <v>44355.78418981482</v>
      </c>
      <c r="K506">
        <f>AVERAGE(H502:H506)</f>
        <v>119.4449165</v>
      </c>
      <c r="L506">
        <f>STDEV(H502:H506)</f>
        <v>117.1272981</v>
      </c>
      <c r="M506" s="70">
        <v>0.548173195268089</v>
      </c>
      <c r="N506" s="70">
        <v>0.548173195268089</v>
      </c>
      <c r="O506" s="70">
        <v>0.45804006466034</v>
      </c>
      <c r="P506" s="70">
        <v>0.45804006466034</v>
      </c>
    </row>
    <row r="507" hidden="1">
      <c r="A507" s="67" t="s">
        <v>1267</v>
      </c>
      <c r="B507" s="67" t="s">
        <v>17</v>
      </c>
      <c r="C507" s="68">
        <v>0.75</v>
      </c>
      <c r="D507" s="68">
        <v>0.25</v>
      </c>
      <c r="E507" s="68">
        <v>10.0</v>
      </c>
      <c r="F507" s="68">
        <v>0.0</v>
      </c>
      <c r="G507" s="68">
        <v>0.598165738580412</v>
      </c>
      <c r="H507" s="68">
        <v>0.7572994111901</v>
      </c>
      <c r="I507" s="69">
        <v>44355.78488425926</v>
      </c>
      <c r="J507" s="69">
        <v>44355.78744212963</v>
      </c>
      <c r="K507">
        <f>AVERAGE(H507:H511)</f>
        <v>68.57028007</v>
      </c>
      <c r="L507">
        <f>STDEV(H507:H511)</f>
        <v>94.92560681</v>
      </c>
      <c r="M507" s="70">
        <v>0.7572994111901</v>
      </c>
      <c r="N507" s="70">
        <v>0.7572994111901</v>
      </c>
      <c r="O507" s="70">
        <v>0.598165738580412</v>
      </c>
      <c r="P507" s="70">
        <v>0.598165738580412</v>
      </c>
    </row>
    <row r="508" hidden="1">
      <c r="A508" s="67" t="s">
        <v>1268</v>
      </c>
      <c r="B508" s="67" t="s">
        <v>17</v>
      </c>
      <c r="C508" s="68">
        <v>0.75</v>
      </c>
      <c r="D508" s="68">
        <v>0.25</v>
      </c>
      <c r="E508" s="68">
        <v>10.0</v>
      </c>
      <c r="F508" s="68">
        <v>1.0</v>
      </c>
      <c r="G508" s="68">
        <v>4.71483283350876</v>
      </c>
      <c r="H508" s="68">
        <v>195.803542135487</v>
      </c>
      <c r="I508" s="69">
        <v>44355.788136574076</v>
      </c>
      <c r="J508" s="69">
        <v>44355.8074537037</v>
      </c>
      <c r="K508">
        <f>AVERAGE(H507:H511)</f>
        <v>68.57028007</v>
      </c>
      <c r="L508">
        <f>STDEV(H507:H511)</f>
        <v>94.92560681</v>
      </c>
      <c r="M508" s="70">
        <v>195.803542135487</v>
      </c>
      <c r="N508" s="70">
        <v>195.803542135487</v>
      </c>
      <c r="O508" s="70">
        <v>4.71483283350876</v>
      </c>
      <c r="P508" s="70">
        <v>4.71483283350876</v>
      </c>
    </row>
    <row r="509" hidden="1">
      <c r="A509" s="67" t="s">
        <v>1269</v>
      </c>
      <c r="B509" s="67" t="s">
        <v>17</v>
      </c>
      <c r="C509" s="68">
        <v>0.75</v>
      </c>
      <c r="D509" s="68">
        <v>0.25</v>
      </c>
      <c r="E509" s="68">
        <v>10.0</v>
      </c>
      <c r="F509" s="68">
        <v>2.0</v>
      </c>
      <c r="G509" s="68">
        <v>0.459258338113383</v>
      </c>
      <c r="H509" s="68">
        <v>0.549037923555183</v>
      </c>
      <c r="I509" s="69">
        <v>44355.80814814815</v>
      </c>
      <c r="J509" s="69">
        <v>44355.80846064815</v>
      </c>
      <c r="K509">
        <f>AVERAGE(H507:H511)</f>
        <v>68.57028007</v>
      </c>
      <c r="L509">
        <f>STDEV(H507:H511)</f>
        <v>94.92560681</v>
      </c>
      <c r="M509" s="70">
        <v>0.549037923555183</v>
      </c>
      <c r="N509" s="70">
        <v>0.549037923555183</v>
      </c>
      <c r="O509" s="70">
        <v>0.459258338113383</v>
      </c>
      <c r="P509" s="70">
        <v>0.459258338113383</v>
      </c>
    </row>
    <row r="510" hidden="1">
      <c r="A510" s="67" t="s">
        <v>1270</v>
      </c>
      <c r="B510" s="67" t="s">
        <v>17</v>
      </c>
      <c r="C510" s="68">
        <v>0.75</v>
      </c>
      <c r="D510" s="68">
        <v>0.25</v>
      </c>
      <c r="E510" s="68">
        <v>10.0</v>
      </c>
      <c r="F510" s="68">
        <v>3.0</v>
      </c>
      <c r="G510" s="68">
        <v>3.35220343752929</v>
      </c>
      <c r="H510" s="68">
        <v>145.646794777319</v>
      </c>
      <c r="I510" s="69">
        <v>44355.80915509259</v>
      </c>
      <c r="J510" s="69">
        <v>44355.85717592593</v>
      </c>
      <c r="K510">
        <f>AVERAGE(H507:H511)</f>
        <v>68.57028007</v>
      </c>
      <c r="L510">
        <f>STDEV(H507:H511)</f>
        <v>94.92560681</v>
      </c>
      <c r="M510" s="70">
        <v>145.646794777319</v>
      </c>
      <c r="N510" s="70">
        <v>145.646794777319</v>
      </c>
      <c r="O510" s="70">
        <v>3.35220343752929</v>
      </c>
      <c r="P510" s="70">
        <v>3.35220343752929</v>
      </c>
    </row>
    <row r="511" hidden="1">
      <c r="A511" s="67" t="s">
        <v>1271</v>
      </c>
      <c r="B511" s="67" t="s">
        <v>17</v>
      </c>
      <c r="C511" s="68">
        <v>0.75</v>
      </c>
      <c r="D511" s="68">
        <v>0.25</v>
      </c>
      <c r="E511" s="68">
        <v>10.0</v>
      </c>
      <c r="F511" s="68">
        <v>4.0</v>
      </c>
      <c r="G511" s="68">
        <v>0.0728591757066486</v>
      </c>
      <c r="H511" s="68">
        <v>0.0947261178172006</v>
      </c>
      <c r="I511" s="69">
        <v>44355.85787037037</v>
      </c>
      <c r="J511" s="69">
        <v>44355.85787037037</v>
      </c>
      <c r="K511">
        <f>AVERAGE(H507:H511)</f>
        <v>68.57028007</v>
      </c>
      <c r="L511">
        <f>STDEV(H507:H511)</f>
        <v>94.92560681</v>
      </c>
      <c r="M511" s="70">
        <v>0.0947261178172006</v>
      </c>
      <c r="N511" s="70">
        <v>0.0947261178172006</v>
      </c>
      <c r="O511" s="70">
        <v>0.0728591757066486</v>
      </c>
      <c r="P511" s="70">
        <v>0.0728591757066486</v>
      </c>
    </row>
    <row r="512" hidden="1">
      <c r="A512" s="67" t="s">
        <v>1272</v>
      </c>
      <c r="B512" s="67" t="s">
        <v>17</v>
      </c>
      <c r="C512" s="68">
        <v>0.75</v>
      </c>
      <c r="D512" s="68">
        <v>0.5</v>
      </c>
      <c r="E512" s="68">
        <v>10.0</v>
      </c>
      <c r="F512" s="68">
        <v>0.0</v>
      </c>
      <c r="G512" s="68">
        <v>2.48157394263387</v>
      </c>
      <c r="H512" s="68">
        <v>113.426655161095</v>
      </c>
      <c r="I512" s="69">
        <v>44355.858564814815</v>
      </c>
      <c r="J512" s="69">
        <v>44355.94059027778</v>
      </c>
      <c r="K512">
        <f>AVERAGE(H512:H516)</f>
        <v>272.725728</v>
      </c>
      <c r="L512">
        <f>STDEV(H512:H516)</f>
        <v>337.0834648</v>
      </c>
      <c r="M512" s="70">
        <v>113.426655161095</v>
      </c>
      <c r="N512" s="70">
        <v>113.426655161095</v>
      </c>
      <c r="O512" s="70">
        <v>2.48157394263387</v>
      </c>
      <c r="P512" s="70">
        <v>2.48157394263387</v>
      </c>
    </row>
    <row r="513" hidden="1">
      <c r="A513" s="67" t="s">
        <v>1273</v>
      </c>
      <c r="B513" s="67" t="s">
        <v>17</v>
      </c>
      <c r="C513" s="68">
        <v>0.75</v>
      </c>
      <c r="D513" s="68">
        <v>0.5</v>
      </c>
      <c r="E513" s="68">
        <v>10.0</v>
      </c>
      <c r="F513" s="68">
        <v>1.0</v>
      </c>
      <c r="G513" s="68">
        <v>69.1298443530986</v>
      </c>
      <c r="H513" s="68">
        <v>849.763849683435</v>
      </c>
      <c r="I513" s="69">
        <v>44355.94128472222</v>
      </c>
      <c r="J513" s="69">
        <v>44355.941296296296</v>
      </c>
      <c r="K513">
        <f>AVERAGE(H512:H516)</f>
        <v>272.725728</v>
      </c>
      <c r="L513">
        <f>STDEV(H512:H516)</f>
        <v>337.0834648</v>
      </c>
      <c r="M513" s="70">
        <v>849.763849683435</v>
      </c>
      <c r="N513" s="70">
        <v>849.763849683435</v>
      </c>
      <c r="O513" s="70">
        <v>69.1298443530986</v>
      </c>
      <c r="P513" s="70">
        <v>69.1298443530986</v>
      </c>
    </row>
    <row r="514" hidden="1">
      <c r="A514" s="67" t="s">
        <v>1274</v>
      </c>
      <c r="B514" s="67" t="s">
        <v>17</v>
      </c>
      <c r="C514" s="68">
        <v>0.75</v>
      </c>
      <c r="D514" s="68">
        <v>0.5</v>
      </c>
      <c r="E514" s="68">
        <v>10.0</v>
      </c>
      <c r="F514" s="68">
        <v>2.0</v>
      </c>
      <c r="G514" s="68">
        <v>1.12574965338469</v>
      </c>
      <c r="H514" s="68">
        <v>1.89548363652091</v>
      </c>
      <c r="I514" s="69">
        <v>44355.94199074074</v>
      </c>
      <c r="J514" s="69">
        <v>44355.94221064815</v>
      </c>
      <c r="K514">
        <f>AVERAGE(H512:H516)</f>
        <v>272.725728</v>
      </c>
      <c r="L514">
        <f>STDEV(H512:H516)</f>
        <v>337.0834648</v>
      </c>
      <c r="M514" s="70">
        <v>1.89548363652091</v>
      </c>
      <c r="N514" s="70">
        <v>1.89548363652091</v>
      </c>
      <c r="O514" s="70">
        <v>1.12574965338469</v>
      </c>
      <c r="P514" s="70">
        <v>1.12574965338469</v>
      </c>
    </row>
    <row r="515" hidden="1">
      <c r="A515" s="67" t="s">
        <v>1275</v>
      </c>
      <c r="B515" s="67" t="s">
        <v>17</v>
      </c>
      <c r="C515" s="68">
        <v>0.75</v>
      </c>
      <c r="D515" s="68">
        <v>0.5</v>
      </c>
      <c r="E515" s="68">
        <v>10.0</v>
      </c>
      <c r="F515" s="68">
        <v>3.0</v>
      </c>
      <c r="G515" s="68">
        <v>2.22070155934225</v>
      </c>
      <c r="H515" s="68">
        <v>121.773774529368</v>
      </c>
      <c r="I515" s="69">
        <v>44355.94290509259</v>
      </c>
      <c r="J515" s="69">
        <v>44355.95284722222</v>
      </c>
      <c r="K515">
        <f>AVERAGE(H512:H516)</f>
        <v>272.725728</v>
      </c>
      <c r="L515">
        <f>STDEV(H512:H516)</f>
        <v>337.0834648</v>
      </c>
      <c r="M515" s="70">
        <v>121.773774529368</v>
      </c>
      <c r="N515" s="70">
        <v>121.773774529368</v>
      </c>
      <c r="O515" s="70">
        <v>2.22070155934225</v>
      </c>
      <c r="P515" s="70">
        <v>2.22070155934225</v>
      </c>
    </row>
    <row r="516" hidden="1">
      <c r="A516" s="67" t="s">
        <v>1276</v>
      </c>
      <c r="B516" s="67" t="s">
        <v>17</v>
      </c>
      <c r="C516" s="68">
        <v>0.75</v>
      </c>
      <c r="D516" s="68">
        <v>0.5</v>
      </c>
      <c r="E516" s="68">
        <v>10.0</v>
      </c>
      <c r="F516" s="68">
        <v>4.0</v>
      </c>
      <c r="G516" s="68">
        <v>8.82449123201558</v>
      </c>
      <c r="H516" s="68">
        <v>276.768876763651</v>
      </c>
      <c r="I516" s="69">
        <v>44355.95354166667</v>
      </c>
      <c r="J516" s="69">
        <v>44355.95542824074</v>
      </c>
      <c r="K516">
        <f>AVERAGE(H512:H516)</f>
        <v>272.725728</v>
      </c>
      <c r="L516">
        <f>STDEV(H512:H516)</f>
        <v>337.0834648</v>
      </c>
      <c r="M516" s="70">
        <v>276.768876763651</v>
      </c>
      <c r="N516" s="70">
        <v>276.768876763651</v>
      </c>
      <c r="O516" s="70">
        <v>8.82449123201558</v>
      </c>
      <c r="P516" s="70">
        <v>8.82449123201558</v>
      </c>
    </row>
    <row r="517" hidden="1">
      <c r="A517" s="67" t="s">
        <v>1277</v>
      </c>
      <c r="B517" s="67" t="s">
        <v>17</v>
      </c>
      <c r="C517" s="68">
        <v>0.75</v>
      </c>
      <c r="D517" s="68">
        <v>0.75</v>
      </c>
      <c r="E517" s="68">
        <v>10.0</v>
      </c>
      <c r="F517" s="68">
        <v>0.0</v>
      </c>
      <c r="G517" s="68">
        <v>0.53731263473983</v>
      </c>
      <c r="H517" s="68">
        <v>0.657552234811424</v>
      </c>
      <c r="I517" s="69">
        <v>44294.8425</v>
      </c>
      <c r="J517" s="69">
        <v>44294.84271990741</v>
      </c>
      <c r="K517">
        <f>AVERAGE(H517:H521)</f>
        <v>47.77228266</v>
      </c>
      <c r="L517">
        <f>STDEV(H517:H521)</f>
        <v>76.45038924</v>
      </c>
      <c r="M517" s="70">
        <v>0.657552234811424</v>
      </c>
      <c r="N517" s="70">
        <v>0.657552234811424</v>
      </c>
      <c r="O517" s="70">
        <v>0.53731263473983</v>
      </c>
      <c r="P517" s="70">
        <v>0.53731263473983</v>
      </c>
    </row>
    <row r="518" hidden="1">
      <c r="A518" s="67" t="s">
        <v>1278</v>
      </c>
      <c r="B518" s="67" t="s">
        <v>17</v>
      </c>
      <c r="C518" s="68">
        <v>0.75</v>
      </c>
      <c r="D518" s="68">
        <v>0.75</v>
      </c>
      <c r="E518" s="68">
        <v>10.0</v>
      </c>
      <c r="F518" s="68">
        <v>1.0</v>
      </c>
      <c r="G518" s="68">
        <v>0.45804006466034</v>
      </c>
      <c r="H518" s="68">
        <v>0.548173195268089</v>
      </c>
      <c r="I518" s="69">
        <v>44294.84341435185</v>
      </c>
      <c r="J518" s="69">
        <v>44294.84385416667</v>
      </c>
      <c r="K518">
        <f>AVERAGE(H517:H521)</f>
        <v>47.77228266</v>
      </c>
      <c r="L518">
        <f>STDEV(H517:H521)</f>
        <v>76.45038924</v>
      </c>
      <c r="M518" s="70">
        <v>0.548173195268089</v>
      </c>
      <c r="N518" s="70">
        <v>0.548173195268089</v>
      </c>
      <c r="O518" s="70">
        <v>0.45804006466034</v>
      </c>
      <c r="P518" s="70">
        <v>0.45804006466034</v>
      </c>
    </row>
    <row r="519" hidden="1">
      <c r="A519" s="67" t="s">
        <v>1279</v>
      </c>
      <c r="B519" s="67" t="s">
        <v>17</v>
      </c>
      <c r="C519" s="68">
        <v>0.75</v>
      </c>
      <c r="D519" s="68">
        <v>0.75</v>
      </c>
      <c r="E519" s="68">
        <v>10.0</v>
      </c>
      <c r="F519" s="68">
        <v>2.0</v>
      </c>
      <c r="G519" s="68">
        <v>1.29295722222547</v>
      </c>
      <c r="H519" s="68">
        <v>61.1612050185664</v>
      </c>
      <c r="I519" s="69">
        <v>44294.84454861111</v>
      </c>
      <c r="J519" s="69">
        <v>44294.849282407406</v>
      </c>
      <c r="K519">
        <f>AVERAGE(H517:H521)</f>
        <v>47.77228266</v>
      </c>
      <c r="L519">
        <f>STDEV(H517:H521)</f>
        <v>76.45038924</v>
      </c>
      <c r="M519" s="70">
        <v>61.1612050185664</v>
      </c>
      <c r="N519" s="70">
        <v>61.1612050185664</v>
      </c>
      <c r="O519" s="70">
        <v>1.29295722222547</v>
      </c>
      <c r="P519" s="70">
        <v>1.29295722222547</v>
      </c>
    </row>
    <row r="520" hidden="1">
      <c r="A520" s="67" t="s">
        <v>1280</v>
      </c>
      <c r="B520" s="67" t="s">
        <v>17</v>
      </c>
      <c r="C520" s="68">
        <v>0.75</v>
      </c>
      <c r="D520" s="68">
        <v>0.75</v>
      </c>
      <c r="E520" s="68">
        <v>10.0</v>
      </c>
      <c r="F520" s="68">
        <v>3.0</v>
      </c>
      <c r="G520" s="68">
        <v>0.207414646087391</v>
      </c>
      <c r="H520" s="68">
        <v>0.289791750987311</v>
      </c>
      <c r="I520" s="69">
        <v>44294.84997685185</v>
      </c>
      <c r="J520" s="69">
        <v>44294.85005787037</v>
      </c>
      <c r="K520">
        <f>AVERAGE(H517:H521)</f>
        <v>47.77228266</v>
      </c>
      <c r="L520">
        <f>STDEV(H517:H521)</f>
        <v>76.45038924</v>
      </c>
      <c r="M520" s="70">
        <v>0.289791750987311</v>
      </c>
      <c r="N520" s="70">
        <v>0.289791750987311</v>
      </c>
      <c r="O520" s="70">
        <v>0.207414646087391</v>
      </c>
      <c r="P520" s="70">
        <v>0.207414646087391</v>
      </c>
    </row>
    <row r="521" hidden="1">
      <c r="A521" s="67" t="s">
        <v>1281</v>
      </c>
      <c r="B521" s="67" t="s">
        <v>17</v>
      </c>
      <c r="C521" s="68">
        <v>0.75</v>
      </c>
      <c r="D521" s="68">
        <v>0.75</v>
      </c>
      <c r="E521" s="68">
        <v>10.0</v>
      </c>
      <c r="F521" s="68">
        <v>4.0</v>
      </c>
      <c r="G521" s="68">
        <v>4.01145982330899</v>
      </c>
      <c r="H521" s="68">
        <v>176.204691087802</v>
      </c>
      <c r="I521" s="69">
        <v>44294.850752314815</v>
      </c>
      <c r="J521" s="69">
        <v>44295.013506944444</v>
      </c>
      <c r="K521">
        <f>AVERAGE(H517:H521)</f>
        <v>47.77228266</v>
      </c>
      <c r="L521">
        <f>STDEV(H517:H521)</f>
        <v>76.45038924</v>
      </c>
      <c r="M521" s="70">
        <v>176.204691087802</v>
      </c>
      <c r="N521" s="70">
        <v>176.204691087802</v>
      </c>
      <c r="O521" s="70">
        <v>4.01145982330899</v>
      </c>
      <c r="P521" s="70">
        <v>4.01145982330899</v>
      </c>
    </row>
    <row r="522" hidden="1">
      <c r="A522" s="67" t="s">
        <v>1282</v>
      </c>
      <c r="B522" s="67" t="s">
        <v>17</v>
      </c>
      <c r="C522" s="68">
        <v>0.75</v>
      </c>
      <c r="D522" s="68">
        <v>1.0</v>
      </c>
      <c r="E522" s="68">
        <v>10.0</v>
      </c>
      <c r="F522" s="68">
        <v>0.0</v>
      </c>
      <c r="G522" s="68">
        <v>3.94768772106162</v>
      </c>
      <c r="H522" s="68">
        <v>172.528837315542</v>
      </c>
      <c r="I522" s="69">
        <v>44355.95612268519</v>
      </c>
      <c r="J522" s="69">
        <v>44355.95627314815</v>
      </c>
      <c r="K522">
        <f>AVERAGE(H522:H526)</f>
        <v>155.5704933</v>
      </c>
      <c r="L522">
        <f>STDEV(H522:H526)</f>
        <v>85.10420971</v>
      </c>
      <c r="M522" s="70">
        <v>172.528837315542</v>
      </c>
      <c r="N522" s="70">
        <v>172.528837315542</v>
      </c>
      <c r="O522" s="70">
        <v>3.94768772106162</v>
      </c>
      <c r="P522" s="70">
        <v>3.94768772106162</v>
      </c>
    </row>
    <row r="523" hidden="1">
      <c r="A523" s="67" t="s">
        <v>1283</v>
      </c>
      <c r="B523" s="67" t="s">
        <v>17</v>
      </c>
      <c r="C523" s="68">
        <v>0.75</v>
      </c>
      <c r="D523" s="68">
        <v>1.0</v>
      </c>
      <c r="E523" s="68">
        <v>10.0</v>
      </c>
      <c r="F523" s="68">
        <v>1.0</v>
      </c>
      <c r="G523" s="68">
        <v>3.34906047027027</v>
      </c>
      <c r="H523" s="68">
        <v>170.511309304692</v>
      </c>
      <c r="I523" s="69">
        <v>44355.956967592596</v>
      </c>
      <c r="J523" s="69">
        <v>44355.95724537037</v>
      </c>
      <c r="K523">
        <f>AVERAGE(H522:H526)</f>
        <v>155.5704933</v>
      </c>
      <c r="L523">
        <f>STDEV(H522:H526)</f>
        <v>85.10420971</v>
      </c>
      <c r="M523" s="70">
        <v>170.511309304692</v>
      </c>
      <c r="N523" s="70">
        <v>170.511309304692</v>
      </c>
      <c r="O523" s="70">
        <v>3.34906047027027</v>
      </c>
      <c r="P523" s="70">
        <v>3.34906047027027</v>
      </c>
    </row>
    <row r="524" hidden="1">
      <c r="A524" s="67" t="s">
        <v>1284</v>
      </c>
      <c r="B524" s="67" t="s">
        <v>17</v>
      </c>
      <c r="C524" s="68">
        <v>0.75</v>
      </c>
      <c r="D524" s="68">
        <v>1.0</v>
      </c>
      <c r="E524" s="68">
        <v>10.0</v>
      </c>
      <c r="F524" s="68">
        <v>2.0</v>
      </c>
      <c r="G524" s="68">
        <v>2.79865100113549</v>
      </c>
      <c r="H524" s="68">
        <v>134.510317572141</v>
      </c>
      <c r="I524" s="69">
        <v>44355.95793981481</v>
      </c>
      <c r="J524" s="69">
        <v>44356.108622685184</v>
      </c>
      <c r="K524">
        <f>AVERAGE(H522:H526)</f>
        <v>155.5704933</v>
      </c>
      <c r="L524">
        <f>STDEV(H522:H526)</f>
        <v>85.10420971</v>
      </c>
      <c r="M524" s="70">
        <v>134.510317572141</v>
      </c>
      <c r="N524" s="70">
        <v>134.510317572141</v>
      </c>
      <c r="O524" s="70">
        <v>2.79865100113549</v>
      </c>
      <c r="P524" s="70">
        <v>2.79865100113549</v>
      </c>
    </row>
    <row r="525" hidden="1">
      <c r="A525" s="67" t="s">
        <v>1285</v>
      </c>
      <c r="B525" s="67" t="s">
        <v>17</v>
      </c>
      <c r="C525" s="68">
        <v>0.75</v>
      </c>
      <c r="D525" s="68">
        <v>1.0</v>
      </c>
      <c r="E525" s="68">
        <v>10.0</v>
      </c>
      <c r="F525" s="68">
        <v>3.0</v>
      </c>
      <c r="G525" s="68">
        <v>8.41116491282247</v>
      </c>
      <c r="H525" s="68">
        <v>268.383441394401</v>
      </c>
      <c r="I525" s="69">
        <v>44356.10931712963</v>
      </c>
      <c r="J525" s="69">
        <v>44356.11101851852</v>
      </c>
      <c r="K525">
        <f>AVERAGE(H522:H526)</f>
        <v>155.5704933</v>
      </c>
      <c r="L525">
        <f>STDEV(H522:H526)</f>
        <v>85.10420971</v>
      </c>
      <c r="M525" s="70">
        <v>268.383441394401</v>
      </c>
      <c r="N525" s="70">
        <v>268.383441394401</v>
      </c>
      <c r="O525" s="70">
        <v>8.41116491282247</v>
      </c>
      <c r="P525" s="70">
        <v>8.41116491282247</v>
      </c>
    </row>
    <row r="526" hidden="1">
      <c r="A526" s="67" t="s">
        <v>1286</v>
      </c>
      <c r="B526" s="67" t="s">
        <v>17</v>
      </c>
      <c r="C526" s="68">
        <v>0.75</v>
      </c>
      <c r="D526" s="68">
        <v>1.0</v>
      </c>
      <c r="E526" s="68">
        <v>10.0</v>
      </c>
      <c r="F526" s="68">
        <v>4.0</v>
      </c>
      <c r="G526" s="68">
        <v>1.88170887762084</v>
      </c>
      <c r="H526" s="68">
        <v>31.9185609873137</v>
      </c>
      <c r="I526" s="69">
        <v>44356.111712962964</v>
      </c>
      <c r="J526" s="69">
        <v>44356.11230324074</v>
      </c>
      <c r="K526">
        <f>AVERAGE(H522:H526)</f>
        <v>155.5704933</v>
      </c>
      <c r="L526">
        <f>STDEV(H522:H526)</f>
        <v>85.10420971</v>
      </c>
      <c r="M526" s="70">
        <v>31.9185609873137</v>
      </c>
      <c r="N526" s="70">
        <v>31.9185609873137</v>
      </c>
      <c r="O526" s="70">
        <v>1.88170887762084</v>
      </c>
      <c r="P526" s="70">
        <v>1.88170887762084</v>
      </c>
    </row>
    <row r="527" hidden="1">
      <c r="A527" s="67" t="s">
        <v>1287</v>
      </c>
      <c r="B527" s="67" t="s">
        <v>17</v>
      </c>
      <c r="C527" s="68">
        <v>1.0</v>
      </c>
      <c r="D527" s="68">
        <v>0.1</v>
      </c>
      <c r="E527" s="68">
        <v>10.0</v>
      </c>
      <c r="F527" s="68">
        <v>0.0</v>
      </c>
      <c r="G527" s="68">
        <v>1.6841497197801</v>
      </c>
      <c r="H527" s="68">
        <v>27.8759842020611</v>
      </c>
      <c r="I527" s="69">
        <v>44356.11299768519</v>
      </c>
      <c r="J527" s="69">
        <v>44356.11408564815</v>
      </c>
      <c r="K527">
        <f>AVERAGE(H527:H531)</f>
        <v>76.25617071</v>
      </c>
      <c r="L527">
        <f>STDEV(H527:H531)</f>
        <v>93.13085148</v>
      </c>
      <c r="M527" s="70">
        <v>27.8759842020611</v>
      </c>
      <c r="N527" s="70">
        <v>27.8759842020611</v>
      </c>
      <c r="O527" s="70">
        <v>1.6841497197801</v>
      </c>
      <c r="P527" s="70">
        <v>1.6841497197801</v>
      </c>
    </row>
    <row r="528" hidden="1">
      <c r="A528" s="67" t="s">
        <v>1288</v>
      </c>
      <c r="B528" s="67" t="s">
        <v>17</v>
      </c>
      <c r="C528" s="68">
        <v>1.0</v>
      </c>
      <c r="D528" s="68">
        <v>0.1</v>
      </c>
      <c r="E528" s="68">
        <v>10.0</v>
      </c>
      <c r="F528" s="68">
        <v>1.0</v>
      </c>
      <c r="G528" s="68">
        <v>0.541763334421767</v>
      </c>
      <c r="H528" s="68">
        <v>0.693677977204729</v>
      </c>
      <c r="I528" s="69">
        <v>44356.11478009259</v>
      </c>
      <c r="J528" s="69">
        <v>44356.11508101852</v>
      </c>
      <c r="K528">
        <f>AVERAGE(H527:H531)</f>
        <v>76.25617071</v>
      </c>
      <c r="L528">
        <f>STDEV(H527:H531)</f>
        <v>93.13085148</v>
      </c>
      <c r="M528" s="70">
        <v>0.693677977204729</v>
      </c>
      <c r="N528" s="70">
        <v>0.693677977204729</v>
      </c>
      <c r="O528" s="70">
        <v>0.541763334421767</v>
      </c>
      <c r="P528" s="70">
        <v>0.541763334421767</v>
      </c>
    </row>
    <row r="529" hidden="1">
      <c r="A529" s="67" t="s">
        <v>1289</v>
      </c>
      <c r="B529" s="67" t="s">
        <v>17</v>
      </c>
      <c r="C529" s="68">
        <v>1.0</v>
      </c>
      <c r="D529" s="68">
        <v>0.1</v>
      </c>
      <c r="E529" s="68">
        <v>10.0</v>
      </c>
      <c r="F529" s="68">
        <v>2.0</v>
      </c>
      <c r="G529" s="68">
        <v>3.17370539624641</v>
      </c>
      <c r="H529" s="68">
        <v>148.503584271047</v>
      </c>
      <c r="I529" s="69">
        <v>44356.11577546296</v>
      </c>
      <c r="J529" s="69">
        <v>44356.23034722222</v>
      </c>
      <c r="K529">
        <f>AVERAGE(H527:H531)</f>
        <v>76.25617071</v>
      </c>
      <c r="L529">
        <f>STDEV(H527:H531)</f>
        <v>93.13085148</v>
      </c>
      <c r="M529" s="70">
        <v>148.503584271047</v>
      </c>
      <c r="N529" s="70">
        <v>148.503584271047</v>
      </c>
      <c r="O529" s="70">
        <v>3.17370539624641</v>
      </c>
      <c r="P529" s="70">
        <v>3.17370539624641</v>
      </c>
    </row>
    <row r="530" hidden="1">
      <c r="A530" s="67" t="s">
        <v>1290</v>
      </c>
      <c r="B530" s="67" t="s">
        <v>17</v>
      </c>
      <c r="C530" s="68">
        <v>1.0</v>
      </c>
      <c r="D530" s="68">
        <v>0.1</v>
      </c>
      <c r="E530" s="68">
        <v>10.0</v>
      </c>
      <c r="F530" s="68">
        <v>3.0</v>
      </c>
      <c r="G530" s="68">
        <v>4.94098985530012</v>
      </c>
      <c r="H530" s="68">
        <v>202.321567011997</v>
      </c>
      <c r="I530" s="69">
        <v>44356.231041666666</v>
      </c>
      <c r="J530" s="69">
        <v>44356.23783564815</v>
      </c>
      <c r="K530">
        <f>AVERAGE(H527:H531)</f>
        <v>76.25617071</v>
      </c>
      <c r="L530">
        <f>STDEV(H527:H531)</f>
        <v>93.13085148</v>
      </c>
      <c r="M530" s="70">
        <v>202.321567011997</v>
      </c>
      <c r="N530" s="70">
        <v>202.321567011997</v>
      </c>
      <c r="O530" s="70">
        <v>4.94098985530012</v>
      </c>
      <c r="P530" s="70">
        <v>4.94098985530012</v>
      </c>
    </row>
    <row r="531" hidden="1">
      <c r="A531" s="67" t="s">
        <v>1291</v>
      </c>
      <c r="B531" s="67" t="s">
        <v>17</v>
      </c>
      <c r="C531" s="68">
        <v>1.0</v>
      </c>
      <c r="D531" s="68">
        <v>0.1</v>
      </c>
      <c r="E531" s="68">
        <v>10.0</v>
      </c>
      <c r="F531" s="68">
        <v>4.0</v>
      </c>
      <c r="G531" s="68">
        <v>1.09730122678232</v>
      </c>
      <c r="H531" s="68">
        <v>1.88604009619083</v>
      </c>
      <c r="I531" s="69">
        <v>44356.238530092596</v>
      </c>
      <c r="J531" s="69">
        <v>44356.23856481481</v>
      </c>
      <c r="K531">
        <f>AVERAGE(H527:H531)</f>
        <v>76.25617071</v>
      </c>
      <c r="L531">
        <f>STDEV(H527:H531)</f>
        <v>93.13085148</v>
      </c>
      <c r="M531" s="70">
        <v>1.88604009619083</v>
      </c>
      <c r="N531" s="70">
        <v>1.88604009619083</v>
      </c>
      <c r="O531" s="70">
        <v>1.09730122678232</v>
      </c>
      <c r="P531" s="70">
        <v>1.09730122678232</v>
      </c>
    </row>
    <row r="532" hidden="1">
      <c r="A532" s="67" t="s">
        <v>1292</v>
      </c>
      <c r="B532" s="67" t="s">
        <v>17</v>
      </c>
      <c r="C532" s="68">
        <v>1.0</v>
      </c>
      <c r="D532" s="68">
        <v>0.25</v>
      </c>
      <c r="E532" s="68">
        <v>10.0</v>
      </c>
      <c r="F532" s="68">
        <v>0.0</v>
      </c>
      <c r="G532" s="68">
        <v>0.521648189718099</v>
      </c>
      <c r="H532" s="68">
        <v>0.618966565607691</v>
      </c>
      <c r="I532" s="69">
        <v>44356.23925925926</v>
      </c>
      <c r="J532" s="69">
        <v>44356.24056712963</v>
      </c>
      <c r="K532">
        <f>AVERAGE(H532:H536)</f>
        <v>77.07730282</v>
      </c>
      <c r="L532">
        <f>STDEV(H532:H536)</f>
        <v>94.5967178</v>
      </c>
      <c r="M532" s="70">
        <v>0.618966565607691</v>
      </c>
      <c r="N532" s="70">
        <v>0.618966565607691</v>
      </c>
      <c r="O532" s="70">
        <v>0.521648189718099</v>
      </c>
      <c r="P532" s="70">
        <v>0.521648189718099</v>
      </c>
    </row>
    <row r="533" hidden="1">
      <c r="A533" s="67" t="s">
        <v>1293</v>
      </c>
      <c r="B533" s="67" t="s">
        <v>17</v>
      </c>
      <c r="C533" s="68">
        <v>1.0</v>
      </c>
      <c r="D533" s="68">
        <v>0.25</v>
      </c>
      <c r="E533" s="68">
        <v>10.0</v>
      </c>
      <c r="F533" s="68">
        <v>1.0</v>
      </c>
      <c r="G533" s="68">
        <v>5.00803907655624</v>
      </c>
      <c r="H533" s="68">
        <v>203.243880419885</v>
      </c>
      <c r="I533" s="69">
        <v>44356.241261574076</v>
      </c>
      <c r="J533" s="69">
        <v>44356.24858796296</v>
      </c>
      <c r="K533">
        <f>AVERAGE(H532:H536)</f>
        <v>77.07730282</v>
      </c>
      <c r="L533">
        <f>STDEV(H532:H536)</f>
        <v>94.5967178</v>
      </c>
      <c r="M533" s="70">
        <v>203.243880419885</v>
      </c>
      <c r="N533" s="70">
        <v>203.243880419885</v>
      </c>
      <c r="O533" s="70">
        <v>5.00803907655624</v>
      </c>
      <c r="P533" s="70">
        <v>5.00803907655624</v>
      </c>
    </row>
    <row r="534" hidden="1">
      <c r="A534" s="67" t="s">
        <v>1294</v>
      </c>
      <c r="B534" s="67" t="s">
        <v>17</v>
      </c>
      <c r="C534" s="68">
        <v>1.0</v>
      </c>
      <c r="D534" s="68">
        <v>0.25</v>
      </c>
      <c r="E534" s="68">
        <v>10.0</v>
      </c>
      <c r="F534" s="68">
        <v>2.0</v>
      </c>
      <c r="G534" s="68">
        <v>0.214556742404441</v>
      </c>
      <c r="H534" s="68">
        <v>0.292791068550156</v>
      </c>
      <c r="I534" s="69">
        <v>44356.24928240741</v>
      </c>
      <c r="J534" s="69">
        <v>44356.24935185185</v>
      </c>
      <c r="K534">
        <f>AVERAGE(H532:H536)</f>
        <v>77.07730282</v>
      </c>
      <c r="L534">
        <f>STDEV(H532:H536)</f>
        <v>94.5967178</v>
      </c>
      <c r="M534" s="70">
        <v>0.292791068550156</v>
      </c>
      <c r="N534" s="70">
        <v>0.292791068550156</v>
      </c>
      <c r="O534" s="70">
        <v>0.214556742404441</v>
      </c>
      <c r="P534" s="70">
        <v>0.214556742404441</v>
      </c>
    </row>
    <row r="535" hidden="1">
      <c r="A535" s="67" t="s">
        <v>1295</v>
      </c>
      <c r="B535" s="67" t="s">
        <v>17</v>
      </c>
      <c r="C535" s="68">
        <v>1.0</v>
      </c>
      <c r="D535" s="68">
        <v>0.25</v>
      </c>
      <c r="E535" s="68">
        <v>10.0</v>
      </c>
      <c r="F535" s="68">
        <v>3.0</v>
      </c>
      <c r="G535" s="68">
        <v>3.34665541091425</v>
      </c>
      <c r="H535" s="68">
        <v>152.936582635057</v>
      </c>
      <c r="I535" s="69">
        <v>44356.2500462963</v>
      </c>
      <c r="J535" s="69">
        <v>44356.3494212963</v>
      </c>
      <c r="K535">
        <f>AVERAGE(H532:H536)</f>
        <v>77.07730282</v>
      </c>
      <c r="L535">
        <f>STDEV(H532:H536)</f>
        <v>94.5967178</v>
      </c>
      <c r="M535" s="70">
        <v>152.936582635057</v>
      </c>
      <c r="N535" s="70">
        <v>152.936582635057</v>
      </c>
      <c r="O535" s="70">
        <v>3.34665541091425</v>
      </c>
      <c r="P535" s="70">
        <v>3.34665541091425</v>
      </c>
    </row>
    <row r="536" hidden="1">
      <c r="A536" s="67" t="s">
        <v>1296</v>
      </c>
      <c r="B536" s="67" t="s">
        <v>17</v>
      </c>
      <c r="C536" s="68">
        <v>1.0</v>
      </c>
      <c r="D536" s="68">
        <v>0.25</v>
      </c>
      <c r="E536" s="68">
        <v>10.0</v>
      </c>
      <c r="F536" s="68">
        <v>4.0</v>
      </c>
      <c r="G536" s="68">
        <v>1.68602921468434</v>
      </c>
      <c r="H536" s="68">
        <v>28.2942934244218</v>
      </c>
      <c r="I536" s="69">
        <v>44356.35011574074</v>
      </c>
      <c r="J536" s="69">
        <v>44356.35108796296</v>
      </c>
      <c r="K536">
        <f>AVERAGE(H532:H536)</f>
        <v>77.07730282</v>
      </c>
      <c r="L536">
        <f>STDEV(H532:H536)</f>
        <v>94.5967178</v>
      </c>
      <c r="M536" s="70">
        <v>28.2942934244218</v>
      </c>
      <c r="N536" s="70">
        <v>28.2942934244218</v>
      </c>
      <c r="O536" s="70">
        <v>1.68602921468434</v>
      </c>
      <c r="P536" s="70">
        <v>1.68602921468434</v>
      </c>
    </row>
    <row r="537" hidden="1">
      <c r="A537" s="67" t="s">
        <v>1297</v>
      </c>
      <c r="B537" s="67" t="s">
        <v>17</v>
      </c>
      <c r="C537" s="68">
        <v>1.0</v>
      </c>
      <c r="D537" s="68">
        <v>0.5</v>
      </c>
      <c r="E537" s="68">
        <v>10.0</v>
      </c>
      <c r="F537" s="68">
        <v>0.0</v>
      </c>
      <c r="G537" s="68">
        <v>3.12241727996056</v>
      </c>
      <c r="H537" s="68">
        <v>162.588683056138</v>
      </c>
      <c r="I537" s="69">
        <v>44356.35178240741</v>
      </c>
      <c r="J537" s="69">
        <v>44356.352060185185</v>
      </c>
      <c r="K537">
        <f>AVERAGE(H537:H541)</f>
        <v>152.7739873</v>
      </c>
      <c r="L537">
        <f>STDEV(H537:H541)</f>
        <v>91.15695887</v>
      </c>
      <c r="M537" s="70">
        <v>162.588683056138</v>
      </c>
      <c r="N537" s="70">
        <v>162.588683056138</v>
      </c>
      <c r="O537" s="70">
        <v>3.12241727996056</v>
      </c>
      <c r="P537" s="70">
        <v>3.12241727996056</v>
      </c>
    </row>
    <row r="538" hidden="1">
      <c r="A538" s="67" t="s">
        <v>1298</v>
      </c>
      <c r="B538" s="67" t="s">
        <v>17</v>
      </c>
      <c r="C538" s="68">
        <v>1.0</v>
      </c>
      <c r="D538" s="68">
        <v>0.5</v>
      </c>
      <c r="E538" s="68">
        <v>10.0</v>
      </c>
      <c r="F538" s="68">
        <v>1.0</v>
      </c>
      <c r="G538" s="68">
        <v>1.70315611369355</v>
      </c>
      <c r="H538" s="68">
        <v>29.1666270773349</v>
      </c>
      <c r="I538" s="69">
        <v>44356.35275462963</v>
      </c>
      <c r="J538" s="69">
        <v>44356.353634259256</v>
      </c>
      <c r="K538">
        <f>AVERAGE(H537:H541)</f>
        <v>152.7739873</v>
      </c>
      <c r="L538">
        <f>STDEV(H537:H541)</f>
        <v>91.15695887</v>
      </c>
      <c r="M538" s="70">
        <v>29.1666270773349</v>
      </c>
      <c r="N538" s="70">
        <v>29.1666270773349</v>
      </c>
      <c r="O538" s="70">
        <v>1.70315611369355</v>
      </c>
      <c r="P538" s="70">
        <v>1.70315611369355</v>
      </c>
    </row>
    <row r="539" hidden="1">
      <c r="A539" s="67" t="s">
        <v>1299</v>
      </c>
      <c r="B539" s="67" t="s">
        <v>17</v>
      </c>
      <c r="C539" s="68">
        <v>1.0</v>
      </c>
      <c r="D539" s="68">
        <v>0.5</v>
      </c>
      <c r="E539" s="68">
        <v>10.0</v>
      </c>
      <c r="F539" s="68">
        <v>2.0</v>
      </c>
      <c r="G539" s="68">
        <v>2.77002206942899</v>
      </c>
      <c r="H539" s="68">
        <v>133.749495458197</v>
      </c>
      <c r="I539" s="69">
        <v>44356.3543287037</v>
      </c>
      <c r="J539" s="69">
        <v>44356.48266203704</v>
      </c>
      <c r="K539">
        <f>AVERAGE(H537:H541)</f>
        <v>152.7739873</v>
      </c>
      <c r="L539">
        <f>STDEV(H537:H541)</f>
        <v>91.15695887</v>
      </c>
      <c r="M539" s="70">
        <v>133.749495458197</v>
      </c>
      <c r="N539" s="70">
        <v>133.749495458197</v>
      </c>
      <c r="O539" s="70">
        <v>2.77002206942899</v>
      </c>
      <c r="P539" s="70">
        <v>2.77002206942899</v>
      </c>
    </row>
    <row r="540" hidden="1">
      <c r="A540" s="67" t="s">
        <v>1300</v>
      </c>
      <c r="B540" s="67" t="s">
        <v>17</v>
      </c>
      <c r="C540" s="68">
        <v>1.0</v>
      </c>
      <c r="D540" s="68">
        <v>0.5</v>
      </c>
      <c r="E540" s="68">
        <v>10.0</v>
      </c>
      <c r="F540" s="68">
        <v>3.0</v>
      </c>
      <c r="G540" s="68">
        <v>9.06998068053673</v>
      </c>
      <c r="H540" s="68">
        <v>285.065518689812</v>
      </c>
      <c r="I540" s="69">
        <v>44356.48335648148</v>
      </c>
      <c r="J540" s="69">
        <v>44356.484930555554</v>
      </c>
      <c r="K540">
        <f>AVERAGE(H537:H541)</f>
        <v>152.7739873</v>
      </c>
      <c r="L540">
        <f>STDEV(H537:H541)</f>
        <v>91.15695887</v>
      </c>
      <c r="M540" s="70">
        <v>285.065518689812</v>
      </c>
      <c r="N540" s="70">
        <v>285.065518689812</v>
      </c>
      <c r="O540" s="70">
        <v>9.06998068053673</v>
      </c>
      <c r="P540" s="70">
        <v>9.06998068053673</v>
      </c>
    </row>
    <row r="541" hidden="1">
      <c r="A541" s="67" t="s">
        <v>1301</v>
      </c>
      <c r="B541" s="67" t="s">
        <v>17</v>
      </c>
      <c r="C541" s="68">
        <v>1.0</v>
      </c>
      <c r="D541" s="68">
        <v>0.5</v>
      </c>
      <c r="E541" s="68">
        <v>10.0</v>
      </c>
      <c r="F541" s="68">
        <v>4.0</v>
      </c>
      <c r="G541" s="68">
        <v>3.49997474198989</v>
      </c>
      <c r="H541" s="68">
        <v>153.29961244957</v>
      </c>
      <c r="I541" s="69">
        <v>44356.485625</v>
      </c>
      <c r="J541" s="69">
        <v>44356.48582175926</v>
      </c>
      <c r="K541">
        <f>AVERAGE(H537:H541)</f>
        <v>152.7739873</v>
      </c>
      <c r="L541">
        <f>STDEV(H537:H541)</f>
        <v>91.15695887</v>
      </c>
      <c r="M541" s="70">
        <v>153.29961244957</v>
      </c>
      <c r="N541" s="70">
        <v>153.29961244957</v>
      </c>
      <c r="O541" s="70">
        <v>3.49997474198989</v>
      </c>
      <c r="P541" s="70">
        <v>3.49997474198989</v>
      </c>
    </row>
    <row r="542" hidden="1">
      <c r="A542" s="67" t="s">
        <v>1302</v>
      </c>
      <c r="B542" s="67" t="s">
        <v>17</v>
      </c>
      <c r="C542" s="68">
        <v>1.0</v>
      </c>
      <c r="D542" s="68">
        <v>0.75</v>
      </c>
      <c r="E542" s="68">
        <v>10.0</v>
      </c>
      <c r="F542" s="68">
        <v>0.0</v>
      </c>
      <c r="G542" s="68">
        <v>3.01425281934835</v>
      </c>
      <c r="H542" s="68">
        <v>135.355521270837</v>
      </c>
      <c r="I542" s="69">
        <v>44356.4865162037</v>
      </c>
      <c r="J542" s="69">
        <v>44356.510983796295</v>
      </c>
      <c r="K542">
        <f>AVERAGE(H542:H546)</f>
        <v>141.6210044</v>
      </c>
      <c r="L542">
        <f>STDEV(H542:H546)</f>
        <v>111.0898497</v>
      </c>
      <c r="M542" s="70">
        <v>135.355521270837</v>
      </c>
      <c r="N542" s="70">
        <v>135.355521270837</v>
      </c>
      <c r="O542" s="70">
        <v>3.01425281934835</v>
      </c>
      <c r="P542" s="70">
        <v>3.01425281934835</v>
      </c>
    </row>
    <row r="543" hidden="1">
      <c r="A543" s="67" t="s">
        <v>1303</v>
      </c>
      <c r="B543" s="67" t="s">
        <v>17</v>
      </c>
      <c r="C543" s="68">
        <v>1.0</v>
      </c>
      <c r="D543" s="68">
        <v>0.75</v>
      </c>
      <c r="E543" s="68">
        <v>10.0</v>
      </c>
      <c r="F543" s="68">
        <v>1.0</v>
      </c>
      <c r="G543" s="68">
        <v>4.0020965337811</v>
      </c>
      <c r="H543" s="68">
        <v>174.766428276319</v>
      </c>
      <c r="I543" s="69">
        <v>44356.51167824074</v>
      </c>
      <c r="J543" s="69">
        <v>44356.5231712963</v>
      </c>
      <c r="K543">
        <f>AVERAGE(H542:H546)</f>
        <v>141.6210044</v>
      </c>
      <c r="L543">
        <f>STDEV(H542:H546)</f>
        <v>111.0898497</v>
      </c>
      <c r="M543" s="70">
        <v>174.766428276319</v>
      </c>
      <c r="N543" s="70">
        <v>174.766428276319</v>
      </c>
      <c r="O543" s="70">
        <v>4.0020965337811</v>
      </c>
      <c r="P543" s="70">
        <v>4.0020965337811</v>
      </c>
    </row>
    <row r="544" hidden="1">
      <c r="A544" s="67" t="s">
        <v>1304</v>
      </c>
      <c r="B544" s="67" t="s">
        <v>17</v>
      </c>
      <c r="C544" s="68">
        <v>1.0</v>
      </c>
      <c r="D544" s="68">
        <v>0.75</v>
      </c>
      <c r="E544" s="68">
        <v>10.0</v>
      </c>
      <c r="F544" s="68">
        <v>2.0</v>
      </c>
      <c r="G544" s="68">
        <v>0.687098773833698</v>
      </c>
      <c r="H544" s="68">
        <v>0.886823927418736</v>
      </c>
      <c r="I544" s="69">
        <v>44356.52386574074</v>
      </c>
      <c r="J544" s="69">
        <v>44356.523877314816</v>
      </c>
      <c r="K544">
        <f>AVERAGE(H542:H546)</f>
        <v>141.6210044</v>
      </c>
      <c r="L544">
        <f>STDEV(H542:H546)</f>
        <v>111.0898497</v>
      </c>
      <c r="M544" s="70">
        <v>0.886823927418736</v>
      </c>
      <c r="N544" s="70">
        <v>0.886823927418736</v>
      </c>
      <c r="O544" s="70">
        <v>0.687098773833698</v>
      </c>
      <c r="P544" s="70">
        <v>0.687098773833698</v>
      </c>
    </row>
    <row r="545" hidden="1">
      <c r="A545" s="67" t="s">
        <v>1305</v>
      </c>
      <c r="B545" s="67" t="s">
        <v>17</v>
      </c>
      <c r="C545" s="68">
        <v>1.0</v>
      </c>
      <c r="D545" s="68">
        <v>0.75</v>
      </c>
      <c r="E545" s="68">
        <v>10.0</v>
      </c>
      <c r="F545" s="68">
        <v>3.0</v>
      </c>
      <c r="G545" s="68">
        <v>9.94183231453531</v>
      </c>
      <c r="H545" s="68">
        <v>303.282168167925</v>
      </c>
      <c r="I545" s="69">
        <v>44356.52457175926</v>
      </c>
      <c r="J545" s="69">
        <v>44356.52490740741</v>
      </c>
      <c r="K545">
        <f>AVERAGE(H542:H546)</f>
        <v>141.6210044</v>
      </c>
      <c r="L545">
        <f>STDEV(H542:H546)</f>
        <v>111.0898497</v>
      </c>
      <c r="M545" s="70">
        <v>303.282168167925</v>
      </c>
      <c r="N545" s="70">
        <v>303.282168167925</v>
      </c>
      <c r="O545" s="70">
        <v>9.94183231453531</v>
      </c>
      <c r="P545" s="70">
        <v>9.94183231453531</v>
      </c>
    </row>
    <row r="546" hidden="1">
      <c r="A546" s="67" t="s">
        <v>1306</v>
      </c>
      <c r="B546" s="67" t="s">
        <v>17</v>
      </c>
      <c r="C546" s="68">
        <v>1.0</v>
      </c>
      <c r="D546" s="68">
        <v>0.75</v>
      </c>
      <c r="E546" s="68">
        <v>10.0</v>
      </c>
      <c r="F546" s="68">
        <v>4.0</v>
      </c>
      <c r="G546" s="68">
        <v>1.87059660195762</v>
      </c>
      <c r="H546" s="68">
        <v>93.814080276674</v>
      </c>
      <c r="I546" s="69">
        <v>44356.52560185185</v>
      </c>
      <c r="J546" s="69">
        <v>44356.5633912037</v>
      </c>
      <c r="K546">
        <f>AVERAGE(H542:H546)</f>
        <v>141.6210044</v>
      </c>
      <c r="L546">
        <f>STDEV(H542:H546)</f>
        <v>111.0898497</v>
      </c>
      <c r="M546" s="70">
        <v>93.814080276674</v>
      </c>
      <c r="N546" s="70">
        <v>93.814080276674</v>
      </c>
      <c r="O546" s="70">
        <v>1.87059660195762</v>
      </c>
      <c r="P546" s="70">
        <v>1.87059660195762</v>
      </c>
    </row>
    <row r="547" hidden="1">
      <c r="A547" s="67" t="s">
        <v>1307</v>
      </c>
      <c r="B547" s="67" t="s">
        <v>17</v>
      </c>
      <c r="C547" s="68">
        <v>1.0</v>
      </c>
      <c r="D547" s="68">
        <v>1.0</v>
      </c>
      <c r="E547" s="68">
        <v>10.0</v>
      </c>
      <c r="F547" s="68">
        <v>0.0</v>
      </c>
      <c r="G547" s="68">
        <v>0.67898824785688</v>
      </c>
      <c r="H547" s="68">
        <v>1.73333425721455</v>
      </c>
      <c r="I547" s="69">
        <v>44356.56408564815</v>
      </c>
      <c r="J547" s="69">
        <v>44356.56443287037</v>
      </c>
      <c r="K547">
        <f>AVERAGE(H547:H551)</f>
        <v>127.642167</v>
      </c>
      <c r="L547">
        <f>STDEV(H547:H551)</f>
        <v>96.24830578</v>
      </c>
      <c r="M547" s="70">
        <v>1.73333425721455</v>
      </c>
      <c r="N547" s="70">
        <v>1.73333425721455</v>
      </c>
      <c r="O547" s="70">
        <v>0.67898824785688</v>
      </c>
      <c r="P547" s="70">
        <v>0.67898824785688</v>
      </c>
    </row>
    <row r="548" hidden="1">
      <c r="A548" s="67" t="s">
        <v>1308</v>
      </c>
      <c r="B548" s="67" t="s">
        <v>17</v>
      </c>
      <c r="C548" s="68">
        <v>1.0</v>
      </c>
      <c r="D548" s="68">
        <v>1.0</v>
      </c>
      <c r="E548" s="68">
        <v>10.0</v>
      </c>
      <c r="F548" s="68">
        <v>1.0</v>
      </c>
      <c r="G548" s="68">
        <v>1.42907383020426</v>
      </c>
      <c r="H548" s="68">
        <v>64.6332790798851</v>
      </c>
      <c r="I548" s="69">
        <v>44356.56512731482</v>
      </c>
      <c r="J548" s="69">
        <v>44356.568194444444</v>
      </c>
      <c r="K548">
        <f>AVERAGE(H547:H551)</f>
        <v>127.642167</v>
      </c>
      <c r="L548">
        <f>STDEV(H547:H551)</f>
        <v>96.24830578</v>
      </c>
      <c r="M548" s="70">
        <v>64.6332790798851</v>
      </c>
      <c r="N548" s="70">
        <v>64.6332790798851</v>
      </c>
      <c r="O548" s="70">
        <v>1.42907383020426</v>
      </c>
      <c r="P548" s="70">
        <v>1.42907383020426</v>
      </c>
    </row>
    <row r="549" hidden="1">
      <c r="A549" s="67" t="s">
        <v>1309</v>
      </c>
      <c r="B549" s="67" t="s">
        <v>17</v>
      </c>
      <c r="C549" s="68">
        <v>1.0</v>
      </c>
      <c r="D549" s="68">
        <v>1.0</v>
      </c>
      <c r="E549" s="68">
        <v>10.0</v>
      </c>
      <c r="F549" s="68">
        <v>2.0</v>
      </c>
      <c r="G549" s="68">
        <v>6.04895626380893</v>
      </c>
      <c r="H549" s="68">
        <v>229.43866946183</v>
      </c>
      <c r="I549" s="69">
        <v>44356.56888888889</v>
      </c>
      <c r="J549" s="69">
        <v>44356.57497685185</v>
      </c>
      <c r="K549">
        <f>AVERAGE(H547:H551)</f>
        <v>127.642167</v>
      </c>
      <c r="L549">
        <f>STDEV(H547:H551)</f>
        <v>96.24830578</v>
      </c>
      <c r="M549" s="70">
        <v>229.43866946183</v>
      </c>
      <c r="N549" s="70">
        <v>229.43866946183</v>
      </c>
      <c r="O549" s="70">
        <v>6.04895626380893</v>
      </c>
      <c r="P549" s="70">
        <v>6.04895626380893</v>
      </c>
    </row>
    <row r="550" hidden="1">
      <c r="A550" s="67" t="s">
        <v>1310</v>
      </c>
      <c r="B550" s="67" t="s">
        <v>17</v>
      </c>
      <c r="C550" s="68">
        <v>1.0</v>
      </c>
      <c r="D550" s="68">
        <v>1.0</v>
      </c>
      <c r="E550" s="68">
        <v>10.0</v>
      </c>
      <c r="F550" s="68">
        <v>3.0</v>
      </c>
      <c r="G550" s="68">
        <v>7.44611296012217</v>
      </c>
      <c r="H550" s="68">
        <v>210.408707413425</v>
      </c>
      <c r="I550" s="69">
        <v>44356.5756712963</v>
      </c>
      <c r="J550" s="69">
        <v>44356.57572916667</v>
      </c>
      <c r="K550">
        <f>AVERAGE(H547:H551)</f>
        <v>127.642167</v>
      </c>
      <c r="L550">
        <f>STDEV(H547:H551)</f>
        <v>96.24830578</v>
      </c>
      <c r="M550" s="70">
        <v>210.408707413425</v>
      </c>
      <c r="N550" s="70">
        <v>210.408707413425</v>
      </c>
      <c r="O550" s="70">
        <v>7.44611296012217</v>
      </c>
      <c r="P550" s="70">
        <v>7.44611296012217</v>
      </c>
    </row>
    <row r="551" hidden="1">
      <c r="A551" s="67" t="s">
        <v>1311</v>
      </c>
      <c r="B551" s="67" t="s">
        <v>17</v>
      </c>
      <c r="C551" s="68">
        <v>1.0</v>
      </c>
      <c r="D551" s="68">
        <v>1.0</v>
      </c>
      <c r="E551" s="68">
        <v>10.0</v>
      </c>
      <c r="F551" s="68">
        <v>4.0</v>
      </c>
      <c r="G551" s="68">
        <v>2.86620944522054</v>
      </c>
      <c r="H551" s="68">
        <v>131.996844546004</v>
      </c>
      <c r="I551" s="69">
        <v>44356.57642361111</v>
      </c>
      <c r="J551" s="69">
        <v>44356.673171296294</v>
      </c>
      <c r="K551">
        <f>AVERAGE(H547:H551)</f>
        <v>127.642167</v>
      </c>
      <c r="L551">
        <f>STDEV(H547:H551)</f>
        <v>96.24830578</v>
      </c>
      <c r="M551" s="70">
        <v>131.996844546004</v>
      </c>
      <c r="N551" s="70">
        <v>131.996844546004</v>
      </c>
      <c r="O551" s="70">
        <v>2.86620944522054</v>
      </c>
      <c r="P551" s="70">
        <v>2.86620944522054</v>
      </c>
    </row>
    <row r="552" hidden="1">
      <c r="A552" s="67" t="s">
        <v>1312</v>
      </c>
      <c r="B552" s="67" t="s">
        <v>268</v>
      </c>
      <c r="C552" s="68">
        <v>0.1</v>
      </c>
      <c r="D552" s="68">
        <v>0.1</v>
      </c>
      <c r="E552" s="68">
        <v>10.0</v>
      </c>
      <c r="F552" s="68">
        <v>0.0</v>
      </c>
      <c r="G552" s="68">
        <v>1.73367933799332</v>
      </c>
      <c r="H552" s="68">
        <v>28.0365920285334</v>
      </c>
      <c r="I552" s="69">
        <v>44356.72690972222</v>
      </c>
      <c r="J552" s="69">
        <v>44356.72851851852</v>
      </c>
      <c r="K552">
        <f>AVERAGE(H552:H556)</f>
        <v>125.8546155</v>
      </c>
      <c r="L552">
        <f>STDEV(H552:H556)</f>
        <v>113.4842616</v>
      </c>
      <c r="M552" s="70">
        <v>28.0365920285334</v>
      </c>
      <c r="N552" s="70">
        <v>28.0365920285334</v>
      </c>
      <c r="O552" s="70">
        <v>1.73367933799332</v>
      </c>
      <c r="P552" s="70">
        <v>1.73367933799332</v>
      </c>
    </row>
    <row r="553" hidden="1">
      <c r="A553" s="67" t="s">
        <v>1313</v>
      </c>
      <c r="B553" s="67" t="s">
        <v>268</v>
      </c>
      <c r="C553" s="68">
        <v>0.1</v>
      </c>
      <c r="D553" s="68">
        <v>0.1</v>
      </c>
      <c r="E553" s="68">
        <v>10.0</v>
      </c>
      <c r="F553" s="68">
        <v>1.0</v>
      </c>
      <c r="G553" s="68">
        <v>7.88283138203619</v>
      </c>
      <c r="H553" s="68">
        <v>280.914442408067</v>
      </c>
      <c r="I553" s="69">
        <v>44356.729212962964</v>
      </c>
      <c r="J553" s="69">
        <v>44356.72969907407</v>
      </c>
      <c r="K553">
        <f>AVERAGE(H552:H556)</f>
        <v>125.8546155</v>
      </c>
      <c r="L553">
        <f>STDEV(H552:H556)</f>
        <v>113.4842616</v>
      </c>
      <c r="M553" s="70">
        <v>280.914442408067</v>
      </c>
      <c r="N553" s="70">
        <v>280.914442408067</v>
      </c>
      <c r="O553" s="70">
        <v>7.88283138203619</v>
      </c>
      <c r="P553" s="70">
        <v>7.88283138203619</v>
      </c>
    </row>
    <row r="554" hidden="1">
      <c r="A554" s="67" t="s">
        <v>1314</v>
      </c>
      <c r="B554" s="67" t="s">
        <v>268</v>
      </c>
      <c r="C554" s="68">
        <v>0.1</v>
      </c>
      <c r="D554" s="68">
        <v>0.1</v>
      </c>
      <c r="E554" s="68">
        <v>10.0</v>
      </c>
      <c r="F554" s="68">
        <v>2.0</v>
      </c>
      <c r="G554" s="68">
        <v>0.738388919616822</v>
      </c>
      <c r="H554" s="68">
        <v>0.954404004182583</v>
      </c>
      <c r="I554" s="69">
        <v>44356.73039351852</v>
      </c>
      <c r="J554" s="69">
        <v>44356.730775462966</v>
      </c>
      <c r="K554">
        <f>AVERAGE(H552:H556)</f>
        <v>125.8546155</v>
      </c>
      <c r="L554">
        <f>STDEV(H552:H556)</f>
        <v>113.4842616</v>
      </c>
      <c r="M554" s="70">
        <v>0.954404004182583</v>
      </c>
      <c r="N554" s="70">
        <v>0.954404004182583</v>
      </c>
      <c r="O554" s="70">
        <v>0.738388919616822</v>
      </c>
      <c r="P554" s="70">
        <v>0.738388919616822</v>
      </c>
    </row>
    <row r="555" hidden="1">
      <c r="A555" s="67" t="s">
        <v>1315</v>
      </c>
      <c r="B555" s="67" t="s">
        <v>268</v>
      </c>
      <c r="C555" s="68">
        <v>0.1</v>
      </c>
      <c r="D555" s="68">
        <v>0.1</v>
      </c>
      <c r="E555" s="68">
        <v>10.0</v>
      </c>
      <c r="F555" s="68">
        <v>3.0</v>
      </c>
      <c r="G555" s="68">
        <v>3.61074351895904</v>
      </c>
      <c r="H555" s="68">
        <v>157.047349041217</v>
      </c>
      <c r="I555" s="69">
        <v>44356.731469907405</v>
      </c>
      <c r="J555" s="69">
        <v>44356.783680555556</v>
      </c>
      <c r="K555">
        <f>AVERAGE(H552:H556)</f>
        <v>125.8546155</v>
      </c>
      <c r="L555">
        <f>STDEV(H552:H556)</f>
        <v>113.4842616</v>
      </c>
      <c r="M555" s="70">
        <v>157.047349041217</v>
      </c>
      <c r="N555" s="70">
        <v>157.047349041217</v>
      </c>
      <c r="O555" s="70">
        <v>3.61074351895904</v>
      </c>
      <c r="P555" s="70">
        <v>3.61074351895904</v>
      </c>
    </row>
    <row r="556" hidden="1">
      <c r="A556" s="67" t="s">
        <v>1316</v>
      </c>
      <c r="B556" s="67" t="s">
        <v>268</v>
      </c>
      <c r="C556" s="68">
        <v>0.1</v>
      </c>
      <c r="D556" s="68">
        <v>0.1</v>
      </c>
      <c r="E556" s="68">
        <v>10.0</v>
      </c>
      <c r="F556" s="68">
        <v>4.0</v>
      </c>
      <c r="G556" s="68">
        <v>3.21102183890796</v>
      </c>
      <c r="H556" s="68">
        <v>162.320290204932</v>
      </c>
      <c r="I556" s="69">
        <v>44356.784375</v>
      </c>
      <c r="J556" s="69">
        <v>44356.82273148148</v>
      </c>
      <c r="K556">
        <f>AVERAGE(H552:H556)</f>
        <v>125.8546155</v>
      </c>
      <c r="L556">
        <f>STDEV(H552:H556)</f>
        <v>113.4842616</v>
      </c>
      <c r="M556" s="70">
        <v>162.320290204932</v>
      </c>
      <c r="N556" s="70">
        <v>162.320290204932</v>
      </c>
      <c r="O556" s="70">
        <v>3.21102183890796</v>
      </c>
      <c r="P556" s="70">
        <v>3.21102183890796</v>
      </c>
    </row>
    <row r="557" hidden="1">
      <c r="A557" s="67" t="s">
        <v>1317</v>
      </c>
      <c r="B557" s="67" t="s">
        <v>268</v>
      </c>
      <c r="C557" s="68">
        <v>0.1</v>
      </c>
      <c r="D557" s="68">
        <v>0.25</v>
      </c>
      <c r="E557" s="68">
        <v>10.0</v>
      </c>
      <c r="F557" s="68">
        <v>0.0</v>
      </c>
      <c r="G557" s="68">
        <v>1.09487060506055</v>
      </c>
      <c r="H557" s="68">
        <v>1.87550721349451</v>
      </c>
      <c r="I557" s="69">
        <v>44356.823425925926</v>
      </c>
      <c r="J557" s="69">
        <v>44356.823541666665</v>
      </c>
      <c r="K557">
        <f>AVERAGE(H557:H561)</f>
        <v>64.0696501</v>
      </c>
      <c r="L557">
        <f>STDEV(H557:H561)</f>
        <v>86.9973736</v>
      </c>
      <c r="M557" s="70">
        <v>1.87550721349451</v>
      </c>
      <c r="N557" s="70">
        <v>1.87550721349451</v>
      </c>
      <c r="O557" s="70">
        <v>1.09487060506055</v>
      </c>
      <c r="P557" s="70">
        <v>1.09487060506055</v>
      </c>
    </row>
    <row r="558" hidden="1">
      <c r="A558" s="67" t="s">
        <v>1318</v>
      </c>
      <c r="B558" s="67" t="s">
        <v>268</v>
      </c>
      <c r="C558" s="68">
        <v>0.1</v>
      </c>
      <c r="D558" s="68">
        <v>0.25</v>
      </c>
      <c r="E558" s="68">
        <v>10.0</v>
      </c>
      <c r="F558" s="68">
        <v>1.0</v>
      </c>
      <c r="G558" s="68">
        <v>1.20054717121771</v>
      </c>
      <c r="H558" s="68">
        <v>15.7585968874935</v>
      </c>
      <c r="I558" s="69">
        <v>44356.82423611111</v>
      </c>
      <c r="J558" s="69">
        <v>44356.824641203704</v>
      </c>
      <c r="K558">
        <f>AVERAGE(H557:H561)</f>
        <v>64.0696501</v>
      </c>
      <c r="L558">
        <f>STDEV(H557:H561)</f>
        <v>86.9973736</v>
      </c>
      <c r="M558" s="70">
        <v>15.7585968874935</v>
      </c>
      <c r="N558" s="70">
        <v>15.7585968874935</v>
      </c>
      <c r="O558" s="70">
        <v>1.20054717121771</v>
      </c>
      <c r="P558" s="70">
        <v>1.20054717121771</v>
      </c>
    </row>
    <row r="559" hidden="1">
      <c r="A559" s="67" t="s">
        <v>1319</v>
      </c>
      <c r="B559" s="67" t="s">
        <v>268</v>
      </c>
      <c r="C559" s="68">
        <v>0.1</v>
      </c>
      <c r="D559" s="68">
        <v>0.25</v>
      </c>
      <c r="E559" s="68">
        <v>10.0</v>
      </c>
      <c r="F559" s="68">
        <v>2.0</v>
      </c>
      <c r="G559" s="68">
        <v>0.655265545492045</v>
      </c>
      <c r="H559" s="68">
        <v>1.21410551098853</v>
      </c>
      <c r="I559" s="69">
        <v>44356.82533564815</v>
      </c>
      <c r="J559" s="69">
        <v>44356.82798611111</v>
      </c>
      <c r="K559">
        <f>AVERAGE(H557:H561)</f>
        <v>64.0696501</v>
      </c>
      <c r="L559">
        <f>STDEV(H557:H561)</f>
        <v>86.9973736</v>
      </c>
      <c r="M559" s="70">
        <v>1.21410551098853</v>
      </c>
      <c r="N559" s="70">
        <v>1.21410551098853</v>
      </c>
      <c r="O559" s="70">
        <v>0.655265545492045</v>
      </c>
      <c r="P559" s="70">
        <v>0.655265545492045</v>
      </c>
    </row>
    <row r="560" hidden="1">
      <c r="A560" s="67" t="s">
        <v>1320</v>
      </c>
      <c r="B560" s="67" t="s">
        <v>268</v>
      </c>
      <c r="C560" s="68">
        <v>0.1</v>
      </c>
      <c r="D560" s="68">
        <v>0.25</v>
      </c>
      <c r="E560" s="68">
        <v>10.0</v>
      </c>
      <c r="F560" s="68">
        <v>3.0</v>
      </c>
      <c r="G560" s="68">
        <v>4.63353417568299</v>
      </c>
      <c r="H560" s="68">
        <v>201.219368028484</v>
      </c>
      <c r="I560" s="69">
        <v>44356.828680555554</v>
      </c>
      <c r="J560" s="69">
        <v>44356.90849537037</v>
      </c>
      <c r="K560">
        <f>AVERAGE(H557:H561)</f>
        <v>64.0696501</v>
      </c>
      <c r="L560">
        <f>STDEV(H557:H561)</f>
        <v>86.9973736</v>
      </c>
      <c r="M560" s="70">
        <v>201.219368028484</v>
      </c>
      <c r="N560" s="70">
        <v>201.219368028484</v>
      </c>
      <c r="O560" s="70">
        <v>4.63353417568299</v>
      </c>
      <c r="P560" s="70">
        <v>4.63353417568299</v>
      </c>
    </row>
    <row r="561" hidden="1">
      <c r="A561" s="67" t="s">
        <v>1321</v>
      </c>
      <c r="B561" s="67" t="s">
        <v>268</v>
      </c>
      <c r="C561" s="68">
        <v>0.1</v>
      </c>
      <c r="D561" s="68">
        <v>0.25</v>
      </c>
      <c r="E561" s="68">
        <v>10.0</v>
      </c>
      <c r="F561" s="68">
        <v>4.0</v>
      </c>
      <c r="G561" s="68">
        <v>2.53556470853017</v>
      </c>
      <c r="H561" s="68">
        <v>100.280672866899</v>
      </c>
      <c r="I561" s="69">
        <v>44356.90918981482</v>
      </c>
      <c r="J561" s="69">
        <v>44356.92292824074</v>
      </c>
      <c r="K561">
        <f>AVERAGE(H557:H561)</f>
        <v>64.0696501</v>
      </c>
      <c r="L561">
        <f>STDEV(H557:H561)</f>
        <v>86.9973736</v>
      </c>
      <c r="M561" s="70">
        <v>100.280672866899</v>
      </c>
      <c r="N561" s="70">
        <v>100.280672866899</v>
      </c>
      <c r="O561" s="70">
        <v>2.53556470853017</v>
      </c>
      <c r="P561" s="70">
        <v>2.53556470853017</v>
      </c>
    </row>
    <row r="562" hidden="1">
      <c r="A562" s="67" t="s">
        <v>1322</v>
      </c>
      <c r="B562" s="67" t="s">
        <v>268</v>
      </c>
      <c r="C562" s="68">
        <v>0.1</v>
      </c>
      <c r="D562" s="68">
        <v>0.5</v>
      </c>
      <c r="E562" s="68">
        <v>10.0</v>
      </c>
      <c r="F562" s="68">
        <v>0.0</v>
      </c>
      <c r="G562" s="68">
        <v>4.77447941072672</v>
      </c>
      <c r="H562" s="68">
        <v>161.026524322024</v>
      </c>
      <c r="I562" s="69">
        <v>44356.923622685186</v>
      </c>
      <c r="J562" s="69">
        <v>44356.924212962964</v>
      </c>
      <c r="K562">
        <f>AVERAGE(H562:H566)</f>
        <v>101.0069594</v>
      </c>
      <c r="L562">
        <f>STDEV(H562:H566)</f>
        <v>92.30923783</v>
      </c>
      <c r="M562" s="70">
        <v>161.026524322024</v>
      </c>
      <c r="N562" s="70">
        <v>161.026524322024</v>
      </c>
      <c r="O562" s="70">
        <v>4.77447941072672</v>
      </c>
      <c r="P562" s="70">
        <v>4.77447941072672</v>
      </c>
    </row>
    <row r="563" hidden="1">
      <c r="A563" s="67" t="s">
        <v>1323</v>
      </c>
      <c r="B563" s="67" t="s">
        <v>268</v>
      </c>
      <c r="C563" s="68">
        <v>0.1</v>
      </c>
      <c r="D563" s="68">
        <v>0.5</v>
      </c>
      <c r="E563" s="68">
        <v>10.0</v>
      </c>
      <c r="F563" s="68">
        <v>1.0</v>
      </c>
      <c r="G563" s="68">
        <v>4.079088732194</v>
      </c>
      <c r="H563" s="68">
        <v>188.497694352929</v>
      </c>
      <c r="I563" s="69">
        <v>44356.92490740741</v>
      </c>
      <c r="J563" s="69">
        <v>44356.96131944445</v>
      </c>
      <c r="K563">
        <f>AVERAGE(H562:H566)</f>
        <v>101.0069594</v>
      </c>
      <c r="L563">
        <f>STDEV(H562:H566)</f>
        <v>92.30923783</v>
      </c>
      <c r="M563" s="70">
        <v>188.497694352929</v>
      </c>
      <c r="N563" s="70">
        <v>188.497694352929</v>
      </c>
      <c r="O563" s="70">
        <v>4.079088732194</v>
      </c>
      <c r="P563" s="70">
        <v>4.079088732194</v>
      </c>
    </row>
    <row r="564" hidden="1">
      <c r="A564" s="67" t="s">
        <v>1324</v>
      </c>
      <c r="B564" s="67" t="s">
        <v>268</v>
      </c>
      <c r="C564" s="68">
        <v>0.1</v>
      </c>
      <c r="D564" s="68">
        <v>0.5</v>
      </c>
      <c r="E564" s="68">
        <v>10.0</v>
      </c>
      <c r="F564" s="68">
        <v>2.0</v>
      </c>
      <c r="G564" s="68">
        <v>3.55341675411528</v>
      </c>
      <c r="H564" s="68">
        <v>153.731219428798</v>
      </c>
      <c r="I564" s="69">
        <v>44356.962013888886</v>
      </c>
      <c r="J564" s="69">
        <v>44357.008252314816</v>
      </c>
      <c r="K564">
        <f>AVERAGE(H562:H566)</f>
        <v>101.0069594</v>
      </c>
      <c r="L564">
        <f>STDEV(H562:H566)</f>
        <v>92.30923783</v>
      </c>
      <c r="M564" s="70">
        <v>153.731219428798</v>
      </c>
      <c r="N564" s="70">
        <v>153.731219428798</v>
      </c>
      <c r="O564" s="70">
        <v>3.55341675411528</v>
      </c>
      <c r="P564" s="70">
        <v>3.55341675411528</v>
      </c>
    </row>
    <row r="565" hidden="1">
      <c r="A565" s="67" t="s">
        <v>1325</v>
      </c>
      <c r="B565" s="67" t="s">
        <v>268</v>
      </c>
      <c r="C565" s="68">
        <v>0.1</v>
      </c>
      <c r="D565" s="68">
        <v>0.5</v>
      </c>
      <c r="E565" s="68">
        <v>10.0</v>
      </c>
      <c r="F565" s="68">
        <v>3.0</v>
      </c>
      <c r="G565" s="68">
        <v>0.467682383480196</v>
      </c>
      <c r="H565" s="68">
        <v>0.559856325194396</v>
      </c>
      <c r="I565" s="69">
        <v>44357.00894675926</v>
      </c>
      <c r="J565" s="69">
        <v>44357.00931712963</v>
      </c>
      <c r="K565">
        <f>AVERAGE(H562:H566)</f>
        <v>101.0069594</v>
      </c>
      <c r="L565">
        <f>STDEV(H562:H566)</f>
        <v>92.30923783</v>
      </c>
      <c r="M565" s="70">
        <v>0.559856325194396</v>
      </c>
      <c r="N565" s="70">
        <v>0.559856325194396</v>
      </c>
      <c r="O565" s="70">
        <v>0.467682383480196</v>
      </c>
      <c r="P565" s="70">
        <v>0.467682383480196</v>
      </c>
    </row>
    <row r="566" hidden="1">
      <c r="A566" s="67" t="s">
        <v>1326</v>
      </c>
      <c r="B566" s="67" t="s">
        <v>268</v>
      </c>
      <c r="C566" s="68">
        <v>0.1</v>
      </c>
      <c r="D566" s="68">
        <v>0.5</v>
      </c>
      <c r="E566" s="68">
        <v>10.0</v>
      </c>
      <c r="F566" s="68">
        <v>4.0</v>
      </c>
      <c r="G566" s="68">
        <v>0.656984185773061</v>
      </c>
      <c r="H566" s="68">
        <v>1.21950242236589</v>
      </c>
      <c r="I566" s="69">
        <v>44357.01001157407</v>
      </c>
      <c r="J566" s="69">
        <v>44357.012094907404</v>
      </c>
      <c r="K566">
        <f>AVERAGE(H562:H566)</f>
        <v>101.0069594</v>
      </c>
      <c r="L566">
        <f>STDEV(H562:H566)</f>
        <v>92.30923783</v>
      </c>
      <c r="M566" s="70">
        <v>1.21950242236589</v>
      </c>
      <c r="N566" s="70">
        <v>1.21950242236589</v>
      </c>
      <c r="O566" s="70">
        <v>0.656984185773061</v>
      </c>
      <c r="P566" s="70">
        <v>0.656984185773061</v>
      </c>
    </row>
    <row r="567" hidden="1">
      <c r="A567" s="67" t="s">
        <v>1327</v>
      </c>
      <c r="B567" s="67" t="s">
        <v>268</v>
      </c>
      <c r="C567" s="68">
        <v>0.1</v>
      </c>
      <c r="D567" s="68">
        <v>0.75</v>
      </c>
      <c r="E567" s="68">
        <v>10.0</v>
      </c>
      <c r="F567" s="68">
        <v>0.0</v>
      </c>
      <c r="G567" s="68">
        <v>1.7285988594902</v>
      </c>
      <c r="H567" s="68">
        <v>27.8685310452731</v>
      </c>
      <c r="I567" s="69">
        <v>44357.01278935185</v>
      </c>
      <c r="J567" s="69">
        <v>44357.014398148145</v>
      </c>
      <c r="K567">
        <f>AVERAGE(H567:H571)</f>
        <v>105.365499</v>
      </c>
      <c r="L567">
        <f>STDEV(H567:H571)</f>
        <v>86.08244971</v>
      </c>
      <c r="M567" s="70">
        <v>27.8685310452731</v>
      </c>
      <c r="N567" s="70">
        <v>27.8685310452731</v>
      </c>
      <c r="O567" s="70">
        <v>1.7285988594902</v>
      </c>
      <c r="P567" s="70">
        <v>1.7285988594902</v>
      </c>
    </row>
    <row r="568" hidden="1">
      <c r="A568" s="67" t="s">
        <v>1328</v>
      </c>
      <c r="B568" s="67" t="s">
        <v>268</v>
      </c>
      <c r="C568" s="68">
        <v>0.1</v>
      </c>
      <c r="D568" s="68">
        <v>0.75</v>
      </c>
      <c r="E568" s="68">
        <v>10.0</v>
      </c>
      <c r="F568" s="68">
        <v>1.0</v>
      </c>
      <c r="G568" s="68">
        <v>4.02055817371685</v>
      </c>
      <c r="H568" s="68">
        <v>178.283415131134</v>
      </c>
      <c r="I568" s="69">
        <v>44357.01509259259</v>
      </c>
      <c r="J568" s="69">
        <v>44357.141122685185</v>
      </c>
      <c r="K568">
        <f>AVERAGE(H567:H571)</f>
        <v>105.365499</v>
      </c>
      <c r="L568">
        <f>STDEV(H567:H571)</f>
        <v>86.08244971</v>
      </c>
      <c r="M568" s="70">
        <v>178.283415131134</v>
      </c>
      <c r="N568" s="70">
        <v>178.283415131134</v>
      </c>
      <c r="O568" s="70">
        <v>4.02055817371685</v>
      </c>
      <c r="P568" s="70">
        <v>4.02055817371685</v>
      </c>
    </row>
    <row r="569" hidden="1">
      <c r="A569" s="67" t="s">
        <v>1329</v>
      </c>
      <c r="B569" s="67" t="s">
        <v>268</v>
      </c>
      <c r="C569" s="68">
        <v>0.1</v>
      </c>
      <c r="D569" s="68">
        <v>0.75</v>
      </c>
      <c r="E569" s="68">
        <v>10.0</v>
      </c>
      <c r="F569" s="68">
        <v>2.0</v>
      </c>
      <c r="G569" s="68">
        <v>0.655883500928274</v>
      </c>
      <c r="H569" s="68">
        <v>1.21579677552619</v>
      </c>
      <c r="I569" s="69">
        <v>44357.14181712963</v>
      </c>
      <c r="J569" s="69">
        <v>44357.14361111111</v>
      </c>
      <c r="K569">
        <f>AVERAGE(H567:H571)</f>
        <v>105.365499</v>
      </c>
      <c r="L569">
        <f>STDEV(H567:H571)</f>
        <v>86.08244971</v>
      </c>
      <c r="M569" s="70">
        <v>1.21579677552619</v>
      </c>
      <c r="N569" s="70">
        <v>1.21579677552619</v>
      </c>
      <c r="O569" s="70">
        <v>0.655883500928274</v>
      </c>
      <c r="P569" s="70">
        <v>0.655883500928274</v>
      </c>
    </row>
    <row r="570" hidden="1">
      <c r="A570" s="67" t="s">
        <v>1330</v>
      </c>
      <c r="B570" s="67" t="s">
        <v>268</v>
      </c>
      <c r="C570" s="68">
        <v>0.1</v>
      </c>
      <c r="D570" s="68">
        <v>0.75</v>
      </c>
      <c r="E570" s="68">
        <v>10.0</v>
      </c>
      <c r="F570" s="68">
        <v>3.0</v>
      </c>
      <c r="G570" s="68">
        <v>2.48827350719733</v>
      </c>
      <c r="H570" s="68">
        <v>131.803019410388</v>
      </c>
      <c r="I570" s="69">
        <v>44357.14430555556</v>
      </c>
      <c r="J570" s="69">
        <v>44357.14475694444</v>
      </c>
      <c r="K570">
        <f>AVERAGE(H567:H571)</f>
        <v>105.365499</v>
      </c>
      <c r="L570">
        <f>STDEV(H567:H571)</f>
        <v>86.08244971</v>
      </c>
      <c r="M570" s="70">
        <v>131.803019410388</v>
      </c>
      <c r="N570" s="70">
        <v>131.803019410388</v>
      </c>
      <c r="O570" s="70">
        <v>2.48827350719733</v>
      </c>
      <c r="P570" s="70">
        <v>2.48827350719733</v>
      </c>
    </row>
    <row r="571" hidden="1">
      <c r="A571" s="67" t="s">
        <v>1331</v>
      </c>
      <c r="B571" s="67" t="s">
        <v>268</v>
      </c>
      <c r="C571" s="68">
        <v>0.1</v>
      </c>
      <c r="D571" s="68">
        <v>0.75</v>
      </c>
      <c r="E571" s="68">
        <v>10.0</v>
      </c>
      <c r="F571" s="68">
        <v>4.0</v>
      </c>
      <c r="G571" s="68">
        <v>6.07165317565294</v>
      </c>
      <c r="H571" s="68">
        <v>187.656732416688</v>
      </c>
      <c r="I571" s="69">
        <v>44357.14545138889</v>
      </c>
      <c r="J571" s="69">
        <v>44357.14554398148</v>
      </c>
      <c r="K571">
        <f>AVERAGE(H567:H571)</f>
        <v>105.365499</v>
      </c>
      <c r="L571">
        <f>STDEV(H567:H571)</f>
        <v>86.08244971</v>
      </c>
      <c r="M571" s="70">
        <v>187.656732416688</v>
      </c>
      <c r="N571" s="70">
        <v>187.656732416688</v>
      </c>
      <c r="O571" s="70">
        <v>6.07165317565294</v>
      </c>
      <c r="P571" s="70">
        <v>6.07165317565294</v>
      </c>
    </row>
    <row r="572" hidden="1">
      <c r="A572" s="67" t="s">
        <v>1332</v>
      </c>
      <c r="B572" s="67" t="s">
        <v>268</v>
      </c>
      <c r="C572" s="68">
        <v>0.1</v>
      </c>
      <c r="D572" s="68">
        <v>1.0</v>
      </c>
      <c r="E572" s="68">
        <v>10.0</v>
      </c>
      <c r="F572" s="68">
        <v>0.0</v>
      </c>
      <c r="G572" s="68">
        <v>5.86645125216966</v>
      </c>
      <c r="H572" s="68">
        <v>225.314028004347</v>
      </c>
      <c r="I572" s="69">
        <v>44357.14623842593</v>
      </c>
      <c r="J572" s="69">
        <v>44357.22393518518</v>
      </c>
      <c r="K572">
        <f>AVERAGE(H572:H576)</f>
        <v>54.40852626</v>
      </c>
      <c r="L572">
        <f>STDEV(H572:H576)</f>
        <v>97.27248853</v>
      </c>
      <c r="M572" s="70">
        <v>225.314028004347</v>
      </c>
      <c r="N572" s="70">
        <v>225.314028004347</v>
      </c>
      <c r="O572" s="70">
        <v>5.86645125216966</v>
      </c>
      <c r="P572" s="70">
        <v>5.86645125216966</v>
      </c>
    </row>
    <row r="573" hidden="1">
      <c r="A573" s="67" t="s">
        <v>1333</v>
      </c>
      <c r="B573" s="67" t="s">
        <v>268</v>
      </c>
      <c r="C573" s="68">
        <v>0.1</v>
      </c>
      <c r="D573" s="68">
        <v>1.0</v>
      </c>
      <c r="E573" s="68">
        <v>10.0</v>
      </c>
      <c r="F573" s="68">
        <v>1.0</v>
      </c>
      <c r="G573" s="68">
        <v>1.10047942340223</v>
      </c>
      <c r="H573" s="68">
        <v>1.8846569151477</v>
      </c>
      <c r="I573" s="69">
        <v>44357.22462962963</v>
      </c>
      <c r="J573" s="69">
        <v>44357.2246875</v>
      </c>
      <c r="K573">
        <f>AVERAGE(H572:H576)</f>
        <v>54.40852626</v>
      </c>
      <c r="L573">
        <f>STDEV(H572:H576)</f>
        <v>97.27248853</v>
      </c>
      <c r="M573" s="70">
        <v>1.8846569151477</v>
      </c>
      <c r="N573" s="70">
        <v>1.8846569151477</v>
      </c>
      <c r="O573" s="70">
        <v>1.10047942340223</v>
      </c>
      <c r="P573" s="70">
        <v>1.10047942340223</v>
      </c>
    </row>
    <row r="574" hidden="1">
      <c r="A574" s="67" t="s">
        <v>1334</v>
      </c>
      <c r="B574" s="67" t="s">
        <v>268</v>
      </c>
      <c r="C574" s="68">
        <v>0.1</v>
      </c>
      <c r="D574" s="68">
        <v>1.0</v>
      </c>
      <c r="E574" s="68">
        <v>10.0</v>
      </c>
      <c r="F574" s="68">
        <v>2.0</v>
      </c>
      <c r="G574" s="68">
        <v>1.24905051058985</v>
      </c>
      <c r="H574" s="68">
        <v>43.3360167257905</v>
      </c>
      <c r="I574" s="69">
        <v>44357.225381944445</v>
      </c>
      <c r="J574" s="69">
        <v>44357.26515046296</v>
      </c>
      <c r="K574">
        <f>AVERAGE(H572:H576)</f>
        <v>54.40852626</v>
      </c>
      <c r="L574">
        <f>STDEV(H572:H576)</f>
        <v>97.27248853</v>
      </c>
      <c r="M574" s="70">
        <v>43.3360167257905</v>
      </c>
      <c r="N574" s="70">
        <v>43.3360167257905</v>
      </c>
      <c r="O574" s="70">
        <v>1.24905051058985</v>
      </c>
      <c r="P574" s="70">
        <v>1.24905051058985</v>
      </c>
    </row>
    <row r="575" hidden="1">
      <c r="A575" s="67" t="s">
        <v>1335</v>
      </c>
      <c r="B575" s="67" t="s">
        <v>268</v>
      </c>
      <c r="C575" s="68">
        <v>0.1</v>
      </c>
      <c r="D575" s="68">
        <v>1.0</v>
      </c>
      <c r="E575" s="68">
        <v>10.0</v>
      </c>
      <c r="F575" s="68">
        <v>3.0</v>
      </c>
      <c r="G575" s="68">
        <v>0.712416211018699</v>
      </c>
      <c r="H575" s="68">
        <v>0.949323412726235</v>
      </c>
      <c r="I575" s="69">
        <v>44357.26584490741</v>
      </c>
      <c r="J575" s="69">
        <v>44357.26630787037</v>
      </c>
      <c r="K575">
        <f>AVERAGE(H572:H576)</f>
        <v>54.40852626</v>
      </c>
      <c r="L575">
        <f>STDEV(H572:H576)</f>
        <v>97.27248853</v>
      </c>
      <c r="M575" s="70">
        <v>0.949323412726235</v>
      </c>
      <c r="N575" s="70">
        <v>0.949323412726235</v>
      </c>
      <c r="O575" s="70">
        <v>0.712416211018699</v>
      </c>
      <c r="P575" s="70">
        <v>0.712416211018699</v>
      </c>
    </row>
    <row r="576" hidden="1">
      <c r="A576" s="67" t="s">
        <v>1336</v>
      </c>
      <c r="B576" s="67" t="s">
        <v>268</v>
      </c>
      <c r="C576" s="68">
        <v>0.1</v>
      </c>
      <c r="D576" s="68">
        <v>1.0</v>
      </c>
      <c r="E576" s="68">
        <v>10.0</v>
      </c>
      <c r="F576" s="68">
        <v>4.0</v>
      </c>
      <c r="G576" s="68">
        <v>0.466444497826358</v>
      </c>
      <c r="H576" s="68">
        <v>0.558606262697379</v>
      </c>
      <c r="I576" s="69">
        <v>44357.26700231482</v>
      </c>
      <c r="J576" s="69">
        <v>44357.26736111111</v>
      </c>
      <c r="K576">
        <f>AVERAGE(H572:H576)</f>
        <v>54.40852626</v>
      </c>
      <c r="L576">
        <f>STDEV(H572:H576)</f>
        <v>97.27248853</v>
      </c>
      <c r="M576" s="70">
        <v>0.558606262697379</v>
      </c>
      <c r="N576" s="70">
        <v>0.558606262697379</v>
      </c>
      <c r="O576" s="70">
        <v>0.466444497826358</v>
      </c>
      <c r="P576" s="70">
        <v>0.466444497826358</v>
      </c>
    </row>
    <row r="577" hidden="1">
      <c r="A577" s="67" t="s">
        <v>1337</v>
      </c>
      <c r="B577" s="67" t="s">
        <v>268</v>
      </c>
      <c r="C577" s="68">
        <v>0.25</v>
      </c>
      <c r="D577" s="68">
        <v>0.1</v>
      </c>
      <c r="E577" s="68">
        <v>10.0</v>
      </c>
      <c r="F577" s="68">
        <v>0.0</v>
      </c>
      <c r="G577" s="68">
        <v>8.27524406545836</v>
      </c>
      <c r="H577" s="68">
        <v>288.591419371839</v>
      </c>
      <c r="I577" s="69">
        <v>44295.01420138889</v>
      </c>
      <c r="J577" s="69">
        <v>44295.01700231482</v>
      </c>
      <c r="K577">
        <f>AVERAGE(H577:H581)</f>
        <v>183.5046937</v>
      </c>
      <c r="L577">
        <f>STDEV(H577:H581)</f>
        <v>63.2240822</v>
      </c>
      <c r="M577" s="70">
        <v>288.591419371839</v>
      </c>
      <c r="N577" s="70">
        <v>288.591419371839</v>
      </c>
      <c r="O577" s="70">
        <v>8.27524406545836</v>
      </c>
      <c r="P577" s="70">
        <v>8.27524406545836</v>
      </c>
    </row>
    <row r="578" hidden="1">
      <c r="A578" s="67" t="s">
        <v>1338</v>
      </c>
      <c r="B578" s="67" t="s">
        <v>268</v>
      </c>
      <c r="C578" s="68">
        <v>0.25</v>
      </c>
      <c r="D578" s="68">
        <v>0.1</v>
      </c>
      <c r="E578" s="68">
        <v>10.0</v>
      </c>
      <c r="F578" s="68">
        <v>1.0</v>
      </c>
      <c r="G578" s="68">
        <v>2.74099835209853</v>
      </c>
      <c r="H578" s="68">
        <v>137.31977807451</v>
      </c>
      <c r="I578" s="69">
        <v>44295.017696759256</v>
      </c>
      <c r="J578" s="69">
        <v>44295.17842592593</v>
      </c>
      <c r="K578">
        <f>AVERAGE(H577:H581)</f>
        <v>183.5046937</v>
      </c>
      <c r="L578">
        <f>STDEV(H577:H581)</f>
        <v>63.2240822</v>
      </c>
      <c r="M578" s="70">
        <v>137.31977807451</v>
      </c>
      <c r="N578" s="70">
        <v>137.31977807451</v>
      </c>
      <c r="O578" s="70">
        <v>2.74099835209853</v>
      </c>
      <c r="P578" s="70">
        <v>2.74099835209853</v>
      </c>
    </row>
    <row r="579" hidden="1">
      <c r="A579" s="67" t="s">
        <v>1339</v>
      </c>
      <c r="B579" s="67" t="s">
        <v>268</v>
      </c>
      <c r="C579" s="68">
        <v>0.25</v>
      </c>
      <c r="D579" s="68">
        <v>0.1</v>
      </c>
      <c r="E579" s="68">
        <v>10.0</v>
      </c>
      <c r="F579" s="68">
        <v>2.0</v>
      </c>
      <c r="G579" s="68">
        <v>2.48827350719733</v>
      </c>
      <c r="H579" s="68">
        <v>131.803019410388</v>
      </c>
      <c r="I579" s="69">
        <v>44295.17912037037</v>
      </c>
      <c r="J579" s="69">
        <v>44295.179618055554</v>
      </c>
      <c r="K579">
        <f>AVERAGE(H577:H581)</f>
        <v>183.5046937</v>
      </c>
      <c r="L579">
        <f>STDEV(H577:H581)</f>
        <v>63.2240822</v>
      </c>
      <c r="M579" s="70">
        <v>131.803019410388</v>
      </c>
      <c r="N579" s="70">
        <v>131.803019410388</v>
      </c>
      <c r="O579" s="70">
        <v>2.48827350719733</v>
      </c>
      <c r="P579" s="70">
        <v>2.48827350719733</v>
      </c>
    </row>
    <row r="580" hidden="1">
      <c r="A580" s="67" t="s">
        <v>1340</v>
      </c>
      <c r="B580" s="67" t="s">
        <v>268</v>
      </c>
      <c r="C580" s="68">
        <v>0.25</v>
      </c>
      <c r="D580" s="68">
        <v>0.1</v>
      </c>
      <c r="E580" s="68">
        <v>10.0</v>
      </c>
      <c r="F580" s="68">
        <v>3.0</v>
      </c>
      <c r="G580" s="68">
        <v>4.63621379287052</v>
      </c>
      <c r="H580" s="68">
        <v>172.358506468544</v>
      </c>
      <c r="I580" s="69">
        <v>44295.1803125</v>
      </c>
      <c r="J580" s="69">
        <v>44295.180659722224</v>
      </c>
      <c r="K580">
        <f>AVERAGE(H577:H581)</f>
        <v>183.5046937</v>
      </c>
      <c r="L580">
        <f>STDEV(H577:H581)</f>
        <v>63.2240822</v>
      </c>
      <c r="M580" s="70">
        <v>172.358506468544</v>
      </c>
      <c r="N580" s="70">
        <v>172.358506468544</v>
      </c>
      <c r="O580" s="70">
        <v>4.63621379287052</v>
      </c>
      <c r="P580" s="70">
        <v>4.63621379287052</v>
      </c>
    </row>
    <row r="581" hidden="1">
      <c r="A581" s="67" t="s">
        <v>1341</v>
      </c>
      <c r="B581" s="67" t="s">
        <v>268</v>
      </c>
      <c r="C581" s="68">
        <v>0.25</v>
      </c>
      <c r="D581" s="68">
        <v>0.1</v>
      </c>
      <c r="E581" s="68">
        <v>10.0</v>
      </c>
      <c r="F581" s="68">
        <v>4.0</v>
      </c>
      <c r="G581" s="68">
        <v>6.05897582773374</v>
      </c>
      <c r="H581" s="68">
        <v>187.450744951483</v>
      </c>
      <c r="I581" s="69">
        <v>44295.18135416666</v>
      </c>
      <c r="J581" s="69">
        <v>44295.18145833333</v>
      </c>
      <c r="K581">
        <f>AVERAGE(H577:H581)</f>
        <v>183.5046937</v>
      </c>
      <c r="L581">
        <f>STDEV(H577:H581)</f>
        <v>63.2240822</v>
      </c>
      <c r="M581" s="70">
        <v>187.450744951483</v>
      </c>
      <c r="N581" s="70">
        <v>187.450744951483</v>
      </c>
      <c r="O581" s="70">
        <v>6.05897582773374</v>
      </c>
      <c r="P581" s="70">
        <v>6.05897582773374</v>
      </c>
    </row>
    <row r="582" hidden="1">
      <c r="A582" s="67" t="s">
        <v>1342</v>
      </c>
      <c r="B582" s="67" t="s">
        <v>268</v>
      </c>
      <c r="C582" s="68">
        <v>0.25</v>
      </c>
      <c r="D582" s="68">
        <v>0.25</v>
      </c>
      <c r="E582" s="68">
        <v>10.0</v>
      </c>
      <c r="F582" s="68">
        <v>0.0</v>
      </c>
      <c r="G582" s="68">
        <v>4.77003735532766</v>
      </c>
      <c r="H582" s="68">
        <v>161.005943137983</v>
      </c>
      <c r="I582" s="69">
        <v>44357.268055555556</v>
      </c>
      <c r="J582" s="69">
        <v>44357.268483796295</v>
      </c>
      <c r="K582">
        <f>AVERAGE(H582:H586)</f>
        <v>89.40237855</v>
      </c>
      <c r="L582">
        <f>STDEV(H582:H586)</f>
        <v>85.54114435</v>
      </c>
      <c r="M582" s="70">
        <v>161.005943137983</v>
      </c>
      <c r="N582" s="70">
        <v>161.005943137983</v>
      </c>
      <c r="O582" s="70">
        <v>4.77003735532766</v>
      </c>
      <c r="P582" s="70">
        <v>4.77003735532766</v>
      </c>
    </row>
    <row r="583" hidden="1">
      <c r="A583" s="67" t="s">
        <v>1343</v>
      </c>
      <c r="B583" s="67" t="s">
        <v>268</v>
      </c>
      <c r="C583" s="68">
        <v>0.25</v>
      </c>
      <c r="D583" s="68">
        <v>0.25</v>
      </c>
      <c r="E583" s="68">
        <v>10.0</v>
      </c>
      <c r="F583" s="68">
        <v>1.0</v>
      </c>
      <c r="G583" s="68">
        <v>1.97976977271765</v>
      </c>
      <c r="H583" s="68">
        <v>103.015762571996</v>
      </c>
      <c r="I583" s="69">
        <v>44357.26917824074</v>
      </c>
      <c r="J583" s="69">
        <v>44357.27033564815</v>
      </c>
      <c r="K583">
        <f>AVERAGE(H582:H586)</f>
        <v>89.40237855</v>
      </c>
      <c r="L583">
        <f>STDEV(H582:H586)</f>
        <v>85.54114435</v>
      </c>
      <c r="M583" s="70">
        <v>103.015762571996</v>
      </c>
      <c r="N583" s="70">
        <v>103.015762571996</v>
      </c>
      <c r="O583" s="70">
        <v>1.97976977271765</v>
      </c>
      <c r="P583" s="70">
        <v>1.97976977271765</v>
      </c>
    </row>
    <row r="584" hidden="1">
      <c r="A584" s="67" t="s">
        <v>1344</v>
      </c>
      <c r="B584" s="67" t="s">
        <v>268</v>
      </c>
      <c r="C584" s="68">
        <v>0.25</v>
      </c>
      <c r="D584" s="68">
        <v>0.25</v>
      </c>
      <c r="E584" s="68">
        <v>10.0</v>
      </c>
      <c r="F584" s="68">
        <v>2.0</v>
      </c>
      <c r="G584" s="68">
        <v>0.655018534491334</v>
      </c>
      <c r="H584" s="68">
        <v>1.21572571168956</v>
      </c>
      <c r="I584" s="69">
        <v>44357.27103009259</v>
      </c>
      <c r="J584" s="69">
        <v>44357.27287037037</v>
      </c>
      <c r="K584">
        <f>AVERAGE(H582:H586)</f>
        <v>89.40237855</v>
      </c>
      <c r="L584">
        <f>STDEV(H582:H586)</f>
        <v>85.54114435</v>
      </c>
      <c r="M584" s="70">
        <v>1.21572571168956</v>
      </c>
      <c r="N584" s="70">
        <v>1.21572571168956</v>
      </c>
      <c r="O584" s="70">
        <v>0.655018534491334</v>
      </c>
      <c r="P584" s="70">
        <v>0.655018534491334</v>
      </c>
    </row>
    <row r="585" hidden="1">
      <c r="A585" s="67" t="s">
        <v>1345</v>
      </c>
      <c r="B585" s="67" t="s">
        <v>268</v>
      </c>
      <c r="C585" s="68">
        <v>0.25</v>
      </c>
      <c r="D585" s="68">
        <v>0.25</v>
      </c>
      <c r="E585" s="68">
        <v>10.0</v>
      </c>
      <c r="F585" s="68">
        <v>3.0</v>
      </c>
      <c r="G585" s="68">
        <v>0.739421948270547</v>
      </c>
      <c r="H585" s="68">
        <v>0.95542451385423</v>
      </c>
      <c r="I585" s="69">
        <v>44357.273564814815</v>
      </c>
      <c r="J585" s="69">
        <v>44357.27395833333</v>
      </c>
      <c r="K585">
        <f>AVERAGE(H582:H586)</f>
        <v>89.40237855</v>
      </c>
      <c r="L585">
        <f>STDEV(H582:H586)</f>
        <v>85.54114435</v>
      </c>
      <c r="M585" s="70">
        <v>0.95542451385423</v>
      </c>
      <c r="N585" s="70">
        <v>0.95542451385423</v>
      </c>
      <c r="O585" s="70">
        <v>0.739421948270547</v>
      </c>
      <c r="P585" s="70">
        <v>0.739421948270547</v>
      </c>
    </row>
    <row r="586" hidden="1">
      <c r="A586" s="67" t="s">
        <v>1346</v>
      </c>
      <c r="B586" s="67" t="s">
        <v>268</v>
      </c>
      <c r="C586" s="68">
        <v>0.25</v>
      </c>
      <c r="D586" s="68">
        <v>0.25</v>
      </c>
      <c r="E586" s="68">
        <v>10.0</v>
      </c>
      <c r="F586" s="68">
        <v>4.0</v>
      </c>
      <c r="G586" s="68">
        <v>4.09522761098389</v>
      </c>
      <c r="H586" s="68">
        <v>180.819036800138</v>
      </c>
      <c r="I586" s="69">
        <v>44357.27465277778</v>
      </c>
      <c r="J586" s="69">
        <v>44357.405497685184</v>
      </c>
      <c r="K586">
        <f>AVERAGE(H582:H586)</f>
        <v>89.40237855</v>
      </c>
      <c r="L586">
        <f>STDEV(H582:H586)</f>
        <v>85.54114435</v>
      </c>
      <c r="M586" s="70">
        <v>180.819036800138</v>
      </c>
      <c r="N586" s="70">
        <v>180.819036800138</v>
      </c>
      <c r="O586" s="70">
        <v>4.09522761098389</v>
      </c>
      <c r="P586" s="70">
        <v>4.09522761098389</v>
      </c>
    </row>
    <row r="587" hidden="1">
      <c r="A587" s="67" t="s">
        <v>1347</v>
      </c>
      <c r="B587" s="67" t="s">
        <v>268</v>
      </c>
      <c r="C587" s="68">
        <v>0.25</v>
      </c>
      <c r="D587" s="68">
        <v>0.5</v>
      </c>
      <c r="E587" s="68">
        <v>10.0</v>
      </c>
      <c r="F587" s="68">
        <v>0.0</v>
      </c>
      <c r="G587" s="68">
        <v>3.37093241845278</v>
      </c>
      <c r="H587" s="68">
        <v>153.992484355964</v>
      </c>
      <c r="I587" s="69">
        <v>44357.40619212963</v>
      </c>
      <c r="J587" s="69">
        <v>44357.591840277775</v>
      </c>
      <c r="K587">
        <f>AVERAGE(H587:H591)</f>
        <v>128.9285651</v>
      </c>
      <c r="L587">
        <f>STDEV(H587:H591)</f>
        <v>72.06508072</v>
      </c>
      <c r="M587" s="70">
        <v>153.992484355964</v>
      </c>
      <c r="N587" s="70">
        <v>153.992484355964</v>
      </c>
      <c r="O587" s="70">
        <v>3.37093241845278</v>
      </c>
      <c r="P587" s="70">
        <v>3.37093241845278</v>
      </c>
    </row>
    <row r="588" hidden="1">
      <c r="A588" s="67" t="s">
        <v>1348</v>
      </c>
      <c r="B588" s="67" t="s">
        <v>268</v>
      </c>
      <c r="C588" s="68">
        <v>0.25</v>
      </c>
      <c r="D588" s="68">
        <v>0.5</v>
      </c>
      <c r="E588" s="68">
        <v>10.0</v>
      </c>
      <c r="F588" s="68">
        <v>1.0</v>
      </c>
      <c r="G588" s="68">
        <v>0.467187299586246</v>
      </c>
      <c r="H588" s="68">
        <v>0.559434604263913</v>
      </c>
      <c r="I588" s="69">
        <v>44357.5925462963</v>
      </c>
      <c r="J588" s="69">
        <v>44357.59284722222</v>
      </c>
      <c r="K588">
        <f>AVERAGE(H587:H591)</f>
        <v>128.9285651</v>
      </c>
      <c r="L588">
        <f>STDEV(H587:H591)</f>
        <v>72.06508072</v>
      </c>
      <c r="M588" s="70">
        <v>0.559434604263913</v>
      </c>
      <c r="N588" s="70">
        <v>0.559434604263913</v>
      </c>
      <c r="O588" s="70">
        <v>0.467187299586246</v>
      </c>
      <c r="P588" s="70">
        <v>0.467187299586246</v>
      </c>
    </row>
    <row r="589" hidden="1">
      <c r="A589" s="67" t="s">
        <v>1349</v>
      </c>
      <c r="B589" s="67" t="s">
        <v>268</v>
      </c>
      <c r="C589" s="68">
        <v>0.25</v>
      </c>
      <c r="D589" s="68">
        <v>0.5</v>
      </c>
      <c r="E589" s="68">
        <v>10.0</v>
      </c>
      <c r="F589" s="68">
        <v>2.0</v>
      </c>
      <c r="G589" s="68">
        <v>3.49383002814335</v>
      </c>
      <c r="H589" s="68">
        <v>165.542041556563</v>
      </c>
      <c r="I589" s="69">
        <v>44357.59354166667</v>
      </c>
      <c r="J589" s="69">
        <v>44357.622025462966</v>
      </c>
      <c r="K589">
        <f>AVERAGE(H587:H591)</f>
        <v>128.9285651</v>
      </c>
      <c r="L589">
        <f>STDEV(H587:H591)</f>
        <v>72.06508072</v>
      </c>
      <c r="M589" s="70">
        <v>165.542041556563</v>
      </c>
      <c r="N589" s="70">
        <v>165.542041556563</v>
      </c>
      <c r="O589" s="70">
        <v>3.49383002814335</v>
      </c>
      <c r="P589" s="70">
        <v>3.49383002814335</v>
      </c>
    </row>
    <row r="590" hidden="1">
      <c r="A590" s="67" t="s">
        <v>1350</v>
      </c>
      <c r="B590" s="67" t="s">
        <v>268</v>
      </c>
      <c r="C590" s="68">
        <v>0.25</v>
      </c>
      <c r="D590" s="68">
        <v>0.5</v>
      </c>
      <c r="E590" s="68">
        <v>10.0</v>
      </c>
      <c r="F590" s="68">
        <v>3.0</v>
      </c>
      <c r="G590" s="68">
        <v>4.95412374415906</v>
      </c>
      <c r="H590" s="68">
        <v>155.124980405851</v>
      </c>
      <c r="I590" s="69">
        <v>44357.622719907406</v>
      </c>
      <c r="J590" s="69">
        <v>44357.62284722222</v>
      </c>
      <c r="K590">
        <f>AVERAGE(H587:H591)</f>
        <v>128.9285651</v>
      </c>
      <c r="L590">
        <f>STDEV(H587:H591)</f>
        <v>72.06508072</v>
      </c>
      <c r="M590" s="70">
        <v>155.124980405851</v>
      </c>
      <c r="N590" s="70">
        <v>155.124980405851</v>
      </c>
      <c r="O590" s="70">
        <v>4.95412374415906</v>
      </c>
      <c r="P590" s="70">
        <v>4.95412374415906</v>
      </c>
    </row>
    <row r="591" hidden="1">
      <c r="A591" s="67" t="s">
        <v>1351</v>
      </c>
      <c r="B591" s="67" t="s">
        <v>268</v>
      </c>
      <c r="C591" s="68">
        <v>0.25</v>
      </c>
      <c r="D591" s="68">
        <v>0.5</v>
      </c>
      <c r="E591" s="68">
        <v>10.0</v>
      </c>
      <c r="F591" s="68">
        <v>4.0</v>
      </c>
      <c r="G591" s="68">
        <v>4.44031492239039</v>
      </c>
      <c r="H591" s="68">
        <v>169.423884497296</v>
      </c>
      <c r="I591" s="69">
        <v>44357.62354166667</v>
      </c>
      <c r="J591" s="69">
        <v>44357.62364583334</v>
      </c>
      <c r="K591">
        <f>AVERAGE(H587:H591)</f>
        <v>128.9285651</v>
      </c>
      <c r="L591">
        <f>STDEV(H587:H591)</f>
        <v>72.06508072</v>
      </c>
      <c r="M591" s="70">
        <v>169.423884497296</v>
      </c>
      <c r="N591" s="70">
        <v>169.423884497296</v>
      </c>
      <c r="O591" s="70">
        <v>4.44031492239039</v>
      </c>
      <c r="P591" s="70">
        <v>4.44031492239039</v>
      </c>
    </row>
    <row r="592" hidden="1">
      <c r="A592" s="67" t="s">
        <v>1352</v>
      </c>
      <c r="B592" s="67" t="s">
        <v>268</v>
      </c>
      <c r="C592" s="68">
        <v>0.25</v>
      </c>
      <c r="D592" s="68">
        <v>0.75</v>
      </c>
      <c r="E592" s="68">
        <v>10.0</v>
      </c>
      <c r="F592" s="68">
        <v>0.0</v>
      </c>
      <c r="G592" s="68">
        <v>0.712647031637279</v>
      </c>
      <c r="H592" s="68">
        <v>0.949268918176112</v>
      </c>
      <c r="I592" s="69">
        <v>44357.624340277776</v>
      </c>
      <c r="J592" s="69">
        <v>44357.62483796296</v>
      </c>
      <c r="K592">
        <f>AVERAGE(H592:H596)</f>
        <v>151.0222698</v>
      </c>
      <c r="L592">
        <f>STDEV(H592:H596)</f>
        <v>102.989909</v>
      </c>
      <c r="M592" s="70">
        <v>0.949268918176112</v>
      </c>
      <c r="N592" s="70">
        <v>0.949268918176112</v>
      </c>
      <c r="O592" s="70">
        <v>0.712647031637279</v>
      </c>
      <c r="P592" s="70">
        <v>0.712647031637279</v>
      </c>
    </row>
    <row r="593" hidden="1">
      <c r="A593" s="67" t="s">
        <v>1353</v>
      </c>
      <c r="B593" s="67" t="s">
        <v>268</v>
      </c>
      <c r="C593" s="68">
        <v>0.25</v>
      </c>
      <c r="D593" s="68">
        <v>0.75</v>
      </c>
      <c r="E593" s="68">
        <v>10.0</v>
      </c>
      <c r="F593" s="68">
        <v>1.0</v>
      </c>
      <c r="G593" s="68">
        <v>3.16905438549563</v>
      </c>
      <c r="H593" s="68">
        <v>154.01520893961</v>
      </c>
      <c r="I593" s="69">
        <v>44357.62553240741</v>
      </c>
      <c r="J593" s="69">
        <v>44357.68475694444</v>
      </c>
      <c r="K593">
        <f>AVERAGE(H592:H596)</f>
        <v>151.0222698</v>
      </c>
      <c r="L593">
        <f>STDEV(H592:H596)</f>
        <v>102.989909</v>
      </c>
      <c r="M593" s="70">
        <v>154.01520893961</v>
      </c>
      <c r="N593" s="70">
        <v>154.01520893961</v>
      </c>
      <c r="O593" s="70">
        <v>3.16905438549563</v>
      </c>
      <c r="P593" s="70">
        <v>3.16905438549563</v>
      </c>
    </row>
    <row r="594" hidden="1">
      <c r="A594" s="67" t="s">
        <v>1354</v>
      </c>
      <c r="B594" s="67" t="s">
        <v>268</v>
      </c>
      <c r="C594" s="68">
        <v>0.25</v>
      </c>
      <c r="D594" s="68">
        <v>0.75</v>
      </c>
      <c r="E594" s="68">
        <v>10.0</v>
      </c>
      <c r="F594" s="68">
        <v>2.0</v>
      </c>
      <c r="G594" s="68">
        <v>8.18248809995411</v>
      </c>
      <c r="H594" s="68">
        <v>285.433492432174</v>
      </c>
      <c r="I594" s="69">
        <v>44357.68545138889</v>
      </c>
      <c r="J594" s="69">
        <v>44357.68672453704</v>
      </c>
      <c r="K594">
        <f>AVERAGE(H592:H596)</f>
        <v>151.0222698</v>
      </c>
      <c r="L594">
        <f>STDEV(H592:H596)</f>
        <v>102.989909</v>
      </c>
      <c r="M594" s="70">
        <v>285.433492432174</v>
      </c>
      <c r="N594" s="70">
        <v>285.433492432174</v>
      </c>
      <c r="O594" s="70">
        <v>8.18248809995411</v>
      </c>
      <c r="P594" s="70">
        <v>8.18248809995411</v>
      </c>
    </row>
    <row r="595" hidden="1">
      <c r="A595" s="67" t="s">
        <v>1355</v>
      </c>
      <c r="B595" s="67" t="s">
        <v>268</v>
      </c>
      <c r="C595" s="68">
        <v>0.25</v>
      </c>
      <c r="D595" s="68">
        <v>0.75</v>
      </c>
      <c r="E595" s="68">
        <v>10.0</v>
      </c>
      <c r="F595" s="68">
        <v>3.0</v>
      </c>
      <c r="G595" s="68">
        <v>6.02984202233938</v>
      </c>
      <c r="H595" s="68">
        <v>186.938741694307</v>
      </c>
      <c r="I595" s="69">
        <v>44357.687418981484</v>
      </c>
      <c r="J595" s="69">
        <v>44357.687523148146</v>
      </c>
      <c r="K595">
        <f>AVERAGE(H592:H596)</f>
        <v>151.0222698</v>
      </c>
      <c r="L595">
        <f>STDEV(H592:H596)</f>
        <v>102.989909</v>
      </c>
      <c r="M595" s="70">
        <v>186.938741694307</v>
      </c>
      <c r="N595" s="70">
        <v>186.938741694307</v>
      </c>
      <c r="O595" s="70">
        <v>6.02984202233938</v>
      </c>
      <c r="P595" s="70">
        <v>6.02984202233938</v>
      </c>
    </row>
    <row r="596" hidden="1">
      <c r="A596" s="67" t="s">
        <v>1356</v>
      </c>
      <c r="B596" s="67" t="s">
        <v>268</v>
      </c>
      <c r="C596" s="68">
        <v>0.25</v>
      </c>
      <c r="D596" s="68">
        <v>0.75</v>
      </c>
      <c r="E596" s="68">
        <v>10.0</v>
      </c>
      <c r="F596" s="68">
        <v>4.0</v>
      </c>
      <c r="G596" s="68">
        <v>2.8172644181075</v>
      </c>
      <c r="H596" s="68">
        <v>127.774637159186</v>
      </c>
      <c r="I596" s="69">
        <v>44357.68821759259</v>
      </c>
      <c r="J596" s="69">
        <v>44357.72607638889</v>
      </c>
      <c r="K596">
        <f>AVERAGE(H592:H596)</f>
        <v>151.0222698</v>
      </c>
      <c r="L596">
        <f>STDEV(H592:H596)</f>
        <v>102.989909</v>
      </c>
      <c r="M596" s="70">
        <v>127.774637159186</v>
      </c>
      <c r="N596" s="70">
        <v>127.774637159186</v>
      </c>
      <c r="O596" s="70">
        <v>2.8172644181075</v>
      </c>
      <c r="P596" s="70">
        <v>2.8172644181075</v>
      </c>
    </row>
    <row r="597" hidden="1">
      <c r="A597" s="67" t="s">
        <v>1357</v>
      </c>
      <c r="B597" s="67" t="s">
        <v>268</v>
      </c>
      <c r="C597" s="68">
        <v>0.25</v>
      </c>
      <c r="D597" s="68">
        <v>1.0</v>
      </c>
      <c r="E597" s="68">
        <v>10.0</v>
      </c>
      <c r="F597" s="68">
        <v>0.0</v>
      </c>
      <c r="G597" s="68">
        <v>3.91435408697053</v>
      </c>
      <c r="H597" s="68">
        <v>169.142768956805</v>
      </c>
      <c r="I597" s="69">
        <v>44357.72677083333</v>
      </c>
      <c r="J597" s="69">
        <v>44357.76435185185</v>
      </c>
      <c r="K597">
        <f>AVERAGE(H597:H601)</f>
        <v>143.2859946</v>
      </c>
      <c r="L597">
        <f>STDEV(H597:H601)</f>
        <v>29.80586485</v>
      </c>
      <c r="M597" s="70">
        <v>169.142768956805</v>
      </c>
      <c r="N597" s="70">
        <v>169.142768956805</v>
      </c>
      <c r="O597" s="70">
        <v>3.91435408697053</v>
      </c>
      <c r="P597" s="70">
        <v>3.91435408697053</v>
      </c>
    </row>
    <row r="598" hidden="1">
      <c r="A598" s="67" t="s">
        <v>1358</v>
      </c>
      <c r="B598" s="67" t="s">
        <v>268</v>
      </c>
      <c r="C598" s="68">
        <v>0.25</v>
      </c>
      <c r="D598" s="68">
        <v>1.0</v>
      </c>
      <c r="E598" s="68">
        <v>10.0</v>
      </c>
      <c r="F598" s="68">
        <v>1.0</v>
      </c>
      <c r="G598" s="68">
        <v>2.18004249203631</v>
      </c>
      <c r="H598" s="68">
        <v>96.4203869727599</v>
      </c>
      <c r="I598" s="69">
        <v>44357.7650462963</v>
      </c>
      <c r="J598" s="69">
        <v>44357.76778935185</v>
      </c>
      <c r="K598">
        <f>AVERAGE(H597:H601)</f>
        <v>143.2859946</v>
      </c>
      <c r="L598">
        <f>STDEV(H597:H601)</f>
        <v>29.80586485</v>
      </c>
      <c r="M598" s="70">
        <v>96.4203869727599</v>
      </c>
      <c r="N598" s="70">
        <v>96.4203869727599</v>
      </c>
      <c r="O598" s="70">
        <v>2.18004249203631</v>
      </c>
      <c r="P598" s="70">
        <v>2.18004249203631</v>
      </c>
    </row>
    <row r="599" hidden="1">
      <c r="A599" s="67" t="s">
        <v>1359</v>
      </c>
      <c r="B599" s="67" t="s">
        <v>268</v>
      </c>
      <c r="C599" s="68">
        <v>0.25</v>
      </c>
      <c r="D599" s="68">
        <v>1.0</v>
      </c>
      <c r="E599" s="68">
        <v>10.0</v>
      </c>
      <c r="F599" s="68">
        <v>2.0</v>
      </c>
      <c r="G599" s="68">
        <v>2.48827350719733</v>
      </c>
      <c r="H599" s="68">
        <v>131.803019410388</v>
      </c>
      <c r="I599" s="69">
        <v>44357.768483796295</v>
      </c>
      <c r="J599" s="69">
        <v>44357.76886574074</v>
      </c>
      <c r="K599">
        <f>AVERAGE(H597:H601)</f>
        <v>143.2859946</v>
      </c>
      <c r="L599">
        <f>STDEV(H597:H601)</f>
        <v>29.80586485</v>
      </c>
      <c r="M599" s="70">
        <v>131.803019410388</v>
      </c>
      <c r="N599" s="70">
        <v>131.803019410388</v>
      </c>
      <c r="O599" s="70">
        <v>2.48827350719733</v>
      </c>
      <c r="P599" s="70">
        <v>2.48827350719733</v>
      </c>
    </row>
    <row r="600" hidden="1">
      <c r="A600" s="67" t="s">
        <v>1360</v>
      </c>
      <c r="B600" s="67" t="s">
        <v>268</v>
      </c>
      <c r="C600" s="68">
        <v>0.25</v>
      </c>
      <c r="D600" s="68">
        <v>1.0</v>
      </c>
      <c r="E600" s="68">
        <v>10.0</v>
      </c>
      <c r="F600" s="68">
        <v>3.0</v>
      </c>
      <c r="G600" s="68">
        <v>5.00712131255459</v>
      </c>
      <c r="H600" s="68">
        <v>155.731712851615</v>
      </c>
      <c r="I600" s="69">
        <v>44357.76956018519</v>
      </c>
      <c r="J600" s="69">
        <v>44357.76967592593</v>
      </c>
      <c r="K600">
        <f>AVERAGE(H597:H601)</f>
        <v>143.2859946</v>
      </c>
      <c r="L600">
        <f>STDEV(H597:H601)</f>
        <v>29.80586485</v>
      </c>
      <c r="M600" s="70">
        <v>155.731712851615</v>
      </c>
      <c r="N600" s="70">
        <v>155.731712851615</v>
      </c>
      <c r="O600" s="70">
        <v>5.00712131255459</v>
      </c>
      <c r="P600" s="70">
        <v>5.00712131255459</v>
      </c>
    </row>
    <row r="601" hidden="1">
      <c r="A601" s="67" t="s">
        <v>1361</v>
      </c>
      <c r="B601" s="67" t="s">
        <v>268</v>
      </c>
      <c r="C601" s="68">
        <v>0.25</v>
      </c>
      <c r="D601" s="68">
        <v>1.0</v>
      </c>
      <c r="E601" s="68">
        <v>10.0</v>
      </c>
      <c r="F601" s="68">
        <v>4.0</v>
      </c>
      <c r="G601" s="68">
        <v>3.20529116020575</v>
      </c>
      <c r="H601" s="68">
        <v>163.332084952908</v>
      </c>
      <c r="I601" s="69">
        <v>44357.770370370374</v>
      </c>
      <c r="J601" s="69">
        <v>44357.79990740741</v>
      </c>
      <c r="K601">
        <f>AVERAGE(H597:H601)</f>
        <v>143.2859946</v>
      </c>
      <c r="L601">
        <f>STDEV(H597:H601)</f>
        <v>29.80586485</v>
      </c>
      <c r="M601" s="70">
        <v>163.332084952908</v>
      </c>
      <c r="N601" s="70">
        <v>163.332084952908</v>
      </c>
      <c r="O601" s="70">
        <v>3.20529116020575</v>
      </c>
      <c r="P601" s="70">
        <v>3.20529116020575</v>
      </c>
    </row>
    <row r="602" hidden="1">
      <c r="A602" s="67" t="s">
        <v>1362</v>
      </c>
      <c r="B602" s="67" t="s">
        <v>268</v>
      </c>
      <c r="C602" s="68">
        <v>0.5</v>
      </c>
      <c r="D602" s="68">
        <v>0.1</v>
      </c>
      <c r="E602" s="68">
        <v>10.0</v>
      </c>
      <c r="F602" s="68">
        <v>0.0</v>
      </c>
      <c r="G602" s="68">
        <v>3.83560171115438</v>
      </c>
      <c r="H602" s="68">
        <v>173.376437063674</v>
      </c>
      <c r="I602" s="69">
        <v>44357.80060185185</v>
      </c>
      <c r="J602" s="69">
        <v>44357.93912037037</v>
      </c>
      <c r="K602">
        <f>AVERAGE(H602:H606)</f>
        <v>108.0239885</v>
      </c>
      <c r="L602">
        <f>STDEV(H602:H606)</f>
        <v>71.34011175</v>
      </c>
      <c r="M602" s="70">
        <v>173.376437063674</v>
      </c>
      <c r="N602" s="70">
        <v>173.376437063674</v>
      </c>
      <c r="O602" s="70">
        <v>3.83560171115438</v>
      </c>
      <c r="P602" s="70">
        <v>3.83560171115438</v>
      </c>
    </row>
    <row r="603" hidden="1">
      <c r="A603" s="67" t="s">
        <v>1363</v>
      </c>
      <c r="B603" s="67" t="s">
        <v>268</v>
      </c>
      <c r="C603" s="68">
        <v>0.5</v>
      </c>
      <c r="D603" s="68">
        <v>0.1</v>
      </c>
      <c r="E603" s="68">
        <v>10.0</v>
      </c>
      <c r="F603" s="68">
        <v>1.0</v>
      </c>
      <c r="G603" s="68">
        <v>4.77768105433788</v>
      </c>
      <c r="H603" s="68">
        <v>161.088305480721</v>
      </c>
      <c r="I603" s="69">
        <v>44357.93982638889</v>
      </c>
      <c r="J603" s="69">
        <v>44357.94024305556</v>
      </c>
      <c r="K603">
        <f>AVERAGE(H602:H606)</f>
        <v>108.0239885</v>
      </c>
      <c r="L603">
        <f>STDEV(H602:H606)</f>
        <v>71.34011175</v>
      </c>
      <c r="M603" s="70">
        <v>161.088305480721</v>
      </c>
      <c r="N603" s="70">
        <v>161.088305480721</v>
      </c>
      <c r="O603" s="70">
        <v>4.77768105433788</v>
      </c>
      <c r="P603" s="70">
        <v>4.77768105433788</v>
      </c>
    </row>
    <row r="604" hidden="1">
      <c r="A604" s="67" t="s">
        <v>1364</v>
      </c>
      <c r="B604" s="67" t="s">
        <v>268</v>
      </c>
      <c r="C604" s="68">
        <v>0.5</v>
      </c>
      <c r="D604" s="68">
        <v>0.1</v>
      </c>
      <c r="E604" s="68">
        <v>10.0</v>
      </c>
      <c r="F604" s="68">
        <v>2.0</v>
      </c>
      <c r="G604" s="68">
        <v>2.49024255419838</v>
      </c>
      <c r="H604" s="68">
        <v>131.86163765886</v>
      </c>
      <c r="I604" s="69">
        <v>44357.9409375</v>
      </c>
      <c r="J604" s="69">
        <v>44357.941354166665</v>
      </c>
      <c r="K604">
        <f>AVERAGE(H602:H606)</f>
        <v>108.0239885</v>
      </c>
      <c r="L604">
        <f>STDEV(H602:H606)</f>
        <v>71.34011175</v>
      </c>
      <c r="M604" s="70">
        <v>131.86163765886</v>
      </c>
      <c r="N604" s="70">
        <v>131.86163765886</v>
      </c>
      <c r="O604" s="70">
        <v>2.49024255419838</v>
      </c>
      <c r="P604" s="70">
        <v>2.49024255419838</v>
      </c>
    </row>
    <row r="605" hidden="1">
      <c r="A605" s="67" t="s">
        <v>1365</v>
      </c>
      <c r="B605" s="67" t="s">
        <v>268</v>
      </c>
      <c r="C605" s="68">
        <v>0.5</v>
      </c>
      <c r="D605" s="68">
        <v>0.1</v>
      </c>
      <c r="E605" s="68">
        <v>10.0</v>
      </c>
      <c r="F605" s="68">
        <v>3.0</v>
      </c>
      <c r="G605" s="68">
        <v>0.71205655889852</v>
      </c>
      <c r="H605" s="68">
        <v>0.948977832482219</v>
      </c>
      <c r="I605" s="69">
        <v>44357.94204861111</v>
      </c>
      <c r="J605" s="69">
        <v>44357.94247685185</v>
      </c>
      <c r="K605">
        <f>AVERAGE(H602:H606)</f>
        <v>108.0239885</v>
      </c>
      <c r="L605">
        <f>STDEV(H602:H606)</f>
        <v>71.34011175</v>
      </c>
      <c r="M605" s="70">
        <v>0.948977832482219</v>
      </c>
      <c r="N605" s="70">
        <v>0.948977832482219</v>
      </c>
      <c r="O605" s="70">
        <v>0.71205655889852</v>
      </c>
      <c r="P605" s="70">
        <v>0.71205655889852</v>
      </c>
    </row>
    <row r="606" hidden="1">
      <c r="A606" s="67" t="s">
        <v>1366</v>
      </c>
      <c r="B606" s="67" t="s">
        <v>268</v>
      </c>
      <c r="C606" s="68">
        <v>0.5</v>
      </c>
      <c r="D606" s="68">
        <v>0.1</v>
      </c>
      <c r="E606" s="68">
        <v>10.0</v>
      </c>
      <c r="F606" s="68">
        <v>4.0</v>
      </c>
      <c r="G606" s="68">
        <v>1.4387833549495</v>
      </c>
      <c r="H606" s="68">
        <v>72.8445843065117</v>
      </c>
      <c r="I606" s="69">
        <v>44357.9431712963</v>
      </c>
      <c r="J606" s="69">
        <v>44357.94532407408</v>
      </c>
      <c r="K606">
        <f>AVERAGE(H602:H606)</f>
        <v>108.0239885</v>
      </c>
      <c r="L606">
        <f>STDEV(H602:H606)</f>
        <v>71.34011175</v>
      </c>
      <c r="M606" s="70">
        <v>72.8445843065117</v>
      </c>
      <c r="N606" s="70">
        <v>72.8445843065117</v>
      </c>
      <c r="O606" s="70">
        <v>1.4387833549495</v>
      </c>
      <c r="P606" s="70">
        <v>1.4387833549495</v>
      </c>
    </row>
    <row r="607" hidden="1">
      <c r="A607" s="67" t="s">
        <v>1367</v>
      </c>
      <c r="B607" s="67" t="s">
        <v>268</v>
      </c>
      <c r="C607" s="68">
        <v>0.5</v>
      </c>
      <c r="D607" s="68">
        <v>0.25</v>
      </c>
      <c r="E607" s="68">
        <v>10.0</v>
      </c>
      <c r="F607" s="68">
        <v>0.0</v>
      </c>
      <c r="G607" s="68">
        <v>1.44659944932569</v>
      </c>
      <c r="H607" s="68">
        <v>73.0815413767688</v>
      </c>
      <c r="I607" s="69">
        <v>44357.946018518516</v>
      </c>
      <c r="J607" s="69">
        <v>44357.948171296295</v>
      </c>
      <c r="K607">
        <f>AVERAGE(H607:H611)</f>
        <v>53.93571397</v>
      </c>
      <c r="L607">
        <f>STDEV(H607:H611)</f>
        <v>76.08177292</v>
      </c>
      <c r="M607" s="70">
        <v>73.0815413767688</v>
      </c>
      <c r="N607" s="70">
        <v>73.0815413767688</v>
      </c>
      <c r="O607" s="70">
        <v>1.44659944932569</v>
      </c>
      <c r="P607" s="70">
        <v>1.44659944932569</v>
      </c>
    </row>
    <row r="608" hidden="1">
      <c r="A608" s="67" t="s">
        <v>1368</v>
      </c>
      <c r="B608" s="67" t="s">
        <v>268</v>
      </c>
      <c r="C608" s="68">
        <v>0.5</v>
      </c>
      <c r="D608" s="68">
        <v>0.25</v>
      </c>
      <c r="E608" s="68">
        <v>10.0</v>
      </c>
      <c r="F608" s="68">
        <v>1.0</v>
      </c>
      <c r="G608" s="68">
        <v>0.738388919616822</v>
      </c>
      <c r="H608" s="68">
        <v>0.954404004182583</v>
      </c>
      <c r="I608" s="69">
        <v>44357.94886574074</v>
      </c>
      <c r="J608" s="69">
        <v>44357.94923611111</v>
      </c>
      <c r="K608">
        <f>AVERAGE(H607:H611)</f>
        <v>53.93571397</v>
      </c>
      <c r="L608">
        <f>STDEV(H607:H611)</f>
        <v>76.08177292</v>
      </c>
      <c r="M608" s="70">
        <v>0.954404004182583</v>
      </c>
      <c r="N608" s="70">
        <v>0.954404004182583</v>
      </c>
      <c r="O608" s="70">
        <v>0.738388919616822</v>
      </c>
      <c r="P608" s="70">
        <v>0.738388919616822</v>
      </c>
    </row>
    <row r="609" hidden="1">
      <c r="A609" s="67" t="s">
        <v>1369</v>
      </c>
      <c r="B609" s="67" t="s">
        <v>268</v>
      </c>
      <c r="C609" s="68">
        <v>0.5</v>
      </c>
      <c r="D609" s="68">
        <v>0.25</v>
      </c>
      <c r="E609" s="68">
        <v>10.0</v>
      </c>
      <c r="F609" s="68">
        <v>2.0</v>
      </c>
      <c r="G609" s="68">
        <v>0.466302059947925</v>
      </c>
      <c r="H609" s="68">
        <v>0.558605536113522</v>
      </c>
      <c r="I609" s="69">
        <v>44357.94993055556</v>
      </c>
      <c r="J609" s="69">
        <v>44357.95028935185</v>
      </c>
      <c r="K609">
        <f>AVERAGE(H607:H611)</f>
        <v>53.93571397</v>
      </c>
      <c r="L609">
        <f>STDEV(H607:H611)</f>
        <v>76.08177292</v>
      </c>
      <c r="M609" s="70">
        <v>0.558605536113522</v>
      </c>
      <c r="N609" s="70">
        <v>0.558605536113522</v>
      </c>
      <c r="O609" s="70">
        <v>0.466302059947925</v>
      </c>
      <c r="P609" s="70">
        <v>0.466302059947925</v>
      </c>
    </row>
    <row r="610" hidden="1">
      <c r="A610" s="67" t="s">
        <v>1370</v>
      </c>
      <c r="B610" s="67" t="s">
        <v>268</v>
      </c>
      <c r="C610" s="68">
        <v>0.5</v>
      </c>
      <c r="D610" s="68">
        <v>0.25</v>
      </c>
      <c r="E610" s="68">
        <v>10.0</v>
      </c>
      <c r="F610" s="68">
        <v>3.0</v>
      </c>
      <c r="G610" s="68">
        <v>4.09721506697676</v>
      </c>
      <c r="H610" s="68">
        <v>179.175424950335</v>
      </c>
      <c r="I610" s="69">
        <v>44357.9509837963</v>
      </c>
      <c r="J610" s="69">
        <v>44358.06454861111</v>
      </c>
      <c r="K610">
        <f>AVERAGE(H607:H611)</f>
        <v>53.93571397</v>
      </c>
      <c r="L610">
        <f>STDEV(H607:H611)</f>
        <v>76.08177292</v>
      </c>
      <c r="M610" s="70">
        <v>179.175424950335</v>
      </c>
      <c r="N610" s="70">
        <v>179.175424950335</v>
      </c>
      <c r="O610" s="70">
        <v>4.09721506697676</v>
      </c>
      <c r="P610" s="70">
        <v>4.09721506697676</v>
      </c>
    </row>
    <row r="611" hidden="1">
      <c r="A611" s="67" t="s">
        <v>1371</v>
      </c>
      <c r="B611" s="67" t="s">
        <v>268</v>
      </c>
      <c r="C611" s="68">
        <v>0.5</v>
      </c>
      <c r="D611" s="68">
        <v>0.25</v>
      </c>
      <c r="E611" s="68">
        <v>10.0</v>
      </c>
      <c r="F611" s="68">
        <v>4.0</v>
      </c>
      <c r="G611" s="68">
        <v>1.21437453905074</v>
      </c>
      <c r="H611" s="68">
        <v>15.9085939614324</v>
      </c>
      <c r="I611" s="69">
        <v>44358.06524305556</v>
      </c>
      <c r="J611" s="69">
        <v>44358.065474537034</v>
      </c>
      <c r="K611">
        <f>AVERAGE(H607:H611)</f>
        <v>53.93571397</v>
      </c>
      <c r="L611">
        <f>STDEV(H607:H611)</f>
        <v>76.08177292</v>
      </c>
      <c r="M611" s="70">
        <v>15.9085939614324</v>
      </c>
      <c r="N611" s="70">
        <v>15.9085939614324</v>
      </c>
      <c r="O611" s="70">
        <v>1.21437453905074</v>
      </c>
      <c r="P611" s="70">
        <v>1.21437453905074</v>
      </c>
    </row>
    <row r="612" hidden="1">
      <c r="A612" s="67" t="s">
        <v>1372</v>
      </c>
      <c r="B612" s="67" t="s">
        <v>268</v>
      </c>
      <c r="C612" s="68">
        <v>0.5</v>
      </c>
      <c r="D612" s="68">
        <v>0.5</v>
      </c>
      <c r="E612" s="68">
        <v>10.0</v>
      </c>
      <c r="F612" s="68">
        <v>0.0</v>
      </c>
      <c r="G612" s="68">
        <v>4.25388651347573</v>
      </c>
      <c r="H612" s="68">
        <v>196.654202008919</v>
      </c>
      <c r="I612" s="69">
        <v>44358.06616898148</v>
      </c>
      <c r="J612" s="69">
        <v>44358.07142361111</v>
      </c>
      <c r="K612">
        <f>AVERAGE(H612:H616)</f>
        <v>75.69039858</v>
      </c>
      <c r="L612">
        <f>STDEV(H612:H616)</f>
        <v>96.07876238</v>
      </c>
      <c r="M612" s="70">
        <v>196.654202008919</v>
      </c>
      <c r="N612" s="70">
        <v>196.654202008919</v>
      </c>
      <c r="O612" s="70">
        <v>4.25388651347573</v>
      </c>
      <c r="P612" s="70">
        <v>4.25388651347573</v>
      </c>
    </row>
    <row r="613" hidden="1">
      <c r="A613" s="67" t="s">
        <v>1373</v>
      </c>
      <c r="B613" s="67" t="s">
        <v>268</v>
      </c>
      <c r="C613" s="68">
        <v>0.5</v>
      </c>
      <c r="D613" s="68">
        <v>0.5</v>
      </c>
      <c r="E613" s="68">
        <v>10.0</v>
      </c>
      <c r="F613" s="68">
        <v>1.0</v>
      </c>
      <c r="G613" s="68">
        <v>0.655681282024199</v>
      </c>
      <c r="H613" s="68">
        <v>1.21592440700757</v>
      </c>
      <c r="I613" s="69">
        <v>44358.072118055556</v>
      </c>
      <c r="J613" s="69">
        <v>44358.073912037034</v>
      </c>
      <c r="K613">
        <f>AVERAGE(H612:H616)</f>
        <v>75.69039858</v>
      </c>
      <c r="L613">
        <f>STDEV(H612:H616)</f>
        <v>96.07876238</v>
      </c>
      <c r="M613" s="70">
        <v>1.21592440700757</v>
      </c>
      <c r="N613" s="70">
        <v>1.21592440700757</v>
      </c>
      <c r="O613" s="70">
        <v>0.655681282024199</v>
      </c>
      <c r="P613" s="70">
        <v>0.655681282024199</v>
      </c>
    </row>
    <row r="614" hidden="1">
      <c r="A614" s="67" t="s">
        <v>1374</v>
      </c>
      <c r="B614" s="67" t="s">
        <v>268</v>
      </c>
      <c r="C614" s="68">
        <v>0.5</v>
      </c>
      <c r="D614" s="68">
        <v>0.5</v>
      </c>
      <c r="E614" s="68">
        <v>10.0</v>
      </c>
      <c r="F614" s="68">
        <v>2.0</v>
      </c>
      <c r="G614" s="68">
        <v>1.07991001504809</v>
      </c>
      <c r="H614" s="68">
        <v>1.4504242499467</v>
      </c>
      <c r="I614" s="69">
        <v>44358.07460648148</v>
      </c>
      <c r="J614" s="69">
        <v>44358.07480324074</v>
      </c>
      <c r="K614">
        <f>AVERAGE(H612:H616)</f>
        <v>75.69039858</v>
      </c>
      <c r="L614">
        <f>STDEV(H612:H616)</f>
        <v>96.07876238</v>
      </c>
      <c r="M614" s="70">
        <v>1.4504242499467</v>
      </c>
      <c r="N614" s="70">
        <v>1.4504242499467</v>
      </c>
      <c r="O614" s="70">
        <v>1.07991001504809</v>
      </c>
      <c r="P614" s="70">
        <v>1.07991001504809</v>
      </c>
    </row>
    <row r="615" hidden="1">
      <c r="A615" s="67" t="s">
        <v>1375</v>
      </c>
      <c r="B615" s="67" t="s">
        <v>268</v>
      </c>
      <c r="C615" s="68">
        <v>0.5</v>
      </c>
      <c r="D615" s="68">
        <v>0.5</v>
      </c>
      <c r="E615" s="68">
        <v>10.0</v>
      </c>
      <c r="F615" s="68">
        <v>3.0</v>
      </c>
      <c r="G615" s="68">
        <v>3.80401265115033</v>
      </c>
      <c r="H615" s="68">
        <v>163.217612933454</v>
      </c>
      <c r="I615" s="69">
        <v>44358.07549768518</v>
      </c>
      <c r="J615" s="69">
        <v>44358.17152777778</v>
      </c>
      <c r="K615">
        <f>AVERAGE(H612:H616)</f>
        <v>75.69039858</v>
      </c>
      <c r="L615">
        <f>STDEV(H612:H616)</f>
        <v>96.07876238</v>
      </c>
      <c r="M615" s="70">
        <v>163.217612933454</v>
      </c>
      <c r="N615" s="70">
        <v>163.217612933454</v>
      </c>
      <c r="O615" s="70">
        <v>3.80401265115033</v>
      </c>
      <c r="P615" s="70">
        <v>3.80401265115033</v>
      </c>
    </row>
    <row r="616" hidden="1">
      <c r="A616" s="67" t="s">
        <v>1376</v>
      </c>
      <c r="B616" s="67" t="s">
        <v>268</v>
      </c>
      <c r="C616" s="68">
        <v>0.5</v>
      </c>
      <c r="D616" s="68">
        <v>0.5</v>
      </c>
      <c r="E616" s="68">
        <v>10.0</v>
      </c>
      <c r="F616" s="68">
        <v>4.0</v>
      </c>
      <c r="G616" s="68">
        <v>1.21492982122998</v>
      </c>
      <c r="H616" s="68">
        <v>15.9138292822944</v>
      </c>
      <c r="I616" s="69">
        <v>44358.17222222222</v>
      </c>
      <c r="J616" s="69">
        <v>44358.1724537037</v>
      </c>
      <c r="K616">
        <f>AVERAGE(H612:H616)</f>
        <v>75.69039858</v>
      </c>
      <c r="L616">
        <f>STDEV(H612:H616)</f>
        <v>96.07876238</v>
      </c>
      <c r="M616" s="70">
        <v>15.9138292822944</v>
      </c>
      <c r="N616" s="70">
        <v>15.9138292822944</v>
      </c>
      <c r="O616" s="70">
        <v>1.21492982122998</v>
      </c>
      <c r="P616" s="70">
        <v>1.21492982122998</v>
      </c>
    </row>
    <row r="617" hidden="1">
      <c r="A617" s="67" t="s">
        <v>1377</v>
      </c>
      <c r="B617" s="67" t="s">
        <v>268</v>
      </c>
      <c r="C617" s="68">
        <v>0.5</v>
      </c>
      <c r="D617" s="68">
        <v>0.75</v>
      </c>
      <c r="E617" s="68">
        <v>10.0</v>
      </c>
      <c r="F617" s="68">
        <v>0.0</v>
      </c>
      <c r="G617" s="68">
        <v>0.466840794858009</v>
      </c>
      <c r="H617" s="68">
        <v>0.558911256639735</v>
      </c>
      <c r="I617" s="69">
        <v>44358.17314814815</v>
      </c>
      <c r="J617" s="69">
        <v>44358.17349537037</v>
      </c>
      <c r="K617">
        <f>AVERAGE(H617:H621)</f>
        <v>137.0570452</v>
      </c>
      <c r="L617">
        <f>STDEV(H617:H621)</f>
        <v>91.46681634</v>
      </c>
      <c r="M617" s="70">
        <v>0.558911256639735</v>
      </c>
      <c r="N617" s="70">
        <v>0.558911256639735</v>
      </c>
      <c r="O617" s="70">
        <v>0.466840794858009</v>
      </c>
      <c r="P617" s="70">
        <v>0.466840794858009</v>
      </c>
    </row>
    <row r="618" hidden="1">
      <c r="A618" s="67" t="s">
        <v>1378</v>
      </c>
      <c r="B618" s="67" t="s">
        <v>268</v>
      </c>
      <c r="C618" s="68">
        <v>0.5</v>
      </c>
      <c r="D618" s="68">
        <v>0.75</v>
      </c>
      <c r="E618" s="68">
        <v>10.0</v>
      </c>
      <c r="F618" s="68">
        <v>1.0</v>
      </c>
      <c r="G618" s="68">
        <v>3.75408539109291</v>
      </c>
      <c r="H618" s="68">
        <v>183.4330911538</v>
      </c>
      <c r="I618" s="69">
        <v>44358.17418981482</v>
      </c>
      <c r="J618" s="69">
        <v>44358.19326388889</v>
      </c>
      <c r="K618">
        <f>AVERAGE(H617:H621)</f>
        <v>137.0570452</v>
      </c>
      <c r="L618">
        <f>STDEV(H617:H621)</f>
        <v>91.46681634</v>
      </c>
      <c r="M618" s="70">
        <v>183.4330911538</v>
      </c>
      <c r="N618" s="70">
        <v>183.4330911538</v>
      </c>
      <c r="O618" s="70">
        <v>3.75408539109291</v>
      </c>
      <c r="P618" s="70">
        <v>3.75408539109291</v>
      </c>
    </row>
    <row r="619" hidden="1">
      <c r="A619" s="67" t="s">
        <v>1379</v>
      </c>
      <c r="B619" s="67" t="s">
        <v>268</v>
      </c>
      <c r="C619" s="68">
        <v>0.5</v>
      </c>
      <c r="D619" s="68">
        <v>0.75</v>
      </c>
      <c r="E619" s="68">
        <v>10.0</v>
      </c>
      <c r="F619" s="68">
        <v>2.0</v>
      </c>
      <c r="G619" s="68">
        <v>6.31299528963051</v>
      </c>
      <c r="H619" s="68">
        <v>248.41966547702</v>
      </c>
      <c r="I619" s="69">
        <v>44358.19395833334</v>
      </c>
      <c r="J619" s="69">
        <v>44358.195856481485</v>
      </c>
      <c r="K619">
        <f>AVERAGE(H617:H621)</f>
        <v>137.0570452</v>
      </c>
      <c r="L619">
        <f>STDEV(H617:H621)</f>
        <v>91.46681634</v>
      </c>
      <c r="M619" s="70">
        <v>248.41966547702</v>
      </c>
      <c r="N619" s="70">
        <v>248.41966547702</v>
      </c>
      <c r="O619" s="70">
        <v>6.31299528963051</v>
      </c>
      <c r="P619" s="70">
        <v>6.31299528963051</v>
      </c>
    </row>
    <row r="620" hidden="1">
      <c r="A620" s="67" t="s">
        <v>1380</v>
      </c>
      <c r="B620" s="67" t="s">
        <v>268</v>
      </c>
      <c r="C620" s="68">
        <v>0.5</v>
      </c>
      <c r="D620" s="68">
        <v>0.75</v>
      </c>
      <c r="E620" s="68">
        <v>10.0</v>
      </c>
      <c r="F620" s="68">
        <v>3.0</v>
      </c>
      <c r="G620" s="68">
        <v>2.4847097007738</v>
      </c>
      <c r="H620" s="68">
        <v>131.68189420196</v>
      </c>
      <c r="I620" s="69">
        <v>44358.196550925924</v>
      </c>
      <c r="J620" s="69">
        <v>44358.19699074074</v>
      </c>
      <c r="K620">
        <f>AVERAGE(H617:H621)</f>
        <v>137.0570452</v>
      </c>
      <c r="L620">
        <f>STDEV(H617:H621)</f>
        <v>91.46681634</v>
      </c>
      <c r="M620" s="70">
        <v>131.68189420196</v>
      </c>
      <c r="N620" s="70">
        <v>131.68189420196</v>
      </c>
      <c r="O620" s="70">
        <v>2.4847097007738</v>
      </c>
      <c r="P620" s="70">
        <v>2.4847097007738</v>
      </c>
    </row>
    <row r="621" hidden="1">
      <c r="A621" s="67" t="s">
        <v>1381</v>
      </c>
      <c r="B621" s="67" t="s">
        <v>268</v>
      </c>
      <c r="C621" s="68">
        <v>0.5</v>
      </c>
      <c r="D621" s="68">
        <v>0.75</v>
      </c>
      <c r="E621" s="68">
        <v>10.0</v>
      </c>
      <c r="F621" s="68">
        <v>4.0</v>
      </c>
      <c r="G621" s="68">
        <v>2.84622402998788</v>
      </c>
      <c r="H621" s="68">
        <v>121.191664135271</v>
      </c>
      <c r="I621" s="69">
        <v>44358.19768518519</v>
      </c>
      <c r="J621" s="69">
        <v>44358.28107638889</v>
      </c>
      <c r="K621">
        <f>AVERAGE(H617:H621)</f>
        <v>137.0570452</v>
      </c>
      <c r="L621">
        <f>STDEV(H617:H621)</f>
        <v>91.46681634</v>
      </c>
      <c r="M621" s="70">
        <v>121.191664135271</v>
      </c>
      <c r="N621" s="70">
        <v>121.191664135271</v>
      </c>
      <c r="O621" s="70">
        <v>2.84622402998788</v>
      </c>
      <c r="P621" s="70">
        <v>2.84622402998788</v>
      </c>
    </row>
    <row r="622" hidden="1">
      <c r="A622" s="67" t="s">
        <v>1382</v>
      </c>
      <c r="B622" s="67" t="s">
        <v>268</v>
      </c>
      <c r="C622" s="68">
        <v>0.5</v>
      </c>
      <c r="D622" s="68">
        <v>1.0</v>
      </c>
      <c r="E622" s="68">
        <v>10.0</v>
      </c>
      <c r="F622" s="68">
        <v>0.0</v>
      </c>
      <c r="G622" s="68">
        <v>1.84228150706425</v>
      </c>
      <c r="H622" s="68">
        <v>16.1116603306307</v>
      </c>
      <c r="I622" s="69">
        <v>44358.28177083333</v>
      </c>
      <c r="J622" s="69">
        <v>44358.281793981485</v>
      </c>
      <c r="K622">
        <f>AVERAGE(H622:H626)</f>
        <v>111.3192384</v>
      </c>
      <c r="L622">
        <f>STDEV(H622:H626)</f>
        <v>110.4333426</v>
      </c>
      <c r="M622" s="70">
        <v>16.1116603306307</v>
      </c>
      <c r="N622" s="70">
        <v>16.1116603306307</v>
      </c>
      <c r="O622" s="70">
        <v>1.84228150706425</v>
      </c>
      <c r="P622" s="70">
        <v>1.84228150706425</v>
      </c>
    </row>
    <row r="623" hidden="1">
      <c r="A623" s="67" t="s">
        <v>1383</v>
      </c>
      <c r="B623" s="67" t="s">
        <v>268</v>
      </c>
      <c r="C623" s="68">
        <v>0.5</v>
      </c>
      <c r="D623" s="68">
        <v>1.0</v>
      </c>
      <c r="E623" s="68">
        <v>10.0</v>
      </c>
      <c r="F623" s="68">
        <v>1.0</v>
      </c>
      <c r="G623" s="68">
        <v>7.23928104175812</v>
      </c>
      <c r="H623" s="68">
        <v>269.697659222197</v>
      </c>
      <c r="I623" s="69">
        <v>44358.282488425924</v>
      </c>
      <c r="J623" s="69">
        <v>44358.29039351852</v>
      </c>
      <c r="K623">
        <f>AVERAGE(H622:H626)</f>
        <v>111.3192384</v>
      </c>
      <c r="L623">
        <f>STDEV(H622:H626)</f>
        <v>110.4333426</v>
      </c>
      <c r="M623" s="70">
        <v>269.697659222197</v>
      </c>
      <c r="N623" s="70">
        <v>269.697659222197</v>
      </c>
      <c r="O623" s="70">
        <v>7.23928104175812</v>
      </c>
      <c r="P623" s="70">
        <v>7.23928104175812</v>
      </c>
    </row>
    <row r="624" hidden="1">
      <c r="A624" s="67" t="s">
        <v>1384</v>
      </c>
      <c r="B624" s="67" t="s">
        <v>268</v>
      </c>
      <c r="C624" s="68">
        <v>0.5</v>
      </c>
      <c r="D624" s="68">
        <v>1.0</v>
      </c>
      <c r="E624" s="68">
        <v>10.0</v>
      </c>
      <c r="F624" s="68">
        <v>2.0</v>
      </c>
      <c r="G624" s="68">
        <v>0.656045938641958</v>
      </c>
      <c r="H624" s="68">
        <v>1.21819425957071</v>
      </c>
      <c r="I624" s="69">
        <v>44358.29108796296</v>
      </c>
      <c r="J624" s="69">
        <v>44358.29289351852</v>
      </c>
      <c r="K624">
        <f>AVERAGE(H622:H626)</f>
        <v>111.3192384</v>
      </c>
      <c r="L624">
        <f>STDEV(H622:H626)</f>
        <v>110.4333426</v>
      </c>
      <c r="M624" s="70">
        <v>1.21819425957071</v>
      </c>
      <c r="N624" s="70">
        <v>1.21819425957071</v>
      </c>
      <c r="O624" s="70">
        <v>0.656045938641958</v>
      </c>
      <c r="P624" s="70">
        <v>0.656045938641958</v>
      </c>
    </row>
    <row r="625" hidden="1">
      <c r="A625" s="67" t="s">
        <v>1385</v>
      </c>
      <c r="B625" s="67" t="s">
        <v>268</v>
      </c>
      <c r="C625" s="68">
        <v>0.5</v>
      </c>
      <c r="D625" s="68">
        <v>1.0</v>
      </c>
      <c r="E625" s="68">
        <v>10.0</v>
      </c>
      <c r="F625" s="68">
        <v>3.0</v>
      </c>
      <c r="G625" s="68">
        <v>4.79051382898971</v>
      </c>
      <c r="H625" s="68">
        <v>161.340164333754</v>
      </c>
      <c r="I625" s="69">
        <v>44358.293587962966</v>
      </c>
      <c r="J625" s="69">
        <v>44358.294027777774</v>
      </c>
      <c r="K625">
        <f>AVERAGE(H622:H626)</f>
        <v>111.3192384</v>
      </c>
      <c r="L625">
        <f>STDEV(H622:H626)</f>
        <v>110.4333426</v>
      </c>
      <c r="M625" s="70">
        <v>161.340164333754</v>
      </c>
      <c r="N625" s="70">
        <v>161.340164333754</v>
      </c>
      <c r="O625" s="70">
        <v>4.79051382898971</v>
      </c>
      <c r="P625" s="70">
        <v>4.79051382898971</v>
      </c>
    </row>
    <row r="626" hidden="1">
      <c r="A626" s="67" t="s">
        <v>1386</v>
      </c>
      <c r="B626" s="67" t="s">
        <v>268</v>
      </c>
      <c r="C626" s="68">
        <v>0.5</v>
      </c>
      <c r="D626" s="68">
        <v>1.0</v>
      </c>
      <c r="E626" s="68">
        <v>10.0</v>
      </c>
      <c r="F626" s="68">
        <v>4.0</v>
      </c>
      <c r="G626" s="68">
        <v>2.33596424487544</v>
      </c>
      <c r="H626" s="68">
        <v>108.228513626424</v>
      </c>
      <c r="I626" s="69">
        <v>44358.29472222222</v>
      </c>
      <c r="J626" s="69">
        <v>44358.39690972222</v>
      </c>
      <c r="K626">
        <f>AVERAGE(H622:H626)</f>
        <v>111.3192384</v>
      </c>
      <c r="L626">
        <f>STDEV(H622:H626)</f>
        <v>110.4333426</v>
      </c>
      <c r="M626" s="70">
        <v>108.228513626424</v>
      </c>
      <c r="N626" s="70">
        <v>108.228513626424</v>
      </c>
      <c r="O626" s="70">
        <v>2.33596424487544</v>
      </c>
      <c r="P626" s="70">
        <v>2.33596424487544</v>
      </c>
    </row>
    <row r="627" hidden="1">
      <c r="A627" s="67" t="s">
        <v>1387</v>
      </c>
      <c r="B627" s="67" t="s">
        <v>268</v>
      </c>
      <c r="C627" s="68">
        <v>0.75</v>
      </c>
      <c r="D627" s="68">
        <v>0.1</v>
      </c>
      <c r="E627" s="68">
        <v>10.0</v>
      </c>
      <c r="F627" s="68">
        <v>0.0</v>
      </c>
      <c r="G627" s="68">
        <v>4.78095345655024</v>
      </c>
      <c r="H627" s="68">
        <v>173.299276253702</v>
      </c>
      <c r="I627" s="69">
        <v>44358.39760416667</v>
      </c>
      <c r="J627" s="69">
        <v>44358.39787037037</v>
      </c>
      <c r="K627">
        <f>AVERAGE(H627:H631)</f>
        <v>141.842058</v>
      </c>
      <c r="L627">
        <f>STDEV(H627:H631)</f>
        <v>83.52380997</v>
      </c>
      <c r="M627" s="70">
        <v>173.299276253702</v>
      </c>
      <c r="N627" s="70">
        <v>173.299276253702</v>
      </c>
      <c r="O627" s="70">
        <v>4.78095345655024</v>
      </c>
      <c r="P627" s="70">
        <v>4.78095345655024</v>
      </c>
    </row>
    <row r="628" hidden="1">
      <c r="A628" s="67" t="s">
        <v>1388</v>
      </c>
      <c r="B628" s="67" t="s">
        <v>268</v>
      </c>
      <c r="C628" s="68">
        <v>0.75</v>
      </c>
      <c r="D628" s="68">
        <v>0.1</v>
      </c>
      <c r="E628" s="68">
        <v>10.0</v>
      </c>
      <c r="F628" s="68">
        <v>1.0</v>
      </c>
      <c r="G628" s="68">
        <v>3.31231425091935</v>
      </c>
      <c r="H628" s="68">
        <v>144.589245676653</v>
      </c>
      <c r="I628" s="69">
        <v>44358.398564814815</v>
      </c>
      <c r="J628" s="69">
        <v>44358.42181712963</v>
      </c>
      <c r="K628">
        <f>AVERAGE(H627:H631)</f>
        <v>141.842058</v>
      </c>
      <c r="L628">
        <f>STDEV(H627:H631)</f>
        <v>83.52380997</v>
      </c>
      <c r="M628" s="70">
        <v>144.589245676653</v>
      </c>
      <c r="N628" s="70">
        <v>144.589245676653</v>
      </c>
      <c r="O628" s="70">
        <v>3.31231425091935</v>
      </c>
      <c r="P628" s="70">
        <v>3.31231425091935</v>
      </c>
    </row>
    <row r="629" hidden="1">
      <c r="A629" s="67" t="s">
        <v>1389</v>
      </c>
      <c r="B629" s="67" t="s">
        <v>268</v>
      </c>
      <c r="C629" s="68">
        <v>0.75</v>
      </c>
      <c r="D629" s="68">
        <v>0.1</v>
      </c>
      <c r="E629" s="68">
        <v>10.0</v>
      </c>
      <c r="F629" s="68">
        <v>2.0</v>
      </c>
      <c r="G629" s="68">
        <v>0.319096105615425</v>
      </c>
      <c r="H629" s="68">
        <v>0.408517979006142</v>
      </c>
      <c r="I629" s="69">
        <v>44358.42251157408</v>
      </c>
      <c r="J629" s="69">
        <v>44358.422581018516</v>
      </c>
      <c r="K629">
        <f>AVERAGE(H627:H631)</f>
        <v>141.842058</v>
      </c>
      <c r="L629">
        <f>STDEV(H627:H631)</f>
        <v>83.52380997</v>
      </c>
      <c r="M629" s="70">
        <v>0.408517979006142</v>
      </c>
      <c r="N629" s="70">
        <v>0.408517979006142</v>
      </c>
      <c r="O629" s="70">
        <v>0.319096105615425</v>
      </c>
      <c r="P629" s="70">
        <v>0.319096105615425</v>
      </c>
    </row>
    <row r="630" hidden="1">
      <c r="A630" s="67" t="s">
        <v>1390</v>
      </c>
      <c r="B630" s="67" t="s">
        <v>268</v>
      </c>
      <c r="C630" s="68">
        <v>0.75</v>
      </c>
      <c r="D630" s="68">
        <v>0.1</v>
      </c>
      <c r="E630" s="68">
        <v>10.0</v>
      </c>
      <c r="F630" s="68">
        <v>3.0</v>
      </c>
      <c r="G630" s="68">
        <v>7.23555343968996</v>
      </c>
      <c r="H630" s="68">
        <v>219.491119660567</v>
      </c>
      <c r="I630" s="69">
        <v>44358.42327546296</v>
      </c>
      <c r="J630" s="69">
        <v>44358.4233912037</v>
      </c>
      <c r="K630">
        <f>AVERAGE(H627:H631)</f>
        <v>141.842058</v>
      </c>
      <c r="L630">
        <f>STDEV(H627:H631)</f>
        <v>83.52380997</v>
      </c>
      <c r="M630" s="70">
        <v>219.491119660567</v>
      </c>
      <c r="N630" s="70">
        <v>219.491119660567</v>
      </c>
      <c r="O630" s="70">
        <v>7.23555343968996</v>
      </c>
      <c r="P630" s="70">
        <v>7.23555343968996</v>
      </c>
    </row>
    <row r="631" hidden="1">
      <c r="A631" s="67" t="s">
        <v>1391</v>
      </c>
      <c r="B631" s="67" t="s">
        <v>268</v>
      </c>
      <c r="C631" s="68">
        <v>0.75</v>
      </c>
      <c r="D631" s="68">
        <v>0.1</v>
      </c>
      <c r="E631" s="68">
        <v>10.0</v>
      </c>
      <c r="F631" s="68">
        <v>4.0</v>
      </c>
      <c r="G631" s="68">
        <v>3.3193026308867</v>
      </c>
      <c r="H631" s="68">
        <v>171.42213047458</v>
      </c>
      <c r="I631" s="69">
        <v>44358.42408564815</v>
      </c>
      <c r="J631" s="69">
        <v>44358.510046296295</v>
      </c>
      <c r="K631">
        <f>AVERAGE(H627:H631)</f>
        <v>141.842058</v>
      </c>
      <c r="L631">
        <f>STDEV(H627:H631)</f>
        <v>83.52380997</v>
      </c>
      <c r="M631" s="70">
        <v>171.42213047458</v>
      </c>
      <c r="N631" s="70">
        <v>171.42213047458</v>
      </c>
      <c r="O631" s="70">
        <v>3.3193026308867</v>
      </c>
      <c r="P631" s="70">
        <v>3.3193026308867</v>
      </c>
    </row>
    <row r="632" hidden="1">
      <c r="A632" s="67" t="s">
        <v>1392</v>
      </c>
      <c r="B632" s="67" t="s">
        <v>268</v>
      </c>
      <c r="C632" s="68">
        <v>0.75</v>
      </c>
      <c r="D632" s="68">
        <v>0.25</v>
      </c>
      <c r="E632" s="68">
        <v>10.0</v>
      </c>
      <c r="F632" s="68">
        <v>0.0</v>
      </c>
      <c r="G632" s="68">
        <v>0.712997756536142</v>
      </c>
      <c r="H632" s="68">
        <v>0.950093966860787</v>
      </c>
      <c r="I632" s="69">
        <v>44358.51074074074</v>
      </c>
      <c r="J632" s="69">
        <v>44358.5112037037</v>
      </c>
      <c r="K632">
        <f>AVERAGE(H632:H636)</f>
        <v>111.9107477</v>
      </c>
      <c r="L632">
        <f>STDEV(H632:H636)</f>
        <v>71.05448209</v>
      </c>
      <c r="M632" s="70">
        <v>0.950093966860787</v>
      </c>
      <c r="N632" s="70">
        <v>0.950093966860787</v>
      </c>
      <c r="O632" s="70">
        <v>0.712997756536142</v>
      </c>
      <c r="P632" s="70">
        <v>0.712997756536142</v>
      </c>
    </row>
    <row r="633" hidden="1">
      <c r="A633" s="67" t="s">
        <v>1393</v>
      </c>
      <c r="B633" s="67" t="s">
        <v>268</v>
      </c>
      <c r="C633" s="68">
        <v>0.75</v>
      </c>
      <c r="D633" s="68">
        <v>0.25</v>
      </c>
      <c r="E633" s="68">
        <v>10.0</v>
      </c>
      <c r="F633" s="68">
        <v>1.0</v>
      </c>
      <c r="G633" s="68">
        <v>2.02728135476882</v>
      </c>
      <c r="H633" s="68">
        <v>95.6634170542254</v>
      </c>
      <c r="I633" s="69">
        <v>44358.51189814815</v>
      </c>
      <c r="J633" s="69">
        <v>44358.51515046296</v>
      </c>
      <c r="K633">
        <f>AVERAGE(H632:H636)</f>
        <v>111.9107477</v>
      </c>
      <c r="L633">
        <f>STDEV(H632:H636)</f>
        <v>71.05448209</v>
      </c>
      <c r="M633" s="70">
        <v>95.6634170542254</v>
      </c>
      <c r="N633" s="70">
        <v>95.6634170542254</v>
      </c>
      <c r="O633" s="70">
        <v>2.02728135476882</v>
      </c>
      <c r="P633" s="70">
        <v>2.02728135476882</v>
      </c>
    </row>
    <row r="634" hidden="1">
      <c r="A634" s="67" t="s">
        <v>1394</v>
      </c>
      <c r="B634" s="67" t="s">
        <v>268</v>
      </c>
      <c r="C634" s="68">
        <v>0.75</v>
      </c>
      <c r="D634" s="68">
        <v>0.25</v>
      </c>
      <c r="E634" s="68">
        <v>10.0</v>
      </c>
      <c r="F634" s="68">
        <v>2.0</v>
      </c>
      <c r="G634" s="68">
        <v>3.7820087348325</v>
      </c>
      <c r="H634" s="68">
        <v>176.146346997561</v>
      </c>
      <c r="I634" s="69">
        <v>44358.51584490741</v>
      </c>
      <c r="J634" s="69">
        <v>44358.61311342593</v>
      </c>
      <c r="K634">
        <f>AVERAGE(H632:H636)</f>
        <v>111.9107477</v>
      </c>
      <c r="L634">
        <f>STDEV(H632:H636)</f>
        <v>71.05448209</v>
      </c>
      <c r="M634" s="70">
        <v>176.146346997561</v>
      </c>
      <c r="N634" s="70">
        <v>176.146346997561</v>
      </c>
      <c r="O634" s="70">
        <v>3.7820087348325</v>
      </c>
      <c r="P634" s="70">
        <v>3.7820087348325</v>
      </c>
    </row>
    <row r="635" hidden="1">
      <c r="A635" s="67" t="s">
        <v>1395</v>
      </c>
      <c r="B635" s="67" t="s">
        <v>268</v>
      </c>
      <c r="C635" s="68">
        <v>0.75</v>
      </c>
      <c r="D635" s="68">
        <v>0.25</v>
      </c>
      <c r="E635" s="68">
        <v>10.0</v>
      </c>
      <c r="F635" s="68">
        <v>3.0</v>
      </c>
      <c r="G635" s="68">
        <v>4.20384384258104</v>
      </c>
      <c r="H635" s="68">
        <v>115.922020546068</v>
      </c>
      <c r="I635" s="69">
        <v>44358.61380787037</v>
      </c>
      <c r="J635" s="69">
        <v>44358.613900462966</v>
      </c>
      <c r="K635">
        <f>AVERAGE(H632:H636)</f>
        <v>111.9107477</v>
      </c>
      <c r="L635">
        <f>STDEV(H632:H636)</f>
        <v>71.05448209</v>
      </c>
      <c r="M635" s="70">
        <v>115.922020546068</v>
      </c>
      <c r="N635" s="70">
        <v>115.922020546068</v>
      </c>
      <c r="O635" s="70">
        <v>4.20384384258104</v>
      </c>
      <c r="P635" s="70">
        <v>4.20384384258104</v>
      </c>
    </row>
    <row r="636" hidden="1">
      <c r="A636" s="67" t="s">
        <v>1396</v>
      </c>
      <c r="B636" s="67" t="s">
        <v>268</v>
      </c>
      <c r="C636" s="68">
        <v>0.75</v>
      </c>
      <c r="D636" s="68">
        <v>0.25</v>
      </c>
      <c r="E636" s="68">
        <v>10.0</v>
      </c>
      <c r="F636" s="68">
        <v>4.0</v>
      </c>
      <c r="G636" s="68">
        <v>4.97162916076811</v>
      </c>
      <c r="H636" s="68">
        <v>170.87185980907</v>
      </c>
      <c r="I636" s="69">
        <v>44358.614594907405</v>
      </c>
      <c r="J636" s="69">
        <v>44358.614756944444</v>
      </c>
      <c r="K636">
        <f>AVERAGE(H632:H636)</f>
        <v>111.9107477</v>
      </c>
      <c r="L636">
        <f>STDEV(H632:H636)</f>
        <v>71.05448209</v>
      </c>
      <c r="M636" s="70">
        <v>170.87185980907</v>
      </c>
      <c r="N636" s="70">
        <v>170.87185980907</v>
      </c>
      <c r="O636" s="70">
        <v>4.97162916076811</v>
      </c>
      <c r="P636" s="70">
        <v>4.97162916076811</v>
      </c>
    </row>
    <row r="637" hidden="1">
      <c r="A637" s="67" t="s">
        <v>1397</v>
      </c>
      <c r="B637" s="67" t="s">
        <v>268</v>
      </c>
      <c r="C637" s="68">
        <v>0.75</v>
      </c>
      <c r="D637" s="68">
        <v>0.5</v>
      </c>
      <c r="E637" s="68">
        <v>10.0</v>
      </c>
      <c r="F637" s="68">
        <v>0.0</v>
      </c>
      <c r="G637" s="68">
        <v>0.712997756536142</v>
      </c>
      <c r="H637" s="68">
        <v>0.950093966860787</v>
      </c>
      <c r="I637" s="69">
        <v>44358.61545138889</v>
      </c>
      <c r="J637" s="69">
        <v>44358.6159375</v>
      </c>
      <c r="K637">
        <f>AVERAGE(H637:H641)</f>
        <v>106.9218746</v>
      </c>
      <c r="L637">
        <f>STDEV(H637:H641)</f>
        <v>98.36441743</v>
      </c>
      <c r="M637" s="70">
        <v>0.950093966860787</v>
      </c>
      <c r="N637" s="70">
        <v>0.950093966860787</v>
      </c>
      <c r="O637" s="70">
        <v>0.712997756536142</v>
      </c>
      <c r="P637" s="70">
        <v>0.712997756536142</v>
      </c>
    </row>
    <row r="638" hidden="1">
      <c r="A638" s="67" t="s">
        <v>1398</v>
      </c>
      <c r="B638" s="67" t="s">
        <v>268</v>
      </c>
      <c r="C638" s="68">
        <v>0.75</v>
      </c>
      <c r="D638" s="68">
        <v>0.5</v>
      </c>
      <c r="E638" s="68">
        <v>10.0</v>
      </c>
      <c r="F638" s="68">
        <v>1.0</v>
      </c>
      <c r="G638" s="68">
        <v>4.65802229177641</v>
      </c>
      <c r="H638" s="68">
        <v>205.383428245829</v>
      </c>
      <c r="I638" s="69">
        <v>44358.616631944446</v>
      </c>
      <c r="J638" s="69">
        <v>44358.62756944444</v>
      </c>
      <c r="K638">
        <f>AVERAGE(H637:H641)</f>
        <v>106.9218746</v>
      </c>
      <c r="L638">
        <f>STDEV(H637:H641)</f>
        <v>98.36441743</v>
      </c>
      <c r="M638" s="70">
        <v>205.383428245829</v>
      </c>
      <c r="N638" s="70">
        <v>205.383428245829</v>
      </c>
      <c r="O638" s="70">
        <v>4.65802229177641</v>
      </c>
      <c r="P638" s="70">
        <v>4.65802229177641</v>
      </c>
    </row>
    <row r="639" hidden="1">
      <c r="A639" s="67" t="s">
        <v>1399</v>
      </c>
      <c r="B639" s="67" t="s">
        <v>268</v>
      </c>
      <c r="C639" s="68">
        <v>0.75</v>
      </c>
      <c r="D639" s="68">
        <v>0.5</v>
      </c>
      <c r="E639" s="68">
        <v>10.0</v>
      </c>
      <c r="F639" s="68">
        <v>2.0</v>
      </c>
      <c r="G639" s="68">
        <v>3.37927766495043</v>
      </c>
      <c r="H639" s="68">
        <v>153.560130892705</v>
      </c>
      <c r="I639" s="69">
        <v>44358.62826388889</v>
      </c>
      <c r="J639" s="69">
        <v>44358.721967592595</v>
      </c>
      <c r="K639">
        <f>AVERAGE(H637:H641)</f>
        <v>106.9218746</v>
      </c>
      <c r="L639">
        <f>STDEV(H637:H641)</f>
        <v>98.36441743</v>
      </c>
      <c r="M639" s="70">
        <v>153.560130892705</v>
      </c>
      <c r="N639" s="70">
        <v>153.560130892705</v>
      </c>
      <c r="O639" s="70">
        <v>3.37927766495043</v>
      </c>
      <c r="P639" s="70">
        <v>3.37927766495043</v>
      </c>
    </row>
    <row r="640" hidden="1">
      <c r="A640" s="67" t="s">
        <v>1400</v>
      </c>
      <c r="B640" s="67" t="s">
        <v>268</v>
      </c>
      <c r="C640" s="68">
        <v>0.75</v>
      </c>
      <c r="D640" s="68">
        <v>0.5</v>
      </c>
      <c r="E640" s="68">
        <v>10.0</v>
      </c>
      <c r="F640" s="68">
        <v>3.0</v>
      </c>
      <c r="G640" s="68">
        <v>0.654697047044499</v>
      </c>
      <c r="H640" s="68">
        <v>1.22740548378193</v>
      </c>
      <c r="I640" s="69">
        <v>44358.722662037035</v>
      </c>
      <c r="J640" s="69">
        <v>44358.724444444444</v>
      </c>
      <c r="K640">
        <f>AVERAGE(H637:H641)</f>
        <v>106.9218746</v>
      </c>
      <c r="L640">
        <f>STDEV(H637:H641)</f>
        <v>98.36441743</v>
      </c>
      <c r="M640" s="70">
        <v>1.22740548378193</v>
      </c>
      <c r="N640" s="70">
        <v>1.22740548378193</v>
      </c>
      <c r="O640" s="70">
        <v>0.654697047044499</v>
      </c>
      <c r="P640" s="70">
        <v>0.654697047044499</v>
      </c>
    </row>
    <row r="641" hidden="1">
      <c r="A641" s="67" t="s">
        <v>1401</v>
      </c>
      <c r="B641" s="67" t="s">
        <v>268</v>
      </c>
      <c r="C641" s="68">
        <v>0.75</v>
      </c>
      <c r="D641" s="68">
        <v>0.5</v>
      </c>
      <c r="E641" s="68">
        <v>10.0</v>
      </c>
      <c r="F641" s="68">
        <v>4.0</v>
      </c>
      <c r="G641" s="68">
        <v>5.69841344837801</v>
      </c>
      <c r="H641" s="68">
        <v>173.488314161997</v>
      </c>
      <c r="I641" s="69">
        <v>44358.72513888889</v>
      </c>
      <c r="J641" s="69">
        <v>44358.72545138889</v>
      </c>
      <c r="K641">
        <f>AVERAGE(H637:H641)</f>
        <v>106.9218746</v>
      </c>
      <c r="L641">
        <f>STDEV(H637:H641)</f>
        <v>98.36441743</v>
      </c>
      <c r="M641" s="70">
        <v>173.488314161997</v>
      </c>
      <c r="N641" s="70">
        <v>173.488314161997</v>
      </c>
      <c r="O641" s="70">
        <v>5.69841344837801</v>
      </c>
      <c r="P641" s="70">
        <v>5.69841344837801</v>
      </c>
    </row>
    <row r="642" hidden="1">
      <c r="A642" s="67" t="s">
        <v>1402</v>
      </c>
      <c r="B642" s="67" t="s">
        <v>268</v>
      </c>
      <c r="C642" s="68">
        <v>0.75</v>
      </c>
      <c r="D642" s="68">
        <v>0.75</v>
      </c>
      <c r="E642" s="68">
        <v>10.0</v>
      </c>
      <c r="F642" s="68">
        <v>0.0</v>
      </c>
      <c r="G642" s="68">
        <v>0.656045938641958</v>
      </c>
      <c r="H642" s="68">
        <v>1.21819425957071</v>
      </c>
      <c r="I642" s="69">
        <v>44358.72614583333</v>
      </c>
      <c r="J642" s="69">
        <v>44358.72826388889</v>
      </c>
      <c r="K642">
        <f>AVERAGE(H642:H646)</f>
        <v>103.0833829</v>
      </c>
      <c r="L642">
        <f>STDEV(H642:H646)</f>
        <v>93.80090342</v>
      </c>
      <c r="M642" s="70">
        <v>1.21819425957071</v>
      </c>
      <c r="N642" s="70">
        <v>1.21819425957071</v>
      </c>
      <c r="O642" s="70">
        <v>0.656045938641958</v>
      </c>
      <c r="P642" s="70">
        <v>0.656045938641958</v>
      </c>
    </row>
    <row r="643" hidden="1">
      <c r="A643" s="67" t="s">
        <v>1403</v>
      </c>
      <c r="B643" s="67" t="s">
        <v>268</v>
      </c>
      <c r="C643" s="68">
        <v>0.75</v>
      </c>
      <c r="D643" s="68">
        <v>0.75</v>
      </c>
      <c r="E643" s="68">
        <v>10.0</v>
      </c>
      <c r="F643" s="68">
        <v>1.0</v>
      </c>
      <c r="G643" s="68">
        <v>4.5539896251579</v>
      </c>
      <c r="H643" s="68">
        <v>159.790717031625</v>
      </c>
      <c r="I643" s="69">
        <v>44358.72895833333</v>
      </c>
      <c r="J643" s="69">
        <v>44358.7299537037</v>
      </c>
      <c r="K643">
        <f>AVERAGE(H642:H646)</f>
        <v>103.0833829</v>
      </c>
      <c r="L643">
        <f>STDEV(H642:H646)</f>
        <v>93.80090342</v>
      </c>
      <c r="M643" s="70">
        <v>159.790717031625</v>
      </c>
      <c r="N643" s="70">
        <v>159.790717031625</v>
      </c>
      <c r="O643" s="70">
        <v>4.5539896251579</v>
      </c>
      <c r="P643" s="70">
        <v>4.5539896251579</v>
      </c>
    </row>
    <row r="644" hidden="1">
      <c r="A644" s="67" t="s">
        <v>1404</v>
      </c>
      <c r="B644" s="67" t="s">
        <v>268</v>
      </c>
      <c r="C644" s="68">
        <v>0.75</v>
      </c>
      <c r="D644" s="68">
        <v>0.75</v>
      </c>
      <c r="E644" s="68">
        <v>10.0</v>
      </c>
      <c r="F644" s="68">
        <v>2.0</v>
      </c>
      <c r="G644" s="68">
        <v>4.10958575979338</v>
      </c>
      <c r="H644" s="68">
        <v>189.459404486492</v>
      </c>
      <c r="I644" s="69">
        <v>44358.73064814815</v>
      </c>
      <c r="J644" s="69">
        <v>44358.74125</v>
      </c>
      <c r="K644">
        <f>AVERAGE(H642:H646)</f>
        <v>103.0833829</v>
      </c>
      <c r="L644">
        <f>STDEV(H642:H646)</f>
        <v>93.80090342</v>
      </c>
      <c r="M644" s="70">
        <v>189.459404486492</v>
      </c>
      <c r="N644" s="70">
        <v>189.459404486492</v>
      </c>
      <c r="O644" s="70">
        <v>4.10958575979338</v>
      </c>
      <c r="P644" s="70">
        <v>4.10958575979338</v>
      </c>
    </row>
    <row r="645" hidden="1">
      <c r="A645" s="67" t="s">
        <v>1405</v>
      </c>
      <c r="B645" s="67" t="s">
        <v>268</v>
      </c>
      <c r="C645" s="68">
        <v>0.75</v>
      </c>
      <c r="D645" s="68">
        <v>0.75</v>
      </c>
      <c r="E645" s="68">
        <v>10.0</v>
      </c>
      <c r="F645" s="68">
        <v>3.0</v>
      </c>
      <c r="G645" s="68">
        <v>0.73722706430504</v>
      </c>
      <c r="H645" s="68">
        <v>0.951560817488761</v>
      </c>
      <c r="I645" s="69">
        <v>44358.741944444446</v>
      </c>
      <c r="J645" s="69">
        <v>44358.74234953704</v>
      </c>
      <c r="K645">
        <f>AVERAGE(H642:H646)</f>
        <v>103.0833829</v>
      </c>
      <c r="L645">
        <f>STDEV(H642:H646)</f>
        <v>93.80090342</v>
      </c>
      <c r="M645" s="70">
        <v>0.951560817488761</v>
      </c>
      <c r="N645" s="70">
        <v>0.951560817488761</v>
      </c>
      <c r="O645" s="70">
        <v>0.73722706430504</v>
      </c>
      <c r="P645" s="70">
        <v>0.73722706430504</v>
      </c>
    </row>
    <row r="646" hidden="1">
      <c r="A646" s="67" t="s">
        <v>1406</v>
      </c>
      <c r="B646" s="67" t="s">
        <v>268</v>
      </c>
      <c r="C646" s="68">
        <v>0.75</v>
      </c>
      <c r="D646" s="68">
        <v>0.75</v>
      </c>
      <c r="E646" s="68">
        <v>10.0</v>
      </c>
      <c r="F646" s="68">
        <v>4.0</v>
      </c>
      <c r="G646" s="68">
        <v>3.67603728635504</v>
      </c>
      <c r="H646" s="68">
        <v>163.997037688439</v>
      </c>
      <c r="I646" s="69">
        <v>44358.74304398148</v>
      </c>
      <c r="J646" s="69">
        <v>44358.98800925926</v>
      </c>
      <c r="K646">
        <f>AVERAGE(H642:H646)</f>
        <v>103.0833829</v>
      </c>
      <c r="L646">
        <f>STDEV(H642:H646)</f>
        <v>93.80090342</v>
      </c>
      <c r="M646" s="70">
        <v>163.997037688439</v>
      </c>
      <c r="N646" s="70">
        <v>163.997037688439</v>
      </c>
      <c r="O646" s="70">
        <v>3.67603728635504</v>
      </c>
      <c r="P646" s="70">
        <v>3.67603728635504</v>
      </c>
    </row>
    <row r="647" hidden="1">
      <c r="A647" s="67" t="s">
        <v>1407</v>
      </c>
      <c r="B647" s="67" t="s">
        <v>268</v>
      </c>
      <c r="C647" s="68">
        <v>0.75</v>
      </c>
      <c r="D647" s="68">
        <v>1.0</v>
      </c>
      <c r="E647" s="68">
        <v>10.0</v>
      </c>
      <c r="F647" s="68">
        <v>0.0</v>
      </c>
      <c r="G647" s="68">
        <v>8.29752599437251</v>
      </c>
      <c r="H647" s="68">
        <v>288.831656595055</v>
      </c>
      <c r="I647" s="69">
        <v>44358.988703703704</v>
      </c>
      <c r="J647" s="69">
        <v>44358.99052083334</v>
      </c>
      <c r="K647">
        <f>AVERAGE(H647:H651)</f>
        <v>124.6837449</v>
      </c>
      <c r="L647">
        <f>STDEV(H647:H651)</f>
        <v>121.9089347</v>
      </c>
      <c r="M647" s="70">
        <v>288.831656595055</v>
      </c>
      <c r="N647" s="70">
        <v>288.831656595055</v>
      </c>
      <c r="O647" s="70">
        <v>8.29752599437251</v>
      </c>
      <c r="P647" s="70">
        <v>8.29752599437251</v>
      </c>
    </row>
    <row r="648" hidden="1">
      <c r="A648" s="67" t="s">
        <v>1408</v>
      </c>
      <c r="B648" s="67" t="s">
        <v>268</v>
      </c>
      <c r="C648" s="68">
        <v>0.75</v>
      </c>
      <c r="D648" s="68">
        <v>1.0</v>
      </c>
      <c r="E648" s="68">
        <v>10.0</v>
      </c>
      <c r="F648" s="68">
        <v>1.0</v>
      </c>
      <c r="G648" s="68">
        <v>0.656374006229817</v>
      </c>
      <c r="H648" s="68">
        <v>1.2170677366519</v>
      </c>
      <c r="I648" s="69">
        <v>44358.991215277776</v>
      </c>
      <c r="J648" s="69">
        <v>44358.992627314816</v>
      </c>
      <c r="K648">
        <f>AVERAGE(H647:H651)</f>
        <v>124.6837449</v>
      </c>
      <c r="L648">
        <f>STDEV(H647:H651)</f>
        <v>121.9089347</v>
      </c>
      <c r="M648" s="70">
        <v>1.2170677366519</v>
      </c>
      <c r="N648" s="70">
        <v>1.2170677366519</v>
      </c>
      <c r="O648" s="70">
        <v>0.656374006229817</v>
      </c>
      <c r="P648" s="70">
        <v>0.656374006229817</v>
      </c>
    </row>
    <row r="649" hidden="1">
      <c r="A649" s="67" t="s">
        <v>1409</v>
      </c>
      <c r="B649" s="67" t="s">
        <v>268</v>
      </c>
      <c r="C649" s="68">
        <v>0.75</v>
      </c>
      <c r="D649" s="68">
        <v>1.0</v>
      </c>
      <c r="E649" s="68">
        <v>10.0</v>
      </c>
      <c r="F649" s="68">
        <v>2.0</v>
      </c>
      <c r="G649" s="68">
        <v>2.73231897895114</v>
      </c>
      <c r="H649" s="68">
        <v>119.277102268007</v>
      </c>
      <c r="I649" s="69">
        <v>44358.99332175926</v>
      </c>
      <c r="J649" s="69">
        <v>44359.04347222222</v>
      </c>
      <c r="K649">
        <f>AVERAGE(H647:H651)</f>
        <v>124.6837449</v>
      </c>
      <c r="L649">
        <f>STDEV(H647:H651)</f>
        <v>121.9089347</v>
      </c>
      <c r="M649" s="70">
        <v>119.277102268007</v>
      </c>
      <c r="N649" s="70">
        <v>119.277102268007</v>
      </c>
      <c r="O649" s="70">
        <v>2.73231897895114</v>
      </c>
      <c r="P649" s="70">
        <v>2.73231897895114</v>
      </c>
    </row>
    <row r="650" hidden="1">
      <c r="A650" s="67" t="s">
        <v>1410</v>
      </c>
      <c r="B650" s="67" t="s">
        <v>268</v>
      </c>
      <c r="C650" s="68">
        <v>0.75</v>
      </c>
      <c r="D650" s="68">
        <v>1.0</v>
      </c>
      <c r="E650" s="68">
        <v>10.0</v>
      </c>
      <c r="F650" s="68">
        <v>3.0</v>
      </c>
      <c r="G650" s="68">
        <v>1.21593702315599</v>
      </c>
      <c r="H650" s="68">
        <v>15.9223138572581</v>
      </c>
      <c r="I650" s="69">
        <v>44359.04416666667</v>
      </c>
      <c r="J650" s="69">
        <v>44359.04436342593</v>
      </c>
      <c r="K650">
        <f>AVERAGE(H647:H651)</f>
        <v>124.6837449</v>
      </c>
      <c r="L650">
        <f>STDEV(H647:H651)</f>
        <v>121.9089347</v>
      </c>
      <c r="M650" s="70">
        <v>15.9223138572581</v>
      </c>
      <c r="N650" s="70">
        <v>15.9223138572581</v>
      </c>
      <c r="O650" s="70">
        <v>1.21593702315599</v>
      </c>
      <c r="P650" s="70">
        <v>1.21593702315599</v>
      </c>
    </row>
    <row r="651" hidden="1">
      <c r="A651" s="67" t="s">
        <v>1411</v>
      </c>
      <c r="B651" s="67" t="s">
        <v>268</v>
      </c>
      <c r="C651" s="68">
        <v>0.75</v>
      </c>
      <c r="D651" s="68">
        <v>1.0</v>
      </c>
      <c r="E651" s="68">
        <v>10.0</v>
      </c>
      <c r="F651" s="68">
        <v>4.0</v>
      </c>
      <c r="G651" s="68">
        <v>4.40572979922534</v>
      </c>
      <c r="H651" s="68">
        <v>198.170584049405</v>
      </c>
      <c r="I651" s="69">
        <v>44359.04505787037</v>
      </c>
      <c r="J651" s="69">
        <v>44359.04927083333</v>
      </c>
      <c r="K651">
        <f>AVERAGE(H647:H651)</f>
        <v>124.6837449</v>
      </c>
      <c r="L651">
        <f>STDEV(H647:H651)</f>
        <v>121.9089347</v>
      </c>
      <c r="M651" s="70">
        <v>198.170584049405</v>
      </c>
      <c r="N651" s="70">
        <v>198.170584049405</v>
      </c>
      <c r="O651" s="70">
        <v>4.40572979922534</v>
      </c>
      <c r="P651" s="70">
        <v>4.40572979922534</v>
      </c>
    </row>
    <row r="652" hidden="1">
      <c r="A652" s="67" t="s">
        <v>1412</v>
      </c>
      <c r="B652" s="67" t="s">
        <v>268</v>
      </c>
      <c r="C652" s="68">
        <v>1.0</v>
      </c>
      <c r="D652" s="68">
        <v>0.1</v>
      </c>
      <c r="E652" s="68">
        <v>10.0</v>
      </c>
      <c r="F652" s="68">
        <v>0.0</v>
      </c>
      <c r="G652" s="68">
        <v>4.20790133179542</v>
      </c>
      <c r="H652" s="68">
        <v>194.187493085103</v>
      </c>
      <c r="I652" s="69">
        <v>44359.04996527778</v>
      </c>
      <c r="J652" s="69">
        <v>44359.05509259259</v>
      </c>
      <c r="K652">
        <f>AVERAGE(H652:H656)</f>
        <v>102.1245735</v>
      </c>
      <c r="L652">
        <f>STDEV(H652:H656)</f>
        <v>83.79576091</v>
      </c>
      <c r="M652" s="70">
        <v>194.187493085103</v>
      </c>
      <c r="N652" s="70">
        <v>194.187493085103</v>
      </c>
      <c r="O652" s="70">
        <v>4.20790133179542</v>
      </c>
      <c r="P652" s="70">
        <v>4.20790133179542</v>
      </c>
    </row>
    <row r="653" hidden="1">
      <c r="A653" s="67" t="s">
        <v>1413</v>
      </c>
      <c r="B653" s="67" t="s">
        <v>268</v>
      </c>
      <c r="C653" s="68">
        <v>1.0</v>
      </c>
      <c r="D653" s="68">
        <v>0.1</v>
      </c>
      <c r="E653" s="68">
        <v>10.0</v>
      </c>
      <c r="F653" s="68">
        <v>1.0</v>
      </c>
      <c r="G653" s="68">
        <v>2.53681272532025</v>
      </c>
      <c r="H653" s="68">
        <v>133.348932854245</v>
      </c>
      <c r="I653" s="69">
        <v>44359.05578703704</v>
      </c>
      <c r="J653" s="69">
        <v>44359.05613425926</v>
      </c>
      <c r="K653">
        <f>AVERAGE(H652:H656)</f>
        <v>102.1245735</v>
      </c>
      <c r="L653">
        <f>STDEV(H652:H656)</f>
        <v>83.79576091</v>
      </c>
      <c r="M653" s="70">
        <v>133.348932854245</v>
      </c>
      <c r="N653" s="70">
        <v>133.348932854245</v>
      </c>
      <c r="O653" s="70">
        <v>2.53681272532025</v>
      </c>
      <c r="P653" s="70">
        <v>2.53681272532025</v>
      </c>
    </row>
    <row r="654" hidden="1">
      <c r="A654" s="67" t="s">
        <v>1414</v>
      </c>
      <c r="B654" s="67" t="s">
        <v>268</v>
      </c>
      <c r="C654" s="68">
        <v>1.0</v>
      </c>
      <c r="D654" s="68">
        <v>0.1</v>
      </c>
      <c r="E654" s="68">
        <v>10.0</v>
      </c>
      <c r="F654" s="68">
        <v>2.0</v>
      </c>
      <c r="G654" s="68">
        <v>3.44213265091057</v>
      </c>
      <c r="H654" s="68">
        <v>154.811639419308</v>
      </c>
      <c r="I654" s="69">
        <v>44359.0568287037</v>
      </c>
      <c r="J654" s="69">
        <v>44359.11651620371</v>
      </c>
      <c r="K654">
        <f>AVERAGE(H652:H656)</f>
        <v>102.1245735</v>
      </c>
      <c r="L654">
        <f>STDEV(H652:H656)</f>
        <v>83.79576091</v>
      </c>
      <c r="M654" s="70">
        <v>154.811639419308</v>
      </c>
      <c r="N654" s="70">
        <v>154.811639419308</v>
      </c>
      <c r="O654" s="70">
        <v>3.44213265091057</v>
      </c>
      <c r="P654" s="70">
        <v>3.44213265091057</v>
      </c>
    </row>
    <row r="655" hidden="1">
      <c r="A655" s="67" t="s">
        <v>1415</v>
      </c>
      <c r="B655" s="67" t="s">
        <v>268</v>
      </c>
      <c r="C655" s="68">
        <v>1.0</v>
      </c>
      <c r="D655" s="68">
        <v>0.1</v>
      </c>
      <c r="E655" s="68">
        <v>10.0</v>
      </c>
      <c r="F655" s="68">
        <v>3.0</v>
      </c>
      <c r="G655" s="68">
        <v>1.72548160696841</v>
      </c>
      <c r="H655" s="68">
        <v>27.8662841110001</v>
      </c>
      <c r="I655" s="69">
        <v>44359.117210648146</v>
      </c>
      <c r="J655" s="69">
        <v>44359.118414351855</v>
      </c>
      <c r="K655">
        <f>AVERAGE(H652:H656)</f>
        <v>102.1245735</v>
      </c>
      <c r="L655">
        <f>STDEV(H652:H656)</f>
        <v>83.79576091</v>
      </c>
      <c r="M655" s="70">
        <v>27.8662841110001</v>
      </c>
      <c r="N655" s="70">
        <v>27.8662841110001</v>
      </c>
      <c r="O655" s="70">
        <v>1.72548160696841</v>
      </c>
      <c r="P655" s="70">
        <v>1.72548160696841</v>
      </c>
    </row>
    <row r="656" hidden="1">
      <c r="A656" s="67" t="s">
        <v>1416</v>
      </c>
      <c r="B656" s="67" t="s">
        <v>268</v>
      </c>
      <c r="C656" s="68">
        <v>1.0</v>
      </c>
      <c r="D656" s="68">
        <v>0.1</v>
      </c>
      <c r="E656" s="68">
        <v>10.0</v>
      </c>
      <c r="F656" s="68">
        <v>4.0</v>
      </c>
      <c r="G656" s="68">
        <v>0.319096105615425</v>
      </c>
      <c r="H656" s="68">
        <v>0.408517979006142</v>
      </c>
      <c r="I656" s="69">
        <v>44359.119108796294</v>
      </c>
      <c r="J656" s="69">
        <v>44359.11917824074</v>
      </c>
      <c r="K656">
        <f>AVERAGE(H652:H656)</f>
        <v>102.1245735</v>
      </c>
      <c r="L656">
        <f>STDEV(H652:H656)</f>
        <v>83.79576091</v>
      </c>
      <c r="M656" s="70">
        <v>0.408517979006142</v>
      </c>
      <c r="N656" s="70">
        <v>0.408517979006142</v>
      </c>
      <c r="O656" s="70">
        <v>0.319096105615425</v>
      </c>
      <c r="P656" s="70">
        <v>0.319096105615425</v>
      </c>
    </row>
    <row r="657" hidden="1">
      <c r="A657" s="67" t="s">
        <v>1417</v>
      </c>
      <c r="B657" s="67" t="s">
        <v>268</v>
      </c>
      <c r="C657" s="68">
        <v>1.0</v>
      </c>
      <c r="D657" s="68">
        <v>0.25</v>
      </c>
      <c r="E657" s="68">
        <v>10.0</v>
      </c>
      <c r="F657" s="68">
        <v>0.0</v>
      </c>
      <c r="G657" s="68">
        <v>1.71875595253763</v>
      </c>
      <c r="H657" s="68">
        <v>27.8831868938068</v>
      </c>
      <c r="I657" s="69">
        <v>44359.11987268519</v>
      </c>
      <c r="J657" s="69">
        <v>44359.121157407404</v>
      </c>
      <c r="K657">
        <f>AVERAGE(H657:H661)</f>
        <v>87.7544347</v>
      </c>
      <c r="L657">
        <f>STDEV(H657:H661)</f>
        <v>103.2017807</v>
      </c>
      <c r="M657" s="70">
        <v>27.8831868938068</v>
      </c>
      <c r="N657" s="70">
        <v>27.8831868938068</v>
      </c>
      <c r="O657" s="70">
        <v>1.71875595253763</v>
      </c>
      <c r="P657" s="70">
        <v>1.71875595253763</v>
      </c>
    </row>
    <row r="658" hidden="1">
      <c r="A658" s="67" t="s">
        <v>1418</v>
      </c>
      <c r="B658" s="67" t="s">
        <v>268</v>
      </c>
      <c r="C658" s="68">
        <v>1.0</v>
      </c>
      <c r="D658" s="68">
        <v>0.25</v>
      </c>
      <c r="E658" s="68">
        <v>10.0</v>
      </c>
      <c r="F658" s="68">
        <v>1.0</v>
      </c>
      <c r="G658" s="68">
        <v>0.567884562985726</v>
      </c>
      <c r="H658" s="68">
        <v>11.3940928053149</v>
      </c>
      <c r="I658" s="69">
        <v>44359.12185185185</v>
      </c>
      <c r="J658" s="69">
        <v>44359.122766203705</v>
      </c>
      <c r="K658">
        <f>AVERAGE(H657:H661)</f>
        <v>87.7544347</v>
      </c>
      <c r="L658">
        <f>STDEV(H657:H661)</f>
        <v>103.2017807</v>
      </c>
      <c r="M658" s="70">
        <v>11.3940928053149</v>
      </c>
      <c r="N658" s="70">
        <v>11.3940928053149</v>
      </c>
      <c r="O658" s="70">
        <v>0.567884562985726</v>
      </c>
      <c r="P658" s="70">
        <v>0.567884562985726</v>
      </c>
    </row>
    <row r="659" hidden="1">
      <c r="A659" s="67" t="s">
        <v>1419</v>
      </c>
      <c r="B659" s="67" t="s">
        <v>268</v>
      </c>
      <c r="C659" s="68">
        <v>1.0</v>
      </c>
      <c r="D659" s="68">
        <v>0.25</v>
      </c>
      <c r="E659" s="68">
        <v>10.0</v>
      </c>
      <c r="F659" s="68">
        <v>2.0</v>
      </c>
      <c r="G659" s="68">
        <v>0.681844111944223</v>
      </c>
      <c r="H659" s="68">
        <v>1.1504779991936</v>
      </c>
      <c r="I659" s="69">
        <v>44359.123460648145</v>
      </c>
      <c r="J659" s="69">
        <v>44359.12666666666</v>
      </c>
      <c r="K659">
        <f>AVERAGE(H657:H661)</f>
        <v>87.7544347</v>
      </c>
      <c r="L659">
        <f>STDEV(H657:H661)</f>
        <v>103.2017807</v>
      </c>
      <c r="M659" s="70">
        <v>1.1504779991936</v>
      </c>
      <c r="N659" s="70">
        <v>1.1504779991936</v>
      </c>
      <c r="O659" s="70">
        <v>0.681844111944223</v>
      </c>
      <c r="P659" s="70">
        <v>0.681844111944223</v>
      </c>
    </row>
    <row r="660" hidden="1">
      <c r="A660" s="67" t="s">
        <v>1420</v>
      </c>
      <c r="B660" s="67" t="s">
        <v>268</v>
      </c>
      <c r="C660" s="68">
        <v>1.0</v>
      </c>
      <c r="D660" s="68">
        <v>0.25</v>
      </c>
      <c r="E660" s="68">
        <v>10.0</v>
      </c>
      <c r="F660" s="68">
        <v>3.0</v>
      </c>
      <c r="G660" s="68">
        <v>4.28581170230841</v>
      </c>
      <c r="H660" s="68">
        <v>178.449318212896</v>
      </c>
      <c r="I660" s="69">
        <v>44359.12736111111</v>
      </c>
      <c r="J660" s="69">
        <v>44359.18184027778</v>
      </c>
      <c r="K660">
        <f>AVERAGE(H657:H661)</f>
        <v>87.7544347</v>
      </c>
      <c r="L660">
        <f>STDEV(H657:H661)</f>
        <v>103.2017807</v>
      </c>
      <c r="M660" s="70">
        <v>178.449318212896</v>
      </c>
      <c r="N660" s="70">
        <v>178.449318212896</v>
      </c>
      <c r="O660" s="70">
        <v>4.28581170230841</v>
      </c>
      <c r="P660" s="70">
        <v>4.28581170230841</v>
      </c>
    </row>
    <row r="661" hidden="1">
      <c r="A661" s="67" t="s">
        <v>1421</v>
      </c>
      <c r="B661" s="67" t="s">
        <v>268</v>
      </c>
      <c r="C661" s="68">
        <v>1.0</v>
      </c>
      <c r="D661" s="68">
        <v>0.25</v>
      </c>
      <c r="E661" s="68">
        <v>10.0</v>
      </c>
      <c r="F661" s="68">
        <v>4.0</v>
      </c>
      <c r="G661" s="68">
        <v>5.09047007194607</v>
      </c>
      <c r="H661" s="68">
        <v>219.895097590812</v>
      </c>
      <c r="I661" s="69">
        <v>44359.182534722226</v>
      </c>
      <c r="J661" s="69">
        <v>44359.18667824074</v>
      </c>
      <c r="K661">
        <f>AVERAGE(H657:H661)</f>
        <v>87.7544347</v>
      </c>
      <c r="L661">
        <f>STDEV(H657:H661)</f>
        <v>103.2017807</v>
      </c>
      <c r="M661" s="70">
        <v>219.895097590812</v>
      </c>
      <c r="N661" s="70">
        <v>219.895097590812</v>
      </c>
      <c r="O661" s="70">
        <v>5.09047007194607</v>
      </c>
      <c r="P661" s="70">
        <v>5.09047007194607</v>
      </c>
    </row>
    <row r="662" hidden="1">
      <c r="A662" s="67" t="s">
        <v>1422</v>
      </c>
      <c r="B662" s="67" t="s">
        <v>268</v>
      </c>
      <c r="C662" s="68">
        <v>1.0</v>
      </c>
      <c r="D662" s="68">
        <v>0.5</v>
      </c>
      <c r="E662" s="68">
        <v>10.0</v>
      </c>
      <c r="F662" s="68">
        <v>0.0</v>
      </c>
      <c r="G662" s="68">
        <v>3.17513100592166</v>
      </c>
      <c r="H662" s="68">
        <v>149.105798193655</v>
      </c>
      <c r="I662" s="69">
        <v>44359.187372685185</v>
      </c>
      <c r="J662" s="69">
        <v>44359.29077546296</v>
      </c>
      <c r="K662">
        <f>AVERAGE(H662:H666)</f>
        <v>93.89170185</v>
      </c>
      <c r="L662">
        <f>STDEV(H662:H666)</f>
        <v>125.5431097</v>
      </c>
      <c r="M662" s="70">
        <v>149.105798193655</v>
      </c>
      <c r="N662" s="70">
        <v>149.105798193655</v>
      </c>
      <c r="O662" s="70">
        <v>3.17513100592166</v>
      </c>
      <c r="P662" s="70">
        <v>3.17513100592166</v>
      </c>
    </row>
    <row r="663" hidden="1">
      <c r="A663" s="67" t="s">
        <v>1423</v>
      </c>
      <c r="B663" s="67" t="s">
        <v>268</v>
      </c>
      <c r="C663" s="68">
        <v>1.0</v>
      </c>
      <c r="D663" s="68">
        <v>0.5</v>
      </c>
      <c r="E663" s="68">
        <v>10.0</v>
      </c>
      <c r="F663" s="68">
        <v>1.0</v>
      </c>
      <c r="G663" s="68">
        <v>1.72042551456287</v>
      </c>
      <c r="H663" s="68">
        <v>27.931279824232</v>
      </c>
      <c r="I663" s="69">
        <v>44359.29146990741</v>
      </c>
      <c r="J663" s="69">
        <v>44359.292662037034</v>
      </c>
      <c r="K663">
        <f>AVERAGE(H662:H666)</f>
        <v>93.89170185</v>
      </c>
      <c r="L663">
        <f>STDEV(H662:H666)</f>
        <v>125.5431097</v>
      </c>
      <c r="M663" s="70">
        <v>27.931279824232</v>
      </c>
      <c r="N663" s="70">
        <v>27.931279824232</v>
      </c>
      <c r="O663" s="70">
        <v>1.72042551456287</v>
      </c>
      <c r="P663" s="70">
        <v>1.72042551456287</v>
      </c>
    </row>
    <row r="664" hidden="1">
      <c r="A664" s="67" t="s">
        <v>1424</v>
      </c>
      <c r="B664" s="67" t="s">
        <v>268</v>
      </c>
      <c r="C664" s="68">
        <v>1.0</v>
      </c>
      <c r="D664" s="68">
        <v>0.5</v>
      </c>
      <c r="E664" s="68">
        <v>10.0</v>
      </c>
      <c r="F664" s="68">
        <v>2.0</v>
      </c>
      <c r="G664" s="68">
        <v>0.738388919616822</v>
      </c>
      <c r="H664" s="68">
        <v>0.954404004182583</v>
      </c>
      <c r="I664" s="69">
        <v>44359.29335648148</v>
      </c>
      <c r="J664" s="69">
        <v>44359.29366898148</v>
      </c>
      <c r="K664">
        <f>AVERAGE(H662:H666)</f>
        <v>93.89170185</v>
      </c>
      <c r="L664">
        <f>STDEV(H662:H666)</f>
        <v>125.5431097</v>
      </c>
      <c r="M664" s="70">
        <v>0.954404004182583</v>
      </c>
      <c r="N664" s="70">
        <v>0.954404004182583</v>
      </c>
      <c r="O664" s="70">
        <v>0.738388919616822</v>
      </c>
      <c r="P664" s="70">
        <v>0.738388919616822</v>
      </c>
    </row>
    <row r="665" hidden="1">
      <c r="A665" s="67" t="s">
        <v>1425</v>
      </c>
      <c r="B665" s="67" t="s">
        <v>268</v>
      </c>
      <c r="C665" s="68">
        <v>1.0</v>
      </c>
      <c r="D665" s="68">
        <v>0.5</v>
      </c>
      <c r="E665" s="68">
        <v>10.0</v>
      </c>
      <c r="F665" s="68">
        <v>3.0</v>
      </c>
      <c r="G665" s="68">
        <v>1.08481939748021</v>
      </c>
      <c r="H665" s="68">
        <v>1.45526223330832</v>
      </c>
      <c r="I665" s="69">
        <v>44359.29436342593</v>
      </c>
      <c r="J665" s="69">
        <v>44359.29451388889</v>
      </c>
      <c r="K665">
        <f>AVERAGE(H662:H666)</f>
        <v>93.89170185</v>
      </c>
      <c r="L665">
        <f>STDEV(H662:H666)</f>
        <v>125.5431097</v>
      </c>
      <c r="M665" s="70">
        <v>1.45526223330832</v>
      </c>
      <c r="N665" s="70">
        <v>1.45526223330832</v>
      </c>
      <c r="O665" s="70">
        <v>1.08481939748021</v>
      </c>
      <c r="P665" s="70">
        <v>1.08481939748021</v>
      </c>
    </row>
    <row r="666" hidden="1">
      <c r="A666" s="67" t="s">
        <v>1426</v>
      </c>
      <c r="B666" s="67" t="s">
        <v>268</v>
      </c>
      <c r="C666" s="68">
        <v>1.0</v>
      </c>
      <c r="D666" s="68">
        <v>0.5</v>
      </c>
      <c r="E666" s="68">
        <v>10.0</v>
      </c>
      <c r="F666" s="68">
        <v>4.0</v>
      </c>
      <c r="G666" s="68">
        <v>8.35429703078711</v>
      </c>
      <c r="H666" s="68">
        <v>290.011764996972</v>
      </c>
      <c r="I666" s="69">
        <v>44359.29520833334</v>
      </c>
      <c r="J666" s="69">
        <v>44359.297060185185</v>
      </c>
      <c r="K666">
        <f>AVERAGE(H662:H666)</f>
        <v>93.89170185</v>
      </c>
      <c r="L666">
        <f>STDEV(H662:H666)</f>
        <v>125.5431097</v>
      </c>
      <c r="M666" s="70">
        <v>290.011764996972</v>
      </c>
      <c r="N666" s="70">
        <v>290.011764996972</v>
      </c>
      <c r="O666" s="70">
        <v>8.35429703078711</v>
      </c>
      <c r="P666" s="70">
        <v>8.35429703078711</v>
      </c>
    </row>
    <row r="667" hidden="1">
      <c r="A667" s="67" t="s">
        <v>1427</v>
      </c>
      <c r="B667" s="67" t="s">
        <v>268</v>
      </c>
      <c r="C667" s="68">
        <v>1.0</v>
      </c>
      <c r="D667" s="68">
        <v>0.75</v>
      </c>
      <c r="E667" s="68">
        <v>10.0</v>
      </c>
      <c r="F667" s="68">
        <v>0.0</v>
      </c>
      <c r="G667" s="68">
        <v>3.8829943651554</v>
      </c>
      <c r="H667" s="68">
        <v>177.148287795856</v>
      </c>
      <c r="I667" s="69">
        <v>44359.29775462963</v>
      </c>
      <c r="J667" s="69">
        <v>44359.40363425926</v>
      </c>
      <c r="K667">
        <f>AVERAGE(H667:H671)</f>
        <v>102.9864193</v>
      </c>
      <c r="L667">
        <f>STDEV(H667:H671)</f>
        <v>85.32429483</v>
      </c>
      <c r="M667" s="70">
        <v>177.148287795856</v>
      </c>
      <c r="N667" s="70">
        <v>177.148287795856</v>
      </c>
      <c r="O667" s="70">
        <v>3.8829943651554</v>
      </c>
      <c r="P667" s="70">
        <v>3.8829943651554</v>
      </c>
    </row>
    <row r="668" hidden="1">
      <c r="A668" s="67" t="s">
        <v>1428</v>
      </c>
      <c r="B668" s="67" t="s">
        <v>268</v>
      </c>
      <c r="C668" s="68">
        <v>1.0</v>
      </c>
      <c r="D668" s="68">
        <v>0.75</v>
      </c>
      <c r="E668" s="68">
        <v>10.0</v>
      </c>
      <c r="F668" s="68">
        <v>1.0</v>
      </c>
      <c r="G668" s="68">
        <v>5.0431176618699</v>
      </c>
      <c r="H668" s="68">
        <v>156.03775431463</v>
      </c>
      <c r="I668" s="69">
        <v>44359.404328703706</v>
      </c>
      <c r="J668" s="69">
        <v>44359.40443287037</v>
      </c>
      <c r="K668">
        <f>AVERAGE(H667:H671)</f>
        <v>102.9864193</v>
      </c>
      <c r="L668">
        <f>STDEV(H667:H671)</f>
        <v>85.32429483</v>
      </c>
      <c r="M668" s="70">
        <v>156.03775431463</v>
      </c>
      <c r="N668" s="70">
        <v>156.03775431463</v>
      </c>
      <c r="O668" s="70">
        <v>5.0431176618699</v>
      </c>
      <c r="P668" s="70">
        <v>5.0431176618699</v>
      </c>
    </row>
    <row r="669" hidden="1">
      <c r="A669" s="67" t="s">
        <v>1429</v>
      </c>
      <c r="B669" s="67" t="s">
        <v>268</v>
      </c>
      <c r="C669" s="68">
        <v>1.0</v>
      </c>
      <c r="D669" s="68">
        <v>0.75</v>
      </c>
      <c r="E669" s="68">
        <v>10.0</v>
      </c>
      <c r="F669" s="68">
        <v>2.0</v>
      </c>
      <c r="G669" s="68">
        <v>1.36887210424973</v>
      </c>
      <c r="H669" s="68">
        <v>19.1076165743056</v>
      </c>
      <c r="I669" s="69">
        <v>44359.405127314814</v>
      </c>
      <c r="J669" s="69">
        <v>44359.406319444446</v>
      </c>
      <c r="K669">
        <f>AVERAGE(H667:H671)</f>
        <v>102.9864193</v>
      </c>
      <c r="L669">
        <f>STDEV(H667:H671)</f>
        <v>85.32429483</v>
      </c>
      <c r="M669" s="70">
        <v>19.1076165743056</v>
      </c>
      <c r="N669" s="70">
        <v>19.1076165743056</v>
      </c>
      <c r="O669" s="70">
        <v>1.36887210424973</v>
      </c>
      <c r="P669" s="70">
        <v>1.36887210424973</v>
      </c>
    </row>
    <row r="670" hidden="1">
      <c r="A670" s="67" t="s">
        <v>1430</v>
      </c>
      <c r="B670" s="67" t="s">
        <v>268</v>
      </c>
      <c r="C670" s="68">
        <v>1.0</v>
      </c>
      <c r="D670" s="68">
        <v>0.75</v>
      </c>
      <c r="E670" s="68">
        <v>10.0</v>
      </c>
      <c r="F670" s="68">
        <v>3.0</v>
      </c>
      <c r="G670" s="68">
        <v>0.656980776586676</v>
      </c>
      <c r="H670" s="68">
        <v>1.21951370032449</v>
      </c>
      <c r="I670" s="69">
        <v>44359.407013888886</v>
      </c>
      <c r="J670" s="69">
        <v>44359.40849537037</v>
      </c>
      <c r="K670">
        <f>AVERAGE(H667:H671)</f>
        <v>102.9864193</v>
      </c>
      <c r="L670">
        <f>STDEV(H667:H671)</f>
        <v>85.32429483</v>
      </c>
      <c r="M670" s="70">
        <v>1.21951370032449</v>
      </c>
      <c r="N670" s="70">
        <v>1.21951370032449</v>
      </c>
      <c r="O670" s="70">
        <v>0.656980776586676</v>
      </c>
      <c r="P670" s="70">
        <v>0.656980776586676</v>
      </c>
    </row>
    <row r="671" hidden="1">
      <c r="A671" s="67" t="s">
        <v>1431</v>
      </c>
      <c r="B671" s="67" t="s">
        <v>268</v>
      </c>
      <c r="C671" s="68">
        <v>1.0</v>
      </c>
      <c r="D671" s="68">
        <v>0.75</v>
      </c>
      <c r="E671" s="68">
        <v>10.0</v>
      </c>
      <c r="F671" s="68">
        <v>4.0</v>
      </c>
      <c r="G671" s="68">
        <v>4.78946142392409</v>
      </c>
      <c r="H671" s="68">
        <v>161.418924330426</v>
      </c>
      <c r="I671" s="69">
        <v>44359.40918981482</v>
      </c>
      <c r="J671" s="69">
        <v>44359.409525462965</v>
      </c>
      <c r="K671">
        <f>AVERAGE(H667:H671)</f>
        <v>102.9864193</v>
      </c>
      <c r="L671">
        <f>STDEV(H667:H671)</f>
        <v>85.32429483</v>
      </c>
      <c r="M671" s="70">
        <v>161.418924330426</v>
      </c>
      <c r="N671" s="70">
        <v>161.418924330426</v>
      </c>
      <c r="O671" s="70">
        <v>4.78946142392409</v>
      </c>
      <c r="P671" s="70">
        <v>4.78946142392409</v>
      </c>
    </row>
    <row r="672" hidden="1">
      <c r="A672" s="67" t="s">
        <v>1432</v>
      </c>
      <c r="B672" s="67" t="s">
        <v>268</v>
      </c>
      <c r="C672" s="68">
        <v>1.0</v>
      </c>
      <c r="D672" s="68">
        <v>1.0</v>
      </c>
      <c r="E672" s="68">
        <v>10.0</v>
      </c>
      <c r="F672" s="68">
        <v>0.0</v>
      </c>
      <c r="G672" s="68">
        <v>0.463699646319632</v>
      </c>
      <c r="H672" s="68">
        <v>0.556153026606167</v>
      </c>
      <c r="I672" s="69">
        <v>44359.410219907404</v>
      </c>
      <c r="J672" s="69">
        <v>44359.41048611111</v>
      </c>
      <c r="K672">
        <f>AVERAGE(H672:H676)</f>
        <v>147.0860994</v>
      </c>
      <c r="L672">
        <f>STDEV(H672:H676)</f>
        <v>89.44359486</v>
      </c>
      <c r="M672" s="70">
        <v>0.556153026606167</v>
      </c>
      <c r="N672" s="70">
        <v>0.556153026606167</v>
      </c>
      <c r="O672" s="70">
        <v>0.463699646319632</v>
      </c>
      <c r="P672" s="70">
        <v>0.463699646319632</v>
      </c>
    </row>
    <row r="673" hidden="1">
      <c r="A673" s="67" t="s">
        <v>1433</v>
      </c>
      <c r="B673" s="67" t="s">
        <v>268</v>
      </c>
      <c r="C673" s="68">
        <v>1.0</v>
      </c>
      <c r="D673" s="68">
        <v>1.0</v>
      </c>
      <c r="E673" s="68">
        <v>10.0</v>
      </c>
      <c r="F673" s="68">
        <v>1.0</v>
      </c>
      <c r="G673" s="68">
        <v>5.30105788592121</v>
      </c>
      <c r="H673" s="68">
        <v>214.145201713005</v>
      </c>
      <c r="I673" s="69">
        <v>44359.41118055556</v>
      </c>
      <c r="J673" s="69">
        <v>44359.417708333334</v>
      </c>
      <c r="K673">
        <f>AVERAGE(H672:H676)</f>
        <v>147.0860994</v>
      </c>
      <c r="L673">
        <f>STDEV(H672:H676)</f>
        <v>89.44359486</v>
      </c>
      <c r="M673" s="70">
        <v>214.145201713005</v>
      </c>
      <c r="N673" s="70">
        <v>214.145201713005</v>
      </c>
      <c r="O673" s="70">
        <v>5.30105788592121</v>
      </c>
      <c r="P673" s="70">
        <v>5.30105788592121</v>
      </c>
    </row>
    <row r="674" hidden="1">
      <c r="A674" s="67" t="s">
        <v>1434</v>
      </c>
      <c r="B674" s="67" t="s">
        <v>268</v>
      </c>
      <c r="C674" s="68">
        <v>1.0</v>
      </c>
      <c r="D674" s="68">
        <v>1.0</v>
      </c>
      <c r="E674" s="68">
        <v>10.0</v>
      </c>
      <c r="F674" s="68">
        <v>2.0</v>
      </c>
      <c r="G674" s="68">
        <v>4.78591889192065</v>
      </c>
      <c r="H674" s="68">
        <v>161.21000685405</v>
      </c>
      <c r="I674" s="69">
        <v>44359.41840277778</v>
      </c>
      <c r="J674" s="69">
        <v>44359.418761574074</v>
      </c>
      <c r="K674">
        <f>AVERAGE(H672:H676)</f>
        <v>147.0860994</v>
      </c>
      <c r="L674">
        <f>STDEV(H672:H676)</f>
        <v>89.44359486</v>
      </c>
      <c r="M674" s="70">
        <v>161.21000685405</v>
      </c>
      <c r="N674" s="70">
        <v>161.21000685405</v>
      </c>
      <c r="O674" s="70">
        <v>4.78591889192065</v>
      </c>
      <c r="P674" s="70">
        <v>4.78591889192065</v>
      </c>
    </row>
    <row r="675" hidden="1">
      <c r="A675" s="67" t="s">
        <v>1435</v>
      </c>
      <c r="B675" s="67" t="s">
        <v>268</v>
      </c>
      <c r="C675" s="68">
        <v>1.0</v>
      </c>
      <c r="D675" s="68">
        <v>1.0</v>
      </c>
      <c r="E675" s="68">
        <v>10.0</v>
      </c>
      <c r="F675" s="68">
        <v>3.0</v>
      </c>
      <c r="G675" s="68">
        <v>7.32476618117347</v>
      </c>
      <c r="H675" s="68">
        <v>222.760046978741</v>
      </c>
      <c r="I675" s="69">
        <v>44359.41945601852</v>
      </c>
      <c r="J675" s="69">
        <v>44359.4196875</v>
      </c>
      <c r="K675">
        <f>AVERAGE(H672:H676)</f>
        <v>147.0860994</v>
      </c>
      <c r="L675">
        <f>STDEV(H672:H676)</f>
        <v>89.44359486</v>
      </c>
      <c r="M675" s="70">
        <v>222.760046978741</v>
      </c>
      <c r="N675" s="70">
        <v>222.760046978741</v>
      </c>
      <c r="O675" s="70">
        <v>7.32476618117347</v>
      </c>
      <c r="P675" s="70">
        <v>7.32476618117347</v>
      </c>
    </row>
    <row r="676" hidden="1">
      <c r="A676" s="67" t="s">
        <v>1436</v>
      </c>
      <c r="B676" s="67" t="s">
        <v>268</v>
      </c>
      <c r="C676" s="68">
        <v>1.0</v>
      </c>
      <c r="D676" s="68">
        <v>1.0</v>
      </c>
      <c r="E676" s="68">
        <v>10.0</v>
      </c>
      <c r="F676" s="68">
        <v>4.0</v>
      </c>
      <c r="G676" s="68">
        <v>2.66774778794052</v>
      </c>
      <c r="H676" s="68">
        <v>136.759088520592</v>
      </c>
      <c r="I676" s="69">
        <v>44359.50614583334</v>
      </c>
      <c r="J676" s="69">
        <v>44361.296631944446</v>
      </c>
      <c r="K676">
        <f>AVERAGE(H672:H676)</f>
        <v>147.0860994</v>
      </c>
      <c r="L676">
        <f>STDEV(H672:H676)</f>
        <v>89.44359486</v>
      </c>
      <c r="M676" s="70">
        <v>136.759088520592</v>
      </c>
      <c r="N676" s="70">
        <v>136.759088520592</v>
      </c>
      <c r="O676" s="70">
        <v>2.66774778794052</v>
      </c>
      <c r="P676" s="70">
        <v>2.66774778794052</v>
      </c>
    </row>
    <row r="677" hidden="1">
      <c r="A677" s="67" t="s">
        <v>1437</v>
      </c>
      <c r="B677" s="67" t="s">
        <v>519</v>
      </c>
      <c r="C677" s="68">
        <v>0.1</v>
      </c>
      <c r="D677" s="68">
        <v>0.1</v>
      </c>
      <c r="E677" s="68">
        <v>10.0</v>
      </c>
      <c r="F677" s="68">
        <v>0.0</v>
      </c>
      <c r="G677" s="68">
        <v>1.36745989798555</v>
      </c>
      <c r="H677" s="68">
        <v>70.069726469225</v>
      </c>
      <c r="I677" s="69">
        <v>44361.297326388885</v>
      </c>
      <c r="J677" s="69">
        <v>44361.299409722225</v>
      </c>
      <c r="K677">
        <f>AVERAGE(H677:H681)</f>
        <v>138.3448303</v>
      </c>
      <c r="L677">
        <f>STDEV(H677:H681)</f>
        <v>88.35546354</v>
      </c>
      <c r="M677" s="70">
        <v>70.069726469225</v>
      </c>
      <c r="N677" s="70">
        <v>70.069726469225</v>
      </c>
      <c r="O677" s="70">
        <v>1.36745989798555</v>
      </c>
      <c r="P677" s="70">
        <v>1.36745989798555</v>
      </c>
    </row>
    <row r="678" hidden="1">
      <c r="A678" s="67" t="s">
        <v>1438</v>
      </c>
      <c r="B678" s="67" t="s">
        <v>519</v>
      </c>
      <c r="C678" s="68">
        <v>0.1</v>
      </c>
      <c r="D678" s="68">
        <v>0.1</v>
      </c>
      <c r="E678" s="68">
        <v>10.0</v>
      </c>
      <c r="F678" s="68">
        <v>1.0</v>
      </c>
      <c r="G678" s="68">
        <v>5.91112290136851</v>
      </c>
      <c r="H678" s="68">
        <v>199.811677026603</v>
      </c>
      <c r="I678" s="69">
        <v>44361.300104166665</v>
      </c>
      <c r="J678" s="69">
        <v>44361.30018518519</v>
      </c>
      <c r="K678">
        <f>AVERAGE(H677:H681)</f>
        <v>138.3448303</v>
      </c>
      <c r="L678">
        <f>STDEV(H677:H681)</f>
        <v>88.35546354</v>
      </c>
      <c r="M678" s="70">
        <v>199.811677026603</v>
      </c>
      <c r="N678" s="70">
        <v>199.811677026603</v>
      </c>
      <c r="O678" s="70">
        <v>5.91112290136851</v>
      </c>
      <c r="P678" s="70">
        <v>5.91112290136851</v>
      </c>
    </row>
    <row r="679" hidden="1">
      <c r="A679" s="67" t="s">
        <v>1439</v>
      </c>
      <c r="B679" s="67" t="s">
        <v>519</v>
      </c>
      <c r="C679" s="68">
        <v>0.1</v>
      </c>
      <c r="D679" s="68">
        <v>0.1</v>
      </c>
      <c r="E679" s="68">
        <v>10.0</v>
      </c>
      <c r="F679" s="68">
        <v>2.0</v>
      </c>
      <c r="G679" s="68">
        <v>3.59189275560228</v>
      </c>
      <c r="H679" s="68">
        <v>169.764561353212</v>
      </c>
      <c r="I679" s="69">
        <v>44361.30087962963</v>
      </c>
      <c r="J679" s="69">
        <v>44361.39197916666</v>
      </c>
      <c r="K679">
        <f>AVERAGE(H677:H681)</f>
        <v>138.3448303</v>
      </c>
      <c r="L679">
        <f>STDEV(H677:H681)</f>
        <v>88.35546354</v>
      </c>
      <c r="M679" s="70">
        <v>169.764561353212</v>
      </c>
      <c r="N679" s="70">
        <v>169.764561353212</v>
      </c>
      <c r="O679" s="70">
        <v>3.59189275560228</v>
      </c>
      <c r="P679" s="70">
        <v>3.59189275560228</v>
      </c>
    </row>
    <row r="680" hidden="1">
      <c r="A680" s="67" t="s">
        <v>1440</v>
      </c>
      <c r="B680" s="67" t="s">
        <v>519</v>
      </c>
      <c r="C680" s="68">
        <v>0.1</v>
      </c>
      <c r="D680" s="68">
        <v>0.1</v>
      </c>
      <c r="E680" s="68">
        <v>10.0</v>
      </c>
      <c r="F680" s="68">
        <v>3.0</v>
      </c>
      <c r="G680" s="68">
        <v>1.44280476263996</v>
      </c>
      <c r="H680" s="68">
        <v>22.3640556463379</v>
      </c>
      <c r="I680" s="69">
        <v>44361.39267361111</v>
      </c>
      <c r="J680" s="69">
        <v>44361.393587962964</v>
      </c>
      <c r="K680">
        <f>AVERAGE(H677:H681)</f>
        <v>138.3448303</v>
      </c>
      <c r="L680">
        <f>STDEV(H677:H681)</f>
        <v>88.35546354</v>
      </c>
      <c r="M680" s="70">
        <v>22.3640556463379</v>
      </c>
      <c r="N680" s="70">
        <v>22.3640556463379</v>
      </c>
      <c r="O680" s="70">
        <v>1.44280476263996</v>
      </c>
      <c r="P680" s="70">
        <v>1.44280476263996</v>
      </c>
    </row>
    <row r="681" hidden="1">
      <c r="A681" s="67" t="s">
        <v>1441</v>
      </c>
      <c r="B681" s="67" t="s">
        <v>519</v>
      </c>
      <c r="C681" s="68">
        <v>0.1</v>
      </c>
      <c r="D681" s="68">
        <v>0.1</v>
      </c>
      <c r="E681" s="68">
        <v>10.0</v>
      </c>
      <c r="F681" s="68">
        <v>4.0</v>
      </c>
      <c r="G681" s="68">
        <v>9.97830674532176</v>
      </c>
      <c r="H681" s="68">
        <v>229.714130994604</v>
      </c>
      <c r="I681" s="69">
        <v>44361.394282407404</v>
      </c>
      <c r="J681" s="69">
        <v>44361.394421296296</v>
      </c>
      <c r="K681">
        <f>AVERAGE(H677:H681)</f>
        <v>138.3448303</v>
      </c>
      <c r="L681">
        <f>STDEV(H677:H681)</f>
        <v>88.35546354</v>
      </c>
      <c r="M681" s="70">
        <v>229.714130994604</v>
      </c>
      <c r="N681" s="70">
        <v>229.714130994604</v>
      </c>
      <c r="O681" s="70">
        <v>9.97830674532176</v>
      </c>
      <c r="P681" s="70">
        <v>9.97830674532176</v>
      </c>
    </row>
    <row r="682" hidden="1">
      <c r="A682" s="67" t="s">
        <v>1442</v>
      </c>
      <c r="B682" s="67" t="s">
        <v>519</v>
      </c>
      <c r="C682" s="68">
        <v>0.1</v>
      </c>
      <c r="D682" s="68">
        <v>0.25</v>
      </c>
      <c r="E682" s="68">
        <v>10.0</v>
      </c>
      <c r="F682" s="68">
        <v>0.0</v>
      </c>
      <c r="G682" s="68">
        <v>2.02373169631406</v>
      </c>
      <c r="H682" s="68">
        <v>95.9817244790295</v>
      </c>
      <c r="I682" s="69">
        <v>44361.39512731481</v>
      </c>
      <c r="J682" s="69">
        <v>44361.488657407404</v>
      </c>
      <c r="K682">
        <f>AVERAGE(H682:H686)</f>
        <v>224.2178438</v>
      </c>
      <c r="L682">
        <f>STDEV(H682:H686)</f>
        <v>95.52988104</v>
      </c>
      <c r="M682" s="70">
        <v>95.9817244790295</v>
      </c>
      <c r="N682" s="70">
        <v>95.9817244790295</v>
      </c>
      <c r="O682" s="70">
        <v>2.02373169631406</v>
      </c>
      <c r="P682" s="70">
        <v>2.02373169631406</v>
      </c>
    </row>
    <row r="683" hidden="1">
      <c r="A683" s="67" t="s">
        <v>1443</v>
      </c>
      <c r="B683" s="67" t="s">
        <v>519</v>
      </c>
      <c r="C683" s="68">
        <v>0.1</v>
      </c>
      <c r="D683" s="68">
        <v>0.25</v>
      </c>
      <c r="E683" s="68">
        <v>10.0</v>
      </c>
      <c r="F683" s="68">
        <v>1.0</v>
      </c>
      <c r="G683" s="68">
        <v>4.46581692749757</v>
      </c>
      <c r="H683" s="68">
        <v>194.941488493155</v>
      </c>
      <c r="I683" s="69">
        <v>44361.48935185185</v>
      </c>
      <c r="J683" s="69">
        <v>44361.497662037036</v>
      </c>
      <c r="K683">
        <f>AVERAGE(H682:H686)</f>
        <v>224.2178438</v>
      </c>
      <c r="L683">
        <f>STDEV(H682:H686)</f>
        <v>95.52988104</v>
      </c>
      <c r="M683" s="70">
        <v>194.941488493155</v>
      </c>
      <c r="N683" s="70">
        <v>194.941488493155</v>
      </c>
      <c r="O683" s="70">
        <v>4.46581692749757</v>
      </c>
      <c r="P683" s="70">
        <v>4.46581692749757</v>
      </c>
    </row>
    <row r="684" hidden="1">
      <c r="A684" s="67" t="s">
        <v>1444</v>
      </c>
      <c r="B684" s="67" t="s">
        <v>519</v>
      </c>
      <c r="C684" s="68">
        <v>0.1</v>
      </c>
      <c r="D684" s="68">
        <v>0.25</v>
      </c>
      <c r="E684" s="68">
        <v>10.0</v>
      </c>
      <c r="F684" s="68">
        <v>2.0</v>
      </c>
      <c r="G684" s="68">
        <v>6.28510455357759</v>
      </c>
      <c r="H684" s="68">
        <v>204.996142477588</v>
      </c>
      <c r="I684" s="69">
        <v>44361.49835648148</v>
      </c>
      <c r="J684" s="69">
        <v>44361.498703703706</v>
      </c>
      <c r="K684">
        <f>AVERAGE(H682:H686)</f>
        <v>224.2178438</v>
      </c>
      <c r="L684">
        <f>STDEV(H682:H686)</f>
        <v>95.52988104</v>
      </c>
      <c r="M684" s="70">
        <v>204.996142477588</v>
      </c>
      <c r="N684" s="70">
        <v>204.996142477588</v>
      </c>
      <c r="O684" s="70">
        <v>6.28510455357759</v>
      </c>
      <c r="P684" s="70">
        <v>6.28510455357759</v>
      </c>
    </row>
    <row r="685" hidden="1">
      <c r="A685" s="67" t="s">
        <v>1445</v>
      </c>
      <c r="B685" s="67" t="s">
        <v>519</v>
      </c>
      <c r="C685" s="68">
        <v>0.1</v>
      </c>
      <c r="D685" s="68">
        <v>0.25</v>
      </c>
      <c r="E685" s="68">
        <v>10.0</v>
      </c>
      <c r="F685" s="68">
        <v>3.0</v>
      </c>
      <c r="G685" s="68">
        <v>12.0026573966706</v>
      </c>
      <c r="H685" s="68">
        <v>352.680237932485</v>
      </c>
      <c r="I685" s="69">
        <v>44361.499398148146</v>
      </c>
      <c r="J685" s="69">
        <v>44361.49951388889</v>
      </c>
      <c r="K685">
        <f>AVERAGE(H682:H686)</f>
        <v>224.2178438</v>
      </c>
      <c r="L685">
        <f>STDEV(H682:H686)</f>
        <v>95.52988104</v>
      </c>
      <c r="M685" s="70">
        <v>352.680237932485</v>
      </c>
      <c r="N685" s="70">
        <v>352.680237932485</v>
      </c>
      <c r="O685" s="70">
        <v>12.0026573966706</v>
      </c>
      <c r="P685" s="70">
        <v>12.0026573966706</v>
      </c>
    </row>
    <row r="686" hidden="1">
      <c r="A686" s="67" t="s">
        <v>1446</v>
      </c>
      <c r="B686" s="67" t="s">
        <v>519</v>
      </c>
      <c r="C686" s="68">
        <v>0.1</v>
      </c>
      <c r="D686" s="68">
        <v>0.25</v>
      </c>
      <c r="E686" s="68">
        <v>10.0</v>
      </c>
      <c r="F686" s="68">
        <v>4.0</v>
      </c>
      <c r="G686" s="68">
        <v>7.4193085474811</v>
      </c>
      <c r="H686" s="68">
        <v>272.489625406146</v>
      </c>
      <c r="I686" s="69">
        <v>44361.50020833333</v>
      </c>
      <c r="J686" s="69">
        <v>44361.50071759259</v>
      </c>
      <c r="K686">
        <f>AVERAGE(H682:H686)</f>
        <v>224.2178438</v>
      </c>
      <c r="L686">
        <f>STDEV(H682:H686)</f>
        <v>95.52988104</v>
      </c>
      <c r="M686" s="70">
        <v>272.489625406146</v>
      </c>
      <c r="N686" s="70">
        <v>272.489625406146</v>
      </c>
      <c r="O686" s="70">
        <v>7.4193085474811</v>
      </c>
      <c r="P686" s="70">
        <v>7.4193085474811</v>
      </c>
    </row>
    <row r="687" hidden="1">
      <c r="A687" s="67" t="s">
        <v>1447</v>
      </c>
      <c r="B687" s="67" t="s">
        <v>519</v>
      </c>
      <c r="C687" s="68">
        <v>0.1</v>
      </c>
      <c r="D687" s="68">
        <v>0.5</v>
      </c>
      <c r="E687" s="68">
        <v>10.0</v>
      </c>
      <c r="F687" s="68">
        <v>0.0</v>
      </c>
      <c r="G687" s="68">
        <v>5.2747028231173</v>
      </c>
      <c r="H687" s="68">
        <v>223.719969691013</v>
      </c>
      <c r="I687" s="69">
        <v>44361.50141203704</v>
      </c>
      <c r="J687" s="69">
        <v>44361.51931712963</v>
      </c>
      <c r="K687">
        <f>AVERAGE(H687:H691)</f>
        <v>153.0826329</v>
      </c>
      <c r="L687">
        <f>STDEV(H687:H691)</f>
        <v>107.1433607</v>
      </c>
      <c r="M687" s="70">
        <v>223.719969691013</v>
      </c>
      <c r="N687" s="70">
        <v>223.719969691013</v>
      </c>
      <c r="O687" s="70">
        <v>5.2747028231173</v>
      </c>
      <c r="P687" s="70">
        <v>5.2747028231173</v>
      </c>
    </row>
    <row r="688" hidden="1">
      <c r="A688" s="67" t="s">
        <v>1448</v>
      </c>
      <c r="B688" s="67" t="s">
        <v>519</v>
      </c>
      <c r="C688" s="68">
        <v>0.1</v>
      </c>
      <c r="D688" s="68">
        <v>0.5</v>
      </c>
      <c r="E688" s="68">
        <v>10.0</v>
      </c>
      <c r="F688" s="68">
        <v>1.0</v>
      </c>
      <c r="G688" s="68">
        <v>2.63075705913639</v>
      </c>
      <c r="H688" s="68">
        <v>126.873918951663</v>
      </c>
      <c r="I688" s="69">
        <v>44361.52001157407</v>
      </c>
      <c r="J688" s="69">
        <v>44361.62128472222</v>
      </c>
      <c r="K688">
        <f>AVERAGE(H687:H691)</f>
        <v>153.0826329</v>
      </c>
      <c r="L688">
        <f>STDEV(H687:H691)</f>
        <v>107.1433607</v>
      </c>
      <c r="M688" s="70">
        <v>126.873918951663</v>
      </c>
      <c r="N688" s="70">
        <v>126.873918951663</v>
      </c>
      <c r="O688" s="70">
        <v>2.63075705913639</v>
      </c>
      <c r="P688" s="70">
        <v>2.63075705913639</v>
      </c>
    </row>
    <row r="689" hidden="1">
      <c r="A689" s="67" t="s">
        <v>1449</v>
      </c>
      <c r="B689" s="67" t="s">
        <v>519</v>
      </c>
      <c r="C689" s="68">
        <v>0.1</v>
      </c>
      <c r="D689" s="68">
        <v>0.5</v>
      </c>
      <c r="E689" s="68">
        <v>10.0</v>
      </c>
      <c r="F689" s="68">
        <v>2.0</v>
      </c>
      <c r="G689" s="68">
        <v>2.77755347597274</v>
      </c>
      <c r="H689" s="68">
        <v>125.977374234106</v>
      </c>
      <c r="I689" s="69">
        <v>44361.621979166666</v>
      </c>
      <c r="J689" s="69">
        <v>44361.62252314815</v>
      </c>
      <c r="K689">
        <f>AVERAGE(H687:H691)</f>
        <v>153.0826329</v>
      </c>
      <c r="L689">
        <f>STDEV(H687:H691)</f>
        <v>107.1433607</v>
      </c>
      <c r="M689" s="70">
        <v>125.977374234106</v>
      </c>
      <c r="N689" s="70">
        <v>125.977374234106</v>
      </c>
      <c r="O689" s="70">
        <v>2.77755347597274</v>
      </c>
      <c r="P689" s="70">
        <v>2.77755347597274</v>
      </c>
    </row>
    <row r="690" hidden="1">
      <c r="A690" s="67" t="s">
        <v>1450</v>
      </c>
      <c r="B690" s="67" t="s">
        <v>519</v>
      </c>
      <c r="C690" s="68">
        <v>0.1</v>
      </c>
      <c r="D690" s="68">
        <v>0.5</v>
      </c>
      <c r="E690" s="68">
        <v>10.0</v>
      </c>
      <c r="F690" s="68">
        <v>3.0</v>
      </c>
      <c r="G690" s="68">
        <v>2.64140171798701</v>
      </c>
      <c r="H690" s="68">
        <v>4.13993917207762</v>
      </c>
      <c r="I690" s="69">
        <v>44361.62322916667</v>
      </c>
      <c r="J690" s="69">
        <v>44361.62336805555</v>
      </c>
      <c r="K690">
        <f>AVERAGE(H687:H691)</f>
        <v>153.0826329</v>
      </c>
      <c r="L690">
        <f>STDEV(H687:H691)</f>
        <v>107.1433607</v>
      </c>
      <c r="M690" s="70">
        <v>4.13993917207762</v>
      </c>
      <c r="N690" s="70">
        <v>4.13993917207762</v>
      </c>
      <c r="O690" s="70">
        <v>2.64140171798701</v>
      </c>
      <c r="P690" s="70">
        <v>2.64140171798701</v>
      </c>
    </row>
    <row r="691" hidden="1">
      <c r="A691" s="67" t="s">
        <v>1451</v>
      </c>
      <c r="B691" s="67" t="s">
        <v>519</v>
      </c>
      <c r="C691" s="68">
        <v>0.1</v>
      </c>
      <c r="D691" s="68">
        <v>0.5</v>
      </c>
      <c r="E691" s="68">
        <v>10.0</v>
      </c>
      <c r="F691" s="68">
        <v>4.0</v>
      </c>
      <c r="G691" s="68">
        <v>13.2597495289661</v>
      </c>
      <c r="H691" s="68">
        <v>284.701962221913</v>
      </c>
      <c r="I691" s="69">
        <v>44361.6240625</v>
      </c>
      <c r="J691" s="69">
        <v>44361.62409722222</v>
      </c>
      <c r="K691">
        <f>AVERAGE(H687:H691)</f>
        <v>153.0826329</v>
      </c>
      <c r="L691">
        <f>STDEV(H687:H691)</f>
        <v>107.1433607</v>
      </c>
      <c r="M691" s="70">
        <v>284.701962221913</v>
      </c>
      <c r="N691" s="70">
        <v>284.701962221913</v>
      </c>
      <c r="O691" s="70">
        <v>13.2597495289661</v>
      </c>
      <c r="P691" s="70">
        <v>13.2597495289661</v>
      </c>
    </row>
    <row r="692" hidden="1">
      <c r="A692" s="67" t="s">
        <v>1452</v>
      </c>
      <c r="B692" s="67" t="s">
        <v>519</v>
      </c>
      <c r="C692" s="68">
        <v>0.1</v>
      </c>
      <c r="D692" s="68">
        <v>0.75</v>
      </c>
      <c r="E692" s="68">
        <v>10.0</v>
      </c>
      <c r="F692" s="68">
        <v>0.0</v>
      </c>
      <c r="G692" s="68">
        <v>1.61021434706137</v>
      </c>
      <c r="H692" s="68">
        <v>66.3374629214244</v>
      </c>
      <c r="I692" s="69">
        <v>44361.62480324074</v>
      </c>
      <c r="J692" s="69">
        <v>44361.6503125</v>
      </c>
      <c r="K692">
        <f>AVERAGE(H692:H696)</f>
        <v>149.3854619</v>
      </c>
      <c r="L692">
        <f>STDEV(H692:H696)</f>
        <v>87.0585976</v>
      </c>
      <c r="M692" s="70">
        <v>66.3374629214244</v>
      </c>
      <c r="N692" s="70">
        <v>66.3374629214244</v>
      </c>
      <c r="O692" s="70">
        <v>1.61021434706137</v>
      </c>
      <c r="P692" s="70">
        <v>1.61021434706137</v>
      </c>
    </row>
    <row r="693" hidden="1">
      <c r="A693" s="67" t="s">
        <v>1453</v>
      </c>
      <c r="B693" s="67" t="s">
        <v>519</v>
      </c>
      <c r="C693" s="68">
        <v>0.1</v>
      </c>
      <c r="D693" s="68">
        <v>0.75</v>
      </c>
      <c r="E693" s="68">
        <v>10.0</v>
      </c>
      <c r="F693" s="68">
        <v>1.0</v>
      </c>
      <c r="G693" s="68">
        <v>1.35135249479007</v>
      </c>
      <c r="H693" s="68">
        <v>69.4758399447292</v>
      </c>
      <c r="I693" s="69">
        <v>44361.65100694444</v>
      </c>
      <c r="J693" s="69">
        <v>44361.65358796297</v>
      </c>
      <c r="K693">
        <f>AVERAGE(H692:H696)</f>
        <v>149.3854619</v>
      </c>
      <c r="L693">
        <f>STDEV(H692:H696)</f>
        <v>87.0585976</v>
      </c>
      <c r="M693" s="70">
        <v>69.4758399447292</v>
      </c>
      <c r="N693" s="70">
        <v>69.4758399447292</v>
      </c>
      <c r="O693" s="70">
        <v>1.35135249479007</v>
      </c>
      <c r="P693" s="70">
        <v>1.35135249479007</v>
      </c>
    </row>
    <row r="694" hidden="1">
      <c r="A694" s="67" t="s">
        <v>1454</v>
      </c>
      <c r="B694" s="67" t="s">
        <v>519</v>
      </c>
      <c r="C694" s="68">
        <v>0.1</v>
      </c>
      <c r="D694" s="68">
        <v>0.75</v>
      </c>
      <c r="E694" s="68">
        <v>10.0</v>
      </c>
      <c r="F694" s="68">
        <v>2.0</v>
      </c>
      <c r="G694" s="68">
        <v>3.68341752184206</v>
      </c>
      <c r="H694" s="68">
        <v>163.383975376734</v>
      </c>
      <c r="I694" s="69">
        <v>44361.654282407406</v>
      </c>
      <c r="J694" s="69">
        <v>44361.674791666665</v>
      </c>
      <c r="K694">
        <f>AVERAGE(H692:H696)</f>
        <v>149.3854619</v>
      </c>
      <c r="L694">
        <f>STDEV(H692:H696)</f>
        <v>87.0585976</v>
      </c>
      <c r="M694" s="70">
        <v>163.383975376734</v>
      </c>
      <c r="N694" s="70">
        <v>163.383975376734</v>
      </c>
      <c r="O694" s="70">
        <v>3.68341752184206</v>
      </c>
      <c r="P694" s="70">
        <v>3.68341752184206</v>
      </c>
    </row>
    <row r="695" hidden="1">
      <c r="A695" s="67" t="s">
        <v>1455</v>
      </c>
      <c r="B695" s="67" t="s">
        <v>519</v>
      </c>
      <c r="C695" s="68">
        <v>0.1</v>
      </c>
      <c r="D695" s="68">
        <v>0.75</v>
      </c>
      <c r="E695" s="68">
        <v>10.0</v>
      </c>
      <c r="F695" s="68">
        <v>3.0</v>
      </c>
      <c r="G695" s="68">
        <v>4.4695799596726</v>
      </c>
      <c r="H695" s="68">
        <v>170.274374725911</v>
      </c>
      <c r="I695" s="69">
        <v>44361.67548611111</v>
      </c>
      <c r="J695" s="69">
        <v>44361.675578703704</v>
      </c>
      <c r="K695">
        <f>AVERAGE(H692:H696)</f>
        <v>149.3854619</v>
      </c>
      <c r="L695">
        <f>STDEV(H692:H696)</f>
        <v>87.0585976</v>
      </c>
      <c r="M695" s="70">
        <v>170.274374725911</v>
      </c>
      <c r="N695" s="70">
        <v>170.274374725911</v>
      </c>
      <c r="O695" s="70">
        <v>4.4695799596726</v>
      </c>
      <c r="P695" s="70">
        <v>4.4695799596726</v>
      </c>
    </row>
    <row r="696" hidden="1">
      <c r="A696" s="67" t="s">
        <v>1456</v>
      </c>
      <c r="B696" s="67" t="s">
        <v>519</v>
      </c>
      <c r="C696" s="68">
        <v>0.1</v>
      </c>
      <c r="D696" s="68">
        <v>0.75</v>
      </c>
      <c r="E696" s="68">
        <v>10.0</v>
      </c>
      <c r="F696" s="68">
        <v>4.0</v>
      </c>
      <c r="G696" s="68">
        <v>7.92416117483728</v>
      </c>
      <c r="H696" s="68">
        <v>277.455656678048</v>
      </c>
      <c r="I696" s="69">
        <v>44361.67627314815</v>
      </c>
      <c r="J696" s="69">
        <v>44361.6809375</v>
      </c>
      <c r="K696">
        <f>AVERAGE(H692:H696)</f>
        <v>149.3854619</v>
      </c>
      <c r="L696">
        <f>STDEV(H692:H696)</f>
        <v>87.0585976</v>
      </c>
      <c r="M696" s="70">
        <v>277.455656678048</v>
      </c>
      <c r="N696" s="70">
        <v>277.455656678048</v>
      </c>
      <c r="O696" s="70">
        <v>7.92416117483728</v>
      </c>
      <c r="P696" s="70">
        <v>7.92416117483728</v>
      </c>
    </row>
    <row r="697" hidden="1">
      <c r="A697" s="67" t="s">
        <v>1457</v>
      </c>
      <c r="B697" s="67" t="s">
        <v>519</v>
      </c>
      <c r="C697" s="68">
        <v>0.1</v>
      </c>
      <c r="D697" s="68">
        <v>1.0</v>
      </c>
      <c r="E697" s="68">
        <v>10.0</v>
      </c>
      <c r="F697" s="68">
        <v>0.0</v>
      </c>
      <c r="G697" s="68">
        <v>4.4695799596726</v>
      </c>
      <c r="H697" s="68">
        <v>170.274374725911</v>
      </c>
      <c r="I697" s="69">
        <v>44361.68163194445</v>
      </c>
      <c r="J697" s="69">
        <v>44361.68171296296</v>
      </c>
      <c r="K697">
        <f>AVERAGE(H697:H701)</f>
        <v>161.0422509</v>
      </c>
      <c r="L697">
        <f>STDEV(H697:H701)</f>
        <v>56.60349545</v>
      </c>
      <c r="M697" s="70">
        <v>170.274374725911</v>
      </c>
      <c r="N697" s="70">
        <v>170.274374725911</v>
      </c>
      <c r="O697" s="70">
        <v>4.4695799596726</v>
      </c>
      <c r="P697" s="70">
        <v>4.4695799596726</v>
      </c>
    </row>
    <row r="698" hidden="1">
      <c r="A698" s="67" t="s">
        <v>1458</v>
      </c>
      <c r="B698" s="67" t="s">
        <v>519</v>
      </c>
      <c r="C698" s="68">
        <v>0.1</v>
      </c>
      <c r="D698" s="68">
        <v>1.0</v>
      </c>
      <c r="E698" s="68">
        <v>10.0</v>
      </c>
      <c r="F698" s="68">
        <v>1.0</v>
      </c>
      <c r="G698" s="68">
        <v>1.37085430676844</v>
      </c>
      <c r="H698" s="68">
        <v>70.3565068391874</v>
      </c>
      <c r="I698" s="69">
        <v>44361.68240740741</v>
      </c>
      <c r="J698" s="69">
        <v>44361.684745370374</v>
      </c>
      <c r="K698">
        <f>AVERAGE(H697:H701)</f>
        <v>161.0422509</v>
      </c>
      <c r="L698">
        <f>STDEV(H697:H701)</f>
        <v>56.60349545</v>
      </c>
      <c r="M698" s="70">
        <v>70.3565068391874</v>
      </c>
      <c r="N698" s="70">
        <v>70.3565068391874</v>
      </c>
      <c r="O698" s="70">
        <v>1.37085430676844</v>
      </c>
      <c r="P698" s="70">
        <v>1.37085430676844</v>
      </c>
    </row>
    <row r="699" hidden="1">
      <c r="A699" s="67" t="s">
        <v>1459</v>
      </c>
      <c r="B699" s="67" t="s">
        <v>519</v>
      </c>
      <c r="C699" s="68">
        <v>0.1</v>
      </c>
      <c r="D699" s="68">
        <v>1.0</v>
      </c>
      <c r="E699" s="68">
        <v>10.0</v>
      </c>
      <c r="F699" s="68">
        <v>2.0</v>
      </c>
      <c r="G699" s="68">
        <v>3.35043180641962</v>
      </c>
      <c r="H699" s="68">
        <v>165.272144490039</v>
      </c>
      <c r="I699" s="69">
        <v>44361.68543981481</v>
      </c>
      <c r="J699" s="69">
        <v>44361.83665509259</v>
      </c>
      <c r="K699">
        <f>AVERAGE(H697:H701)</f>
        <v>161.0422509</v>
      </c>
      <c r="L699">
        <f>STDEV(H697:H701)</f>
        <v>56.60349545</v>
      </c>
      <c r="M699" s="70">
        <v>165.272144490039</v>
      </c>
      <c r="N699" s="70">
        <v>165.272144490039</v>
      </c>
      <c r="O699" s="70">
        <v>3.35043180641962</v>
      </c>
      <c r="P699" s="70">
        <v>3.35043180641962</v>
      </c>
    </row>
    <row r="700" hidden="1">
      <c r="A700" s="67" t="s">
        <v>1460</v>
      </c>
      <c r="B700" s="67" t="s">
        <v>519</v>
      </c>
      <c r="C700" s="68">
        <v>0.1</v>
      </c>
      <c r="D700" s="68">
        <v>1.0</v>
      </c>
      <c r="E700" s="68">
        <v>10.0</v>
      </c>
      <c r="F700" s="68">
        <v>3.0</v>
      </c>
      <c r="G700" s="68">
        <v>9.87569712117818</v>
      </c>
      <c r="H700" s="68">
        <v>227.104455941212</v>
      </c>
      <c r="I700" s="69">
        <v>44361.83734953704</v>
      </c>
      <c r="J700" s="69">
        <v>44361.837476851855</v>
      </c>
      <c r="K700">
        <f>AVERAGE(H697:H701)</f>
        <v>161.0422509</v>
      </c>
      <c r="L700">
        <f>STDEV(H697:H701)</f>
        <v>56.60349545</v>
      </c>
      <c r="M700" s="70">
        <v>227.104455941212</v>
      </c>
      <c r="N700" s="70">
        <v>227.104455941212</v>
      </c>
      <c r="O700" s="70">
        <v>9.87569712117818</v>
      </c>
      <c r="P700" s="70">
        <v>9.87569712117818</v>
      </c>
    </row>
    <row r="701" hidden="1">
      <c r="A701" s="67" t="s">
        <v>1461</v>
      </c>
      <c r="B701" s="67" t="s">
        <v>519</v>
      </c>
      <c r="C701" s="68">
        <v>0.1</v>
      </c>
      <c r="D701" s="68">
        <v>1.0</v>
      </c>
      <c r="E701" s="68">
        <v>10.0</v>
      </c>
      <c r="F701" s="68">
        <v>4.0</v>
      </c>
      <c r="G701" s="68">
        <v>5.56679949020352</v>
      </c>
      <c r="H701" s="68">
        <v>172.203772697768</v>
      </c>
      <c r="I701" s="69">
        <v>44361.838171296295</v>
      </c>
      <c r="J701" s="69">
        <v>44361.83841435185</v>
      </c>
      <c r="K701">
        <f>AVERAGE(H697:H701)</f>
        <v>161.0422509</v>
      </c>
      <c r="L701">
        <f>STDEV(H697:H701)</f>
        <v>56.60349545</v>
      </c>
      <c r="M701" s="70">
        <v>172.203772697768</v>
      </c>
      <c r="N701" s="70">
        <v>172.203772697768</v>
      </c>
      <c r="O701" s="70">
        <v>5.56679949020352</v>
      </c>
      <c r="P701" s="70">
        <v>5.56679949020352</v>
      </c>
    </row>
    <row r="702" hidden="1">
      <c r="A702" s="67" t="s">
        <v>1462</v>
      </c>
      <c r="B702" s="67" t="s">
        <v>519</v>
      </c>
      <c r="C702" s="68">
        <v>0.25</v>
      </c>
      <c r="D702" s="68">
        <v>0.1</v>
      </c>
      <c r="E702" s="68">
        <v>10.0</v>
      </c>
      <c r="F702" s="68">
        <v>0.0</v>
      </c>
      <c r="G702" s="68">
        <v>0.317145370870006</v>
      </c>
      <c r="H702" s="68">
        <v>0.406115963760371</v>
      </c>
      <c r="I702" s="69">
        <v>44361.839108796295</v>
      </c>
      <c r="J702" s="69">
        <v>44361.83917824074</v>
      </c>
      <c r="K702">
        <f>AVERAGE(H702:H706)</f>
        <v>136.2594219</v>
      </c>
      <c r="L702">
        <f>STDEV(H702:H706)</f>
        <v>98.38942759</v>
      </c>
      <c r="M702" s="70">
        <v>0.406115963760371</v>
      </c>
      <c r="N702" s="70">
        <v>0.406115963760371</v>
      </c>
      <c r="O702" s="70">
        <v>0.317145370870006</v>
      </c>
      <c r="P702" s="70">
        <v>0.317145370870006</v>
      </c>
    </row>
    <row r="703" hidden="1">
      <c r="A703" s="67" t="s">
        <v>1463</v>
      </c>
      <c r="B703" s="67" t="s">
        <v>519</v>
      </c>
      <c r="C703" s="68">
        <v>0.25</v>
      </c>
      <c r="D703" s="68">
        <v>0.1</v>
      </c>
      <c r="E703" s="68">
        <v>10.0</v>
      </c>
      <c r="F703" s="68">
        <v>1.0</v>
      </c>
      <c r="G703" s="68">
        <v>3.27292892526219</v>
      </c>
      <c r="H703" s="68">
        <v>172.58099445227</v>
      </c>
      <c r="I703" s="69">
        <v>44361.83987268519</v>
      </c>
      <c r="J703" s="69">
        <v>44361.840162037035</v>
      </c>
      <c r="K703">
        <f>AVERAGE(H702:H706)</f>
        <v>136.2594219</v>
      </c>
      <c r="L703">
        <f>STDEV(H702:H706)</f>
        <v>98.38942759</v>
      </c>
      <c r="M703" s="70">
        <v>172.58099445227</v>
      </c>
      <c r="N703" s="70">
        <v>172.58099445227</v>
      </c>
      <c r="O703" s="70">
        <v>3.27292892526219</v>
      </c>
      <c r="P703" s="70">
        <v>3.27292892526219</v>
      </c>
    </row>
    <row r="704" hidden="1">
      <c r="A704" s="67" t="s">
        <v>1464</v>
      </c>
      <c r="B704" s="67" t="s">
        <v>519</v>
      </c>
      <c r="C704" s="68">
        <v>0.25</v>
      </c>
      <c r="D704" s="68">
        <v>0.1</v>
      </c>
      <c r="E704" s="68">
        <v>10.0</v>
      </c>
      <c r="F704" s="68">
        <v>2.0</v>
      </c>
      <c r="G704" s="68">
        <v>2.97227417676313</v>
      </c>
      <c r="H704" s="68">
        <v>140.173795387217</v>
      </c>
      <c r="I704" s="69">
        <v>44361.84085648148</v>
      </c>
      <c r="J704" s="69">
        <v>44361.9530787037</v>
      </c>
      <c r="K704">
        <f>AVERAGE(H702:H706)</f>
        <v>136.2594219</v>
      </c>
      <c r="L704">
        <f>STDEV(H702:H706)</f>
        <v>98.38942759</v>
      </c>
      <c r="M704" s="70">
        <v>140.173795387217</v>
      </c>
      <c r="N704" s="70">
        <v>140.173795387217</v>
      </c>
      <c r="O704" s="70">
        <v>2.97227417676313</v>
      </c>
      <c r="P704" s="70">
        <v>2.97227417676313</v>
      </c>
    </row>
    <row r="705" hidden="1">
      <c r="A705" s="67" t="s">
        <v>1465</v>
      </c>
      <c r="B705" s="67" t="s">
        <v>519</v>
      </c>
      <c r="C705" s="68">
        <v>0.25</v>
      </c>
      <c r="D705" s="68">
        <v>0.1</v>
      </c>
      <c r="E705" s="68">
        <v>10.0</v>
      </c>
      <c r="F705" s="68">
        <v>3.0</v>
      </c>
      <c r="G705" s="68">
        <v>8.82232989914943</v>
      </c>
      <c r="H705" s="68">
        <v>268.80262372975</v>
      </c>
      <c r="I705" s="69">
        <v>44361.95377314815</v>
      </c>
      <c r="J705" s="69">
        <v>44361.955300925925</v>
      </c>
      <c r="K705">
        <f>AVERAGE(H702:H706)</f>
        <v>136.2594219</v>
      </c>
      <c r="L705">
        <f>STDEV(H702:H706)</f>
        <v>98.38942759</v>
      </c>
      <c r="M705" s="70">
        <v>268.80262372975</v>
      </c>
      <c r="N705" s="70">
        <v>268.80262372975</v>
      </c>
      <c r="O705" s="70">
        <v>8.82232989914943</v>
      </c>
      <c r="P705" s="70">
        <v>8.82232989914943</v>
      </c>
    </row>
    <row r="706" hidden="1">
      <c r="A706" s="67" t="s">
        <v>1466</v>
      </c>
      <c r="B706" s="67" t="s">
        <v>519</v>
      </c>
      <c r="C706" s="68">
        <v>0.25</v>
      </c>
      <c r="D706" s="68">
        <v>0.1</v>
      </c>
      <c r="E706" s="68">
        <v>10.0</v>
      </c>
      <c r="F706" s="68">
        <v>4.0</v>
      </c>
      <c r="G706" s="68">
        <v>2.12875014873419</v>
      </c>
      <c r="H706" s="68">
        <v>99.3335799056953</v>
      </c>
      <c r="I706" s="69">
        <v>44361.95599537037</v>
      </c>
      <c r="J706" s="69">
        <v>44361.95899305555</v>
      </c>
      <c r="K706">
        <f>AVERAGE(H702:H706)</f>
        <v>136.2594219</v>
      </c>
      <c r="L706">
        <f>STDEV(H702:H706)</f>
        <v>98.38942759</v>
      </c>
      <c r="M706" s="70">
        <v>99.3335799056953</v>
      </c>
      <c r="N706" s="70">
        <v>99.3335799056953</v>
      </c>
      <c r="O706" s="70">
        <v>2.12875014873419</v>
      </c>
      <c r="P706" s="70">
        <v>2.12875014873419</v>
      </c>
    </row>
    <row r="707" hidden="1">
      <c r="A707" s="67" t="s">
        <v>1467</v>
      </c>
      <c r="B707" s="67" t="s">
        <v>519</v>
      </c>
      <c r="C707" s="68">
        <v>0.25</v>
      </c>
      <c r="D707" s="68">
        <v>0.25</v>
      </c>
      <c r="E707" s="68">
        <v>10.0</v>
      </c>
      <c r="F707" s="68">
        <v>0.0</v>
      </c>
      <c r="G707" s="68">
        <v>2.60972071219273</v>
      </c>
      <c r="H707" s="68">
        <v>122.295633609228</v>
      </c>
      <c r="I707" s="69">
        <v>44361.9596875</v>
      </c>
      <c r="J707" s="69">
        <v>44361.977326388886</v>
      </c>
      <c r="K707">
        <f>AVERAGE(H707:H711)</f>
        <v>103.4067544</v>
      </c>
      <c r="L707">
        <f>STDEV(H707:H711)</f>
        <v>92.87172535</v>
      </c>
      <c r="M707" s="70">
        <v>122.295633609228</v>
      </c>
      <c r="N707" s="70">
        <v>122.295633609228</v>
      </c>
      <c r="O707" s="70">
        <v>2.60972071219273</v>
      </c>
      <c r="P707" s="70">
        <v>2.60972071219273</v>
      </c>
    </row>
    <row r="708" hidden="1">
      <c r="A708" s="67" t="s">
        <v>1468</v>
      </c>
      <c r="B708" s="67" t="s">
        <v>519</v>
      </c>
      <c r="C708" s="68">
        <v>0.25</v>
      </c>
      <c r="D708" s="68">
        <v>0.25</v>
      </c>
      <c r="E708" s="68">
        <v>10.0</v>
      </c>
      <c r="F708" s="68">
        <v>1.0</v>
      </c>
      <c r="G708" s="68">
        <v>0.956353237052047</v>
      </c>
      <c r="H708" s="68">
        <v>14.4014068038237</v>
      </c>
      <c r="I708" s="69">
        <v>44361.97802083333</v>
      </c>
      <c r="J708" s="69">
        <v>44361.978125</v>
      </c>
      <c r="K708">
        <f>AVERAGE(H707:H711)</f>
        <v>103.4067544</v>
      </c>
      <c r="L708">
        <f>STDEV(H707:H711)</f>
        <v>92.87172535</v>
      </c>
      <c r="M708" s="70">
        <v>14.4014068038237</v>
      </c>
      <c r="N708" s="70">
        <v>14.4014068038237</v>
      </c>
      <c r="O708" s="70">
        <v>0.956353237052047</v>
      </c>
      <c r="P708" s="70">
        <v>0.956353237052047</v>
      </c>
    </row>
    <row r="709" hidden="1">
      <c r="A709" s="67" t="s">
        <v>1469</v>
      </c>
      <c r="B709" s="67" t="s">
        <v>519</v>
      </c>
      <c r="C709" s="68">
        <v>0.25</v>
      </c>
      <c r="D709" s="68">
        <v>0.25</v>
      </c>
      <c r="E709" s="68">
        <v>10.0</v>
      </c>
      <c r="F709" s="68">
        <v>2.0</v>
      </c>
      <c r="G709" s="68">
        <v>7.87365847336387</v>
      </c>
      <c r="H709" s="68">
        <v>207.685210906606</v>
      </c>
      <c r="I709" s="69">
        <v>44361.97881944444</v>
      </c>
      <c r="J709" s="69">
        <v>44361.97922453703</v>
      </c>
      <c r="K709">
        <f>AVERAGE(H707:H711)</f>
        <v>103.4067544</v>
      </c>
      <c r="L709">
        <f>STDEV(H707:H711)</f>
        <v>92.87172535</v>
      </c>
      <c r="M709" s="70">
        <v>207.685210906606</v>
      </c>
      <c r="N709" s="70">
        <v>207.685210906606</v>
      </c>
      <c r="O709" s="70">
        <v>7.87365847336387</v>
      </c>
      <c r="P709" s="70">
        <v>7.87365847336387</v>
      </c>
    </row>
    <row r="710" hidden="1">
      <c r="A710" s="67" t="s">
        <v>1470</v>
      </c>
      <c r="B710" s="67" t="s">
        <v>519</v>
      </c>
      <c r="C710" s="68">
        <v>0.25</v>
      </c>
      <c r="D710" s="68">
        <v>0.25</v>
      </c>
      <c r="E710" s="68">
        <v>10.0</v>
      </c>
      <c r="F710" s="68">
        <v>3.0</v>
      </c>
      <c r="G710" s="68">
        <v>3.56449409267047</v>
      </c>
      <c r="H710" s="68">
        <v>172.245404926792</v>
      </c>
      <c r="I710" s="69">
        <v>44361.97991898148</v>
      </c>
      <c r="J710" s="69">
        <v>44362.05954861111</v>
      </c>
      <c r="K710">
        <f>AVERAGE(H707:H711)</f>
        <v>103.4067544</v>
      </c>
      <c r="L710">
        <f>STDEV(H707:H711)</f>
        <v>92.87172535</v>
      </c>
      <c r="M710" s="70">
        <v>172.245404926792</v>
      </c>
      <c r="N710" s="70">
        <v>172.245404926792</v>
      </c>
      <c r="O710" s="70">
        <v>3.56449409267047</v>
      </c>
      <c r="P710" s="70">
        <v>3.56449409267047</v>
      </c>
    </row>
    <row r="711" hidden="1">
      <c r="A711" s="67" t="s">
        <v>1471</v>
      </c>
      <c r="B711" s="67" t="s">
        <v>519</v>
      </c>
      <c r="C711" s="68">
        <v>0.25</v>
      </c>
      <c r="D711" s="68">
        <v>0.25</v>
      </c>
      <c r="E711" s="68">
        <v>10.0</v>
      </c>
      <c r="F711" s="68">
        <v>4.0</v>
      </c>
      <c r="G711" s="68">
        <v>0.317145370870006</v>
      </c>
      <c r="H711" s="68">
        <v>0.406115963760371</v>
      </c>
      <c r="I711" s="69">
        <v>44362.06024305556</v>
      </c>
      <c r="J711" s="69">
        <v>44362.0603125</v>
      </c>
      <c r="K711">
        <f>AVERAGE(H707:H711)</f>
        <v>103.4067544</v>
      </c>
      <c r="L711">
        <f>STDEV(H707:H711)</f>
        <v>92.87172535</v>
      </c>
      <c r="M711" s="70">
        <v>0.406115963760371</v>
      </c>
      <c r="N711" s="70">
        <v>0.406115963760371</v>
      </c>
      <c r="O711" s="70">
        <v>0.317145370870006</v>
      </c>
      <c r="P711" s="70">
        <v>0.317145370870006</v>
      </c>
    </row>
    <row r="712" hidden="1">
      <c r="A712" s="67" t="s">
        <v>1472</v>
      </c>
      <c r="B712" s="67" t="s">
        <v>519</v>
      </c>
      <c r="C712" s="68">
        <v>0.25</v>
      </c>
      <c r="D712" s="68">
        <v>0.5</v>
      </c>
      <c r="E712" s="68">
        <v>10.0</v>
      </c>
      <c r="F712" s="68">
        <v>0.0</v>
      </c>
      <c r="G712" s="68">
        <v>3.83864271665813</v>
      </c>
      <c r="H712" s="68">
        <v>182.191325361736</v>
      </c>
      <c r="I712" s="69">
        <v>44362.061006944445</v>
      </c>
      <c r="J712" s="69">
        <v>44362.09237268518</v>
      </c>
      <c r="K712">
        <f>AVERAGE(H712:H716)</f>
        <v>90.90770757</v>
      </c>
      <c r="L712">
        <f>STDEV(H712:H716)</f>
        <v>86.51813498</v>
      </c>
      <c r="M712" s="70">
        <v>182.191325361736</v>
      </c>
      <c r="N712" s="70">
        <v>182.191325361736</v>
      </c>
      <c r="O712" s="70">
        <v>3.83864271665813</v>
      </c>
      <c r="P712" s="70">
        <v>3.83864271665813</v>
      </c>
    </row>
    <row r="713" hidden="1">
      <c r="A713" s="67" t="s">
        <v>1473</v>
      </c>
      <c r="B713" s="67" t="s">
        <v>519</v>
      </c>
      <c r="C713" s="68">
        <v>0.25</v>
      </c>
      <c r="D713" s="68">
        <v>0.5</v>
      </c>
      <c r="E713" s="68">
        <v>10.0</v>
      </c>
      <c r="F713" s="68">
        <v>1.0</v>
      </c>
      <c r="G713" s="68">
        <v>2.64397974277779</v>
      </c>
      <c r="H713" s="68">
        <v>4.14308284676004</v>
      </c>
      <c r="I713" s="69">
        <v>44362.09306712963</v>
      </c>
      <c r="J713" s="69">
        <v>44362.09321759259</v>
      </c>
      <c r="K713">
        <f>AVERAGE(H712:H716)</f>
        <v>90.90770757</v>
      </c>
      <c r="L713">
        <f>STDEV(H712:H716)</f>
        <v>86.51813498</v>
      </c>
      <c r="M713" s="70">
        <v>4.14308284676004</v>
      </c>
      <c r="N713" s="70">
        <v>4.14308284676004</v>
      </c>
      <c r="O713" s="70">
        <v>2.64397974277779</v>
      </c>
      <c r="P713" s="70">
        <v>2.64397974277779</v>
      </c>
    </row>
    <row r="714" hidden="1">
      <c r="A714" s="67" t="s">
        <v>1474</v>
      </c>
      <c r="B714" s="67" t="s">
        <v>519</v>
      </c>
      <c r="C714" s="68">
        <v>0.25</v>
      </c>
      <c r="D714" s="68">
        <v>0.5</v>
      </c>
      <c r="E714" s="68">
        <v>10.0</v>
      </c>
      <c r="F714" s="68">
        <v>2.0</v>
      </c>
      <c r="G714" s="68">
        <v>3.82904692613106</v>
      </c>
      <c r="H714" s="68">
        <v>167.909747728111</v>
      </c>
      <c r="I714" s="69">
        <v>44362.09391203704</v>
      </c>
      <c r="J714" s="69">
        <v>44362.12390046296</v>
      </c>
      <c r="K714">
        <f>AVERAGE(H712:H716)</f>
        <v>90.90770757</v>
      </c>
      <c r="L714">
        <f>STDEV(H712:H716)</f>
        <v>86.51813498</v>
      </c>
      <c r="M714" s="70">
        <v>167.909747728111</v>
      </c>
      <c r="N714" s="70">
        <v>167.909747728111</v>
      </c>
      <c r="O714" s="70">
        <v>3.82904692613106</v>
      </c>
      <c r="P714" s="70">
        <v>3.82904692613106</v>
      </c>
    </row>
    <row r="715" hidden="1">
      <c r="A715" s="67" t="s">
        <v>1475</v>
      </c>
      <c r="B715" s="67" t="s">
        <v>519</v>
      </c>
      <c r="C715" s="68">
        <v>0.25</v>
      </c>
      <c r="D715" s="68">
        <v>0.5</v>
      </c>
      <c r="E715" s="68">
        <v>10.0</v>
      </c>
      <c r="F715" s="68">
        <v>3.0</v>
      </c>
      <c r="G715" s="68">
        <v>0.512181990283797</v>
      </c>
      <c r="H715" s="68">
        <v>1.01167362951144</v>
      </c>
      <c r="I715" s="69">
        <v>44362.12459490741</v>
      </c>
      <c r="J715" s="69">
        <v>44362.12501157408</v>
      </c>
      <c r="K715">
        <f>AVERAGE(H712:H716)</f>
        <v>90.90770757</v>
      </c>
      <c r="L715">
        <f>STDEV(H712:H716)</f>
        <v>86.51813498</v>
      </c>
      <c r="M715" s="70">
        <v>1.01167362951144</v>
      </c>
      <c r="N715" s="70">
        <v>1.01167362951144</v>
      </c>
      <c r="O715" s="70">
        <v>0.512181990283797</v>
      </c>
      <c r="P715" s="70">
        <v>0.512181990283797</v>
      </c>
    </row>
    <row r="716" hidden="1">
      <c r="A716" s="67" t="s">
        <v>1476</v>
      </c>
      <c r="B716" s="67" t="s">
        <v>519</v>
      </c>
      <c r="C716" s="68">
        <v>0.25</v>
      </c>
      <c r="D716" s="68">
        <v>0.5</v>
      </c>
      <c r="E716" s="68">
        <v>10.0</v>
      </c>
      <c r="F716" s="68">
        <v>4.0</v>
      </c>
      <c r="G716" s="68">
        <v>2.12169846482785</v>
      </c>
      <c r="H716" s="68">
        <v>99.2827082630549</v>
      </c>
      <c r="I716" s="69">
        <v>44362.125706018516</v>
      </c>
      <c r="J716" s="69">
        <v>44362.12861111111</v>
      </c>
      <c r="K716">
        <f>AVERAGE(H712:H716)</f>
        <v>90.90770757</v>
      </c>
      <c r="L716">
        <f>STDEV(H712:H716)</f>
        <v>86.51813498</v>
      </c>
      <c r="M716" s="70">
        <v>99.2827082630549</v>
      </c>
      <c r="N716" s="70">
        <v>99.2827082630549</v>
      </c>
      <c r="O716" s="70">
        <v>2.12169846482785</v>
      </c>
      <c r="P716" s="70">
        <v>2.12169846482785</v>
      </c>
    </row>
    <row r="717" hidden="1">
      <c r="A717" s="67" t="s">
        <v>1477</v>
      </c>
      <c r="B717" s="67" t="s">
        <v>519</v>
      </c>
      <c r="C717" s="68">
        <v>0.25</v>
      </c>
      <c r="D717" s="68">
        <v>0.75</v>
      </c>
      <c r="E717" s="68">
        <v>10.0</v>
      </c>
      <c r="F717" s="68">
        <v>0.0</v>
      </c>
      <c r="G717" s="68">
        <v>3.57072710216212</v>
      </c>
      <c r="H717" s="68">
        <v>171.427918757483</v>
      </c>
      <c r="I717" s="69">
        <v>44362.12930555556</v>
      </c>
      <c r="J717" s="69">
        <v>44362.279861111114</v>
      </c>
      <c r="K717">
        <f>AVERAGE(H717:H721)</f>
        <v>90.93365105</v>
      </c>
      <c r="L717">
        <f>STDEV(H717:H721)</f>
        <v>91.28017854</v>
      </c>
      <c r="M717" s="70">
        <v>171.427918757483</v>
      </c>
      <c r="N717" s="70">
        <v>171.427918757483</v>
      </c>
      <c r="O717" s="70">
        <v>3.57072710216212</v>
      </c>
      <c r="P717" s="70">
        <v>3.57072710216212</v>
      </c>
    </row>
    <row r="718" hidden="1">
      <c r="A718" s="67" t="s">
        <v>1478</v>
      </c>
      <c r="B718" s="67" t="s">
        <v>519</v>
      </c>
      <c r="C718" s="68">
        <v>0.25</v>
      </c>
      <c r="D718" s="68">
        <v>0.75</v>
      </c>
      <c r="E718" s="68">
        <v>10.0</v>
      </c>
      <c r="F718" s="68">
        <v>1.0</v>
      </c>
      <c r="G718" s="68">
        <v>0.470072223646614</v>
      </c>
      <c r="H718" s="68">
        <v>0.561461553922708</v>
      </c>
      <c r="I718" s="69">
        <v>44362.28055555555</v>
      </c>
      <c r="J718" s="69">
        <v>44362.280856481484</v>
      </c>
      <c r="K718">
        <f>AVERAGE(H717:H721)</f>
        <v>90.93365105</v>
      </c>
      <c r="L718">
        <f>STDEV(H717:H721)</f>
        <v>91.28017854</v>
      </c>
      <c r="M718" s="70">
        <v>0.561461553922708</v>
      </c>
      <c r="N718" s="70">
        <v>0.561461553922708</v>
      </c>
      <c r="O718" s="70">
        <v>0.470072223646614</v>
      </c>
      <c r="P718" s="70">
        <v>0.470072223646614</v>
      </c>
    </row>
    <row r="719" hidden="1">
      <c r="A719" s="67" t="s">
        <v>1479</v>
      </c>
      <c r="B719" s="67" t="s">
        <v>519</v>
      </c>
      <c r="C719" s="68">
        <v>0.25</v>
      </c>
      <c r="D719" s="68">
        <v>0.75</v>
      </c>
      <c r="E719" s="68">
        <v>10.0</v>
      </c>
      <c r="F719" s="68">
        <v>2.0</v>
      </c>
      <c r="G719" s="68">
        <v>1.07991001504809</v>
      </c>
      <c r="H719" s="68">
        <v>1.4504242499467</v>
      </c>
      <c r="I719" s="69">
        <v>44362.28155092592</v>
      </c>
      <c r="J719" s="69">
        <v>44362.28173611111</v>
      </c>
      <c r="K719">
        <f>AVERAGE(H717:H721)</f>
        <v>90.93365105</v>
      </c>
      <c r="L719">
        <f>STDEV(H717:H721)</f>
        <v>91.28017854</v>
      </c>
      <c r="M719" s="70">
        <v>1.4504242499467</v>
      </c>
      <c r="N719" s="70">
        <v>1.4504242499467</v>
      </c>
      <c r="O719" s="70">
        <v>1.07991001504809</v>
      </c>
      <c r="P719" s="70">
        <v>1.07991001504809</v>
      </c>
    </row>
    <row r="720" hidden="1">
      <c r="A720" s="67" t="s">
        <v>1480</v>
      </c>
      <c r="B720" s="67" t="s">
        <v>519</v>
      </c>
      <c r="C720" s="68">
        <v>0.25</v>
      </c>
      <c r="D720" s="68">
        <v>0.75</v>
      </c>
      <c r="E720" s="68">
        <v>10.0</v>
      </c>
      <c r="F720" s="68">
        <v>3.0</v>
      </c>
      <c r="G720" s="68">
        <v>7.31713267349705</v>
      </c>
      <c r="H720" s="68">
        <v>194.178473723344</v>
      </c>
      <c r="I720" s="69">
        <v>44362.282430555555</v>
      </c>
      <c r="J720" s="69">
        <v>44362.28270833333</v>
      </c>
      <c r="K720">
        <f>AVERAGE(H717:H721)</f>
        <v>90.93365105</v>
      </c>
      <c r="L720">
        <f>STDEV(H717:H721)</f>
        <v>91.28017854</v>
      </c>
      <c r="M720" s="70">
        <v>194.178473723344</v>
      </c>
      <c r="N720" s="70">
        <v>194.178473723344</v>
      </c>
      <c r="O720" s="70">
        <v>7.31713267349705</v>
      </c>
      <c r="P720" s="70">
        <v>7.31713267349705</v>
      </c>
    </row>
    <row r="721" hidden="1">
      <c r="A721" s="67" t="s">
        <v>1481</v>
      </c>
      <c r="B721" s="67" t="s">
        <v>519</v>
      </c>
      <c r="C721" s="68">
        <v>0.25</v>
      </c>
      <c r="D721" s="68">
        <v>0.75</v>
      </c>
      <c r="E721" s="68">
        <v>10.0</v>
      </c>
      <c r="F721" s="68">
        <v>4.0</v>
      </c>
      <c r="G721" s="68">
        <v>2.44496086362788</v>
      </c>
      <c r="H721" s="68">
        <v>87.0499769895801</v>
      </c>
      <c r="I721" s="69">
        <v>44362.28340277778</v>
      </c>
      <c r="J721" s="69">
        <v>44362.28481481481</v>
      </c>
      <c r="K721">
        <f>AVERAGE(H717:H721)</f>
        <v>90.93365105</v>
      </c>
      <c r="L721">
        <f>STDEV(H717:H721)</f>
        <v>91.28017854</v>
      </c>
      <c r="M721" s="70">
        <v>87.0499769895801</v>
      </c>
      <c r="N721" s="70">
        <v>87.0499769895801</v>
      </c>
      <c r="O721" s="70">
        <v>2.44496086362788</v>
      </c>
      <c r="P721" s="70">
        <v>2.44496086362788</v>
      </c>
    </row>
    <row r="722" hidden="1">
      <c r="A722" s="67" t="s">
        <v>1482</v>
      </c>
      <c r="B722" s="67" t="s">
        <v>519</v>
      </c>
      <c r="C722" s="68">
        <v>0.25</v>
      </c>
      <c r="D722" s="68">
        <v>1.0</v>
      </c>
      <c r="E722" s="68">
        <v>10.0</v>
      </c>
      <c r="F722" s="68">
        <v>0.0</v>
      </c>
      <c r="G722" s="68">
        <v>7.44340735741912</v>
      </c>
      <c r="H722" s="68">
        <v>272.855703252234</v>
      </c>
      <c r="I722" s="69">
        <v>44362.28550925926</v>
      </c>
      <c r="J722" s="69">
        <v>44362.28601851852</v>
      </c>
      <c r="K722">
        <f>AVERAGE(H722:H726)</f>
        <v>163.5383752</v>
      </c>
      <c r="L722">
        <f>STDEV(H722:H726)</f>
        <v>65.44169839</v>
      </c>
      <c r="M722" s="70">
        <v>272.855703252234</v>
      </c>
      <c r="N722" s="70">
        <v>272.855703252234</v>
      </c>
      <c r="O722" s="70">
        <v>7.44340735741912</v>
      </c>
      <c r="P722" s="70">
        <v>7.44340735741912</v>
      </c>
    </row>
    <row r="723" hidden="1">
      <c r="A723" s="67" t="s">
        <v>1483</v>
      </c>
      <c r="B723" s="67" t="s">
        <v>519</v>
      </c>
      <c r="C723" s="68">
        <v>0.25</v>
      </c>
      <c r="D723" s="68">
        <v>1.0</v>
      </c>
      <c r="E723" s="68">
        <v>10.0</v>
      </c>
      <c r="F723" s="68">
        <v>1.0</v>
      </c>
      <c r="G723" s="68">
        <v>2.49102071431737</v>
      </c>
      <c r="H723" s="68">
        <v>131.871695995635</v>
      </c>
      <c r="I723" s="69">
        <v>44362.28671296296</v>
      </c>
      <c r="J723" s="69">
        <v>44362.28712962963</v>
      </c>
      <c r="K723">
        <f>AVERAGE(H722:H726)</f>
        <v>163.5383752</v>
      </c>
      <c r="L723">
        <f>STDEV(H722:H726)</f>
        <v>65.44169839</v>
      </c>
      <c r="M723" s="70">
        <v>131.871695995635</v>
      </c>
      <c r="N723" s="70">
        <v>131.871695995635</v>
      </c>
      <c r="O723" s="70">
        <v>2.49102071431737</v>
      </c>
      <c r="P723" s="70">
        <v>2.49102071431737</v>
      </c>
    </row>
    <row r="724" hidden="1">
      <c r="A724" s="67" t="s">
        <v>1484</v>
      </c>
      <c r="B724" s="67" t="s">
        <v>519</v>
      </c>
      <c r="C724" s="68">
        <v>0.25</v>
      </c>
      <c r="D724" s="68">
        <v>1.0</v>
      </c>
      <c r="E724" s="68">
        <v>10.0</v>
      </c>
      <c r="F724" s="68">
        <v>2.0</v>
      </c>
      <c r="G724" s="68">
        <v>3.2004165129046</v>
      </c>
      <c r="H724" s="68">
        <v>159.883121946368</v>
      </c>
      <c r="I724" s="69">
        <v>44362.287824074076</v>
      </c>
      <c r="J724" s="69">
        <v>44362.40938657407</v>
      </c>
      <c r="K724">
        <f>AVERAGE(H722:H726)</f>
        <v>163.5383752</v>
      </c>
      <c r="L724">
        <f>STDEV(H722:H726)</f>
        <v>65.44169839</v>
      </c>
      <c r="M724" s="70">
        <v>159.883121946368</v>
      </c>
      <c r="N724" s="70">
        <v>159.883121946368</v>
      </c>
      <c r="O724" s="70">
        <v>3.2004165129046</v>
      </c>
      <c r="P724" s="70">
        <v>3.2004165129046</v>
      </c>
    </row>
    <row r="725" hidden="1">
      <c r="A725" s="67" t="s">
        <v>1485</v>
      </c>
      <c r="B725" s="67" t="s">
        <v>519</v>
      </c>
      <c r="C725" s="68">
        <v>0.25</v>
      </c>
      <c r="D725" s="68">
        <v>1.0</v>
      </c>
      <c r="E725" s="68">
        <v>10.0</v>
      </c>
      <c r="F725" s="68">
        <v>3.0</v>
      </c>
      <c r="G725" s="68">
        <v>2.17966282324248</v>
      </c>
      <c r="H725" s="68">
        <v>99.8349981548123</v>
      </c>
      <c r="I725" s="69">
        <v>44362.41008101852</v>
      </c>
      <c r="J725" s="69">
        <v>44362.41278935185</v>
      </c>
      <c r="K725">
        <f>AVERAGE(H722:H726)</f>
        <v>163.5383752</v>
      </c>
      <c r="L725">
        <f>STDEV(H722:H726)</f>
        <v>65.44169839</v>
      </c>
      <c r="M725" s="70">
        <v>99.8349981548123</v>
      </c>
      <c r="N725" s="70">
        <v>99.8349981548123</v>
      </c>
      <c r="O725" s="70">
        <v>2.17966282324248</v>
      </c>
      <c r="P725" s="70">
        <v>2.17966282324248</v>
      </c>
    </row>
    <row r="726" hidden="1">
      <c r="A726" s="67" t="s">
        <v>1486</v>
      </c>
      <c r="B726" s="67" t="s">
        <v>519</v>
      </c>
      <c r="C726" s="68">
        <v>0.25</v>
      </c>
      <c r="D726" s="68">
        <v>1.0</v>
      </c>
      <c r="E726" s="68">
        <v>10.0</v>
      </c>
      <c r="F726" s="68">
        <v>4.0</v>
      </c>
      <c r="G726" s="68">
        <v>5.92023578988077</v>
      </c>
      <c r="H726" s="68">
        <v>153.246356612709</v>
      </c>
      <c r="I726" s="69">
        <v>44362.4134837963</v>
      </c>
      <c r="J726" s="69">
        <v>44362.413935185185</v>
      </c>
      <c r="K726">
        <f>AVERAGE(H722:H726)</f>
        <v>163.5383752</v>
      </c>
      <c r="L726">
        <f>STDEV(H722:H726)</f>
        <v>65.44169839</v>
      </c>
      <c r="M726" s="70">
        <v>153.246356612709</v>
      </c>
      <c r="N726" s="70">
        <v>153.246356612709</v>
      </c>
      <c r="O726" s="70">
        <v>5.92023578988077</v>
      </c>
      <c r="P726" s="70">
        <v>5.92023578988077</v>
      </c>
    </row>
    <row r="727" hidden="1">
      <c r="A727" s="67" t="s">
        <v>1487</v>
      </c>
      <c r="B727" s="67" t="s">
        <v>519</v>
      </c>
      <c r="C727" s="68">
        <v>0.5</v>
      </c>
      <c r="D727" s="68">
        <v>0.1</v>
      </c>
      <c r="E727" s="68">
        <v>10.0</v>
      </c>
      <c r="F727" s="68">
        <v>0.0</v>
      </c>
      <c r="G727" s="68">
        <v>3.37448538308478</v>
      </c>
      <c r="H727" s="68">
        <v>125.949714563189</v>
      </c>
      <c r="I727" s="69">
        <v>44362.41462962963</v>
      </c>
      <c r="J727" s="69">
        <v>44362.41494212963</v>
      </c>
      <c r="K727">
        <f>AVERAGE(H727:H731)</f>
        <v>116.805494</v>
      </c>
      <c r="L727">
        <f>STDEV(H727:H731)</f>
        <v>67.31156633</v>
      </c>
      <c r="M727" s="70">
        <v>125.949714563189</v>
      </c>
      <c r="N727" s="70">
        <v>125.949714563189</v>
      </c>
      <c r="O727" s="70">
        <v>3.37448538308478</v>
      </c>
      <c r="P727" s="70">
        <v>3.37448538308478</v>
      </c>
    </row>
    <row r="728" hidden="1">
      <c r="A728" s="67" t="s">
        <v>1488</v>
      </c>
      <c r="B728" s="67" t="s">
        <v>519</v>
      </c>
      <c r="C728" s="68">
        <v>0.5</v>
      </c>
      <c r="D728" s="68">
        <v>0.1</v>
      </c>
      <c r="E728" s="68">
        <v>10.0</v>
      </c>
      <c r="F728" s="68">
        <v>1.0</v>
      </c>
      <c r="G728" s="68">
        <v>2.48827350719733</v>
      </c>
      <c r="H728" s="68">
        <v>131.803019410388</v>
      </c>
      <c r="I728" s="69">
        <v>44362.41563657407</v>
      </c>
      <c r="J728" s="69">
        <v>44362.416041666664</v>
      </c>
      <c r="K728">
        <f>AVERAGE(H727:H731)</f>
        <v>116.805494</v>
      </c>
      <c r="L728">
        <f>STDEV(H727:H731)</f>
        <v>67.31156633</v>
      </c>
      <c r="M728" s="70">
        <v>131.803019410388</v>
      </c>
      <c r="N728" s="70">
        <v>131.803019410388</v>
      </c>
      <c r="O728" s="70">
        <v>2.48827350719733</v>
      </c>
      <c r="P728" s="70">
        <v>2.48827350719733</v>
      </c>
    </row>
    <row r="729" hidden="1">
      <c r="A729" s="67" t="s">
        <v>1489</v>
      </c>
      <c r="B729" s="67" t="s">
        <v>519</v>
      </c>
      <c r="C729" s="68">
        <v>0.5</v>
      </c>
      <c r="D729" s="68">
        <v>0.1</v>
      </c>
      <c r="E729" s="68">
        <v>10.0</v>
      </c>
      <c r="F729" s="68">
        <v>2.0</v>
      </c>
      <c r="G729" s="68">
        <v>3.44064138718447</v>
      </c>
      <c r="H729" s="68">
        <v>167.402807267658</v>
      </c>
      <c r="I729" s="69">
        <v>44362.41673611111</v>
      </c>
      <c r="J729" s="69">
        <v>44362.5225</v>
      </c>
      <c r="K729">
        <f>AVERAGE(H727:H731)</f>
        <v>116.805494</v>
      </c>
      <c r="L729">
        <f>STDEV(H727:H731)</f>
        <v>67.31156633</v>
      </c>
      <c r="M729" s="70">
        <v>167.402807267658</v>
      </c>
      <c r="N729" s="70">
        <v>167.402807267658</v>
      </c>
      <c r="O729" s="70">
        <v>3.44064138718447</v>
      </c>
      <c r="P729" s="70">
        <v>3.44064138718447</v>
      </c>
    </row>
    <row r="730" hidden="1">
      <c r="A730" s="67" t="s">
        <v>1490</v>
      </c>
      <c r="B730" s="67" t="s">
        <v>519</v>
      </c>
      <c r="C730" s="68">
        <v>0.5</v>
      </c>
      <c r="D730" s="68">
        <v>0.1</v>
      </c>
      <c r="E730" s="68">
        <v>10.0</v>
      </c>
      <c r="F730" s="68">
        <v>3.0</v>
      </c>
      <c r="G730" s="68">
        <v>4.5874591338415</v>
      </c>
      <c r="H730" s="68">
        <v>158.371994687343</v>
      </c>
      <c r="I730" s="69">
        <v>44362.523194444446</v>
      </c>
      <c r="J730" s="69">
        <v>44362.52489583333</v>
      </c>
      <c r="K730">
        <f>AVERAGE(H727:H731)</f>
        <v>116.805494</v>
      </c>
      <c r="L730">
        <f>STDEV(H727:H731)</f>
        <v>67.31156633</v>
      </c>
      <c r="M730" s="70">
        <v>158.371994687343</v>
      </c>
      <c r="N730" s="70">
        <v>158.371994687343</v>
      </c>
      <c r="O730" s="70">
        <v>4.5874591338415</v>
      </c>
      <c r="P730" s="70">
        <v>4.5874591338415</v>
      </c>
    </row>
    <row r="731" hidden="1">
      <c r="A731" s="67" t="s">
        <v>1491</v>
      </c>
      <c r="B731" s="67" t="s">
        <v>519</v>
      </c>
      <c r="C731" s="68">
        <v>0.5</v>
      </c>
      <c r="D731" s="68">
        <v>0.1</v>
      </c>
      <c r="E731" s="68">
        <v>10.0</v>
      </c>
      <c r="F731" s="68">
        <v>4.0</v>
      </c>
      <c r="G731" s="68">
        <v>0.396875747610982</v>
      </c>
      <c r="H731" s="68">
        <v>0.499934283519025</v>
      </c>
      <c r="I731" s="69">
        <v>44362.52559027778</v>
      </c>
      <c r="J731" s="69">
        <v>44362.52578703704</v>
      </c>
      <c r="K731">
        <f>AVERAGE(H727:H731)</f>
        <v>116.805494</v>
      </c>
      <c r="L731">
        <f>STDEV(H727:H731)</f>
        <v>67.31156633</v>
      </c>
      <c r="M731" s="70">
        <v>0.499934283519025</v>
      </c>
      <c r="N731" s="70">
        <v>0.499934283519025</v>
      </c>
      <c r="O731" s="70">
        <v>0.396875747610982</v>
      </c>
      <c r="P731" s="70">
        <v>0.396875747610982</v>
      </c>
    </row>
    <row r="732" hidden="1">
      <c r="A732" s="67" t="s">
        <v>1492</v>
      </c>
      <c r="B732" s="67" t="s">
        <v>519</v>
      </c>
      <c r="C732" s="68">
        <v>0.5</v>
      </c>
      <c r="D732" s="68">
        <v>0.25</v>
      </c>
      <c r="E732" s="68">
        <v>10.0</v>
      </c>
      <c r="F732" s="68">
        <v>0.0</v>
      </c>
      <c r="G732" s="68">
        <v>1.20964113787787</v>
      </c>
      <c r="H732" s="68">
        <v>73.4578580088737</v>
      </c>
      <c r="I732" s="69">
        <v>44362.52648148148</v>
      </c>
      <c r="J732" s="69">
        <v>44362.53184027778</v>
      </c>
      <c r="K732">
        <f>AVERAGE(H732:H736)</f>
        <v>158.6242526</v>
      </c>
      <c r="L732">
        <f>STDEV(H732:H736)</f>
        <v>60.54220576</v>
      </c>
      <c r="M732" s="70">
        <v>73.4578580088737</v>
      </c>
      <c r="N732" s="70">
        <v>73.4578580088737</v>
      </c>
      <c r="O732" s="70">
        <v>1.20964113787787</v>
      </c>
      <c r="P732" s="70">
        <v>1.20964113787787</v>
      </c>
    </row>
    <row r="733" hidden="1">
      <c r="A733" s="67" t="s">
        <v>1493</v>
      </c>
      <c r="B733" s="67" t="s">
        <v>519</v>
      </c>
      <c r="C733" s="68">
        <v>0.5</v>
      </c>
      <c r="D733" s="68">
        <v>0.25</v>
      </c>
      <c r="E733" s="68">
        <v>10.0</v>
      </c>
      <c r="F733" s="68">
        <v>1.0</v>
      </c>
      <c r="G733" s="68">
        <v>4.95448560705703</v>
      </c>
      <c r="H733" s="68">
        <v>170.805779141025</v>
      </c>
      <c r="I733" s="69">
        <v>44362.532534722224</v>
      </c>
      <c r="J733" s="69">
        <v>44362.53271990741</v>
      </c>
      <c r="K733">
        <f>AVERAGE(H732:H736)</f>
        <v>158.6242526</v>
      </c>
      <c r="L733">
        <f>STDEV(H732:H736)</f>
        <v>60.54220576</v>
      </c>
      <c r="M733" s="70">
        <v>170.805779141025</v>
      </c>
      <c r="N733" s="70">
        <v>170.805779141025</v>
      </c>
      <c r="O733" s="70">
        <v>4.95448560705703</v>
      </c>
      <c r="P733" s="70">
        <v>4.95448560705703</v>
      </c>
    </row>
    <row r="734" hidden="1">
      <c r="A734" s="67" t="s">
        <v>1494</v>
      </c>
      <c r="B734" s="67" t="s">
        <v>519</v>
      </c>
      <c r="C734" s="68">
        <v>0.5</v>
      </c>
      <c r="D734" s="68">
        <v>0.25</v>
      </c>
      <c r="E734" s="68">
        <v>10.0</v>
      </c>
      <c r="F734" s="68">
        <v>2.0</v>
      </c>
      <c r="G734" s="68">
        <v>2.42714131308145</v>
      </c>
      <c r="H734" s="68">
        <v>122.623192548414</v>
      </c>
      <c r="I734" s="69">
        <v>44362.53341435185</v>
      </c>
      <c r="J734" s="69">
        <v>44362.555497685185</v>
      </c>
      <c r="K734">
        <f>AVERAGE(H732:H736)</f>
        <v>158.6242526</v>
      </c>
      <c r="L734">
        <f>STDEV(H732:H736)</f>
        <v>60.54220576</v>
      </c>
      <c r="M734" s="70">
        <v>122.623192548414</v>
      </c>
      <c r="N734" s="70">
        <v>122.623192548414</v>
      </c>
      <c r="O734" s="70">
        <v>2.42714131308145</v>
      </c>
      <c r="P734" s="70">
        <v>2.42714131308145</v>
      </c>
    </row>
    <row r="735" hidden="1">
      <c r="A735" s="67" t="s">
        <v>1495</v>
      </c>
      <c r="B735" s="67" t="s">
        <v>519</v>
      </c>
      <c r="C735" s="68">
        <v>0.5</v>
      </c>
      <c r="D735" s="68">
        <v>0.25</v>
      </c>
      <c r="E735" s="68">
        <v>10.0</v>
      </c>
      <c r="F735" s="68">
        <v>3.0</v>
      </c>
      <c r="G735" s="68">
        <v>4.57923569806067</v>
      </c>
      <c r="H735" s="68">
        <v>209.603830366087</v>
      </c>
      <c r="I735" s="69">
        <v>44362.55619212963</v>
      </c>
      <c r="J735" s="69">
        <v>44362.60979166667</v>
      </c>
      <c r="K735">
        <f>AVERAGE(H732:H736)</f>
        <v>158.6242526</v>
      </c>
      <c r="L735">
        <f>STDEV(H732:H736)</f>
        <v>60.54220576</v>
      </c>
      <c r="M735" s="70">
        <v>209.603830366087</v>
      </c>
      <c r="N735" s="70">
        <v>209.603830366087</v>
      </c>
      <c r="O735" s="70">
        <v>4.57923569806067</v>
      </c>
      <c r="P735" s="70">
        <v>4.57923569806067</v>
      </c>
    </row>
    <row r="736" hidden="1">
      <c r="A736" s="67" t="s">
        <v>1496</v>
      </c>
      <c r="B736" s="67" t="s">
        <v>519</v>
      </c>
      <c r="C736" s="68">
        <v>0.5</v>
      </c>
      <c r="D736" s="68">
        <v>0.25</v>
      </c>
      <c r="E736" s="68">
        <v>10.0</v>
      </c>
      <c r="F736" s="68">
        <v>4.0</v>
      </c>
      <c r="G736" s="68">
        <v>9.00450516916783</v>
      </c>
      <c r="H736" s="68">
        <v>216.630602984361</v>
      </c>
      <c r="I736" s="69">
        <v>44362.61048611111</v>
      </c>
      <c r="J736" s="69">
        <v>44362.61064814815</v>
      </c>
      <c r="K736">
        <f>AVERAGE(H732:H736)</f>
        <v>158.6242526</v>
      </c>
      <c r="L736">
        <f>STDEV(H732:H736)</f>
        <v>60.54220576</v>
      </c>
      <c r="M736" s="70">
        <v>216.630602984361</v>
      </c>
      <c r="N736" s="70">
        <v>216.630602984361</v>
      </c>
      <c r="O736" s="70">
        <v>9.00450516916783</v>
      </c>
      <c r="P736" s="70">
        <v>9.00450516916783</v>
      </c>
    </row>
    <row r="737" hidden="1">
      <c r="A737" s="67" t="s">
        <v>1497</v>
      </c>
      <c r="B737" s="67" t="s">
        <v>519</v>
      </c>
      <c r="C737" s="68">
        <v>0.5</v>
      </c>
      <c r="D737" s="68">
        <v>0.5</v>
      </c>
      <c r="E737" s="68">
        <v>10.0</v>
      </c>
      <c r="F737" s="68">
        <v>0.0</v>
      </c>
      <c r="G737" s="68">
        <v>9.16752049623499</v>
      </c>
      <c r="H737" s="68">
        <v>218.488919993533</v>
      </c>
      <c r="I737" s="69">
        <v>44362.611342592594</v>
      </c>
      <c r="J737" s="69">
        <v>44362.61150462963</v>
      </c>
      <c r="K737">
        <f>AVERAGE(H737:H741)</f>
        <v>139.7608016</v>
      </c>
      <c r="L737">
        <f>STDEV(H737:H741)</f>
        <v>84.02046366</v>
      </c>
      <c r="M737" s="70">
        <v>218.488919993533</v>
      </c>
      <c r="N737" s="70">
        <v>218.488919993533</v>
      </c>
      <c r="O737" s="70">
        <v>9.16752049623499</v>
      </c>
      <c r="P737" s="70">
        <v>9.16752049623499</v>
      </c>
    </row>
    <row r="738" hidden="1">
      <c r="A738" s="67" t="s">
        <v>1498</v>
      </c>
      <c r="B738" s="67" t="s">
        <v>519</v>
      </c>
      <c r="C738" s="68">
        <v>0.5</v>
      </c>
      <c r="D738" s="68">
        <v>0.5</v>
      </c>
      <c r="E738" s="68">
        <v>10.0</v>
      </c>
      <c r="F738" s="68">
        <v>1.0</v>
      </c>
      <c r="G738" s="68">
        <v>0.470275114529804</v>
      </c>
      <c r="H738" s="68">
        <v>0.561714902354158</v>
      </c>
      <c r="I738" s="69">
        <v>44362.61219907407</v>
      </c>
      <c r="J738" s="69">
        <v>44362.61251157407</v>
      </c>
      <c r="K738">
        <f>AVERAGE(H737:H741)</f>
        <v>139.7608016</v>
      </c>
      <c r="L738">
        <f>STDEV(H737:H741)</f>
        <v>84.02046366</v>
      </c>
      <c r="M738" s="70">
        <v>0.561714902354158</v>
      </c>
      <c r="N738" s="70">
        <v>0.561714902354158</v>
      </c>
      <c r="O738" s="70">
        <v>0.470275114529804</v>
      </c>
      <c r="P738" s="70">
        <v>0.470275114529804</v>
      </c>
    </row>
    <row r="739" hidden="1">
      <c r="A739" s="67" t="s">
        <v>1499</v>
      </c>
      <c r="B739" s="67" t="s">
        <v>519</v>
      </c>
      <c r="C739" s="68">
        <v>0.5</v>
      </c>
      <c r="D739" s="68">
        <v>0.5</v>
      </c>
      <c r="E739" s="68">
        <v>10.0</v>
      </c>
      <c r="F739" s="68">
        <v>2.0</v>
      </c>
      <c r="G739" s="68">
        <v>2.50625702320649</v>
      </c>
      <c r="H739" s="68">
        <v>132.627469067318</v>
      </c>
      <c r="I739" s="69">
        <v>44362.61320601852</v>
      </c>
      <c r="J739" s="69">
        <v>44362.61361111111</v>
      </c>
      <c r="K739">
        <f>AVERAGE(H737:H741)</f>
        <v>139.7608016</v>
      </c>
      <c r="L739">
        <f>STDEV(H737:H741)</f>
        <v>84.02046366</v>
      </c>
      <c r="M739" s="70">
        <v>132.627469067318</v>
      </c>
      <c r="N739" s="70">
        <v>132.627469067318</v>
      </c>
      <c r="O739" s="70">
        <v>2.50625702320649</v>
      </c>
      <c r="P739" s="70">
        <v>2.50625702320649</v>
      </c>
    </row>
    <row r="740" hidden="1">
      <c r="A740" s="67" t="s">
        <v>1500</v>
      </c>
      <c r="B740" s="67" t="s">
        <v>519</v>
      </c>
      <c r="C740" s="68">
        <v>0.5</v>
      </c>
      <c r="D740" s="68">
        <v>0.5</v>
      </c>
      <c r="E740" s="68">
        <v>10.0</v>
      </c>
      <c r="F740" s="68">
        <v>3.0</v>
      </c>
      <c r="G740" s="68">
        <v>5.55568479257886</v>
      </c>
      <c r="H740" s="68">
        <v>186.353489921235</v>
      </c>
      <c r="I740" s="69">
        <v>44362.61430555556</v>
      </c>
      <c r="J740" s="69">
        <v>44362.614594907405</v>
      </c>
      <c r="K740">
        <f>AVERAGE(H737:H741)</f>
        <v>139.7608016</v>
      </c>
      <c r="L740">
        <f>STDEV(H737:H741)</f>
        <v>84.02046366</v>
      </c>
      <c r="M740" s="70">
        <v>186.353489921235</v>
      </c>
      <c r="N740" s="70">
        <v>186.353489921235</v>
      </c>
      <c r="O740" s="70">
        <v>5.55568479257886</v>
      </c>
      <c r="P740" s="70">
        <v>5.55568479257886</v>
      </c>
    </row>
    <row r="741" hidden="1">
      <c r="A741" s="67" t="s">
        <v>1501</v>
      </c>
      <c r="B741" s="67" t="s">
        <v>519</v>
      </c>
      <c r="C741" s="68">
        <v>0.5</v>
      </c>
      <c r="D741" s="68">
        <v>0.5</v>
      </c>
      <c r="E741" s="68">
        <v>10.0</v>
      </c>
      <c r="F741" s="68">
        <v>4.0</v>
      </c>
      <c r="G741" s="68">
        <v>3.27593673875487</v>
      </c>
      <c r="H741" s="68">
        <v>160.772413982063</v>
      </c>
      <c r="I741" s="69">
        <v>44362.61528935185</v>
      </c>
      <c r="J741" s="69">
        <v>44362.83106481482</v>
      </c>
      <c r="K741">
        <f>AVERAGE(H737:H741)</f>
        <v>139.7608016</v>
      </c>
      <c r="L741">
        <f>STDEV(H737:H741)</f>
        <v>84.02046366</v>
      </c>
      <c r="M741" s="70">
        <v>160.772413982063</v>
      </c>
      <c r="N741" s="70">
        <v>160.772413982063</v>
      </c>
      <c r="O741" s="70">
        <v>3.27593673875487</v>
      </c>
      <c r="P741" s="70">
        <v>3.27593673875487</v>
      </c>
    </row>
    <row r="742" hidden="1">
      <c r="A742" s="67" t="s">
        <v>1502</v>
      </c>
      <c r="B742" s="67" t="s">
        <v>519</v>
      </c>
      <c r="C742" s="68">
        <v>0.5</v>
      </c>
      <c r="D742" s="68">
        <v>0.75</v>
      </c>
      <c r="E742" s="68">
        <v>10.0</v>
      </c>
      <c r="F742" s="68">
        <v>0.0</v>
      </c>
      <c r="G742" s="68">
        <v>5.49484940823509</v>
      </c>
      <c r="H742" s="68">
        <v>170.986556913106</v>
      </c>
      <c r="I742" s="69">
        <v>44362.83175925926</v>
      </c>
      <c r="J742" s="69">
        <v>44362.83201388889</v>
      </c>
      <c r="K742">
        <f>AVERAGE(H742:H746)</f>
        <v>123.6213183</v>
      </c>
      <c r="L742">
        <f>STDEV(H742:H746)</f>
        <v>84.4808304</v>
      </c>
      <c r="M742" s="70">
        <v>170.986556913106</v>
      </c>
      <c r="N742" s="70">
        <v>170.986556913106</v>
      </c>
      <c r="O742" s="70">
        <v>5.49484940823509</v>
      </c>
      <c r="P742" s="70">
        <v>5.49484940823509</v>
      </c>
    </row>
    <row r="743" hidden="1">
      <c r="A743" s="67" t="s">
        <v>1503</v>
      </c>
      <c r="B743" s="67" t="s">
        <v>519</v>
      </c>
      <c r="C743" s="68">
        <v>0.5</v>
      </c>
      <c r="D743" s="68">
        <v>0.75</v>
      </c>
      <c r="E743" s="68">
        <v>10.0</v>
      </c>
      <c r="F743" s="68">
        <v>1.0</v>
      </c>
      <c r="G743" s="68">
        <v>7.62073983285599</v>
      </c>
      <c r="H743" s="68">
        <v>198.669076000879</v>
      </c>
      <c r="I743" s="69">
        <v>44362.832708333335</v>
      </c>
      <c r="J743" s="69">
        <v>44362.83299768518</v>
      </c>
      <c r="K743">
        <f>AVERAGE(H742:H746)</f>
        <v>123.6213183</v>
      </c>
      <c r="L743">
        <f>STDEV(H742:H746)</f>
        <v>84.4808304</v>
      </c>
      <c r="M743" s="70">
        <v>198.669076000879</v>
      </c>
      <c r="N743" s="70">
        <v>198.669076000879</v>
      </c>
      <c r="O743" s="70">
        <v>7.62073983285599</v>
      </c>
      <c r="P743" s="70">
        <v>7.62073983285599</v>
      </c>
    </row>
    <row r="744" hidden="1">
      <c r="A744" s="67" t="s">
        <v>1504</v>
      </c>
      <c r="B744" s="67" t="s">
        <v>519</v>
      </c>
      <c r="C744" s="68">
        <v>0.5</v>
      </c>
      <c r="D744" s="68">
        <v>0.75</v>
      </c>
      <c r="E744" s="68">
        <v>10.0</v>
      </c>
      <c r="F744" s="68">
        <v>2.0</v>
      </c>
      <c r="G744" s="68">
        <v>0.854502484943144</v>
      </c>
      <c r="H744" s="68">
        <v>1.16363965095295</v>
      </c>
      <c r="I744" s="69">
        <v>44362.83369212963</v>
      </c>
      <c r="J744" s="69">
        <v>44362.834652777776</v>
      </c>
      <c r="K744">
        <f>AVERAGE(H742:H746)</f>
        <v>123.6213183</v>
      </c>
      <c r="L744">
        <f>STDEV(H742:H746)</f>
        <v>84.4808304</v>
      </c>
      <c r="M744" s="70">
        <v>1.16363965095295</v>
      </c>
      <c r="N744" s="70">
        <v>1.16363965095295</v>
      </c>
      <c r="O744" s="70">
        <v>0.854502484943144</v>
      </c>
      <c r="P744" s="70">
        <v>0.854502484943144</v>
      </c>
    </row>
    <row r="745" hidden="1">
      <c r="A745" s="67" t="s">
        <v>1505</v>
      </c>
      <c r="B745" s="67" t="s">
        <v>519</v>
      </c>
      <c r="C745" s="68">
        <v>0.5</v>
      </c>
      <c r="D745" s="68">
        <v>0.75</v>
      </c>
      <c r="E745" s="68">
        <v>10.0</v>
      </c>
      <c r="F745" s="68">
        <v>3.0</v>
      </c>
      <c r="G745" s="68">
        <v>3.72620092062816</v>
      </c>
      <c r="H745" s="68">
        <v>176.919015004282</v>
      </c>
      <c r="I745" s="69">
        <v>44362.83534722222</v>
      </c>
      <c r="J745" s="69">
        <v>44362.939097222225</v>
      </c>
      <c r="K745">
        <f>AVERAGE(H742:H746)</f>
        <v>123.6213183</v>
      </c>
      <c r="L745">
        <f>STDEV(H742:H746)</f>
        <v>84.4808304</v>
      </c>
      <c r="M745" s="70">
        <v>176.919015004282</v>
      </c>
      <c r="N745" s="70">
        <v>176.919015004282</v>
      </c>
      <c r="O745" s="70">
        <v>3.72620092062816</v>
      </c>
      <c r="P745" s="70">
        <v>3.72620092062816</v>
      </c>
    </row>
    <row r="746" hidden="1">
      <c r="A746" s="67" t="s">
        <v>1506</v>
      </c>
      <c r="B746" s="67" t="s">
        <v>519</v>
      </c>
      <c r="C746" s="68">
        <v>0.5</v>
      </c>
      <c r="D746" s="68">
        <v>0.75</v>
      </c>
      <c r="E746" s="68">
        <v>10.0</v>
      </c>
      <c r="F746" s="68">
        <v>4.0</v>
      </c>
      <c r="G746" s="68">
        <v>1.37124054701157</v>
      </c>
      <c r="H746" s="68">
        <v>70.3683040883317</v>
      </c>
      <c r="I746" s="69">
        <v>44362.939791666664</v>
      </c>
      <c r="J746" s="69">
        <v>44362.942199074074</v>
      </c>
      <c r="K746">
        <f>AVERAGE(H742:H746)</f>
        <v>123.6213183</v>
      </c>
      <c r="L746">
        <f>STDEV(H742:H746)</f>
        <v>84.4808304</v>
      </c>
      <c r="M746" s="70">
        <v>70.3683040883317</v>
      </c>
      <c r="N746" s="70">
        <v>70.3683040883317</v>
      </c>
      <c r="O746" s="70">
        <v>1.37124054701157</v>
      </c>
      <c r="P746" s="70">
        <v>1.37124054701157</v>
      </c>
    </row>
    <row r="747" hidden="1">
      <c r="A747" s="67" t="s">
        <v>1507</v>
      </c>
      <c r="B747" s="67" t="s">
        <v>519</v>
      </c>
      <c r="C747" s="68">
        <v>0.5</v>
      </c>
      <c r="D747" s="68">
        <v>1.0</v>
      </c>
      <c r="E747" s="68">
        <v>10.0</v>
      </c>
      <c r="F747" s="68">
        <v>0.0</v>
      </c>
      <c r="G747" s="68">
        <v>5.86266739982574</v>
      </c>
      <c r="H747" s="68">
        <v>174.827967385537</v>
      </c>
      <c r="I747" s="69">
        <v>44362.94289351852</v>
      </c>
      <c r="J747" s="69">
        <v>44362.943136574075</v>
      </c>
      <c r="K747">
        <f>AVERAGE(H747:H751)</f>
        <v>121.9135049</v>
      </c>
      <c r="L747">
        <f>STDEV(H747:H751)</f>
        <v>69.82725564</v>
      </c>
      <c r="M747" s="70">
        <v>174.827967385537</v>
      </c>
      <c r="N747" s="70">
        <v>174.827967385537</v>
      </c>
      <c r="O747" s="70">
        <v>5.86266739982574</v>
      </c>
      <c r="P747" s="70">
        <v>5.86266739982574</v>
      </c>
    </row>
    <row r="748" hidden="1">
      <c r="A748" s="67" t="s">
        <v>1508</v>
      </c>
      <c r="B748" s="67" t="s">
        <v>519</v>
      </c>
      <c r="C748" s="68">
        <v>0.5</v>
      </c>
      <c r="D748" s="68">
        <v>1.0</v>
      </c>
      <c r="E748" s="68">
        <v>10.0</v>
      </c>
      <c r="F748" s="68">
        <v>1.0</v>
      </c>
      <c r="G748" s="68">
        <v>0.471070973442021</v>
      </c>
      <c r="H748" s="68">
        <v>3.99097639478045</v>
      </c>
      <c r="I748" s="69">
        <v>44362.94383101852</v>
      </c>
      <c r="J748" s="69">
        <v>44362.944872685184</v>
      </c>
      <c r="K748">
        <f>AVERAGE(H747:H751)</f>
        <v>121.9135049</v>
      </c>
      <c r="L748">
        <f>STDEV(H747:H751)</f>
        <v>69.82725564</v>
      </c>
      <c r="M748" s="70">
        <v>3.99097639478045</v>
      </c>
      <c r="N748" s="70">
        <v>3.99097639478045</v>
      </c>
      <c r="O748" s="70">
        <v>0.471070973442021</v>
      </c>
      <c r="P748" s="70">
        <v>0.471070973442021</v>
      </c>
    </row>
    <row r="749" hidden="1">
      <c r="A749" s="67" t="s">
        <v>1509</v>
      </c>
      <c r="B749" s="67" t="s">
        <v>519</v>
      </c>
      <c r="C749" s="68">
        <v>0.5</v>
      </c>
      <c r="D749" s="68">
        <v>1.0</v>
      </c>
      <c r="E749" s="68">
        <v>10.0</v>
      </c>
      <c r="F749" s="68">
        <v>2.0</v>
      </c>
      <c r="G749" s="68">
        <v>2.59608612577505</v>
      </c>
      <c r="H749" s="68">
        <v>135.348410336796</v>
      </c>
      <c r="I749" s="69">
        <v>44362.94556712963</v>
      </c>
      <c r="J749" s="69">
        <v>44362.94596064815</v>
      </c>
      <c r="K749">
        <f>AVERAGE(H747:H751)</f>
        <v>121.9135049</v>
      </c>
      <c r="L749">
        <f>STDEV(H747:H751)</f>
        <v>69.82725564</v>
      </c>
      <c r="M749" s="70">
        <v>135.348410336796</v>
      </c>
      <c r="N749" s="70">
        <v>135.348410336796</v>
      </c>
      <c r="O749" s="70">
        <v>2.59608612577505</v>
      </c>
      <c r="P749" s="70">
        <v>2.59608612577505</v>
      </c>
    </row>
    <row r="750" hidden="1">
      <c r="A750" s="67" t="s">
        <v>1510</v>
      </c>
      <c r="B750" s="67" t="s">
        <v>519</v>
      </c>
      <c r="C750" s="68">
        <v>0.5</v>
      </c>
      <c r="D750" s="68">
        <v>1.0</v>
      </c>
      <c r="E750" s="68">
        <v>10.0</v>
      </c>
      <c r="F750" s="68">
        <v>3.0</v>
      </c>
      <c r="G750" s="68">
        <v>3.66028986443031</v>
      </c>
      <c r="H750" s="68">
        <v>173.070612605238</v>
      </c>
      <c r="I750" s="69">
        <v>44362.94665509259</v>
      </c>
      <c r="J750" s="69">
        <v>44363.10790509259</v>
      </c>
      <c r="K750">
        <f>AVERAGE(H747:H751)</f>
        <v>121.9135049</v>
      </c>
      <c r="L750">
        <f>STDEV(H747:H751)</f>
        <v>69.82725564</v>
      </c>
      <c r="M750" s="70">
        <v>173.070612605238</v>
      </c>
      <c r="N750" s="70">
        <v>173.070612605238</v>
      </c>
      <c r="O750" s="70">
        <v>3.66028986443031</v>
      </c>
      <c r="P750" s="70">
        <v>3.66028986443031</v>
      </c>
    </row>
    <row r="751" hidden="1">
      <c r="A751" s="67" t="s">
        <v>1511</v>
      </c>
      <c r="B751" s="67" t="s">
        <v>519</v>
      </c>
      <c r="C751" s="68">
        <v>0.5</v>
      </c>
      <c r="D751" s="68">
        <v>1.0</v>
      </c>
      <c r="E751" s="68">
        <v>10.0</v>
      </c>
      <c r="F751" s="68">
        <v>4.0</v>
      </c>
      <c r="G751" s="68">
        <v>2.77597410104117</v>
      </c>
      <c r="H751" s="68">
        <v>122.329557957654</v>
      </c>
      <c r="I751" s="69">
        <v>44363.10859953704</v>
      </c>
      <c r="J751" s="69">
        <v>44363.11032407408</v>
      </c>
      <c r="K751">
        <f>AVERAGE(H747:H751)</f>
        <v>121.9135049</v>
      </c>
      <c r="L751">
        <f>STDEV(H747:H751)</f>
        <v>69.82725564</v>
      </c>
      <c r="M751" s="70">
        <v>122.329557957654</v>
      </c>
      <c r="N751" s="70">
        <v>122.329557957654</v>
      </c>
      <c r="O751" s="70">
        <v>2.77597410104117</v>
      </c>
      <c r="P751" s="70">
        <v>2.77597410104117</v>
      </c>
    </row>
    <row r="752" hidden="1">
      <c r="A752" s="67" t="s">
        <v>1512</v>
      </c>
      <c r="B752" s="67" t="s">
        <v>519</v>
      </c>
      <c r="C752" s="68">
        <v>0.75</v>
      </c>
      <c r="D752" s="68">
        <v>0.1</v>
      </c>
      <c r="E752" s="68">
        <v>10.0</v>
      </c>
      <c r="F752" s="68">
        <v>0.0</v>
      </c>
      <c r="G752" s="68">
        <v>7.6739002218221</v>
      </c>
      <c r="H752" s="68">
        <v>277.359071013167</v>
      </c>
      <c r="I752" s="69">
        <v>44363.11101851852</v>
      </c>
      <c r="J752" s="69">
        <v>44363.11143518519</v>
      </c>
      <c r="K752">
        <f>AVERAGE(H752:H756)</f>
        <v>201.7093665</v>
      </c>
      <c r="L752">
        <f>STDEV(H752:H756)</f>
        <v>59.92174576</v>
      </c>
      <c r="M752" s="70">
        <v>277.359071013167</v>
      </c>
      <c r="N752" s="70">
        <v>277.359071013167</v>
      </c>
      <c r="O752" s="70">
        <v>7.6739002218221</v>
      </c>
      <c r="P752" s="70">
        <v>7.6739002218221</v>
      </c>
    </row>
    <row r="753" hidden="1">
      <c r="A753" s="67" t="s">
        <v>1513</v>
      </c>
      <c r="B753" s="67" t="s">
        <v>519</v>
      </c>
      <c r="C753" s="68">
        <v>0.75</v>
      </c>
      <c r="D753" s="68">
        <v>0.1</v>
      </c>
      <c r="E753" s="68">
        <v>10.0</v>
      </c>
      <c r="F753" s="68">
        <v>1.0</v>
      </c>
      <c r="G753" s="68">
        <v>2.22432698695751</v>
      </c>
      <c r="H753" s="68">
        <v>117.868362227168</v>
      </c>
      <c r="I753" s="69">
        <v>44363.112129629626</v>
      </c>
      <c r="J753" s="69">
        <v>44363.215150462966</v>
      </c>
      <c r="K753">
        <f>AVERAGE(H752:H756)</f>
        <v>201.7093665</v>
      </c>
      <c r="L753">
        <f>STDEV(H752:H756)</f>
        <v>59.92174576</v>
      </c>
      <c r="M753" s="70">
        <v>117.868362227168</v>
      </c>
      <c r="N753" s="70">
        <v>117.868362227168</v>
      </c>
      <c r="O753" s="70">
        <v>2.22432698695751</v>
      </c>
      <c r="P753" s="70">
        <v>2.22432698695751</v>
      </c>
    </row>
    <row r="754" hidden="1">
      <c r="A754" s="67" t="s">
        <v>1514</v>
      </c>
      <c r="B754" s="67" t="s">
        <v>519</v>
      </c>
      <c r="C754" s="68">
        <v>0.75</v>
      </c>
      <c r="D754" s="68">
        <v>0.1</v>
      </c>
      <c r="E754" s="68">
        <v>10.0</v>
      </c>
      <c r="F754" s="68">
        <v>2.0</v>
      </c>
      <c r="G754" s="68">
        <v>5.22668285565583</v>
      </c>
      <c r="H754" s="68">
        <v>223.135281873607</v>
      </c>
      <c r="I754" s="69">
        <v>44363.215844907405</v>
      </c>
      <c r="J754" s="69">
        <v>44363.22199074074</v>
      </c>
      <c r="K754">
        <f>AVERAGE(H752:H756)</f>
        <v>201.7093665</v>
      </c>
      <c r="L754">
        <f>STDEV(H752:H756)</f>
        <v>59.92174576</v>
      </c>
      <c r="M754" s="70">
        <v>223.135281873607</v>
      </c>
      <c r="N754" s="70">
        <v>223.135281873607</v>
      </c>
      <c r="O754" s="70">
        <v>5.22668285565583</v>
      </c>
      <c r="P754" s="70">
        <v>5.22668285565583</v>
      </c>
    </row>
    <row r="755" hidden="1">
      <c r="A755" s="67" t="s">
        <v>1515</v>
      </c>
      <c r="B755" s="67" t="s">
        <v>519</v>
      </c>
      <c r="C755" s="68">
        <v>0.75</v>
      </c>
      <c r="D755" s="68">
        <v>0.1</v>
      </c>
      <c r="E755" s="68">
        <v>10.0</v>
      </c>
      <c r="F755" s="68">
        <v>3.0</v>
      </c>
      <c r="G755" s="68">
        <v>9.12512637934778</v>
      </c>
      <c r="H755" s="68">
        <v>218.153100494577</v>
      </c>
      <c r="I755" s="69">
        <v>44363.22268518519</v>
      </c>
      <c r="J755" s="69">
        <v>44363.22284722222</v>
      </c>
      <c r="K755">
        <f>AVERAGE(H752:H756)</f>
        <v>201.7093665</v>
      </c>
      <c r="L755">
        <f>STDEV(H752:H756)</f>
        <v>59.92174576</v>
      </c>
      <c r="M755" s="70">
        <v>218.153100494577</v>
      </c>
      <c r="N755" s="70">
        <v>218.153100494577</v>
      </c>
      <c r="O755" s="70">
        <v>9.12512637934778</v>
      </c>
      <c r="P755" s="70">
        <v>9.12512637934778</v>
      </c>
    </row>
    <row r="756" hidden="1">
      <c r="A756" s="67" t="s">
        <v>1516</v>
      </c>
      <c r="B756" s="67" t="s">
        <v>519</v>
      </c>
      <c r="C756" s="68">
        <v>0.75</v>
      </c>
      <c r="D756" s="68">
        <v>0.1</v>
      </c>
      <c r="E756" s="68">
        <v>10.0</v>
      </c>
      <c r="F756" s="68">
        <v>4.0</v>
      </c>
      <c r="G756" s="68">
        <v>5.55541113223407</v>
      </c>
      <c r="H756" s="68">
        <v>172.031016947802</v>
      </c>
      <c r="I756" s="69">
        <v>44363.22355324074</v>
      </c>
      <c r="J756" s="69">
        <v>44363.22381944444</v>
      </c>
      <c r="K756">
        <f>AVERAGE(H752:H756)</f>
        <v>201.7093665</v>
      </c>
      <c r="L756">
        <f>STDEV(H752:H756)</f>
        <v>59.92174576</v>
      </c>
      <c r="M756" s="70">
        <v>172.031016947802</v>
      </c>
      <c r="N756" s="70">
        <v>172.031016947802</v>
      </c>
      <c r="O756" s="70">
        <v>5.55541113223407</v>
      </c>
      <c r="P756" s="70">
        <v>5.55541113223407</v>
      </c>
    </row>
    <row r="757" hidden="1">
      <c r="A757" s="67" t="s">
        <v>1517</v>
      </c>
      <c r="B757" s="67" t="s">
        <v>519</v>
      </c>
      <c r="C757" s="68">
        <v>0.75</v>
      </c>
      <c r="D757" s="68">
        <v>0.25</v>
      </c>
      <c r="E757" s="68">
        <v>10.0</v>
      </c>
      <c r="F757" s="68">
        <v>0.0</v>
      </c>
      <c r="G757" s="68">
        <v>4.73225583885052</v>
      </c>
      <c r="H757" s="68">
        <v>166.166115377824</v>
      </c>
      <c r="I757" s="69">
        <v>44363.22451388889</v>
      </c>
      <c r="J757" s="69">
        <v>44363.224699074075</v>
      </c>
      <c r="K757">
        <f>AVERAGE(H757:H761)</f>
        <v>165.2975777</v>
      </c>
      <c r="L757">
        <f>STDEV(H757:H761)</f>
        <v>6.650199598</v>
      </c>
      <c r="M757" s="70">
        <v>166.166115377824</v>
      </c>
      <c r="N757" s="70">
        <v>166.166115377824</v>
      </c>
      <c r="O757" s="70">
        <v>4.73225583885052</v>
      </c>
      <c r="P757" s="70">
        <v>4.73225583885052</v>
      </c>
    </row>
    <row r="758" hidden="1">
      <c r="A758" s="67" t="s">
        <v>1518</v>
      </c>
      <c r="B758" s="67" t="s">
        <v>519</v>
      </c>
      <c r="C758" s="68">
        <v>0.75</v>
      </c>
      <c r="D758" s="68">
        <v>0.25</v>
      </c>
      <c r="E758" s="68">
        <v>10.0</v>
      </c>
      <c r="F758" s="68">
        <v>1.0</v>
      </c>
      <c r="G758" s="68">
        <v>4.86495840090206</v>
      </c>
      <c r="H758" s="68">
        <v>160.136513736531</v>
      </c>
      <c r="I758" s="69">
        <v>44363.22539351852</v>
      </c>
      <c r="J758" s="69">
        <v>44363.225752314815</v>
      </c>
      <c r="K758">
        <f>AVERAGE(H757:H761)</f>
        <v>165.2975777</v>
      </c>
      <c r="L758">
        <f>STDEV(H757:H761)</f>
        <v>6.650199598</v>
      </c>
      <c r="M758" s="70">
        <v>160.136513736531</v>
      </c>
      <c r="N758" s="70">
        <v>160.136513736531</v>
      </c>
      <c r="O758" s="70">
        <v>4.86495840090206</v>
      </c>
      <c r="P758" s="70">
        <v>4.86495840090206</v>
      </c>
    </row>
    <row r="759" hidden="1">
      <c r="A759" s="67" t="s">
        <v>1519</v>
      </c>
      <c r="B759" s="67" t="s">
        <v>519</v>
      </c>
      <c r="C759" s="68">
        <v>0.75</v>
      </c>
      <c r="D759" s="68">
        <v>0.25</v>
      </c>
      <c r="E759" s="68">
        <v>10.0</v>
      </c>
      <c r="F759" s="68">
        <v>2.0</v>
      </c>
      <c r="G759" s="68">
        <v>4.38759294437365</v>
      </c>
      <c r="H759" s="68">
        <v>176.152477886445</v>
      </c>
      <c r="I759" s="69">
        <v>44363.22644675926</v>
      </c>
      <c r="J759" s="69">
        <v>44363.23054398148</v>
      </c>
      <c r="K759">
        <f>AVERAGE(H757:H761)</f>
        <v>165.2975777</v>
      </c>
      <c r="L759">
        <f>STDEV(H757:H761)</f>
        <v>6.650199598</v>
      </c>
      <c r="M759" s="70">
        <v>176.152477886445</v>
      </c>
      <c r="N759" s="70">
        <v>176.152477886445</v>
      </c>
      <c r="O759" s="70">
        <v>4.38759294437365</v>
      </c>
      <c r="P759" s="70">
        <v>4.38759294437365</v>
      </c>
    </row>
    <row r="760" hidden="1">
      <c r="A760" s="67" t="s">
        <v>1520</v>
      </c>
      <c r="B760" s="67" t="s">
        <v>519</v>
      </c>
      <c r="C760" s="68">
        <v>0.75</v>
      </c>
      <c r="D760" s="68">
        <v>0.25</v>
      </c>
      <c r="E760" s="68">
        <v>10.0</v>
      </c>
      <c r="F760" s="68">
        <v>3.0</v>
      </c>
      <c r="G760" s="68">
        <v>3.8554079401797</v>
      </c>
      <c r="H760" s="68">
        <v>164.268994351283</v>
      </c>
      <c r="I760" s="69">
        <v>44363.23123842593</v>
      </c>
      <c r="J760" s="69">
        <v>44363.238287037035</v>
      </c>
      <c r="K760">
        <f>AVERAGE(H757:H761)</f>
        <v>165.2975777</v>
      </c>
      <c r="L760">
        <f>STDEV(H757:H761)</f>
        <v>6.650199598</v>
      </c>
      <c r="M760" s="70">
        <v>164.268994351283</v>
      </c>
      <c r="N760" s="70">
        <v>164.268994351283</v>
      </c>
      <c r="O760" s="70">
        <v>3.8554079401797</v>
      </c>
      <c r="P760" s="70">
        <v>3.8554079401797</v>
      </c>
    </row>
    <row r="761" hidden="1">
      <c r="A761" s="67" t="s">
        <v>1521</v>
      </c>
      <c r="B761" s="67" t="s">
        <v>519</v>
      </c>
      <c r="C761" s="68">
        <v>0.75</v>
      </c>
      <c r="D761" s="68">
        <v>0.25</v>
      </c>
      <c r="E761" s="68">
        <v>10.0</v>
      </c>
      <c r="F761" s="68">
        <v>4.0</v>
      </c>
      <c r="G761" s="68">
        <v>2.78042751635169</v>
      </c>
      <c r="H761" s="68">
        <v>159.763787128293</v>
      </c>
      <c r="I761" s="69">
        <v>44363.23898148148</v>
      </c>
      <c r="J761" s="69">
        <v>44363.3227662037</v>
      </c>
      <c r="K761">
        <f>AVERAGE(H757:H761)</f>
        <v>165.2975777</v>
      </c>
      <c r="L761">
        <f>STDEV(H757:H761)</f>
        <v>6.650199598</v>
      </c>
      <c r="M761" s="70">
        <v>159.763787128293</v>
      </c>
      <c r="N761" s="70">
        <v>159.763787128293</v>
      </c>
      <c r="O761" s="70">
        <v>2.78042751635169</v>
      </c>
      <c r="P761" s="70">
        <v>2.78042751635169</v>
      </c>
    </row>
    <row r="762" hidden="1">
      <c r="A762" s="67" t="s">
        <v>1522</v>
      </c>
      <c r="B762" s="67" t="s">
        <v>519</v>
      </c>
      <c r="C762" s="68">
        <v>0.75</v>
      </c>
      <c r="D762" s="68">
        <v>0.5</v>
      </c>
      <c r="E762" s="68">
        <v>10.0</v>
      </c>
      <c r="F762" s="68">
        <v>0.0</v>
      </c>
      <c r="G762" s="68">
        <v>5.35747405580026</v>
      </c>
      <c r="H762" s="68">
        <v>188.441968331972</v>
      </c>
      <c r="I762" s="69">
        <v>44363.32346064815</v>
      </c>
      <c r="J762" s="69">
        <v>44363.32542824074</v>
      </c>
      <c r="K762">
        <f>AVERAGE(H762:H766)</f>
        <v>156.8337831</v>
      </c>
      <c r="L762">
        <f>STDEV(H762:H766)</f>
        <v>36.69323681</v>
      </c>
      <c r="M762" s="70">
        <v>188.441968331972</v>
      </c>
      <c r="N762" s="70">
        <v>188.441968331972</v>
      </c>
      <c r="O762" s="70">
        <v>5.35747405580026</v>
      </c>
      <c r="P762" s="70">
        <v>5.35747405580026</v>
      </c>
    </row>
    <row r="763" hidden="1">
      <c r="A763" s="67" t="s">
        <v>1523</v>
      </c>
      <c r="B763" s="67" t="s">
        <v>519</v>
      </c>
      <c r="C763" s="68">
        <v>0.75</v>
      </c>
      <c r="D763" s="68">
        <v>0.5</v>
      </c>
      <c r="E763" s="68">
        <v>10.0</v>
      </c>
      <c r="F763" s="68">
        <v>1.0</v>
      </c>
      <c r="G763" s="68">
        <v>6.45276690652418</v>
      </c>
      <c r="H763" s="68">
        <v>193.414717425069</v>
      </c>
      <c r="I763" s="69">
        <v>44363.32612268518</v>
      </c>
      <c r="J763" s="69">
        <v>44363.32623842593</v>
      </c>
      <c r="K763">
        <f>AVERAGE(H762:H766)</f>
        <v>156.8337831</v>
      </c>
      <c r="L763">
        <f>STDEV(H762:H766)</f>
        <v>36.69323681</v>
      </c>
      <c r="M763" s="70">
        <v>193.414717425069</v>
      </c>
      <c r="N763" s="70">
        <v>193.414717425069</v>
      </c>
      <c r="O763" s="70">
        <v>6.45276690652418</v>
      </c>
      <c r="P763" s="70">
        <v>6.45276690652418</v>
      </c>
    </row>
    <row r="764" hidden="1">
      <c r="A764" s="67" t="s">
        <v>1524</v>
      </c>
      <c r="B764" s="67" t="s">
        <v>519</v>
      </c>
      <c r="C764" s="68">
        <v>0.75</v>
      </c>
      <c r="D764" s="68">
        <v>0.5</v>
      </c>
      <c r="E764" s="68">
        <v>10.0</v>
      </c>
      <c r="F764" s="68">
        <v>2.0</v>
      </c>
      <c r="G764" s="68">
        <v>3.4064415134625</v>
      </c>
      <c r="H764" s="68">
        <v>144.405381970194</v>
      </c>
      <c r="I764" s="69">
        <v>44363.32693287037</v>
      </c>
      <c r="J764" s="69">
        <v>44363.328368055554</v>
      </c>
      <c r="K764">
        <f>AVERAGE(H762:H766)</f>
        <v>156.8337831</v>
      </c>
      <c r="L764">
        <f>STDEV(H762:H766)</f>
        <v>36.69323681</v>
      </c>
      <c r="M764" s="70">
        <v>144.405381970194</v>
      </c>
      <c r="N764" s="70">
        <v>144.405381970194</v>
      </c>
      <c r="O764" s="70">
        <v>3.4064415134625</v>
      </c>
      <c r="P764" s="70">
        <v>3.4064415134625</v>
      </c>
    </row>
    <row r="765" hidden="1">
      <c r="A765" s="67" t="s">
        <v>1525</v>
      </c>
      <c r="B765" s="67" t="s">
        <v>519</v>
      </c>
      <c r="C765" s="68">
        <v>0.75</v>
      </c>
      <c r="D765" s="68">
        <v>0.5</v>
      </c>
      <c r="E765" s="68">
        <v>10.0</v>
      </c>
      <c r="F765" s="68">
        <v>3.0</v>
      </c>
      <c r="G765" s="68">
        <v>3.00431493251002</v>
      </c>
      <c r="H765" s="68">
        <v>154.830424946549</v>
      </c>
      <c r="I765" s="69">
        <v>44363.3290625</v>
      </c>
      <c r="J765" s="69">
        <v>44363.44663194445</v>
      </c>
      <c r="K765">
        <f>AVERAGE(H762:H766)</f>
        <v>156.8337831</v>
      </c>
      <c r="L765">
        <f>STDEV(H762:H766)</f>
        <v>36.69323681</v>
      </c>
      <c r="M765" s="70">
        <v>154.830424946549</v>
      </c>
      <c r="N765" s="70">
        <v>154.830424946549</v>
      </c>
      <c r="O765" s="70">
        <v>3.00431493251002</v>
      </c>
      <c r="P765" s="70">
        <v>3.00431493251002</v>
      </c>
    </row>
    <row r="766" hidden="1">
      <c r="A766" s="67" t="s">
        <v>1526</v>
      </c>
      <c r="B766" s="67" t="s">
        <v>519</v>
      </c>
      <c r="C766" s="68">
        <v>0.75</v>
      </c>
      <c r="D766" s="68">
        <v>0.5</v>
      </c>
      <c r="E766" s="68">
        <v>10.0</v>
      </c>
      <c r="F766" s="68">
        <v>4.0</v>
      </c>
      <c r="G766" s="68">
        <v>2.30019588799911</v>
      </c>
      <c r="H766" s="68">
        <v>103.076422846944</v>
      </c>
      <c r="I766" s="69">
        <v>44363.44732638889</v>
      </c>
      <c r="J766" s="69">
        <v>44363.44809027778</v>
      </c>
      <c r="K766">
        <f>AVERAGE(H762:H766)</f>
        <v>156.8337831</v>
      </c>
      <c r="L766">
        <f>STDEV(H762:H766)</f>
        <v>36.69323681</v>
      </c>
      <c r="M766" s="70">
        <v>103.076422846944</v>
      </c>
      <c r="N766" s="70">
        <v>103.076422846944</v>
      </c>
      <c r="O766" s="70">
        <v>2.30019588799911</v>
      </c>
      <c r="P766" s="70">
        <v>2.30019588799911</v>
      </c>
    </row>
    <row r="767" hidden="1">
      <c r="A767" s="67" t="s">
        <v>1527</v>
      </c>
      <c r="B767" s="67" t="s">
        <v>519</v>
      </c>
      <c r="C767" s="68">
        <v>0.75</v>
      </c>
      <c r="D767" s="68">
        <v>0.75</v>
      </c>
      <c r="E767" s="68">
        <v>10.0</v>
      </c>
      <c r="F767" s="68">
        <v>0.0</v>
      </c>
      <c r="G767" s="68">
        <v>3.13136077752197</v>
      </c>
      <c r="H767" s="68">
        <v>159.938497825517</v>
      </c>
      <c r="I767" s="69">
        <v>44363.44878472222</v>
      </c>
      <c r="J767" s="69">
        <v>44363.60144675926</v>
      </c>
      <c r="K767">
        <f>AVERAGE(H767:H771)</f>
        <v>109.1475015</v>
      </c>
      <c r="L767">
        <f>STDEV(H767:H771)</f>
        <v>100.8733608</v>
      </c>
      <c r="M767" s="70">
        <v>159.938497825517</v>
      </c>
      <c r="N767" s="70">
        <v>159.938497825517</v>
      </c>
      <c r="O767" s="70">
        <v>3.13136077752197</v>
      </c>
      <c r="P767" s="70">
        <v>3.13136077752197</v>
      </c>
    </row>
    <row r="768" hidden="1">
      <c r="A768" s="67" t="s">
        <v>1528</v>
      </c>
      <c r="B768" s="67" t="s">
        <v>519</v>
      </c>
      <c r="C768" s="68">
        <v>0.75</v>
      </c>
      <c r="D768" s="68">
        <v>0.75</v>
      </c>
      <c r="E768" s="68">
        <v>10.0</v>
      </c>
      <c r="F768" s="68">
        <v>1.0</v>
      </c>
      <c r="G768" s="68">
        <v>8.07720243988608</v>
      </c>
      <c r="H768" s="68">
        <v>212.65209107727</v>
      </c>
      <c r="I768" s="69">
        <v>44363.6021412037</v>
      </c>
      <c r="J768" s="69">
        <v>44363.603055555555</v>
      </c>
      <c r="K768">
        <f>AVERAGE(H767:H771)</f>
        <v>109.1475015</v>
      </c>
      <c r="L768">
        <f>STDEV(H767:H771)</f>
        <v>100.8733608</v>
      </c>
      <c r="M768" s="70">
        <v>212.65209107727</v>
      </c>
      <c r="N768" s="70">
        <v>212.65209107727</v>
      </c>
      <c r="O768" s="70">
        <v>8.07720243988608</v>
      </c>
      <c r="P768" s="70">
        <v>8.07720243988608</v>
      </c>
    </row>
    <row r="769" hidden="1">
      <c r="A769" s="67" t="s">
        <v>1529</v>
      </c>
      <c r="B769" s="67" t="s">
        <v>519</v>
      </c>
      <c r="C769" s="68">
        <v>0.75</v>
      </c>
      <c r="D769" s="68">
        <v>0.75</v>
      </c>
      <c r="E769" s="68">
        <v>10.0</v>
      </c>
      <c r="F769" s="68">
        <v>2.0</v>
      </c>
      <c r="G769" s="68">
        <v>5.657545396448</v>
      </c>
      <c r="H769" s="68">
        <v>171.654485437025</v>
      </c>
      <c r="I769" s="69">
        <v>44363.60375</v>
      </c>
      <c r="J769" s="69">
        <v>44363.60400462963</v>
      </c>
      <c r="K769">
        <f>AVERAGE(H767:H771)</f>
        <v>109.1475015</v>
      </c>
      <c r="L769">
        <f>STDEV(H767:H771)</f>
        <v>100.8733608</v>
      </c>
      <c r="M769" s="70">
        <v>171.654485437025</v>
      </c>
      <c r="N769" s="70">
        <v>171.654485437025</v>
      </c>
      <c r="O769" s="70">
        <v>5.657545396448</v>
      </c>
      <c r="P769" s="70">
        <v>5.657545396448</v>
      </c>
    </row>
    <row r="770" hidden="1">
      <c r="A770" s="67" t="s">
        <v>1530</v>
      </c>
      <c r="B770" s="67" t="s">
        <v>519</v>
      </c>
      <c r="C770" s="68">
        <v>0.75</v>
      </c>
      <c r="D770" s="68">
        <v>0.75</v>
      </c>
      <c r="E770" s="68">
        <v>10.0</v>
      </c>
      <c r="F770" s="68">
        <v>3.0</v>
      </c>
      <c r="G770" s="68">
        <v>0.505451040792839</v>
      </c>
      <c r="H770" s="68">
        <v>0.662369091944094</v>
      </c>
      <c r="I770" s="69">
        <v>44363.60469907407</v>
      </c>
      <c r="J770" s="69">
        <v>44363.60481481482</v>
      </c>
      <c r="K770">
        <f>AVERAGE(H767:H771)</f>
        <v>109.1475015</v>
      </c>
      <c r="L770">
        <f>STDEV(H767:H771)</f>
        <v>100.8733608</v>
      </c>
      <c r="M770" s="70">
        <v>0.662369091944094</v>
      </c>
      <c r="N770" s="70">
        <v>0.662369091944094</v>
      </c>
      <c r="O770" s="70">
        <v>0.505451040792839</v>
      </c>
      <c r="P770" s="70">
        <v>0.505451040792839</v>
      </c>
    </row>
    <row r="771" hidden="1">
      <c r="A771" s="67" t="s">
        <v>1531</v>
      </c>
      <c r="B771" s="67" t="s">
        <v>519</v>
      </c>
      <c r="C771" s="68">
        <v>0.75</v>
      </c>
      <c r="D771" s="68">
        <v>0.75</v>
      </c>
      <c r="E771" s="68">
        <v>10.0</v>
      </c>
      <c r="F771" s="68">
        <v>4.0</v>
      </c>
      <c r="G771" s="68">
        <v>0.620563752896341</v>
      </c>
      <c r="H771" s="68">
        <v>0.830063895500452</v>
      </c>
      <c r="I771" s="69">
        <v>44363.60550925926</v>
      </c>
      <c r="J771" s="69">
        <v>44363.60665509259</v>
      </c>
      <c r="K771">
        <f>AVERAGE(H767:H771)</f>
        <v>109.1475015</v>
      </c>
      <c r="L771">
        <f>STDEV(H767:H771)</f>
        <v>100.8733608</v>
      </c>
      <c r="M771" s="70">
        <v>0.830063895500452</v>
      </c>
      <c r="N771" s="70">
        <v>0.830063895500452</v>
      </c>
      <c r="O771" s="70">
        <v>0.620563752896341</v>
      </c>
      <c r="P771" s="70">
        <v>0.620563752896341</v>
      </c>
    </row>
    <row r="772" hidden="1">
      <c r="A772" s="67" t="s">
        <v>1532</v>
      </c>
      <c r="B772" s="67" t="s">
        <v>519</v>
      </c>
      <c r="C772" s="68">
        <v>0.75</v>
      </c>
      <c r="D772" s="68">
        <v>1.0</v>
      </c>
      <c r="E772" s="68">
        <v>10.0</v>
      </c>
      <c r="F772" s="68">
        <v>0.0</v>
      </c>
      <c r="G772" s="68">
        <v>0.434269144776912</v>
      </c>
      <c r="H772" s="68">
        <v>0.517953783045733</v>
      </c>
      <c r="I772" s="69">
        <v>44363.60734953704</v>
      </c>
      <c r="J772" s="69">
        <v>44363.607523148145</v>
      </c>
      <c r="K772">
        <f>AVERAGE(H772:H776)</f>
        <v>111.1115943</v>
      </c>
      <c r="L772">
        <f>STDEV(H772:H776)</f>
        <v>102.9644659</v>
      </c>
      <c r="M772" s="70">
        <v>0.517953783045733</v>
      </c>
      <c r="N772" s="70">
        <v>0.517953783045733</v>
      </c>
      <c r="O772" s="70">
        <v>0.434269144776912</v>
      </c>
      <c r="P772" s="70">
        <v>0.434269144776912</v>
      </c>
    </row>
    <row r="773" hidden="1">
      <c r="A773" s="67" t="s">
        <v>1533</v>
      </c>
      <c r="B773" s="67" t="s">
        <v>519</v>
      </c>
      <c r="C773" s="68">
        <v>0.75</v>
      </c>
      <c r="D773" s="68">
        <v>1.0</v>
      </c>
      <c r="E773" s="68">
        <v>10.0</v>
      </c>
      <c r="F773" s="68">
        <v>1.0</v>
      </c>
      <c r="G773" s="68">
        <v>3.33541401891722</v>
      </c>
      <c r="H773" s="68">
        <v>163.146005913525</v>
      </c>
      <c r="I773" s="69">
        <v>44363.60821759259</v>
      </c>
      <c r="J773" s="69">
        <v>44363.76866898148</v>
      </c>
      <c r="K773">
        <f>AVERAGE(H772:H776)</f>
        <v>111.1115943</v>
      </c>
      <c r="L773">
        <f>STDEV(H772:H776)</f>
        <v>102.9644659</v>
      </c>
      <c r="M773" s="70">
        <v>163.146005913525</v>
      </c>
      <c r="N773" s="70">
        <v>163.146005913525</v>
      </c>
      <c r="O773" s="70">
        <v>3.33541401891722</v>
      </c>
      <c r="P773" s="70">
        <v>3.33541401891722</v>
      </c>
    </row>
    <row r="774" hidden="1">
      <c r="A774" s="67" t="s">
        <v>1534</v>
      </c>
      <c r="B774" s="67" t="s">
        <v>519</v>
      </c>
      <c r="C774" s="68">
        <v>0.75</v>
      </c>
      <c r="D774" s="68">
        <v>1.0</v>
      </c>
      <c r="E774" s="68">
        <v>10.0</v>
      </c>
      <c r="F774" s="68">
        <v>2.0</v>
      </c>
      <c r="G774" s="68">
        <v>5.5665458571332</v>
      </c>
      <c r="H774" s="68">
        <v>172.186654205307</v>
      </c>
      <c r="I774" s="69">
        <v>44363.76936342593</v>
      </c>
      <c r="J774" s="69">
        <v>44363.76961805556</v>
      </c>
      <c r="K774">
        <f>AVERAGE(H772:H776)</f>
        <v>111.1115943</v>
      </c>
      <c r="L774">
        <f>STDEV(H772:H776)</f>
        <v>102.9644659</v>
      </c>
      <c r="M774" s="70">
        <v>172.186654205307</v>
      </c>
      <c r="N774" s="70">
        <v>172.186654205307</v>
      </c>
      <c r="O774" s="70">
        <v>5.5665458571332</v>
      </c>
      <c r="P774" s="70">
        <v>5.5665458571332</v>
      </c>
    </row>
    <row r="775" hidden="1">
      <c r="A775" s="67" t="s">
        <v>1535</v>
      </c>
      <c r="B775" s="67" t="s">
        <v>519</v>
      </c>
      <c r="C775" s="68">
        <v>0.75</v>
      </c>
      <c r="D775" s="68">
        <v>1.0</v>
      </c>
      <c r="E775" s="68">
        <v>10.0</v>
      </c>
      <c r="F775" s="68">
        <v>3.0</v>
      </c>
      <c r="G775" s="68">
        <v>0.696332658760867</v>
      </c>
      <c r="H775" s="68">
        <v>0.915935142035601</v>
      </c>
      <c r="I775" s="69">
        <v>44363.7703125</v>
      </c>
      <c r="J775" s="69">
        <v>44363.77072916667</v>
      </c>
      <c r="K775">
        <f>AVERAGE(H772:H776)</f>
        <v>111.1115943</v>
      </c>
      <c r="L775">
        <f>STDEV(H772:H776)</f>
        <v>102.9644659</v>
      </c>
      <c r="M775" s="70">
        <v>0.915935142035601</v>
      </c>
      <c r="N775" s="70">
        <v>0.915935142035601</v>
      </c>
      <c r="O775" s="70">
        <v>0.696332658760867</v>
      </c>
      <c r="P775" s="70">
        <v>0.696332658760867</v>
      </c>
    </row>
    <row r="776" hidden="1">
      <c r="A776" s="67" t="s">
        <v>1536</v>
      </c>
      <c r="B776" s="67" t="s">
        <v>519</v>
      </c>
      <c r="C776" s="68">
        <v>0.75</v>
      </c>
      <c r="D776" s="68">
        <v>1.0</v>
      </c>
      <c r="E776" s="68">
        <v>10.0</v>
      </c>
      <c r="F776" s="68">
        <v>4.0</v>
      </c>
      <c r="G776" s="68">
        <v>9.17672354867105</v>
      </c>
      <c r="H776" s="68">
        <v>218.79142230488</v>
      </c>
      <c r="I776" s="69">
        <v>44363.77142361111</v>
      </c>
      <c r="J776" s="69">
        <v>44363.77159722222</v>
      </c>
      <c r="K776">
        <f>AVERAGE(H772:H776)</f>
        <v>111.1115943</v>
      </c>
      <c r="L776">
        <f>STDEV(H772:H776)</f>
        <v>102.9644659</v>
      </c>
      <c r="M776" s="70">
        <v>218.79142230488</v>
      </c>
      <c r="N776" s="70">
        <v>218.79142230488</v>
      </c>
      <c r="O776" s="70">
        <v>9.17672354867105</v>
      </c>
      <c r="P776" s="70">
        <v>9.17672354867105</v>
      </c>
    </row>
    <row r="777" hidden="1">
      <c r="A777" s="67" t="s">
        <v>1537</v>
      </c>
      <c r="B777" s="67" t="s">
        <v>519</v>
      </c>
      <c r="C777" s="68">
        <v>1.0</v>
      </c>
      <c r="D777" s="68">
        <v>0.1</v>
      </c>
      <c r="E777" s="68">
        <v>10.0</v>
      </c>
      <c r="F777" s="68">
        <v>0.0</v>
      </c>
      <c r="G777" s="68">
        <v>5.36472923522162</v>
      </c>
      <c r="H777" s="68">
        <v>200.339644140835</v>
      </c>
      <c r="I777" s="69">
        <v>44363.77229166667</v>
      </c>
      <c r="J777" s="69">
        <v>44363.77261574074</v>
      </c>
      <c r="K777">
        <f>AVERAGE(H777:H781)</f>
        <v>108.2893362</v>
      </c>
      <c r="L777">
        <f>STDEV(H777:H781)</f>
        <v>90.20255412</v>
      </c>
      <c r="M777" s="70">
        <v>200.339644140835</v>
      </c>
      <c r="N777" s="70">
        <v>200.339644140835</v>
      </c>
      <c r="O777" s="70">
        <v>5.36472923522162</v>
      </c>
      <c r="P777" s="70">
        <v>5.36472923522162</v>
      </c>
    </row>
    <row r="778" hidden="1">
      <c r="A778" s="67" t="s">
        <v>1538</v>
      </c>
      <c r="B778" s="67" t="s">
        <v>519</v>
      </c>
      <c r="C778" s="68">
        <v>1.0</v>
      </c>
      <c r="D778" s="68">
        <v>0.1</v>
      </c>
      <c r="E778" s="68">
        <v>10.0</v>
      </c>
      <c r="F778" s="68">
        <v>1.0</v>
      </c>
      <c r="G778" s="68">
        <v>1.46294766308463</v>
      </c>
      <c r="H778" s="68">
        <v>23.6624628176662</v>
      </c>
      <c r="I778" s="69">
        <v>44363.773310185185</v>
      </c>
      <c r="J778" s="69">
        <v>44363.774201388886</v>
      </c>
      <c r="K778">
        <f>AVERAGE(H777:H781)</f>
        <v>108.2893362</v>
      </c>
      <c r="L778">
        <f>STDEV(H777:H781)</f>
        <v>90.20255412</v>
      </c>
      <c r="M778" s="70">
        <v>23.6624628176662</v>
      </c>
      <c r="N778" s="70">
        <v>23.6624628176662</v>
      </c>
      <c r="O778" s="70">
        <v>1.46294766308463</v>
      </c>
      <c r="P778" s="70">
        <v>1.46294766308463</v>
      </c>
    </row>
    <row r="779" hidden="1">
      <c r="A779" s="67" t="s">
        <v>1539</v>
      </c>
      <c r="B779" s="67" t="s">
        <v>519</v>
      </c>
      <c r="C779" s="68">
        <v>1.0</v>
      </c>
      <c r="D779" s="68">
        <v>0.1</v>
      </c>
      <c r="E779" s="68">
        <v>10.0</v>
      </c>
      <c r="F779" s="68">
        <v>2.0</v>
      </c>
      <c r="G779" s="68">
        <v>0.397432755899369</v>
      </c>
      <c r="H779" s="68">
        <v>0.500610659693787</v>
      </c>
      <c r="I779" s="69">
        <v>44363.77489583333</v>
      </c>
      <c r="J779" s="69">
        <v>44363.77506944445</v>
      </c>
      <c r="K779">
        <f>AVERAGE(H777:H781)</f>
        <v>108.2893362</v>
      </c>
      <c r="L779">
        <f>STDEV(H777:H781)</f>
        <v>90.20255412</v>
      </c>
      <c r="M779" s="70">
        <v>0.500610659693787</v>
      </c>
      <c r="N779" s="70">
        <v>0.500610659693787</v>
      </c>
      <c r="O779" s="70">
        <v>0.397432755899369</v>
      </c>
      <c r="P779" s="70">
        <v>0.397432755899369</v>
      </c>
    </row>
    <row r="780" hidden="1">
      <c r="A780" s="67" t="s">
        <v>1540</v>
      </c>
      <c r="B780" s="67" t="s">
        <v>519</v>
      </c>
      <c r="C780" s="68">
        <v>1.0</v>
      </c>
      <c r="D780" s="68">
        <v>0.1</v>
      </c>
      <c r="E780" s="68">
        <v>10.0</v>
      </c>
      <c r="F780" s="68">
        <v>3.0</v>
      </c>
      <c r="G780" s="68">
        <v>4.12601942227182</v>
      </c>
      <c r="H780" s="68">
        <v>169.786375418012</v>
      </c>
      <c r="I780" s="69">
        <v>44363.77576388889</v>
      </c>
      <c r="J780" s="69">
        <v>44363.78979166667</v>
      </c>
      <c r="K780">
        <f>AVERAGE(H777:H781)</f>
        <v>108.2893362</v>
      </c>
      <c r="L780">
        <f>STDEV(H777:H781)</f>
        <v>90.20255412</v>
      </c>
      <c r="M780" s="70">
        <v>169.786375418012</v>
      </c>
      <c r="N780" s="70">
        <v>169.786375418012</v>
      </c>
      <c r="O780" s="70">
        <v>4.12601942227182</v>
      </c>
      <c r="P780" s="70">
        <v>4.12601942227182</v>
      </c>
    </row>
    <row r="781" hidden="1">
      <c r="A781" s="67" t="s">
        <v>1541</v>
      </c>
      <c r="B781" s="67" t="s">
        <v>519</v>
      </c>
      <c r="C781" s="68">
        <v>1.0</v>
      </c>
      <c r="D781" s="68">
        <v>0.1</v>
      </c>
      <c r="E781" s="68">
        <v>10.0</v>
      </c>
      <c r="F781" s="68">
        <v>4.0</v>
      </c>
      <c r="G781" s="68">
        <v>3.04289658770556</v>
      </c>
      <c r="H781" s="68">
        <v>147.157588100989</v>
      </c>
      <c r="I781" s="69">
        <v>44363.79048611111</v>
      </c>
      <c r="J781" s="69">
        <v>44363.8768287037</v>
      </c>
      <c r="K781">
        <f>AVERAGE(H777:H781)</f>
        <v>108.2893362</v>
      </c>
      <c r="L781">
        <f>STDEV(H777:H781)</f>
        <v>90.20255412</v>
      </c>
      <c r="M781" s="70">
        <v>147.157588100989</v>
      </c>
      <c r="N781" s="70">
        <v>147.157588100989</v>
      </c>
      <c r="O781" s="70">
        <v>3.04289658770556</v>
      </c>
      <c r="P781" s="70">
        <v>3.04289658770556</v>
      </c>
    </row>
    <row r="782" hidden="1">
      <c r="A782" s="67" t="s">
        <v>1542</v>
      </c>
      <c r="B782" s="67" t="s">
        <v>519</v>
      </c>
      <c r="C782" s="68">
        <v>1.0</v>
      </c>
      <c r="D782" s="68">
        <v>0.25</v>
      </c>
      <c r="E782" s="68">
        <v>10.0</v>
      </c>
      <c r="F782" s="68">
        <v>0.0</v>
      </c>
      <c r="G782" s="68">
        <v>5.0067586359085</v>
      </c>
      <c r="H782" s="68">
        <v>171.298036761986</v>
      </c>
      <c r="I782" s="69">
        <v>44363.87752314815</v>
      </c>
      <c r="J782" s="69">
        <v>44363.87769675926</v>
      </c>
      <c r="K782">
        <f>AVERAGE(H782:H786)</f>
        <v>161.0801916</v>
      </c>
      <c r="L782">
        <f>STDEV(H782:H786)</f>
        <v>99.78743018</v>
      </c>
      <c r="M782" s="70">
        <v>171.298036761986</v>
      </c>
      <c r="N782" s="70">
        <v>171.298036761986</v>
      </c>
      <c r="O782" s="70">
        <v>5.0067586359085</v>
      </c>
      <c r="P782" s="70">
        <v>5.0067586359085</v>
      </c>
    </row>
    <row r="783" hidden="1">
      <c r="A783" s="67" t="s">
        <v>1543</v>
      </c>
      <c r="B783" s="67" t="s">
        <v>519</v>
      </c>
      <c r="C783" s="68">
        <v>1.0</v>
      </c>
      <c r="D783" s="68">
        <v>0.25</v>
      </c>
      <c r="E783" s="68">
        <v>10.0</v>
      </c>
      <c r="F783" s="68">
        <v>1.0</v>
      </c>
      <c r="G783" s="68">
        <v>2.49880615875639</v>
      </c>
      <c r="H783" s="68">
        <v>144.232742202761</v>
      </c>
      <c r="I783" s="69">
        <v>44363.8783912037</v>
      </c>
      <c r="J783" s="69">
        <v>44364.02079861111</v>
      </c>
      <c r="K783">
        <f>AVERAGE(H782:H786)</f>
        <v>161.0801916</v>
      </c>
      <c r="L783">
        <f>STDEV(H782:H786)</f>
        <v>99.78743018</v>
      </c>
      <c r="M783" s="70">
        <v>144.232742202761</v>
      </c>
      <c r="N783" s="70">
        <v>144.232742202761</v>
      </c>
      <c r="O783" s="70">
        <v>2.49880615875639</v>
      </c>
      <c r="P783" s="70">
        <v>2.49880615875639</v>
      </c>
    </row>
    <row r="784" hidden="1">
      <c r="A784" s="67" t="s">
        <v>1544</v>
      </c>
      <c r="B784" s="67" t="s">
        <v>519</v>
      </c>
      <c r="C784" s="68">
        <v>1.0</v>
      </c>
      <c r="D784" s="68">
        <v>0.25</v>
      </c>
      <c r="E784" s="68">
        <v>10.0</v>
      </c>
      <c r="F784" s="68">
        <v>2.0</v>
      </c>
      <c r="G784" s="68">
        <v>2.31399089044691</v>
      </c>
      <c r="H784" s="68">
        <v>3.63015760803822</v>
      </c>
      <c r="I784" s="69">
        <v>44364.02149305555</v>
      </c>
      <c r="J784" s="69">
        <v>44364.021527777775</v>
      </c>
      <c r="K784">
        <f>AVERAGE(H782:H786)</f>
        <v>161.0801916</v>
      </c>
      <c r="L784">
        <f>STDEV(H782:H786)</f>
        <v>99.78743018</v>
      </c>
      <c r="M784" s="70">
        <v>3.63015760803822</v>
      </c>
      <c r="N784" s="70">
        <v>3.63015760803822</v>
      </c>
      <c r="O784" s="70">
        <v>2.31399089044691</v>
      </c>
      <c r="P784" s="70">
        <v>2.31399089044691</v>
      </c>
    </row>
    <row r="785" hidden="1">
      <c r="A785" s="67" t="s">
        <v>1545</v>
      </c>
      <c r="B785" s="67" t="s">
        <v>519</v>
      </c>
      <c r="C785" s="68">
        <v>1.0</v>
      </c>
      <c r="D785" s="68">
        <v>0.25</v>
      </c>
      <c r="E785" s="68">
        <v>10.0</v>
      </c>
      <c r="F785" s="68">
        <v>3.0</v>
      </c>
      <c r="G785" s="68">
        <v>9.80245166516289</v>
      </c>
      <c r="H785" s="68">
        <v>267.515778175538</v>
      </c>
      <c r="I785" s="69">
        <v>44364.02222222222</v>
      </c>
      <c r="J785" s="69">
        <v>44364.0234837963</v>
      </c>
      <c r="K785">
        <f>AVERAGE(H782:H786)</f>
        <v>161.0801916</v>
      </c>
      <c r="L785">
        <f>STDEV(H782:H786)</f>
        <v>99.78743018</v>
      </c>
      <c r="M785" s="70">
        <v>267.515778175538</v>
      </c>
      <c r="N785" s="70">
        <v>267.515778175538</v>
      </c>
      <c r="O785" s="70">
        <v>9.80245166516289</v>
      </c>
      <c r="P785" s="70">
        <v>9.80245166516289</v>
      </c>
    </row>
    <row r="786" hidden="1">
      <c r="A786" s="67" t="s">
        <v>1546</v>
      </c>
      <c r="B786" s="67" t="s">
        <v>519</v>
      </c>
      <c r="C786" s="68">
        <v>1.0</v>
      </c>
      <c r="D786" s="68">
        <v>0.25</v>
      </c>
      <c r="E786" s="68">
        <v>10.0</v>
      </c>
      <c r="F786" s="68">
        <v>4.0</v>
      </c>
      <c r="G786" s="68">
        <v>9.16641391325241</v>
      </c>
      <c r="H786" s="68">
        <v>218.724243168409</v>
      </c>
      <c r="I786" s="69">
        <v>44364.02417824074</v>
      </c>
      <c r="J786" s="69">
        <v>44364.024305555555</v>
      </c>
      <c r="K786">
        <f>AVERAGE(H782:H786)</f>
        <v>161.0801916</v>
      </c>
      <c r="L786">
        <f>STDEV(H782:H786)</f>
        <v>99.78743018</v>
      </c>
      <c r="M786" s="70">
        <v>218.724243168409</v>
      </c>
      <c r="N786" s="70">
        <v>218.724243168409</v>
      </c>
      <c r="O786" s="70">
        <v>9.16641391325241</v>
      </c>
      <c r="P786" s="70">
        <v>9.16641391325241</v>
      </c>
    </row>
    <row r="787" hidden="1">
      <c r="A787" s="67" t="s">
        <v>1547</v>
      </c>
      <c r="B787" s="67" t="s">
        <v>519</v>
      </c>
      <c r="C787" s="68">
        <v>1.0</v>
      </c>
      <c r="D787" s="68">
        <v>0.5</v>
      </c>
      <c r="E787" s="68">
        <v>10.0</v>
      </c>
      <c r="F787" s="68">
        <v>0.0</v>
      </c>
      <c r="G787" s="68">
        <v>0.643130092843864</v>
      </c>
      <c r="H787" s="68">
        <v>0.796194662149387</v>
      </c>
      <c r="I787" s="69">
        <v>44364.02501157407</v>
      </c>
      <c r="J787" s="69">
        <v>44364.0265625</v>
      </c>
      <c r="K787">
        <f>AVERAGE(H787:H791)</f>
        <v>109.4146646</v>
      </c>
      <c r="L787">
        <f>STDEV(H787:H791)</f>
        <v>89.9880878</v>
      </c>
      <c r="M787" s="70">
        <v>0.796194662149387</v>
      </c>
      <c r="N787" s="70">
        <v>0.796194662149387</v>
      </c>
      <c r="O787" s="70">
        <v>0.643130092843864</v>
      </c>
      <c r="P787" s="70">
        <v>0.643130092843864</v>
      </c>
    </row>
    <row r="788" hidden="1">
      <c r="A788" s="67" t="s">
        <v>1548</v>
      </c>
      <c r="B788" s="67" t="s">
        <v>519</v>
      </c>
      <c r="C788" s="68">
        <v>1.0</v>
      </c>
      <c r="D788" s="68">
        <v>0.5</v>
      </c>
      <c r="E788" s="68">
        <v>10.0</v>
      </c>
      <c r="F788" s="68">
        <v>1.0</v>
      </c>
      <c r="G788" s="68">
        <v>1.46015467921143</v>
      </c>
      <c r="H788" s="68">
        <v>21.5696677664537</v>
      </c>
      <c r="I788" s="69">
        <v>44364.02725694444</v>
      </c>
      <c r="J788" s="69">
        <v>44364.02835648148</v>
      </c>
      <c r="K788">
        <f>AVERAGE(H787:H791)</f>
        <v>109.4146646</v>
      </c>
      <c r="L788">
        <f>STDEV(H787:H791)</f>
        <v>89.9880878</v>
      </c>
      <c r="M788" s="70">
        <v>21.5696677664537</v>
      </c>
      <c r="N788" s="70">
        <v>21.5696677664537</v>
      </c>
      <c r="O788" s="70">
        <v>1.46015467921143</v>
      </c>
      <c r="P788" s="70">
        <v>1.46015467921143</v>
      </c>
    </row>
    <row r="789" hidden="1">
      <c r="A789" s="67" t="s">
        <v>1549</v>
      </c>
      <c r="B789" s="67" t="s">
        <v>519</v>
      </c>
      <c r="C789" s="68">
        <v>1.0</v>
      </c>
      <c r="D789" s="68">
        <v>0.5</v>
      </c>
      <c r="E789" s="68">
        <v>10.0</v>
      </c>
      <c r="F789" s="68">
        <v>2.0</v>
      </c>
      <c r="G789" s="68">
        <v>5.88330062601813</v>
      </c>
      <c r="H789" s="68">
        <v>172.95670508169</v>
      </c>
      <c r="I789" s="69">
        <v>44364.02905092593</v>
      </c>
      <c r="J789" s="69">
        <v>44364.029398148145</v>
      </c>
      <c r="K789">
        <f>AVERAGE(H787:H791)</f>
        <v>109.4146646</v>
      </c>
      <c r="L789">
        <f>STDEV(H787:H791)</f>
        <v>89.9880878</v>
      </c>
      <c r="M789" s="70">
        <v>172.95670508169</v>
      </c>
      <c r="N789" s="70">
        <v>172.95670508169</v>
      </c>
      <c r="O789" s="70">
        <v>5.88330062601813</v>
      </c>
      <c r="P789" s="70">
        <v>5.88330062601813</v>
      </c>
    </row>
    <row r="790" hidden="1">
      <c r="A790" s="67" t="s">
        <v>1550</v>
      </c>
      <c r="B790" s="67" t="s">
        <v>519</v>
      </c>
      <c r="C790" s="68">
        <v>1.0</v>
      </c>
      <c r="D790" s="68">
        <v>0.5</v>
      </c>
      <c r="E790" s="68">
        <v>10.0</v>
      </c>
      <c r="F790" s="68">
        <v>3.0</v>
      </c>
      <c r="G790" s="68">
        <v>5.71661281720678</v>
      </c>
      <c r="H790" s="68">
        <v>177.466697807871</v>
      </c>
      <c r="I790" s="69">
        <v>44364.03009259259</v>
      </c>
      <c r="J790" s="69">
        <v>44364.03028935185</v>
      </c>
      <c r="K790">
        <f>AVERAGE(H787:H791)</f>
        <v>109.4146646</v>
      </c>
      <c r="L790">
        <f>STDEV(H787:H791)</f>
        <v>89.9880878</v>
      </c>
      <c r="M790" s="70">
        <v>177.466697807871</v>
      </c>
      <c r="N790" s="70">
        <v>177.466697807871</v>
      </c>
      <c r="O790" s="70">
        <v>5.71661281720678</v>
      </c>
      <c r="P790" s="70">
        <v>5.71661281720678</v>
      </c>
    </row>
    <row r="791" hidden="1">
      <c r="A791" s="67" t="s">
        <v>1551</v>
      </c>
      <c r="B791" s="67" t="s">
        <v>519</v>
      </c>
      <c r="C791" s="68">
        <v>1.0</v>
      </c>
      <c r="D791" s="68">
        <v>0.5</v>
      </c>
      <c r="E791" s="68">
        <v>10.0</v>
      </c>
      <c r="F791" s="68">
        <v>4.0</v>
      </c>
      <c r="G791" s="68">
        <v>3.6904753811725</v>
      </c>
      <c r="H791" s="68">
        <v>174.28405774899</v>
      </c>
      <c r="I791" s="69">
        <v>44364.0309837963</v>
      </c>
      <c r="J791" s="69">
        <v>44364.13688657407</v>
      </c>
      <c r="K791">
        <f>AVERAGE(H787:H791)</f>
        <v>109.4146646</v>
      </c>
      <c r="L791">
        <f>STDEV(H787:H791)</f>
        <v>89.9880878</v>
      </c>
      <c r="M791" s="70">
        <v>174.28405774899</v>
      </c>
      <c r="N791" s="70">
        <v>174.28405774899</v>
      </c>
      <c r="O791" s="70">
        <v>3.6904753811725</v>
      </c>
      <c r="P791" s="70">
        <v>3.6904753811725</v>
      </c>
    </row>
    <row r="792" hidden="1">
      <c r="A792" s="67" t="s">
        <v>1552</v>
      </c>
      <c r="B792" s="67" t="s">
        <v>519</v>
      </c>
      <c r="C792" s="68">
        <v>1.0</v>
      </c>
      <c r="D792" s="68">
        <v>0.75</v>
      </c>
      <c r="E792" s="68">
        <v>10.0</v>
      </c>
      <c r="F792" s="68">
        <v>0.0</v>
      </c>
      <c r="G792" s="68">
        <v>9.21932034230642</v>
      </c>
      <c r="H792" s="68">
        <v>219.367254959376</v>
      </c>
      <c r="I792" s="69">
        <v>44364.13758101852</v>
      </c>
      <c r="J792" s="69">
        <v>44364.13774305556</v>
      </c>
      <c r="K792">
        <f>AVERAGE(H792:H796)</f>
        <v>196.1191959</v>
      </c>
      <c r="L792">
        <f>STDEV(H792:H796)</f>
        <v>64.4111548</v>
      </c>
      <c r="M792" s="70">
        <v>219.367254959376</v>
      </c>
      <c r="N792" s="70">
        <v>219.367254959376</v>
      </c>
      <c r="O792" s="70">
        <v>9.21932034230642</v>
      </c>
      <c r="P792" s="70">
        <v>9.21932034230642</v>
      </c>
    </row>
    <row r="793" hidden="1">
      <c r="A793" s="67" t="s">
        <v>1553</v>
      </c>
      <c r="B793" s="67" t="s">
        <v>519</v>
      </c>
      <c r="C793" s="68">
        <v>1.0</v>
      </c>
      <c r="D793" s="68">
        <v>0.75</v>
      </c>
      <c r="E793" s="68">
        <v>10.0</v>
      </c>
      <c r="F793" s="68">
        <v>1.0</v>
      </c>
      <c r="G793" s="68">
        <v>4.42595830501772</v>
      </c>
      <c r="H793" s="68">
        <v>165.320701575189</v>
      </c>
      <c r="I793" s="69">
        <v>44364.1384375</v>
      </c>
      <c r="J793" s="69">
        <v>44364.13854166667</v>
      </c>
      <c r="K793">
        <f>AVERAGE(H792:H796)</f>
        <v>196.1191959</v>
      </c>
      <c r="L793">
        <f>STDEV(H792:H796)</f>
        <v>64.4111548</v>
      </c>
      <c r="M793" s="70">
        <v>165.320701575189</v>
      </c>
      <c r="N793" s="70">
        <v>165.320701575189</v>
      </c>
      <c r="O793" s="70">
        <v>4.42595830501772</v>
      </c>
      <c r="P793" s="70">
        <v>4.42595830501772</v>
      </c>
    </row>
    <row r="794" hidden="1">
      <c r="A794" s="67" t="s">
        <v>1554</v>
      </c>
      <c r="B794" s="67" t="s">
        <v>519</v>
      </c>
      <c r="C794" s="68">
        <v>1.0</v>
      </c>
      <c r="D794" s="68">
        <v>0.75</v>
      </c>
      <c r="E794" s="68">
        <v>10.0</v>
      </c>
      <c r="F794" s="68">
        <v>2.0</v>
      </c>
      <c r="G794" s="68">
        <v>2.43527339883577</v>
      </c>
      <c r="H794" s="68">
        <v>127.787579713128</v>
      </c>
      <c r="I794" s="69">
        <v>44364.139236111114</v>
      </c>
      <c r="J794" s="69">
        <v>44364.28138888889</v>
      </c>
      <c r="K794">
        <f>AVERAGE(H792:H796)</f>
        <v>196.1191959</v>
      </c>
      <c r="L794">
        <f>STDEV(H792:H796)</f>
        <v>64.4111548</v>
      </c>
      <c r="M794" s="70">
        <v>127.787579713128</v>
      </c>
      <c r="N794" s="70">
        <v>127.787579713128</v>
      </c>
      <c r="O794" s="70">
        <v>2.43527339883577</v>
      </c>
      <c r="P794" s="70">
        <v>2.43527339883577</v>
      </c>
    </row>
    <row r="795" hidden="1">
      <c r="A795" s="67" t="s">
        <v>1555</v>
      </c>
      <c r="B795" s="67" t="s">
        <v>519</v>
      </c>
      <c r="C795" s="68">
        <v>1.0</v>
      </c>
      <c r="D795" s="68">
        <v>0.75</v>
      </c>
      <c r="E795" s="68">
        <v>10.0</v>
      </c>
      <c r="F795" s="68">
        <v>3.0</v>
      </c>
      <c r="G795" s="68">
        <v>8.53051984228624</v>
      </c>
      <c r="H795" s="68">
        <v>295.533448752992</v>
      </c>
      <c r="I795" s="69">
        <v>44364.28208333333</v>
      </c>
      <c r="J795" s="69">
        <v>44364.2843287037</v>
      </c>
      <c r="K795">
        <f>AVERAGE(H792:H796)</f>
        <v>196.1191959</v>
      </c>
      <c r="L795">
        <f>STDEV(H792:H796)</f>
        <v>64.4111548</v>
      </c>
      <c r="M795" s="70">
        <v>295.533448752992</v>
      </c>
      <c r="N795" s="70">
        <v>295.533448752992</v>
      </c>
      <c r="O795" s="70">
        <v>8.53051984228624</v>
      </c>
      <c r="P795" s="70">
        <v>8.53051984228624</v>
      </c>
    </row>
    <row r="796" hidden="1">
      <c r="A796" s="67" t="s">
        <v>1556</v>
      </c>
      <c r="B796" s="67" t="s">
        <v>519</v>
      </c>
      <c r="C796" s="68">
        <v>1.0</v>
      </c>
      <c r="D796" s="68">
        <v>0.75</v>
      </c>
      <c r="E796" s="68">
        <v>10.0</v>
      </c>
      <c r="F796" s="68">
        <v>4.0</v>
      </c>
      <c r="G796" s="68">
        <v>6.30120925547249</v>
      </c>
      <c r="H796" s="68">
        <v>172.586994366831</v>
      </c>
      <c r="I796" s="69">
        <v>44364.28502314815</v>
      </c>
      <c r="J796" s="69">
        <v>44364.285104166665</v>
      </c>
      <c r="K796">
        <f>AVERAGE(H792:H796)</f>
        <v>196.1191959</v>
      </c>
      <c r="L796">
        <f>STDEV(H792:H796)</f>
        <v>64.4111548</v>
      </c>
      <c r="M796" s="70">
        <v>172.586994366831</v>
      </c>
      <c r="N796" s="70">
        <v>172.586994366831</v>
      </c>
      <c r="O796" s="70">
        <v>6.30120925547249</v>
      </c>
      <c r="P796" s="70">
        <v>6.30120925547249</v>
      </c>
    </row>
    <row r="797" hidden="1">
      <c r="A797" s="67" t="s">
        <v>1557</v>
      </c>
      <c r="B797" s="67" t="s">
        <v>519</v>
      </c>
      <c r="C797" s="68">
        <v>1.0</v>
      </c>
      <c r="D797" s="68">
        <v>1.0</v>
      </c>
      <c r="E797" s="68">
        <v>10.0</v>
      </c>
      <c r="F797" s="68">
        <v>0.0</v>
      </c>
      <c r="G797" s="68">
        <v>3.11119334689862</v>
      </c>
      <c r="H797" s="68">
        <v>156.225984846106</v>
      </c>
      <c r="I797" s="69">
        <v>44364.28579861111</v>
      </c>
      <c r="J797" s="69">
        <v>44364.47840277778</v>
      </c>
      <c r="K797">
        <f>AVERAGE(H797:H801)</f>
        <v>118.249381</v>
      </c>
      <c r="L797">
        <f>STDEV(H797:H801)</f>
        <v>104.864674</v>
      </c>
      <c r="M797" s="70">
        <v>156.225984846106</v>
      </c>
      <c r="N797" s="70">
        <v>156.225984846106</v>
      </c>
      <c r="O797" s="70">
        <v>3.11119334689862</v>
      </c>
      <c r="P797" s="70">
        <v>3.11119334689862</v>
      </c>
    </row>
    <row r="798" hidden="1">
      <c r="A798" s="67" t="s">
        <v>1558</v>
      </c>
      <c r="B798" s="67" t="s">
        <v>519</v>
      </c>
      <c r="C798" s="68">
        <v>1.0</v>
      </c>
      <c r="D798" s="68">
        <v>1.0</v>
      </c>
      <c r="E798" s="68">
        <v>10.0</v>
      </c>
      <c r="F798" s="68">
        <v>1.0</v>
      </c>
      <c r="G798" s="68">
        <v>0.851530955718844</v>
      </c>
      <c r="H798" s="68">
        <v>1.8150964898419</v>
      </c>
      <c r="I798" s="69">
        <v>44364.479097222225</v>
      </c>
      <c r="J798" s="69">
        <v>44364.47913194444</v>
      </c>
      <c r="K798">
        <f>AVERAGE(H797:H801)</f>
        <v>118.249381</v>
      </c>
      <c r="L798">
        <f>STDEV(H797:H801)</f>
        <v>104.864674</v>
      </c>
      <c r="M798" s="70">
        <v>1.8150964898419</v>
      </c>
      <c r="N798" s="70">
        <v>1.8150964898419</v>
      </c>
      <c r="O798" s="70">
        <v>0.851530955718844</v>
      </c>
      <c r="P798" s="70">
        <v>0.851530955718844</v>
      </c>
    </row>
    <row r="799" hidden="1">
      <c r="A799" s="67" t="s">
        <v>1559</v>
      </c>
      <c r="B799" s="67" t="s">
        <v>519</v>
      </c>
      <c r="C799" s="68">
        <v>1.0</v>
      </c>
      <c r="D799" s="68">
        <v>1.0</v>
      </c>
      <c r="E799" s="68">
        <v>10.0</v>
      </c>
      <c r="F799" s="68">
        <v>2.0</v>
      </c>
      <c r="G799" s="68">
        <v>3.42856410462838</v>
      </c>
      <c r="H799" s="68">
        <v>15.3019542701754</v>
      </c>
      <c r="I799" s="69">
        <v>44364.47982638889</v>
      </c>
      <c r="J799" s="69">
        <v>44364.47982638889</v>
      </c>
      <c r="K799">
        <f>AVERAGE(H797:H801)</f>
        <v>118.249381</v>
      </c>
      <c r="L799">
        <f>STDEV(H797:H801)</f>
        <v>104.864674</v>
      </c>
      <c r="M799" s="70">
        <v>15.3019542701754</v>
      </c>
      <c r="N799" s="70">
        <v>15.3019542701754</v>
      </c>
      <c r="O799" s="70">
        <v>3.42856410462838</v>
      </c>
      <c r="P799" s="70">
        <v>3.42856410462838</v>
      </c>
    </row>
    <row r="800" hidden="1">
      <c r="A800" s="67" t="s">
        <v>1560</v>
      </c>
      <c r="B800" s="67" t="s">
        <v>519</v>
      </c>
      <c r="C800" s="68">
        <v>1.0</v>
      </c>
      <c r="D800" s="68">
        <v>1.0</v>
      </c>
      <c r="E800" s="68">
        <v>10.0</v>
      </c>
      <c r="F800" s="68">
        <v>3.0</v>
      </c>
      <c r="G800" s="68">
        <v>5.61391554626621</v>
      </c>
      <c r="H800" s="68">
        <v>177.846025323925</v>
      </c>
      <c r="I800" s="69">
        <v>44364.480520833335</v>
      </c>
      <c r="J800" s="69">
        <v>44364.48074074074</v>
      </c>
      <c r="K800">
        <f>AVERAGE(H797:H801)</f>
        <v>118.249381</v>
      </c>
      <c r="L800">
        <f>STDEV(H797:H801)</f>
        <v>104.864674</v>
      </c>
      <c r="M800" s="70">
        <v>177.846025323925</v>
      </c>
      <c r="N800" s="70">
        <v>177.846025323925</v>
      </c>
      <c r="O800" s="70">
        <v>5.61391554626621</v>
      </c>
      <c r="P800" s="70">
        <v>5.61391554626621</v>
      </c>
    </row>
    <row r="801" hidden="1">
      <c r="A801" s="67" t="s">
        <v>1561</v>
      </c>
      <c r="B801" s="67" t="s">
        <v>519</v>
      </c>
      <c r="C801" s="68">
        <v>1.0</v>
      </c>
      <c r="D801" s="68">
        <v>1.0</v>
      </c>
      <c r="E801" s="68">
        <v>10.0</v>
      </c>
      <c r="F801" s="68">
        <v>4.0</v>
      </c>
      <c r="G801" s="68">
        <v>10.8647526855879</v>
      </c>
      <c r="H801" s="68">
        <v>240.057844207946</v>
      </c>
      <c r="I801" s="69">
        <v>44364.48143518518</v>
      </c>
      <c r="J801" s="69">
        <v>44364.48153935185</v>
      </c>
      <c r="K801">
        <f>AVERAGE(H797:H801)</f>
        <v>118.249381</v>
      </c>
      <c r="L801">
        <f>STDEV(H797:H801)</f>
        <v>104.864674</v>
      </c>
      <c r="M801" s="70">
        <v>240.057844207946</v>
      </c>
      <c r="N801" s="70">
        <v>240.057844207946</v>
      </c>
      <c r="O801" s="70">
        <v>10.8647526855879</v>
      </c>
      <c r="P801" s="70">
        <v>10.8647526855879</v>
      </c>
    </row>
    <row r="802" hidden="1">
      <c r="A802" s="67" t="s">
        <v>1562</v>
      </c>
      <c r="B802" s="67" t="s">
        <v>17</v>
      </c>
      <c r="C802" s="68">
        <v>0.1</v>
      </c>
      <c r="D802" s="68">
        <v>0.1</v>
      </c>
      <c r="E802" s="68">
        <v>2.0</v>
      </c>
      <c r="F802" s="68">
        <v>0.0</v>
      </c>
      <c r="G802" s="68">
        <v>7.37133907076435</v>
      </c>
      <c r="H802" s="68">
        <v>271.449739428872</v>
      </c>
      <c r="I802" s="69">
        <v>44310.54462962963</v>
      </c>
      <c r="J802" s="69">
        <v>44310.54488425926</v>
      </c>
      <c r="K802">
        <f>AVERAGE(H802:H806)</f>
        <v>143.6031821</v>
      </c>
      <c r="L802">
        <f>STDEV(H802:H806)</f>
        <v>133.4147945</v>
      </c>
      <c r="M802" s="70">
        <v>271.449739428872</v>
      </c>
      <c r="N802" s="70">
        <v>271.449739428872</v>
      </c>
      <c r="O802" s="70">
        <v>7.37133907076435</v>
      </c>
      <c r="P802" s="70">
        <v>7.37133907076435</v>
      </c>
    </row>
    <row r="803" hidden="1">
      <c r="A803" s="67" t="s">
        <v>1563</v>
      </c>
      <c r="B803" s="67" t="s">
        <v>17</v>
      </c>
      <c r="C803" s="68">
        <v>0.1</v>
      </c>
      <c r="D803" s="68">
        <v>0.1</v>
      </c>
      <c r="E803" s="68">
        <v>2.0</v>
      </c>
      <c r="F803" s="68">
        <v>1.0</v>
      </c>
      <c r="G803" s="68">
        <v>2.74203443535794</v>
      </c>
      <c r="H803" s="68">
        <v>130.339989283283</v>
      </c>
      <c r="I803" s="69">
        <v>44310.545590277776</v>
      </c>
      <c r="J803" s="69">
        <v>44310.5934375</v>
      </c>
      <c r="K803">
        <f>AVERAGE(H802:H806)</f>
        <v>143.6031821</v>
      </c>
      <c r="L803">
        <f>STDEV(H802:H806)</f>
        <v>133.4147945</v>
      </c>
      <c r="M803" s="70">
        <v>130.339989283283</v>
      </c>
      <c r="N803" s="70">
        <v>130.339989283283</v>
      </c>
      <c r="O803" s="70">
        <v>2.74203443535794</v>
      </c>
      <c r="P803" s="70">
        <v>2.74203443535794</v>
      </c>
    </row>
    <row r="804" hidden="1">
      <c r="A804" s="67" t="s">
        <v>1564</v>
      </c>
      <c r="B804" s="67" t="s">
        <v>17</v>
      </c>
      <c r="C804" s="68">
        <v>0.1</v>
      </c>
      <c r="D804" s="68">
        <v>0.1</v>
      </c>
      <c r="E804" s="68">
        <v>2.0</v>
      </c>
      <c r="F804" s="68">
        <v>2.0</v>
      </c>
      <c r="G804" s="68">
        <v>8.20521824017261</v>
      </c>
      <c r="H804" s="68">
        <v>287.914173860979</v>
      </c>
      <c r="I804" s="69">
        <v>44310.59415509259</v>
      </c>
      <c r="J804" s="69">
        <v>44310.595034722224</v>
      </c>
      <c r="K804">
        <f>AVERAGE(H802:H806)</f>
        <v>143.6031821</v>
      </c>
      <c r="L804">
        <f>STDEV(H802:H806)</f>
        <v>133.4147945</v>
      </c>
      <c r="M804" s="70">
        <v>287.914173860979</v>
      </c>
      <c r="N804" s="70">
        <v>287.914173860979</v>
      </c>
      <c r="O804" s="70">
        <v>8.20521824017261</v>
      </c>
      <c r="P804" s="70">
        <v>8.20521824017261</v>
      </c>
    </row>
    <row r="805" hidden="1">
      <c r="A805" s="67" t="s">
        <v>1565</v>
      </c>
      <c r="B805" s="67" t="s">
        <v>17</v>
      </c>
      <c r="C805" s="68">
        <v>0.1</v>
      </c>
      <c r="D805" s="68">
        <v>0.1</v>
      </c>
      <c r="E805" s="68">
        <v>2.0</v>
      </c>
      <c r="F805" s="68">
        <v>3.0</v>
      </c>
      <c r="G805" s="68">
        <v>0.845579198303273</v>
      </c>
      <c r="H805" s="68">
        <v>1.14506871556798</v>
      </c>
      <c r="I805" s="69">
        <v>44310.59575231482</v>
      </c>
      <c r="J805" s="69">
        <v>44310.59594907407</v>
      </c>
      <c r="K805">
        <f>AVERAGE(H802:H806)</f>
        <v>143.6031821</v>
      </c>
      <c r="L805">
        <f>STDEV(H802:H806)</f>
        <v>133.4147945</v>
      </c>
      <c r="M805" s="70">
        <v>1.14506871556798</v>
      </c>
      <c r="N805" s="70">
        <v>1.14506871556798</v>
      </c>
      <c r="O805" s="70">
        <v>0.845579198303273</v>
      </c>
      <c r="P805" s="70">
        <v>0.845579198303273</v>
      </c>
    </row>
    <row r="806" hidden="1">
      <c r="A806" s="67" t="s">
        <v>1566</v>
      </c>
      <c r="B806" s="67" t="s">
        <v>17</v>
      </c>
      <c r="C806" s="68">
        <v>0.1</v>
      </c>
      <c r="D806" s="68">
        <v>0.1</v>
      </c>
      <c r="E806" s="68">
        <v>2.0</v>
      </c>
      <c r="F806" s="68">
        <v>4.0</v>
      </c>
      <c r="G806" s="68">
        <v>1.644043384285</v>
      </c>
      <c r="H806" s="68">
        <v>27.166939446384</v>
      </c>
      <c r="I806" s="69">
        <v>44310.596666666665</v>
      </c>
      <c r="J806" s="69">
        <v>44310.59712962963</v>
      </c>
      <c r="K806">
        <f>AVERAGE(H802:H806)</f>
        <v>143.6031821</v>
      </c>
      <c r="L806">
        <f>STDEV(H802:H806)</f>
        <v>133.4147945</v>
      </c>
      <c r="M806" s="70">
        <v>27.166939446384</v>
      </c>
      <c r="N806" s="70">
        <v>27.166939446384</v>
      </c>
      <c r="O806" s="70">
        <v>1.644043384285</v>
      </c>
      <c r="P806" s="70">
        <v>1.644043384285</v>
      </c>
    </row>
    <row r="807" hidden="1">
      <c r="A807" s="67" t="s">
        <v>1567</v>
      </c>
      <c r="B807" s="67" t="s">
        <v>17</v>
      </c>
      <c r="C807" s="68">
        <v>0.1</v>
      </c>
      <c r="D807" s="68">
        <v>0.25</v>
      </c>
      <c r="E807" s="68">
        <v>2.0</v>
      </c>
      <c r="F807" s="68">
        <v>0.0</v>
      </c>
      <c r="G807" s="68">
        <v>2.75799724296232</v>
      </c>
      <c r="H807" s="68">
        <v>134.18121642392</v>
      </c>
      <c r="I807" s="69">
        <v>44310.59783564815</v>
      </c>
      <c r="J807" s="69">
        <v>44310.61996527778</v>
      </c>
      <c r="K807">
        <f>AVERAGE(H807:H811)</f>
        <v>193.8258322</v>
      </c>
      <c r="L807">
        <f>STDEV(H807:H811)</f>
        <v>90.89624585</v>
      </c>
      <c r="M807" s="70">
        <v>134.18121642392</v>
      </c>
      <c r="N807" s="70">
        <v>134.18121642392</v>
      </c>
      <c r="O807" s="70">
        <v>2.75799724296232</v>
      </c>
      <c r="P807" s="70">
        <v>2.75799724296232</v>
      </c>
    </row>
    <row r="808" hidden="1">
      <c r="A808" s="67" t="s">
        <v>1568</v>
      </c>
      <c r="B808" s="67" t="s">
        <v>17</v>
      </c>
      <c r="C808" s="68">
        <v>0.1</v>
      </c>
      <c r="D808" s="68">
        <v>0.25</v>
      </c>
      <c r="E808" s="68">
        <v>2.0</v>
      </c>
      <c r="F808" s="68">
        <v>1.0</v>
      </c>
      <c r="G808" s="68">
        <v>7.01265567474776</v>
      </c>
      <c r="H808" s="68">
        <v>203.707302157304</v>
      </c>
      <c r="I808" s="69">
        <v>44310.620671296296</v>
      </c>
      <c r="J808" s="69">
        <v>44310.620729166665</v>
      </c>
      <c r="K808">
        <f>AVERAGE(H807:H811)</f>
        <v>193.8258322</v>
      </c>
      <c r="L808">
        <f>STDEV(H807:H811)</f>
        <v>90.89624585</v>
      </c>
      <c r="M808" s="70">
        <v>203.707302157304</v>
      </c>
      <c r="N808" s="70">
        <v>203.707302157304</v>
      </c>
      <c r="O808" s="70">
        <v>7.01265567474776</v>
      </c>
      <c r="P808" s="70">
        <v>7.01265567474776</v>
      </c>
    </row>
    <row r="809" hidden="1">
      <c r="A809" s="67" t="s">
        <v>1569</v>
      </c>
      <c r="B809" s="67" t="s">
        <v>17</v>
      </c>
      <c r="C809" s="68">
        <v>0.1</v>
      </c>
      <c r="D809" s="68">
        <v>0.25</v>
      </c>
      <c r="E809" s="68">
        <v>2.0</v>
      </c>
      <c r="F809" s="68">
        <v>2.0</v>
      </c>
      <c r="G809" s="68">
        <v>7.3879357347271</v>
      </c>
      <c r="H809" s="68">
        <v>271.777004126744</v>
      </c>
      <c r="I809" s="69">
        <v>44310.62143518519</v>
      </c>
      <c r="J809" s="69">
        <v>44310.62170138889</v>
      </c>
      <c r="K809">
        <f>AVERAGE(H807:H811)</f>
        <v>193.8258322</v>
      </c>
      <c r="L809">
        <f>STDEV(H807:H811)</f>
        <v>90.89624585</v>
      </c>
      <c r="M809" s="70">
        <v>271.777004126744</v>
      </c>
      <c r="N809" s="70">
        <v>271.777004126744</v>
      </c>
      <c r="O809" s="70">
        <v>7.3879357347271</v>
      </c>
      <c r="P809" s="70">
        <v>7.3879357347271</v>
      </c>
    </row>
    <row r="810" hidden="1">
      <c r="A810" s="67" t="s">
        <v>1570</v>
      </c>
      <c r="B810" s="67" t="s">
        <v>17</v>
      </c>
      <c r="C810" s="68">
        <v>0.1</v>
      </c>
      <c r="D810" s="68">
        <v>0.25</v>
      </c>
      <c r="E810" s="68">
        <v>2.0</v>
      </c>
      <c r="F810" s="68">
        <v>3.0</v>
      </c>
      <c r="G810" s="68">
        <v>8.1418640817812</v>
      </c>
      <c r="H810" s="68">
        <v>286.782551988663</v>
      </c>
      <c r="I810" s="69">
        <v>44310.622407407405</v>
      </c>
      <c r="J810" s="69">
        <v>44310.6234375</v>
      </c>
      <c r="K810">
        <f>AVERAGE(H807:H811)</f>
        <v>193.8258322</v>
      </c>
      <c r="L810">
        <f>STDEV(H807:H811)</f>
        <v>90.89624585</v>
      </c>
      <c r="M810" s="70">
        <v>286.782551988663</v>
      </c>
      <c r="N810" s="70">
        <v>286.782551988663</v>
      </c>
      <c r="O810" s="70">
        <v>8.1418640817812</v>
      </c>
      <c r="P810" s="70">
        <v>8.1418640817812</v>
      </c>
    </row>
    <row r="811" hidden="1">
      <c r="A811" s="67" t="s">
        <v>1571</v>
      </c>
      <c r="B811" s="67" t="s">
        <v>17</v>
      </c>
      <c r="C811" s="68">
        <v>0.1</v>
      </c>
      <c r="D811" s="68">
        <v>0.25</v>
      </c>
      <c r="E811" s="68">
        <v>2.0</v>
      </c>
      <c r="F811" s="68">
        <v>4.0</v>
      </c>
      <c r="G811" s="68">
        <v>1.86132172207362</v>
      </c>
      <c r="H811" s="68">
        <v>72.6810863746193</v>
      </c>
      <c r="I811" s="69">
        <v>44310.62415509259</v>
      </c>
      <c r="J811" s="69">
        <v>44310.632627314815</v>
      </c>
      <c r="K811">
        <f>AVERAGE(H807:H811)</f>
        <v>193.8258322</v>
      </c>
      <c r="L811">
        <f>STDEV(H807:H811)</f>
        <v>90.89624585</v>
      </c>
      <c r="M811" s="70">
        <v>72.6810863746193</v>
      </c>
      <c r="N811" s="70">
        <v>72.6810863746193</v>
      </c>
      <c r="O811" s="70">
        <v>1.86132172207362</v>
      </c>
      <c r="P811" s="70">
        <v>1.86132172207362</v>
      </c>
    </row>
    <row r="812" hidden="1">
      <c r="A812" s="67" t="s">
        <v>1572</v>
      </c>
      <c r="B812" s="67" t="s">
        <v>17</v>
      </c>
      <c r="C812" s="68">
        <v>0.1</v>
      </c>
      <c r="D812" s="68">
        <v>0.5</v>
      </c>
      <c r="E812" s="68">
        <v>2.0</v>
      </c>
      <c r="F812" s="68">
        <v>0.0</v>
      </c>
      <c r="G812" s="68">
        <v>5.18160027636229</v>
      </c>
      <c r="H812" s="68">
        <v>212.379615283863</v>
      </c>
      <c r="I812" s="69">
        <v>44310.63333333333</v>
      </c>
      <c r="J812" s="69">
        <v>44310.66392361111</v>
      </c>
      <c r="K812">
        <f>AVERAGE(H812:H816)</f>
        <v>117.1399329</v>
      </c>
      <c r="L812">
        <f>STDEV(H812:H816)</f>
        <v>74.15701328</v>
      </c>
      <c r="M812" s="70">
        <v>212.379615283863</v>
      </c>
      <c r="N812" s="70">
        <v>212.379615283863</v>
      </c>
      <c r="O812" s="70">
        <v>5.18160027636229</v>
      </c>
      <c r="P812" s="70">
        <v>5.18160027636229</v>
      </c>
    </row>
    <row r="813" hidden="1">
      <c r="A813" s="67" t="s">
        <v>1573</v>
      </c>
      <c r="B813" s="67" t="s">
        <v>17</v>
      </c>
      <c r="C813" s="68">
        <v>0.1</v>
      </c>
      <c r="D813" s="68">
        <v>0.5</v>
      </c>
      <c r="E813" s="68">
        <v>2.0</v>
      </c>
      <c r="F813" s="68">
        <v>1.0</v>
      </c>
      <c r="G813" s="68">
        <v>4.47849753259411</v>
      </c>
      <c r="H813" s="68">
        <v>170.465372264338</v>
      </c>
      <c r="I813" s="69">
        <v>44310.66462962963</v>
      </c>
      <c r="J813" s="69">
        <v>44310.66469907408</v>
      </c>
      <c r="K813">
        <f>AVERAGE(H812:H816)</f>
        <v>117.1399329</v>
      </c>
      <c r="L813">
        <f>STDEV(H812:H816)</f>
        <v>74.15701328</v>
      </c>
      <c r="M813" s="70">
        <v>170.465372264338</v>
      </c>
      <c r="N813" s="70">
        <v>170.465372264338</v>
      </c>
      <c r="O813" s="70">
        <v>4.47849753259411</v>
      </c>
      <c r="P813" s="70">
        <v>4.47849753259411</v>
      </c>
    </row>
    <row r="814" hidden="1">
      <c r="A814" s="67" t="s">
        <v>1574</v>
      </c>
      <c r="B814" s="67" t="s">
        <v>17</v>
      </c>
      <c r="C814" s="68">
        <v>0.1</v>
      </c>
      <c r="D814" s="68">
        <v>0.5</v>
      </c>
      <c r="E814" s="68">
        <v>2.0</v>
      </c>
      <c r="F814" s="68">
        <v>2.0</v>
      </c>
      <c r="G814" s="68">
        <v>1.29319247075519</v>
      </c>
      <c r="H814" s="68">
        <v>72.8912192815947</v>
      </c>
      <c r="I814" s="69">
        <v>44310.66540509259</v>
      </c>
      <c r="J814" s="69">
        <v>44310.67628472222</v>
      </c>
      <c r="K814">
        <f>AVERAGE(H812:H816)</f>
        <v>117.1399329</v>
      </c>
      <c r="L814">
        <f>STDEV(H812:H816)</f>
        <v>74.15701328</v>
      </c>
      <c r="M814" s="70">
        <v>72.8912192815947</v>
      </c>
      <c r="N814" s="70">
        <v>72.8912192815947</v>
      </c>
      <c r="O814" s="70">
        <v>1.29319247075519</v>
      </c>
      <c r="P814" s="70">
        <v>1.29319247075519</v>
      </c>
    </row>
    <row r="815" hidden="1">
      <c r="A815" s="67" t="s">
        <v>1575</v>
      </c>
      <c r="B815" s="67" t="s">
        <v>17</v>
      </c>
      <c r="C815" s="68">
        <v>0.1</v>
      </c>
      <c r="D815" s="68">
        <v>0.5</v>
      </c>
      <c r="E815" s="68">
        <v>2.0</v>
      </c>
      <c r="F815" s="68">
        <v>3.0</v>
      </c>
      <c r="G815" s="68">
        <v>1.66323803816497</v>
      </c>
      <c r="H815" s="68">
        <v>28.3487810106904</v>
      </c>
      <c r="I815" s="69">
        <v>44310.67700231481</v>
      </c>
      <c r="J815" s="69">
        <v>44310.67738425926</v>
      </c>
      <c r="K815">
        <f>AVERAGE(H812:H816)</f>
        <v>117.1399329</v>
      </c>
      <c r="L815">
        <f>STDEV(H812:H816)</f>
        <v>74.15701328</v>
      </c>
      <c r="M815" s="70">
        <v>28.3487810106904</v>
      </c>
      <c r="N815" s="70">
        <v>28.3487810106904</v>
      </c>
      <c r="O815" s="70">
        <v>1.66323803816497</v>
      </c>
      <c r="P815" s="70">
        <v>1.66323803816497</v>
      </c>
    </row>
    <row r="816" hidden="1">
      <c r="A816" s="67" t="s">
        <v>1576</v>
      </c>
      <c r="B816" s="67" t="s">
        <v>17</v>
      </c>
      <c r="C816" s="68">
        <v>0.1</v>
      </c>
      <c r="D816" s="68">
        <v>0.5</v>
      </c>
      <c r="E816" s="68">
        <v>2.0</v>
      </c>
      <c r="F816" s="68">
        <v>4.0</v>
      </c>
      <c r="G816" s="68">
        <v>2.54670957338868</v>
      </c>
      <c r="H816" s="68">
        <v>101.614676718363</v>
      </c>
      <c r="I816" s="69">
        <v>44310.678090277775</v>
      </c>
      <c r="J816" s="69">
        <v>44310.67891203704</v>
      </c>
      <c r="K816">
        <f>AVERAGE(H812:H816)</f>
        <v>117.1399329</v>
      </c>
      <c r="L816">
        <f>STDEV(H812:H816)</f>
        <v>74.15701328</v>
      </c>
      <c r="M816" s="70">
        <v>101.614676718363</v>
      </c>
      <c r="N816" s="70">
        <v>101.614676718363</v>
      </c>
      <c r="O816" s="70">
        <v>2.54670957338868</v>
      </c>
      <c r="P816" s="70">
        <v>2.54670957338868</v>
      </c>
    </row>
    <row r="817" hidden="1">
      <c r="A817" s="67" t="s">
        <v>1577</v>
      </c>
      <c r="B817" s="67" t="s">
        <v>17</v>
      </c>
      <c r="C817" s="68">
        <v>0.1</v>
      </c>
      <c r="D817" s="68">
        <v>0.75</v>
      </c>
      <c r="E817" s="68">
        <v>2.0</v>
      </c>
      <c r="F817" s="68">
        <v>0.0</v>
      </c>
      <c r="G817" s="68">
        <v>11.8849256221375</v>
      </c>
      <c r="H817" s="68">
        <v>350.943881387214</v>
      </c>
      <c r="I817" s="69">
        <v>44310.67962962963</v>
      </c>
      <c r="J817" s="69">
        <v>44310.679710648146</v>
      </c>
      <c r="K817">
        <f>AVERAGE(H817:H821)</f>
        <v>153.5621961</v>
      </c>
      <c r="L817">
        <f>STDEV(H817:H821)</f>
        <v>157.920816</v>
      </c>
      <c r="M817" s="70">
        <v>350.943881387214</v>
      </c>
      <c r="N817" s="70">
        <v>350.943881387214</v>
      </c>
      <c r="O817" s="70">
        <v>11.8849256221375</v>
      </c>
      <c r="P817" s="70">
        <v>11.8849256221375</v>
      </c>
    </row>
    <row r="818" hidden="1">
      <c r="A818" s="67" t="s">
        <v>1578</v>
      </c>
      <c r="B818" s="67" t="s">
        <v>17</v>
      </c>
      <c r="C818" s="68">
        <v>0.1</v>
      </c>
      <c r="D818" s="68">
        <v>0.75</v>
      </c>
      <c r="E818" s="68">
        <v>2.0</v>
      </c>
      <c r="F818" s="68">
        <v>1.0</v>
      </c>
      <c r="G818" s="68">
        <v>3.14449050743678</v>
      </c>
      <c r="H818" s="68">
        <v>144.529943055188</v>
      </c>
      <c r="I818" s="69">
        <v>44310.68042824074</v>
      </c>
      <c r="J818" s="69">
        <v>44310.75164351852</v>
      </c>
      <c r="K818">
        <f>AVERAGE(H817:H821)</f>
        <v>153.5621961</v>
      </c>
      <c r="L818">
        <f>STDEV(H817:H821)</f>
        <v>157.920816</v>
      </c>
      <c r="M818" s="70">
        <v>144.529943055188</v>
      </c>
      <c r="N818" s="70">
        <v>144.529943055188</v>
      </c>
      <c r="O818" s="70">
        <v>3.14449050743678</v>
      </c>
      <c r="P818" s="70">
        <v>3.14449050743678</v>
      </c>
    </row>
    <row r="819" hidden="1">
      <c r="A819" s="67" t="s">
        <v>1579</v>
      </c>
      <c r="B819" s="67" t="s">
        <v>17</v>
      </c>
      <c r="C819" s="68">
        <v>0.1</v>
      </c>
      <c r="D819" s="68">
        <v>0.75</v>
      </c>
      <c r="E819" s="68">
        <v>2.0</v>
      </c>
      <c r="F819" s="68">
        <v>2.0</v>
      </c>
      <c r="G819" s="68">
        <v>7.36450680261876</v>
      </c>
      <c r="H819" s="68">
        <v>271.314614483877</v>
      </c>
      <c r="I819" s="69">
        <v>44310.75234953704</v>
      </c>
      <c r="J819" s="69">
        <v>44310.752604166664</v>
      </c>
      <c r="K819">
        <f>AVERAGE(H817:H821)</f>
        <v>153.5621961</v>
      </c>
      <c r="L819">
        <f>STDEV(H817:H821)</f>
        <v>157.920816</v>
      </c>
      <c r="M819" s="70">
        <v>271.314614483877</v>
      </c>
      <c r="N819" s="70">
        <v>271.314614483877</v>
      </c>
      <c r="O819" s="70">
        <v>7.36450680261876</v>
      </c>
      <c r="P819" s="70">
        <v>7.36450680261876</v>
      </c>
    </row>
    <row r="820" hidden="1">
      <c r="A820" s="67" t="s">
        <v>1580</v>
      </c>
      <c r="B820" s="67" t="s">
        <v>17</v>
      </c>
      <c r="C820" s="68">
        <v>0.1</v>
      </c>
      <c r="D820" s="68">
        <v>0.75</v>
      </c>
      <c r="E820" s="68">
        <v>2.0</v>
      </c>
      <c r="F820" s="68">
        <v>3.0</v>
      </c>
      <c r="G820" s="68">
        <v>0.318624724666863</v>
      </c>
      <c r="H820" s="68">
        <v>0.406974241682714</v>
      </c>
      <c r="I820" s="69">
        <v>44310.75332175926</v>
      </c>
      <c r="J820" s="69">
        <v>44310.75336805556</v>
      </c>
      <c r="K820">
        <f>AVERAGE(H817:H821)</f>
        <v>153.5621961</v>
      </c>
      <c r="L820">
        <f>STDEV(H817:H821)</f>
        <v>157.920816</v>
      </c>
      <c r="M820" s="70">
        <v>0.406974241682714</v>
      </c>
      <c r="N820" s="70">
        <v>0.406974241682714</v>
      </c>
      <c r="O820" s="70">
        <v>0.318624724666863</v>
      </c>
      <c r="P820" s="70">
        <v>0.318624724666863</v>
      </c>
    </row>
    <row r="821" hidden="1">
      <c r="A821" s="67" t="s">
        <v>1581</v>
      </c>
      <c r="B821" s="67" t="s">
        <v>17</v>
      </c>
      <c r="C821" s="68">
        <v>0.1</v>
      </c>
      <c r="D821" s="68">
        <v>0.75</v>
      </c>
      <c r="E821" s="68">
        <v>2.0</v>
      </c>
      <c r="F821" s="68">
        <v>4.0</v>
      </c>
      <c r="G821" s="68">
        <v>0.508342031363887</v>
      </c>
      <c r="H821" s="68">
        <v>0.615567324067887</v>
      </c>
      <c r="I821" s="69">
        <v>44310.75408564815</v>
      </c>
      <c r="J821" s="69">
        <v>44310.75454861111</v>
      </c>
      <c r="K821">
        <f>AVERAGE(H817:H821)</f>
        <v>153.5621961</v>
      </c>
      <c r="L821">
        <f>STDEV(H817:H821)</f>
        <v>157.920816</v>
      </c>
      <c r="M821" s="70">
        <v>0.615567324067887</v>
      </c>
      <c r="N821" s="70">
        <v>0.615567324067887</v>
      </c>
      <c r="O821" s="70">
        <v>0.508342031363887</v>
      </c>
      <c r="P821" s="70">
        <v>0.508342031363887</v>
      </c>
    </row>
    <row r="822" hidden="1">
      <c r="A822" s="67" t="s">
        <v>1582</v>
      </c>
      <c r="B822" s="67" t="s">
        <v>17</v>
      </c>
      <c r="C822" s="68">
        <v>0.1</v>
      </c>
      <c r="D822" s="68">
        <v>1.0</v>
      </c>
      <c r="E822" s="68">
        <v>2.0</v>
      </c>
      <c r="F822" s="68">
        <v>0.0</v>
      </c>
      <c r="G822" s="68">
        <v>0.317145370870006</v>
      </c>
      <c r="H822" s="68">
        <v>0.406115963760371</v>
      </c>
      <c r="I822" s="69">
        <v>44310.75525462963</v>
      </c>
      <c r="J822" s="69">
        <v>44310.7553125</v>
      </c>
      <c r="K822">
        <f>AVERAGE(H822:H826)</f>
        <v>85.24193644</v>
      </c>
      <c r="L822">
        <f>STDEV(H822:H826)</f>
        <v>97.06920327</v>
      </c>
      <c r="M822" s="70">
        <v>0.406115963760371</v>
      </c>
      <c r="N822" s="70">
        <v>0.406115963760371</v>
      </c>
      <c r="O822" s="70">
        <v>0.317145370870006</v>
      </c>
      <c r="P822" s="70">
        <v>0.317145370870006</v>
      </c>
    </row>
    <row r="823" hidden="1">
      <c r="A823" s="67" t="s">
        <v>1583</v>
      </c>
      <c r="B823" s="67" t="s">
        <v>17</v>
      </c>
      <c r="C823" s="68">
        <v>0.1</v>
      </c>
      <c r="D823" s="68">
        <v>1.0</v>
      </c>
      <c r="E823" s="68">
        <v>2.0</v>
      </c>
      <c r="F823" s="68">
        <v>1.0</v>
      </c>
      <c r="G823" s="68">
        <v>4.98544116761595</v>
      </c>
      <c r="H823" s="68">
        <v>214.49933784188</v>
      </c>
      <c r="I823" s="69">
        <v>44310.75601851852</v>
      </c>
      <c r="J823" s="69">
        <v>44310.76571759259</v>
      </c>
      <c r="K823">
        <f>AVERAGE(H822:H826)</f>
        <v>85.24193644</v>
      </c>
      <c r="L823">
        <f>STDEV(H822:H826)</f>
        <v>97.06920327</v>
      </c>
      <c r="M823" s="70">
        <v>214.49933784188</v>
      </c>
      <c r="N823" s="70">
        <v>214.49933784188</v>
      </c>
      <c r="O823" s="70">
        <v>4.98544116761595</v>
      </c>
      <c r="P823" s="70">
        <v>4.98544116761595</v>
      </c>
    </row>
    <row r="824" hidden="1">
      <c r="A824" s="67" t="s">
        <v>1584</v>
      </c>
      <c r="B824" s="67" t="s">
        <v>17</v>
      </c>
      <c r="C824" s="68">
        <v>0.1</v>
      </c>
      <c r="D824" s="68">
        <v>1.0</v>
      </c>
      <c r="E824" s="68">
        <v>2.0</v>
      </c>
      <c r="F824" s="68">
        <v>2.0</v>
      </c>
      <c r="G824" s="68">
        <v>1.82558489676887</v>
      </c>
      <c r="H824" s="68">
        <v>31.0268663665376</v>
      </c>
      <c r="I824" s="69">
        <v>44310.76642361111</v>
      </c>
      <c r="J824" s="69">
        <v>44310.76673611111</v>
      </c>
      <c r="K824">
        <f>AVERAGE(H822:H826)</f>
        <v>85.24193644</v>
      </c>
      <c r="L824">
        <f>STDEV(H822:H826)</f>
        <v>97.06920327</v>
      </c>
      <c r="M824" s="70">
        <v>31.0268663665376</v>
      </c>
      <c r="N824" s="70">
        <v>31.0268663665376</v>
      </c>
      <c r="O824" s="70">
        <v>1.82558489676887</v>
      </c>
      <c r="P824" s="70">
        <v>1.82558489676887</v>
      </c>
    </row>
    <row r="825" hidden="1">
      <c r="A825" s="67" t="s">
        <v>1585</v>
      </c>
      <c r="B825" s="67" t="s">
        <v>17</v>
      </c>
      <c r="C825" s="68">
        <v>0.1</v>
      </c>
      <c r="D825" s="68">
        <v>1.0</v>
      </c>
      <c r="E825" s="68">
        <v>2.0</v>
      </c>
      <c r="F825" s="68">
        <v>3.0</v>
      </c>
      <c r="G825" s="68">
        <v>1.10058937679691</v>
      </c>
      <c r="H825" s="68">
        <v>16.6611381585043</v>
      </c>
      <c r="I825" s="69">
        <v>44310.7674537037</v>
      </c>
      <c r="J825" s="69">
        <v>44310.76993055556</v>
      </c>
      <c r="K825">
        <f>AVERAGE(H822:H826)</f>
        <v>85.24193644</v>
      </c>
      <c r="L825">
        <f>STDEV(H822:H826)</f>
        <v>97.06920327</v>
      </c>
      <c r="M825" s="70">
        <v>16.6611381585043</v>
      </c>
      <c r="N825" s="70">
        <v>16.6611381585043</v>
      </c>
      <c r="O825" s="70">
        <v>1.10058937679691</v>
      </c>
      <c r="P825" s="70">
        <v>1.10058937679691</v>
      </c>
    </row>
    <row r="826" hidden="1">
      <c r="A826" s="67" t="s">
        <v>1586</v>
      </c>
      <c r="B826" s="67" t="s">
        <v>17</v>
      </c>
      <c r="C826" s="68">
        <v>0.1</v>
      </c>
      <c r="D826" s="68">
        <v>1.0</v>
      </c>
      <c r="E826" s="68">
        <v>2.0</v>
      </c>
      <c r="F826" s="68">
        <v>4.0</v>
      </c>
      <c r="G826" s="68">
        <v>3.68307625917702</v>
      </c>
      <c r="H826" s="68">
        <v>163.616223849039</v>
      </c>
      <c r="I826" s="69">
        <v>44310.770636574074</v>
      </c>
      <c r="J826" s="69">
        <v>44310.79001157408</v>
      </c>
      <c r="K826">
        <f>AVERAGE(H822:H826)</f>
        <v>85.24193644</v>
      </c>
      <c r="L826">
        <f>STDEV(H822:H826)</f>
        <v>97.06920327</v>
      </c>
      <c r="M826" s="70">
        <v>163.616223849039</v>
      </c>
      <c r="N826" s="70">
        <v>163.616223849039</v>
      </c>
      <c r="O826" s="70">
        <v>3.68307625917702</v>
      </c>
      <c r="P826" s="70">
        <v>3.68307625917702</v>
      </c>
    </row>
    <row r="827" hidden="1">
      <c r="A827" s="67" t="s">
        <v>1587</v>
      </c>
      <c r="B827" s="67" t="s">
        <v>17</v>
      </c>
      <c r="C827" s="68">
        <v>0.25</v>
      </c>
      <c r="D827" s="68">
        <v>0.1</v>
      </c>
      <c r="E827" s="68">
        <v>2.0</v>
      </c>
      <c r="F827" s="68">
        <v>0.0</v>
      </c>
      <c r="G827" s="68">
        <v>0.317145370870006</v>
      </c>
      <c r="H827" s="68">
        <v>0.406115963760371</v>
      </c>
      <c r="I827" s="69">
        <v>44310.79072916666</v>
      </c>
      <c r="J827" s="69">
        <v>44310.79077546296</v>
      </c>
      <c r="K827">
        <f>AVERAGE(H827:H831)</f>
        <v>103.8586142</v>
      </c>
      <c r="L827">
        <f>STDEV(H827:H831)</f>
        <v>100.8281053</v>
      </c>
      <c r="M827" s="70">
        <v>0.406115963760371</v>
      </c>
      <c r="N827" s="70">
        <v>0.406115963760371</v>
      </c>
      <c r="O827" s="70">
        <v>0.317145370870006</v>
      </c>
      <c r="P827" s="70">
        <v>0.317145370870006</v>
      </c>
    </row>
    <row r="828" hidden="1">
      <c r="A828" s="67" t="s">
        <v>1588</v>
      </c>
      <c r="B828" s="67" t="s">
        <v>17</v>
      </c>
      <c r="C828" s="68">
        <v>0.25</v>
      </c>
      <c r="D828" s="68">
        <v>0.1</v>
      </c>
      <c r="E828" s="68">
        <v>2.0</v>
      </c>
      <c r="F828" s="68">
        <v>1.0</v>
      </c>
      <c r="G828" s="68">
        <v>2.49424802306819</v>
      </c>
      <c r="H828" s="68">
        <v>114.553370563113</v>
      </c>
      <c r="I828" s="69">
        <v>44310.791493055556</v>
      </c>
      <c r="J828" s="69">
        <v>44310.81618055556</v>
      </c>
      <c r="K828">
        <f>AVERAGE(H827:H831)</f>
        <v>103.8586142</v>
      </c>
      <c r="L828">
        <f>STDEV(H827:H831)</f>
        <v>100.8281053</v>
      </c>
      <c r="M828" s="70">
        <v>114.553370563113</v>
      </c>
      <c r="N828" s="70">
        <v>114.553370563113</v>
      </c>
      <c r="O828" s="70">
        <v>2.49424802306819</v>
      </c>
      <c r="P828" s="70">
        <v>2.49424802306819</v>
      </c>
    </row>
    <row r="829" hidden="1">
      <c r="A829" s="67" t="s">
        <v>1589</v>
      </c>
      <c r="B829" s="67" t="s">
        <v>17</v>
      </c>
      <c r="C829" s="68">
        <v>0.25</v>
      </c>
      <c r="D829" s="68">
        <v>0.1</v>
      </c>
      <c r="E829" s="68">
        <v>2.0</v>
      </c>
      <c r="F829" s="68">
        <v>2.0</v>
      </c>
      <c r="G829" s="68">
        <v>6.38670897980269</v>
      </c>
      <c r="H829" s="68">
        <v>203.522836102106</v>
      </c>
      <c r="I829" s="69">
        <v>44310.81688657407</v>
      </c>
      <c r="J829" s="69">
        <v>44310.817025462966</v>
      </c>
      <c r="K829">
        <f>AVERAGE(H827:H831)</f>
        <v>103.8586142</v>
      </c>
      <c r="L829">
        <f>STDEV(H827:H831)</f>
        <v>100.8281053</v>
      </c>
      <c r="M829" s="70">
        <v>203.522836102106</v>
      </c>
      <c r="N829" s="70">
        <v>203.522836102106</v>
      </c>
      <c r="O829" s="70">
        <v>6.38670897980269</v>
      </c>
      <c r="P829" s="70">
        <v>6.38670897980269</v>
      </c>
    </row>
    <row r="830" hidden="1">
      <c r="A830" s="67" t="s">
        <v>1590</v>
      </c>
      <c r="B830" s="67" t="s">
        <v>17</v>
      </c>
      <c r="C830" s="68">
        <v>0.25</v>
      </c>
      <c r="D830" s="68">
        <v>0.1</v>
      </c>
      <c r="E830" s="68">
        <v>2.0</v>
      </c>
      <c r="F830" s="68">
        <v>3.0</v>
      </c>
      <c r="G830" s="68">
        <v>4.22820801732876</v>
      </c>
      <c r="H830" s="68">
        <v>200.134064102229</v>
      </c>
      <c r="I830" s="69">
        <v>44310.81773148148</v>
      </c>
      <c r="J830" s="69">
        <v>44310.844143518516</v>
      </c>
      <c r="K830">
        <f>AVERAGE(H827:H831)</f>
        <v>103.8586142</v>
      </c>
      <c r="L830">
        <f>STDEV(H827:H831)</f>
        <v>100.8281053</v>
      </c>
      <c r="M830" s="70">
        <v>200.134064102229</v>
      </c>
      <c r="N830" s="70">
        <v>200.134064102229</v>
      </c>
      <c r="O830" s="70">
        <v>4.22820801732876</v>
      </c>
      <c r="P830" s="70">
        <v>4.22820801732876</v>
      </c>
    </row>
    <row r="831" hidden="1">
      <c r="A831" s="67" t="s">
        <v>1591</v>
      </c>
      <c r="B831" s="67" t="s">
        <v>17</v>
      </c>
      <c r="C831" s="68">
        <v>0.25</v>
      </c>
      <c r="D831" s="68">
        <v>0.1</v>
      </c>
      <c r="E831" s="68">
        <v>2.0</v>
      </c>
      <c r="F831" s="68">
        <v>4.0</v>
      </c>
      <c r="G831" s="68">
        <v>0.551409259786348</v>
      </c>
      <c r="H831" s="68">
        <v>0.676684316131218</v>
      </c>
      <c r="I831" s="69">
        <v>44310.84484953704</v>
      </c>
      <c r="J831" s="69">
        <v>44310.845</v>
      </c>
      <c r="K831">
        <f>AVERAGE(H827:H831)</f>
        <v>103.8586142</v>
      </c>
      <c r="L831">
        <f>STDEV(H827:H831)</f>
        <v>100.8281053</v>
      </c>
      <c r="M831" s="70">
        <v>0.676684316131218</v>
      </c>
      <c r="N831" s="70">
        <v>0.676684316131218</v>
      </c>
      <c r="O831" s="70">
        <v>0.551409259786348</v>
      </c>
      <c r="P831" s="70">
        <v>0.551409259786348</v>
      </c>
    </row>
    <row r="832" hidden="1">
      <c r="A832" s="67" t="s">
        <v>1592</v>
      </c>
      <c r="B832" s="67" t="s">
        <v>17</v>
      </c>
      <c r="C832" s="68">
        <v>0.25</v>
      </c>
      <c r="D832" s="68">
        <v>0.25</v>
      </c>
      <c r="E832" s="68">
        <v>2.0</v>
      </c>
      <c r="F832" s="68">
        <v>0.0</v>
      </c>
      <c r="G832" s="68">
        <v>4.00590997189613</v>
      </c>
      <c r="H832" s="68">
        <v>146.102958321915</v>
      </c>
      <c r="I832" s="69">
        <v>44310.845717592594</v>
      </c>
      <c r="J832" s="69">
        <v>44310.84626157407</v>
      </c>
      <c r="K832">
        <f>AVERAGE(H832:H836)</f>
        <v>110.1932103</v>
      </c>
      <c r="L832">
        <f>STDEV(H832:H836)</f>
        <v>61.68662269</v>
      </c>
      <c r="M832" s="70">
        <v>146.102958321915</v>
      </c>
      <c r="N832" s="70">
        <v>146.102958321915</v>
      </c>
      <c r="O832" s="70">
        <v>4.00590997189613</v>
      </c>
      <c r="P832" s="70">
        <v>4.00590997189613</v>
      </c>
    </row>
    <row r="833" hidden="1">
      <c r="A833" s="67" t="s">
        <v>1593</v>
      </c>
      <c r="B833" s="67" t="s">
        <v>17</v>
      </c>
      <c r="C833" s="68">
        <v>0.25</v>
      </c>
      <c r="D833" s="68">
        <v>0.25</v>
      </c>
      <c r="E833" s="68">
        <v>2.0</v>
      </c>
      <c r="F833" s="68">
        <v>1.0</v>
      </c>
      <c r="G833" s="68">
        <v>2.49024255419838</v>
      </c>
      <c r="H833" s="68">
        <v>131.86163765886</v>
      </c>
      <c r="I833" s="69">
        <v>44310.846979166665</v>
      </c>
      <c r="J833" s="69">
        <v>44310.84719907407</v>
      </c>
      <c r="K833">
        <f>AVERAGE(H832:H836)</f>
        <v>110.1932103</v>
      </c>
      <c r="L833">
        <f>STDEV(H832:H836)</f>
        <v>61.68662269</v>
      </c>
      <c r="M833" s="70">
        <v>131.86163765886</v>
      </c>
      <c r="N833" s="70">
        <v>131.86163765886</v>
      </c>
      <c r="O833" s="70">
        <v>2.49024255419838</v>
      </c>
      <c r="P833" s="70">
        <v>2.49024255419838</v>
      </c>
    </row>
    <row r="834" hidden="1">
      <c r="A834" s="67" t="s">
        <v>1594</v>
      </c>
      <c r="B834" s="67" t="s">
        <v>17</v>
      </c>
      <c r="C834" s="68">
        <v>0.25</v>
      </c>
      <c r="D834" s="68">
        <v>0.25</v>
      </c>
      <c r="E834" s="68">
        <v>2.0</v>
      </c>
      <c r="F834" s="68">
        <v>2.0</v>
      </c>
      <c r="G834" s="68">
        <v>1.61486942040425</v>
      </c>
      <c r="H834" s="68">
        <v>25.4211187848308</v>
      </c>
      <c r="I834" s="69">
        <v>44310.847905092596</v>
      </c>
      <c r="J834" s="69">
        <v>44310.84831018518</v>
      </c>
      <c r="K834">
        <f>AVERAGE(H832:H836)</f>
        <v>110.1932103</v>
      </c>
      <c r="L834">
        <f>STDEV(H832:H836)</f>
        <v>61.68662269</v>
      </c>
      <c r="M834" s="70">
        <v>25.4211187848308</v>
      </c>
      <c r="N834" s="70">
        <v>25.4211187848308</v>
      </c>
      <c r="O834" s="70">
        <v>1.61486942040425</v>
      </c>
      <c r="P834" s="70">
        <v>1.61486942040425</v>
      </c>
    </row>
    <row r="835" hidden="1">
      <c r="A835" s="67" t="s">
        <v>1595</v>
      </c>
      <c r="B835" s="67" t="s">
        <v>17</v>
      </c>
      <c r="C835" s="68">
        <v>0.25</v>
      </c>
      <c r="D835" s="68">
        <v>0.25</v>
      </c>
      <c r="E835" s="68">
        <v>2.0</v>
      </c>
      <c r="F835" s="68">
        <v>3.0</v>
      </c>
      <c r="G835" s="68">
        <v>1.35105551055397</v>
      </c>
      <c r="H835" s="68">
        <v>69.4492772349691</v>
      </c>
      <c r="I835" s="69">
        <v>44310.849016203705</v>
      </c>
      <c r="J835" s="69">
        <v>44310.85005787037</v>
      </c>
      <c r="K835">
        <f>AVERAGE(H832:H836)</f>
        <v>110.1932103</v>
      </c>
      <c r="L835">
        <f>STDEV(H832:H836)</f>
        <v>61.68662269</v>
      </c>
      <c r="M835" s="70">
        <v>69.4492772349691</v>
      </c>
      <c r="N835" s="70">
        <v>69.4492772349691</v>
      </c>
      <c r="O835" s="70">
        <v>1.35105551055397</v>
      </c>
      <c r="P835" s="70">
        <v>1.35105551055397</v>
      </c>
    </row>
    <row r="836" hidden="1">
      <c r="A836" s="67" t="s">
        <v>1596</v>
      </c>
      <c r="B836" s="67" t="s">
        <v>17</v>
      </c>
      <c r="C836" s="68">
        <v>0.25</v>
      </c>
      <c r="D836" s="68">
        <v>0.25</v>
      </c>
      <c r="E836" s="68">
        <v>2.0</v>
      </c>
      <c r="F836" s="68">
        <v>4.0</v>
      </c>
      <c r="G836" s="68">
        <v>3.78366081647381</v>
      </c>
      <c r="H836" s="68">
        <v>178.131059453031</v>
      </c>
      <c r="I836" s="69">
        <v>44310.85076388889</v>
      </c>
      <c r="J836" s="69">
        <v>44310.90565972222</v>
      </c>
      <c r="K836">
        <f>AVERAGE(H832:H836)</f>
        <v>110.1932103</v>
      </c>
      <c r="L836">
        <f>STDEV(H832:H836)</f>
        <v>61.68662269</v>
      </c>
      <c r="M836" s="70">
        <v>178.131059453031</v>
      </c>
      <c r="N836" s="70">
        <v>178.131059453031</v>
      </c>
      <c r="O836" s="70">
        <v>3.78366081647381</v>
      </c>
      <c r="P836" s="70">
        <v>3.78366081647381</v>
      </c>
    </row>
    <row r="837" hidden="1">
      <c r="A837" s="67" t="s">
        <v>1597</v>
      </c>
      <c r="B837" s="67" t="s">
        <v>17</v>
      </c>
      <c r="C837" s="68">
        <v>0.25</v>
      </c>
      <c r="D837" s="68">
        <v>0.5</v>
      </c>
      <c r="E837" s="68">
        <v>2.0</v>
      </c>
      <c r="F837" s="68">
        <v>0.0</v>
      </c>
      <c r="G837" s="68">
        <v>1.09881660702641</v>
      </c>
      <c r="H837" s="68">
        <v>1.88029031681283</v>
      </c>
      <c r="I837" s="69">
        <v>44310.906377314815</v>
      </c>
      <c r="J837" s="69">
        <v>44310.90641203704</v>
      </c>
      <c r="K837">
        <f>AVERAGE(H837:H841)</f>
        <v>96.48461516</v>
      </c>
      <c r="L837">
        <f>STDEV(H837:H841)</f>
        <v>116.7293757</v>
      </c>
      <c r="M837" s="70">
        <v>1.88029031681283</v>
      </c>
      <c r="N837" s="70">
        <v>1.88029031681283</v>
      </c>
      <c r="O837" s="70">
        <v>1.09881660702641</v>
      </c>
      <c r="P837" s="70">
        <v>1.09881660702641</v>
      </c>
    </row>
    <row r="838" hidden="1">
      <c r="A838" s="67" t="s">
        <v>1598</v>
      </c>
      <c r="B838" s="67" t="s">
        <v>17</v>
      </c>
      <c r="C838" s="68">
        <v>0.25</v>
      </c>
      <c r="D838" s="68">
        <v>0.5</v>
      </c>
      <c r="E838" s="68">
        <v>2.0</v>
      </c>
      <c r="F838" s="68">
        <v>1.0</v>
      </c>
      <c r="G838" s="68">
        <v>8.59351105558272</v>
      </c>
      <c r="H838" s="68">
        <v>282.467045758429</v>
      </c>
      <c r="I838" s="69">
        <v>44310.907118055555</v>
      </c>
      <c r="J838" s="69">
        <v>44310.908541666664</v>
      </c>
      <c r="K838">
        <f>AVERAGE(H837:H841)</f>
        <v>96.48461516</v>
      </c>
      <c r="L838">
        <f>STDEV(H837:H841)</f>
        <v>116.7293757</v>
      </c>
      <c r="M838" s="70">
        <v>282.467045758429</v>
      </c>
      <c r="N838" s="70">
        <v>282.467045758429</v>
      </c>
      <c r="O838" s="70">
        <v>8.59351105558272</v>
      </c>
      <c r="P838" s="70">
        <v>8.59351105558272</v>
      </c>
    </row>
    <row r="839" hidden="1">
      <c r="A839" s="67" t="s">
        <v>1599</v>
      </c>
      <c r="B839" s="67" t="s">
        <v>17</v>
      </c>
      <c r="C839" s="68">
        <v>0.25</v>
      </c>
      <c r="D839" s="68">
        <v>0.5</v>
      </c>
      <c r="E839" s="68">
        <v>2.0</v>
      </c>
      <c r="F839" s="68">
        <v>2.0</v>
      </c>
      <c r="G839" s="68">
        <v>2.77602975782259</v>
      </c>
      <c r="H839" s="68">
        <v>128.172679423505</v>
      </c>
      <c r="I839" s="69">
        <v>44310.90924768519</v>
      </c>
      <c r="J839" s="69">
        <v>44310.947800925926</v>
      </c>
      <c r="K839">
        <f>AVERAGE(H837:H841)</f>
        <v>96.48461516</v>
      </c>
      <c r="L839">
        <f>STDEV(H837:H841)</f>
        <v>116.7293757</v>
      </c>
      <c r="M839" s="70">
        <v>128.172679423505</v>
      </c>
      <c r="N839" s="70">
        <v>128.172679423505</v>
      </c>
      <c r="O839" s="70">
        <v>2.77602975782259</v>
      </c>
      <c r="P839" s="70">
        <v>2.77602975782259</v>
      </c>
    </row>
    <row r="840" hidden="1">
      <c r="A840" s="67" t="s">
        <v>1600</v>
      </c>
      <c r="B840" s="67" t="s">
        <v>17</v>
      </c>
      <c r="C840" s="68">
        <v>0.25</v>
      </c>
      <c r="D840" s="68">
        <v>0.5</v>
      </c>
      <c r="E840" s="68">
        <v>2.0</v>
      </c>
      <c r="F840" s="68">
        <v>3.0</v>
      </c>
      <c r="G840" s="68">
        <v>0.317145370870006</v>
      </c>
      <c r="H840" s="68">
        <v>0.406115963760371</v>
      </c>
      <c r="I840" s="69">
        <v>44310.94850694444</v>
      </c>
      <c r="J840" s="69">
        <v>44310.94856481482</v>
      </c>
      <c r="K840">
        <f>AVERAGE(H837:H841)</f>
        <v>96.48461516</v>
      </c>
      <c r="L840">
        <f>STDEV(H837:H841)</f>
        <v>116.7293757</v>
      </c>
      <c r="M840" s="70">
        <v>0.406115963760371</v>
      </c>
      <c r="N840" s="70">
        <v>0.406115963760371</v>
      </c>
      <c r="O840" s="70">
        <v>0.317145370870006</v>
      </c>
      <c r="P840" s="70">
        <v>0.317145370870006</v>
      </c>
    </row>
    <row r="841" hidden="1">
      <c r="A841" s="67" t="s">
        <v>1601</v>
      </c>
      <c r="B841" s="67" t="s">
        <v>17</v>
      </c>
      <c r="C841" s="68">
        <v>0.25</v>
      </c>
      <c r="D841" s="68">
        <v>0.5</v>
      </c>
      <c r="E841" s="68">
        <v>2.0</v>
      </c>
      <c r="F841" s="68">
        <v>4.0</v>
      </c>
      <c r="G841" s="68">
        <v>1.35202678106678</v>
      </c>
      <c r="H841" s="68">
        <v>69.4969443457134</v>
      </c>
      <c r="I841" s="69">
        <v>44310.949282407404</v>
      </c>
      <c r="J841" s="69">
        <v>44310.950277777774</v>
      </c>
      <c r="K841">
        <f>AVERAGE(H837:H841)</f>
        <v>96.48461516</v>
      </c>
      <c r="L841">
        <f>STDEV(H837:H841)</f>
        <v>116.7293757</v>
      </c>
      <c r="M841" s="70">
        <v>69.4969443457134</v>
      </c>
      <c r="N841" s="70">
        <v>69.4969443457134</v>
      </c>
      <c r="O841" s="70">
        <v>1.35202678106678</v>
      </c>
      <c r="P841" s="70">
        <v>1.35202678106678</v>
      </c>
    </row>
    <row r="842" hidden="1">
      <c r="A842" s="67" t="s">
        <v>1602</v>
      </c>
      <c r="B842" s="67" t="s">
        <v>17</v>
      </c>
      <c r="C842" s="68">
        <v>0.25</v>
      </c>
      <c r="D842" s="68">
        <v>0.75</v>
      </c>
      <c r="E842" s="68">
        <v>2.0</v>
      </c>
      <c r="F842" s="68">
        <v>0.0</v>
      </c>
      <c r="G842" s="68">
        <v>4.47849753259411</v>
      </c>
      <c r="H842" s="68">
        <v>170.465372264338</v>
      </c>
      <c r="I842" s="69">
        <v>44310.95099537037</v>
      </c>
      <c r="J842" s="69">
        <v>44310.951053240744</v>
      </c>
      <c r="K842">
        <f>AVERAGE(H842:H846)</f>
        <v>124.8818139</v>
      </c>
      <c r="L842">
        <f>STDEV(H842:H846)</f>
        <v>78.73840582</v>
      </c>
      <c r="M842" s="70">
        <v>170.465372264338</v>
      </c>
      <c r="N842" s="70">
        <v>170.465372264338</v>
      </c>
      <c r="O842" s="70">
        <v>4.47849753259411</v>
      </c>
      <c r="P842" s="70">
        <v>4.47849753259411</v>
      </c>
    </row>
    <row r="843" hidden="1">
      <c r="A843" s="67" t="s">
        <v>1603</v>
      </c>
      <c r="B843" s="67" t="s">
        <v>17</v>
      </c>
      <c r="C843" s="68">
        <v>0.25</v>
      </c>
      <c r="D843" s="68">
        <v>0.75</v>
      </c>
      <c r="E843" s="68">
        <v>2.0</v>
      </c>
      <c r="F843" s="68">
        <v>1.0</v>
      </c>
      <c r="G843" s="68">
        <v>2.78008208064142</v>
      </c>
      <c r="H843" s="68">
        <v>127.887937067241</v>
      </c>
      <c r="I843" s="69">
        <v>44310.95177083334</v>
      </c>
      <c r="J843" s="69">
        <v>44310.95804398148</v>
      </c>
      <c r="K843">
        <f>AVERAGE(H842:H846)</f>
        <v>124.8818139</v>
      </c>
      <c r="L843">
        <f>STDEV(H842:H846)</f>
        <v>78.73840582</v>
      </c>
      <c r="M843" s="70">
        <v>127.887937067241</v>
      </c>
      <c r="N843" s="70">
        <v>127.887937067241</v>
      </c>
      <c r="O843" s="70">
        <v>2.78008208064142</v>
      </c>
      <c r="P843" s="70">
        <v>2.78008208064142</v>
      </c>
    </row>
    <row r="844" hidden="1">
      <c r="A844" s="67" t="s">
        <v>1604</v>
      </c>
      <c r="B844" s="67" t="s">
        <v>17</v>
      </c>
      <c r="C844" s="68">
        <v>0.25</v>
      </c>
      <c r="D844" s="68">
        <v>0.75</v>
      </c>
      <c r="E844" s="68">
        <v>2.0</v>
      </c>
      <c r="F844" s="68">
        <v>2.0</v>
      </c>
      <c r="G844" s="68">
        <v>5.00235920817242</v>
      </c>
      <c r="H844" s="68">
        <v>209.400059730099</v>
      </c>
      <c r="I844" s="69">
        <v>44310.958761574075</v>
      </c>
      <c r="J844" s="69">
        <v>44310.9659837963</v>
      </c>
      <c r="K844">
        <f>AVERAGE(H842:H846)</f>
        <v>124.8818139</v>
      </c>
      <c r="L844">
        <f>STDEV(H842:H846)</f>
        <v>78.73840582</v>
      </c>
      <c r="M844" s="70">
        <v>209.400059730099</v>
      </c>
      <c r="N844" s="70">
        <v>209.400059730099</v>
      </c>
      <c r="O844" s="70">
        <v>5.00235920817242</v>
      </c>
      <c r="P844" s="70">
        <v>5.00235920817242</v>
      </c>
    </row>
    <row r="845" hidden="1">
      <c r="A845" s="67" t="s">
        <v>1605</v>
      </c>
      <c r="B845" s="67" t="s">
        <v>17</v>
      </c>
      <c r="C845" s="68">
        <v>0.25</v>
      </c>
      <c r="D845" s="68">
        <v>0.75</v>
      </c>
      <c r="E845" s="68">
        <v>2.0</v>
      </c>
      <c r="F845" s="68">
        <v>3.0</v>
      </c>
      <c r="G845" s="68">
        <v>2.41186680900729</v>
      </c>
      <c r="H845" s="68">
        <v>116.249584709048</v>
      </c>
      <c r="I845" s="69">
        <v>44310.96668981481</v>
      </c>
      <c r="J845" s="69">
        <v>44310.99616898148</v>
      </c>
      <c r="K845">
        <f>AVERAGE(H842:H846)</f>
        <v>124.8818139</v>
      </c>
      <c r="L845">
        <f>STDEV(H842:H846)</f>
        <v>78.73840582</v>
      </c>
      <c r="M845" s="70">
        <v>116.249584709048</v>
      </c>
      <c r="N845" s="70">
        <v>116.249584709048</v>
      </c>
      <c r="O845" s="70">
        <v>2.41186680900729</v>
      </c>
      <c r="P845" s="70">
        <v>2.41186680900729</v>
      </c>
    </row>
    <row r="846" hidden="1">
      <c r="A846" s="67" t="s">
        <v>1606</v>
      </c>
      <c r="B846" s="67" t="s">
        <v>17</v>
      </c>
      <c r="C846" s="68">
        <v>0.25</v>
      </c>
      <c r="D846" s="68">
        <v>0.75</v>
      </c>
      <c r="E846" s="68">
        <v>2.0</v>
      </c>
      <c r="F846" s="68">
        <v>4.0</v>
      </c>
      <c r="G846" s="68">
        <v>0.317145370870006</v>
      </c>
      <c r="H846" s="68">
        <v>0.406115963760371</v>
      </c>
      <c r="I846" s="69">
        <v>44310.996875</v>
      </c>
      <c r="J846" s="69">
        <v>44310.996932870374</v>
      </c>
      <c r="K846">
        <f>AVERAGE(H842:H846)</f>
        <v>124.8818139</v>
      </c>
      <c r="L846">
        <f>STDEV(H842:H846)</f>
        <v>78.73840582</v>
      </c>
      <c r="M846" s="70">
        <v>0.406115963760371</v>
      </c>
      <c r="N846" s="70">
        <v>0.406115963760371</v>
      </c>
      <c r="O846" s="70">
        <v>0.317145370870006</v>
      </c>
      <c r="P846" s="70">
        <v>0.317145370870006</v>
      </c>
    </row>
    <row r="847" hidden="1">
      <c r="A847" s="67" t="s">
        <v>1607</v>
      </c>
      <c r="B847" s="67" t="s">
        <v>17</v>
      </c>
      <c r="C847" s="68">
        <v>0.25</v>
      </c>
      <c r="D847" s="68">
        <v>1.0</v>
      </c>
      <c r="E847" s="68">
        <v>2.0</v>
      </c>
      <c r="F847" s="68">
        <v>0.0</v>
      </c>
      <c r="G847" s="68">
        <v>0.466302059947925</v>
      </c>
      <c r="H847" s="68">
        <v>0.558605536113522</v>
      </c>
      <c r="I847" s="69">
        <v>44310.99765046296</v>
      </c>
      <c r="J847" s="69">
        <v>44310.997824074075</v>
      </c>
      <c r="K847">
        <f>AVERAGE(H847:H851)</f>
        <v>122.5013761</v>
      </c>
      <c r="L847">
        <f>STDEV(H847:H851)</f>
        <v>83.03012567</v>
      </c>
      <c r="M847" s="70">
        <v>0.558605536113522</v>
      </c>
      <c r="N847" s="70">
        <v>0.558605536113522</v>
      </c>
      <c r="O847" s="70">
        <v>0.466302059947925</v>
      </c>
      <c r="P847" s="70">
        <v>0.466302059947925</v>
      </c>
    </row>
    <row r="848" hidden="1">
      <c r="A848" s="67" t="s">
        <v>1608</v>
      </c>
      <c r="B848" s="67" t="s">
        <v>17</v>
      </c>
      <c r="C848" s="68">
        <v>0.25</v>
      </c>
      <c r="D848" s="68">
        <v>1.0</v>
      </c>
      <c r="E848" s="68">
        <v>2.0</v>
      </c>
      <c r="F848" s="68">
        <v>1.0</v>
      </c>
      <c r="G848" s="68">
        <v>2.68229763613849</v>
      </c>
      <c r="H848" s="68">
        <v>142.961924364356</v>
      </c>
      <c r="I848" s="69">
        <v>44310.99853009259</v>
      </c>
      <c r="J848" s="69">
        <v>44311.00625</v>
      </c>
      <c r="K848">
        <f>AVERAGE(H847:H851)</f>
        <v>122.5013761</v>
      </c>
      <c r="L848">
        <f>STDEV(H847:H851)</f>
        <v>83.03012567</v>
      </c>
      <c r="M848" s="70">
        <v>142.961924364356</v>
      </c>
      <c r="N848" s="70">
        <v>142.961924364356</v>
      </c>
      <c r="O848" s="70">
        <v>2.68229763613849</v>
      </c>
      <c r="P848" s="70">
        <v>2.68229763613849</v>
      </c>
    </row>
    <row r="849" hidden="1">
      <c r="A849" s="67" t="s">
        <v>1609</v>
      </c>
      <c r="B849" s="67" t="s">
        <v>17</v>
      </c>
      <c r="C849" s="68">
        <v>0.25</v>
      </c>
      <c r="D849" s="68">
        <v>1.0</v>
      </c>
      <c r="E849" s="68">
        <v>2.0</v>
      </c>
      <c r="F849" s="68">
        <v>2.0</v>
      </c>
      <c r="G849" s="68">
        <v>8.42247213093762</v>
      </c>
      <c r="H849" s="68">
        <v>218.178483786067</v>
      </c>
      <c r="I849" s="69">
        <v>44311.00696759259</v>
      </c>
      <c r="J849" s="69">
        <v>44311.00701388889</v>
      </c>
      <c r="K849">
        <f>AVERAGE(H847:H851)</f>
        <v>122.5013761</v>
      </c>
      <c r="L849">
        <f>STDEV(H847:H851)</f>
        <v>83.03012567</v>
      </c>
      <c r="M849" s="70">
        <v>218.178483786067</v>
      </c>
      <c r="N849" s="70">
        <v>218.178483786067</v>
      </c>
      <c r="O849" s="70">
        <v>8.42247213093762</v>
      </c>
      <c r="P849" s="70">
        <v>8.42247213093762</v>
      </c>
    </row>
    <row r="850" hidden="1">
      <c r="A850" s="67" t="s">
        <v>1610</v>
      </c>
      <c r="B850" s="67" t="s">
        <v>17</v>
      </c>
      <c r="C850" s="68">
        <v>0.25</v>
      </c>
      <c r="D850" s="68">
        <v>1.0</v>
      </c>
      <c r="E850" s="68">
        <v>2.0</v>
      </c>
      <c r="F850" s="68">
        <v>3.0</v>
      </c>
      <c r="G850" s="68">
        <v>6.14300156351493</v>
      </c>
      <c r="H850" s="68">
        <v>85.9300487640102</v>
      </c>
      <c r="I850" s="69">
        <v>44311.00771990741</v>
      </c>
      <c r="J850" s="69">
        <v>44311.00775462963</v>
      </c>
      <c r="K850">
        <f>AVERAGE(H847:H851)</f>
        <v>122.5013761</v>
      </c>
      <c r="L850">
        <f>STDEV(H847:H851)</f>
        <v>83.03012567</v>
      </c>
      <c r="M850" s="70">
        <v>85.9300487640102</v>
      </c>
      <c r="N850" s="70">
        <v>85.9300487640102</v>
      </c>
      <c r="O850" s="70">
        <v>6.14300156351493</v>
      </c>
      <c r="P850" s="70">
        <v>6.14300156351493</v>
      </c>
    </row>
    <row r="851" hidden="1">
      <c r="A851" s="67" t="s">
        <v>1611</v>
      </c>
      <c r="B851" s="67" t="s">
        <v>17</v>
      </c>
      <c r="C851" s="68">
        <v>0.25</v>
      </c>
      <c r="D851" s="68">
        <v>1.0</v>
      </c>
      <c r="E851" s="68">
        <v>2.0</v>
      </c>
      <c r="F851" s="68">
        <v>4.0</v>
      </c>
      <c r="G851" s="68">
        <v>3.61944303641768</v>
      </c>
      <c r="H851" s="68">
        <v>164.877818016744</v>
      </c>
      <c r="I851" s="69">
        <v>44311.00846064815</v>
      </c>
      <c r="J851" s="69">
        <v>44311.05641203704</v>
      </c>
      <c r="K851">
        <f>AVERAGE(H847:H851)</f>
        <v>122.5013761</v>
      </c>
      <c r="L851">
        <f>STDEV(H847:H851)</f>
        <v>83.03012567</v>
      </c>
      <c r="M851" s="70">
        <v>164.877818016744</v>
      </c>
      <c r="N851" s="70">
        <v>164.877818016744</v>
      </c>
      <c r="O851" s="70">
        <v>3.61944303641768</v>
      </c>
      <c r="P851" s="70">
        <v>3.61944303641768</v>
      </c>
    </row>
    <row r="852" hidden="1">
      <c r="A852" s="67" t="s">
        <v>1612</v>
      </c>
      <c r="B852" s="67" t="s">
        <v>17</v>
      </c>
      <c r="C852" s="68">
        <v>0.5</v>
      </c>
      <c r="D852" s="68">
        <v>0.1</v>
      </c>
      <c r="E852" s="68">
        <v>2.0</v>
      </c>
      <c r="F852" s="68">
        <v>0.0</v>
      </c>
      <c r="G852" s="68">
        <v>4.09958199980173</v>
      </c>
      <c r="H852" s="68">
        <v>174.537437657342</v>
      </c>
      <c r="I852" s="69">
        <v>44311.057118055556</v>
      </c>
      <c r="J852" s="69">
        <v>44311.06762731481</v>
      </c>
      <c r="K852">
        <f>AVERAGE(H852:H856)</f>
        <v>119.1750825</v>
      </c>
      <c r="L852">
        <f>STDEV(H852:H856)</f>
        <v>101.6564224</v>
      </c>
      <c r="M852" s="70">
        <v>174.537437657342</v>
      </c>
      <c r="N852" s="70">
        <v>174.537437657342</v>
      </c>
      <c r="O852" s="70">
        <v>4.09958199980173</v>
      </c>
      <c r="P852" s="70">
        <v>4.09958199980173</v>
      </c>
    </row>
    <row r="853" hidden="1">
      <c r="A853" s="67" t="s">
        <v>1613</v>
      </c>
      <c r="B853" s="67" t="s">
        <v>17</v>
      </c>
      <c r="C853" s="68">
        <v>0.5</v>
      </c>
      <c r="D853" s="68">
        <v>0.1</v>
      </c>
      <c r="E853" s="68">
        <v>2.0</v>
      </c>
      <c r="F853" s="68">
        <v>1.0</v>
      </c>
      <c r="G853" s="68">
        <v>4.73921646580727</v>
      </c>
      <c r="H853" s="68">
        <v>197.544322907316</v>
      </c>
      <c r="I853" s="69">
        <v>44311.068344907406</v>
      </c>
      <c r="J853" s="69">
        <v>44311.07130787037</v>
      </c>
      <c r="K853">
        <f>AVERAGE(H852:H856)</f>
        <v>119.1750825</v>
      </c>
      <c r="L853">
        <f>STDEV(H852:H856)</f>
        <v>101.6564224</v>
      </c>
      <c r="M853" s="70">
        <v>197.544322907316</v>
      </c>
      <c r="N853" s="70">
        <v>197.544322907316</v>
      </c>
      <c r="O853" s="70">
        <v>4.73921646580727</v>
      </c>
      <c r="P853" s="70">
        <v>4.73921646580727</v>
      </c>
    </row>
    <row r="854" hidden="1">
      <c r="A854" s="67" t="s">
        <v>1614</v>
      </c>
      <c r="B854" s="67" t="s">
        <v>17</v>
      </c>
      <c r="C854" s="68">
        <v>0.5</v>
      </c>
      <c r="D854" s="68">
        <v>0.1</v>
      </c>
      <c r="E854" s="68">
        <v>2.0</v>
      </c>
      <c r="F854" s="68">
        <v>2.0</v>
      </c>
      <c r="G854" s="68">
        <v>1.08333620263985</v>
      </c>
      <c r="H854" s="68">
        <v>16.7906829175012</v>
      </c>
      <c r="I854" s="69">
        <v>44311.07202546296</v>
      </c>
      <c r="J854" s="69">
        <v>44311.074224537035</v>
      </c>
      <c r="K854">
        <f>AVERAGE(H852:H856)</f>
        <v>119.1750825</v>
      </c>
      <c r="L854">
        <f>STDEV(H852:H856)</f>
        <v>101.6564224</v>
      </c>
      <c r="M854" s="70">
        <v>16.7906829175012</v>
      </c>
      <c r="N854" s="70">
        <v>16.7906829175012</v>
      </c>
      <c r="O854" s="70">
        <v>1.08333620263985</v>
      </c>
      <c r="P854" s="70">
        <v>1.08333620263985</v>
      </c>
    </row>
    <row r="855" hidden="1">
      <c r="A855" s="67" t="s">
        <v>1615</v>
      </c>
      <c r="B855" s="67" t="s">
        <v>17</v>
      </c>
      <c r="C855" s="68">
        <v>0.5</v>
      </c>
      <c r="D855" s="68">
        <v>0.1</v>
      </c>
      <c r="E855" s="68">
        <v>2.0</v>
      </c>
      <c r="F855" s="68">
        <v>3.0</v>
      </c>
      <c r="G855" s="68">
        <v>0.534295662254596</v>
      </c>
      <c r="H855" s="68">
        <v>0.653305083531628</v>
      </c>
      <c r="I855" s="69">
        <v>44311.07493055556</v>
      </c>
      <c r="J855" s="69">
        <v>44311.075833333336</v>
      </c>
      <c r="K855">
        <f>AVERAGE(H852:H856)</f>
        <v>119.1750825</v>
      </c>
      <c r="L855">
        <f>STDEV(H852:H856)</f>
        <v>101.6564224</v>
      </c>
      <c r="M855" s="70">
        <v>0.653305083531628</v>
      </c>
      <c r="N855" s="70">
        <v>0.653305083531628</v>
      </c>
      <c r="O855" s="70">
        <v>0.534295662254596</v>
      </c>
      <c r="P855" s="70">
        <v>0.534295662254596</v>
      </c>
    </row>
    <row r="856" hidden="1">
      <c r="A856" s="67" t="s">
        <v>1616</v>
      </c>
      <c r="B856" s="67" t="s">
        <v>17</v>
      </c>
      <c r="C856" s="68">
        <v>0.5</v>
      </c>
      <c r="D856" s="68">
        <v>0.1</v>
      </c>
      <c r="E856" s="68">
        <v>2.0</v>
      </c>
      <c r="F856" s="68">
        <v>4.0</v>
      </c>
      <c r="G856" s="68">
        <v>7.17535466366705</v>
      </c>
      <c r="H856" s="68">
        <v>206.349663817906</v>
      </c>
      <c r="I856" s="69">
        <v>44311.07653935185</v>
      </c>
      <c r="J856" s="69">
        <v>44311.07659722222</v>
      </c>
      <c r="K856">
        <f>AVERAGE(H852:H856)</f>
        <v>119.1750825</v>
      </c>
      <c r="L856">
        <f>STDEV(H852:H856)</f>
        <v>101.6564224</v>
      </c>
      <c r="M856" s="70">
        <v>206.349663817906</v>
      </c>
      <c r="N856" s="70">
        <v>206.349663817906</v>
      </c>
      <c r="O856" s="70">
        <v>7.17535466366705</v>
      </c>
      <c r="P856" s="70">
        <v>7.17535466366705</v>
      </c>
    </row>
    <row r="857" hidden="1">
      <c r="A857" s="67" t="s">
        <v>1617</v>
      </c>
      <c r="B857" s="67" t="s">
        <v>17</v>
      </c>
      <c r="C857" s="68">
        <v>0.5</v>
      </c>
      <c r="D857" s="68">
        <v>0.25</v>
      </c>
      <c r="E857" s="68">
        <v>2.0</v>
      </c>
      <c r="F857" s="68">
        <v>0.0</v>
      </c>
      <c r="G857" s="68">
        <v>5.5558819498562</v>
      </c>
      <c r="H857" s="68">
        <v>217.272943522173</v>
      </c>
      <c r="I857" s="69">
        <v>44311.07730324074</v>
      </c>
      <c r="J857" s="69">
        <v>44311.07934027778</v>
      </c>
      <c r="K857">
        <f>AVERAGE(H857:H861)</f>
        <v>150.2408941</v>
      </c>
      <c r="L857">
        <f>STDEV(H857:H861)</f>
        <v>111.3246816</v>
      </c>
      <c r="M857" s="70">
        <v>217.272943522173</v>
      </c>
      <c r="N857" s="70">
        <v>217.272943522173</v>
      </c>
      <c r="O857" s="70">
        <v>5.5558819498562</v>
      </c>
      <c r="P857" s="70">
        <v>5.5558819498562</v>
      </c>
    </row>
    <row r="858" hidden="1">
      <c r="A858" s="67" t="s">
        <v>1618</v>
      </c>
      <c r="B858" s="67" t="s">
        <v>17</v>
      </c>
      <c r="C858" s="68">
        <v>0.5</v>
      </c>
      <c r="D858" s="68">
        <v>0.25</v>
      </c>
      <c r="E858" s="68">
        <v>2.0</v>
      </c>
      <c r="F858" s="68">
        <v>1.0</v>
      </c>
      <c r="G858" s="68">
        <v>9.21269234540256</v>
      </c>
      <c r="H858" s="68">
        <v>291.405893039211</v>
      </c>
      <c r="I858" s="69">
        <v>44311.08005787037</v>
      </c>
      <c r="J858" s="69">
        <v>44311.08025462963</v>
      </c>
      <c r="K858">
        <f>AVERAGE(H857:H861)</f>
        <v>150.2408941</v>
      </c>
      <c r="L858">
        <f>STDEV(H857:H861)</f>
        <v>111.3246816</v>
      </c>
      <c r="M858" s="70">
        <v>291.405893039211</v>
      </c>
      <c r="N858" s="70">
        <v>291.405893039211</v>
      </c>
      <c r="O858" s="70">
        <v>9.21269234540256</v>
      </c>
      <c r="P858" s="70">
        <v>9.21269234540256</v>
      </c>
    </row>
    <row r="859" hidden="1">
      <c r="A859" s="67" t="s">
        <v>1619</v>
      </c>
      <c r="B859" s="67" t="s">
        <v>17</v>
      </c>
      <c r="C859" s="68">
        <v>0.5</v>
      </c>
      <c r="D859" s="68">
        <v>0.25</v>
      </c>
      <c r="E859" s="68">
        <v>2.0</v>
      </c>
      <c r="F859" s="68">
        <v>2.0</v>
      </c>
      <c r="G859" s="68">
        <v>3.24772078167012</v>
      </c>
      <c r="H859" s="68">
        <v>143.73580911776</v>
      </c>
      <c r="I859" s="69">
        <v>44311.08096064815</v>
      </c>
      <c r="J859" s="69">
        <v>44311.104317129626</v>
      </c>
      <c r="K859">
        <f>AVERAGE(H857:H861)</f>
        <v>150.2408941</v>
      </c>
      <c r="L859">
        <f>STDEV(H857:H861)</f>
        <v>111.3246816</v>
      </c>
      <c r="M859" s="70">
        <v>143.73580911776</v>
      </c>
      <c r="N859" s="70">
        <v>143.73580911776</v>
      </c>
      <c r="O859" s="70">
        <v>3.24772078167012</v>
      </c>
      <c r="P859" s="70">
        <v>3.24772078167012</v>
      </c>
    </row>
    <row r="860" hidden="1">
      <c r="A860" s="67" t="s">
        <v>1620</v>
      </c>
      <c r="B860" s="67" t="s">
        <v>17</v>
      </c>
      <c r="C860" s="68">
        <v>0.5</v>
      </c>
      <c r="D860" s="68">
        <v>0.25</v>
      </c>
      <c r="E860" s="68">
        <v>2.0</v>
      </c>
      <c r="F860" s="68">
        <v>3.0</v>
      </c>
      <c r="G860" s="68">
        <v>1.73426863167234</v>
      </c>
      <c r="H860" s="68">
        <v>98.2300749820252</v>
      </c>
      <c r="I860" s="69">
        <v>44311.10502314815</v>
      </c>
      <c r="J860" s="69">
        <v>44311.11945601852</v>
      </c>
      <c r="K860">
        <f>AVERAGE(H857:H861)</f>
        <v>150.2408941</v>
      </c>
      <c r="L860">
        <f>STDEV(H857:H861)</f>
        <v>111.3246816</v>
      </c>
      <c r="M860" s="70">
        <v>98.2300749820252</v>
      </c>
      <c r="N860" s="70">
        <v>98.2300749820252</v>
      </c>
      <c r="O860" s="70">
        <v>1.73426863167234</v>
      </c>
      <c r="P860" s="70">
        <v>1.73426863167234</v>
      </c>
    </row>
    <row r="861" hidden="1">
      <c r="A861" s="67" t="s">
        <v>1621</v>
      </c>
      <c r="B861" s="67" t="s">
        <v>17</v>
      </c>
      <c r="C861" s="68">
        <v>0.5</v>
      </c>
      <c r="D861" s="68">
        <v>0.25</v>
      </c>
      <c r="E861" s="68">
        <v>2.0</v>
      </c>
      <c r="F861" s="68">
        <v>4.0</v>
      </c>
      <c r="G861" s="68">
        <v>0.467554939953217</v>
      </c>
      <c r="H861" s="68">
        <v>0.559749896546031</v>
      </c>
      <c r="I861" s="69">
        <v>44311.120162037034</v>
      </c>
      <c r="J861" s="69">
        <v>44311.12033564815</v>
      </c>
      <c r="K861">
        <f>AVERAGE(H857:H861)</f>
        <v>150.2408941</v>
      </c>
      <c r="L861">
        <f>STDEV(H857:H861)</f>
        <v>111.3246816</v>
      </c>
      <c r="M861" s="70">
        <v>0.559749896546031</v>
      </c>
      <c r="N861" s="70">
        <v>0.559749896546031</v>
      </c>
      <c r="O861" s="70">
        <v>0.467554939953217</v>
      </c>
      <c r="P861" s="70">
        <v>0.467554939953217</v>
      </c>
    </row>
    <row r="862" hidden="1">
      <c r="A862" s="67" t="s">
        <v>1622</v>
      </c>
      <c r="B862" s="67" t="s">
        <v>17</v>
      </c>
      <c r="C862" s="68">
        <v>0.5</v>
      </c>
      <c r="D862" s="68">
        <v>0.5</v>
      </c>
      <c r="E862" s="68">
        <v>2.0</v>
      </c>
      <c r="F862" s="68">
        <v>0.0</v>
      </c>
      <c r="G862" s="68">
        <v>1.70098806218075</v>
      </c>
      <c r="H862" s="68">
        <v>29.1305243154326</v>
      </c>
      <c r="I862" s="69">
        <v>44311.121041666665</v>
      </c>
      <c r="J862" s="69">
        <v>44311.121412037035</v>
      </c>
      <c r="K862">
        <f>AVERAGE(H862:H866)</f>
        <v>81.66268504</v>
      </c>
      <c r="L862">
        <f>STDEV(H862:H866)</f>
        <v>78.01262884</v>
      </c>
      <c r="M862" s="70">
        <v>29.1305243154326</v>
      </c>
      <c r="N862" s="70">
        <v>29.1305243154326</v>
      </c>
      <c r="O862" s="70">
        <v>1.70098806218075</v>
      </c>
      <c r="P862" s="70">
        <v>1.70098806218075</v>
      </c>
    </row>
    <row r="863" hidden="1">
      <c r="A863" s="67" t="s">
        <v>1623</v>
      </c>
      <c r="B863" s="67" t="s">
        <v>17</v>
      </c>
      <c r="C863" s="68">
        <v>0.5</v>
      </c>
      <c r="D863" s="68">
        <v>0.5</v>
      </c>
      <c r="E863" s="68">
        <v>2.0</v>
      </c>
      <c r="F863" s="68">
        <v>1.0</v>
      </c>
      <c r="G863" s="68">
        <v>0.71205655889852</v>
      </c>
      <c r="H863" s="68">
        <v>0.948977832482219</v>
      </c>
      <c r="I863" s="69">
        <v>44311.12212962963</v>
      </c>
      <c r="J863" s="69">
        <v>44311.122349537036</v>
      </c>
      <c r="K863">
        <f>AVERAGE(H862:H866)</f>
        <v>81.66268504</v>
      </c>
      <c r="L863">
        <f>STDEV(H862:H866)</f>
        <v>78.01262884</v>
      </c>
      <c r="M863" s="70">
        <v>0.948977832482219</v>
      </c>
      <c r="N863" s="70">
        <v>0.948977832482219</v>
      </c>
      <c r="O863" s="70">
        <v>0.71205655889852</v>
      </c>
      <c r="P863" s="70">
        <v>0.71205655889852</v>
      </c>
    </row>
    <row r="864" hidden="1">
      <c r="A864" s="67" t="s">
        <v>1624</v>
      </c>
      <c r="B864" s="67" t="s">
        <v>17</v>
      </c>
      <c r="C864" s="68">
        <v>0.5</v>
      </c>
      <c r="D864" s="68">
        <v>0.5</v>
      </c>
      <c r="E864" s="68">
        <v>2.0</v>
      </c>
      <c r="F864" s="68">
        <v>2.0</v>
      </c>
      <c r="G864" s="68">
        <v>2.48827350719733</v>
      </c>
      <c r="H864" s="68">
        <v>131.803019410388</v>
      </c>
      <c r="I864" s="69">
        <v>44311.12306712963</v>
      </c>
      <c r="J864" s="69">
        <v>44311.12329861111</v>
      </c>
      <c r="K864">
        <f>AVERAGE(H862:H866)</f>
        <v>81.66268504</v>
      </c>
      <c r="L864">
        <f>STDEV(H862:H866)</f>
        <v>78.01262884</v>
      </c>
      <c r="M864" s="70">
        <v>131.803019410388</v>
      </c>
      <c r="N864" s="70">
        <v>131.803019410388</v>
      </c>
      <c r="O864" s="70">
        <v>2.48827350719733</v>
      </c>
      <c r="P864" s="70">
        <v>2.48827350719733</v>
      </c>
    </row>
    <row r="865" hidden="1">
      <c r="A865" s="67" t="s">
        <v>1625</v>
      </c>
      <c r="B865" s="67" t="s">
        <v>17</v>
      </c>
      <c r="C865" s="68">
        <v>0.5</v>
      </c>
      <c r="D865" s="68">
        <v>0.5</v>
      </c>
      <c r="E865" s="68">
        <v>2.0</v>
      </c>
      <c r="F865" s="68">
        <v>3.0</v>
      </c>
      <c r="G865" s="68">
        <v>1.07309209470465</v>
      </c>
      <c r="H865" s="68">
        <v>55.7534899094605</v>
      </c>
      <c r="I865" s="69">
        <v>44311.12400462963</v>
      </c>
      <c r="J865" s="69">
        <v>44311.126967592594</v>
      </c>
      <c r="K865">
        <f>AVERAGE(H862:H866)</f>
        <v>81.66268504</v>
      </c>
      <c r="L865">
        <f>STDEV(H862:H866)</f>
        <v>78.01262884</v>
      </c>
      <c r="M865" s="70">
        <v>55.7534899094605</v>
      </c>
      <c r="N865" s="70">
        <v>55.7534899094605</v>
      </c>
      <c r="O865" s="70">
        <v>1.07309209470465</v>
      </c>
      <c r="P865" s="70">
        <v>1.07309209470465</v>
      </c>
    </row>
    <row r="866" hidden="1">
      <c r="A866" s="67" t="s">
        <v>1626</v>
      </c>
      <c r="B866" s="67" t="s">
        <v>17</v>
      </c>
      <c r="C866" s="68">
        <v>0.5</v>
      </c>
      <c r="D866" s="68">
        <v>0.5</v>
      </c>
      <c r="E866" s="68">
        <v>2.0</v>
      </c>
      <c r="F866" s="68">
        <v>4.0</v>
      </c>
      <c r="G866" s="68">
        <v>4.48083938235187</v>
      </c>
      <c r="H866" s="68">
        <v>190.677413711339</v>
      </c>
      <c r="I866" s="69">
        <v>44311.12767361111</v>
      </c>
      <c r="J866" s="69">
        <v>44311.164618055554</v>
      </c>
      <c r="K866">
        <f>AVERAGE(H862:H866)</f>
        <v>81.66268504</v>
      </c>
      <c r="L866">
        <f>STDEV(H862:H866)</f>
        <v>78.01262884</v>
      </c>
      <c r="M866" s="70">
        <v>190.677413711339</v>
      </c>
      <c r="N866" s="70">
        <v>190.677413711339</v>
      </c>
      <c r="O866" s="70">
        <v>4.48083938235187</v>
      </c>
      <c r="P866" s="70">
        <v>4.48083938235187</v>
      </c>
    </row>
    <row r="867" hidden="1">
      <c r="A867" s="67" t="s">
        <v>1627</v>
      </c>
      <c r="B867" s="67" t="s">
        <v>17</v>
      </c>
      <c r="C867" s="68">
        <v>0.5</v>
      </c>
      <c r="D867" s="68">
        <v>0.75</v>
      </c>
      <c r="E867" s="68">
        <v>2.0</v>
      </c>
      <c r="F867" s="68">
        <v>0.0</v>
      </c>
      <c r="G867" s="68">
        <v>3.71244783003052</v>
      </c>
      <c r="H867" s="68">
        <v>180.592504460295</v>
      </c>
      <c r="I867" s="69">
        <v>44311.16532407407</v>
      </c>
      <c r="J867" s="69">
        <v>44311.18822916667</v>
      </c>
      <c r="K867">
        <f>AVERAGE(H867:H871)</f>
        <v>88.74903412</v>
      </c>
      <c r="L867">
        <f>STDEV(H867:H871)</f>
        <v>77.83484506</v>
      </c>
      <c r="M867" s="70">
        <v>180.592504460295</v>
      </c>
      <c r="N867" s="70">
        <v>180.592504460295</v>
      </c>
      <c r="O867" s="70">
        <v>3.71244783003052</v>
      </c>
      <c r="P867" s="70">
        <v>3.71244783003052</v>
      </c>
    </row>
    <row r="868" hidden="1">
      <c r="A868" s="67" t="s">
        <v>1628</v>
      </c>
      <c r="B868" s="67" t="s">
        <v>17</v>
      </c>
      <c r="C868" s="68">
        <v>0.5</v>
      </c>
      <c r="D868" s="68">
        <v>0.75</v>
      </c>
      <c r="E868" s="68">
        <v>2.0</v>
      </c>
      <c r="F868" s="68">
        <v>1.0</v>
      </c>
      <c r="G868" s="68">
        <v>3.44457495332081</v>
      </c>
      <c r="H868" s="68">
        <v>156.617931206918</v>
      </c>
      <c r="I868" s="69">
        <v>44311.18894675926</v>
      </c>
      <c r="J868" s="69">
        <v>44311.19894675926</v>
      </c>
      <c r="K868">
        <f>AVERAGE(H867:H871)</f>
        <v>88.74903412</v>
      </c>
      <c r="L868">
        <f>STDEV(H867:H871)</f>
        <v>77.83484506</v>
      </c>
      <c r="M868" s="70">
        <v>156.617931206918</v>
      </c>
      <c r="N868" s="70">
        <v>156.617931206918</v>
      </c>
      <c r="O868" s="70">
        <v>3.44457495332081</v>
      </c>
      <c r="P868" s="70">
        <v>3.44457495332081</v>
      </c>
    </row>
    <row r="869" hidden="1">
      <c r="A869" s="67" t="s">
        <v>1629</v>
      </c>
      <c r="B869" s="67" t="s">
        <v>17</v>
      </c>
      <c r="C869" s="68">
        <v>0.5</v>
      </c>
      <c r="D869" s="68">
        <v>0.75</v>
      </c>
      <c r="E869" s="68">
        <v>2.0</v>
      </c>
      <c r="F869" s="68">
        <v>2.0</v>
      </c>
      <c r="G869" s="68">
        <v>1.08269881214681</v>
      </c>
      <c r="H869" s="68">
        <v>1.45225338817616</v>
      </c>
      <c r="I869" s="69">
        <v>44311.19966435185</v>
      </c>
      <c r="J869" s="69">
        <v>44311.19976851852</v>
      </c>
      <c r="K869">
        <f>AVERAGE(H867:H871)</f>
        <v>88.74903412</v>
      </c>
      <c r="L869">
        <f>STDEV(H867:H871)</f>
        <v>77.83484506</v>
      </c>
      <c r="M869" s="70">
        <v>1.45225338817616</v>
      </c>
      <c r="N869" s="70">
        <v>1.45225338817616</v>
      </c>
      <c r="O869" s="70">
        <v>1.08269881214681</v>
      </c>
      <c r="P869" s="70">
        <v>1.08269881214681</v>
      </c>
    </row>
    <row r="870" hidden="1">
      <c r="A870" s="67" t="s">
        <v>1630</v>
      </c>
      <c r="B870" s="67" t="s">
        <v>17</v>
      </c>
      <c r="C870" s="68">
        <v>0.5</v>
      </c>
      <c r="D870" s="68">
        <v>0.75</v>
      </c>
      <c r="E870" s="68">
        <v>2.0</v>
      </c>
      <c r="F870" s="68">
        <v>3.0</v>
      </c>
      <c r="G870" s="68">
        <v>1.50418391639045</v>
      </c>
      <c r="H870" s="68">
        <v>74.3231790097971</v>
      </c>
      <c r="I870" s="69">
        <v>44311.20048611111</v>
      </c>
      <c r="J870" s="69">
        <v>44311.201273148145</v>
      </c>
      <c r="K870">
        <f>AVERAGE(H867:H871)</f>
        <v>88.74903412</v>
      </c>
      <c r="L870">
        <f>STDEV(H867:H871)</f>
        <v>77.83484506</v>
      </c>
      <c r="M870" s="70">
        <v>74.3231790097971</v>
      </c>
      <c r="N870" s="70">
        <v>74.3231790097971</v>
      </c>
      <c r="O870" s="70">
        <v>1.50418391639045</v>
      </c>
      <c r="P870" s="70">
        <v>1.50418391639045</v>
      </c>
    </row>
    <row r="871" hidden="1">
      <c r="A871" s="67" t="s">
        <v>1631</v>
      </c>
      <c r="B871" s="67" t="s">
        <v>17</v>
      </c>
      <c r="C871" s="68">
        <v>0.5</v>
      </c>
      <c r="D871" s="68">
        <v>0.75</v>
      </c>
      <c r="E871" s="68">
        <v>2.0</v>
      </c>
      <c r="F871" s="68">
        <v>4.0</v>
      </c>
      <c r="G871" s="68">
        <v>1.79184363932154</v>
      </c>
      <c r="H871" s="68">
        <v>30.7593025513673</v>
      </c>
      <c r="I871" s="69">
        <v>44311.20199074074</v>
      </c>
      <c r="J871" s="69">
        <v>44311.20229166667</v>
      </c>
      <c r="K871">
        <f>AVERAGE(H867:H871)</f>
        <v>88.74903412</v>
      </c>
      <c r="L871">
        <f>STDEV(H867:H871)</f>
        <v>77.83484506</v>
      </c>
      <c r="M871" s="70">
        <v>30.7593025513673</v>
      </c>
      <c r="N871" s="70">
        <v>30.7593025513673</v>
      </c>
      <c r="O871" s="70">
        <v>1.79184363932154</v>
      </c>
      <c r="P871" s="70">
        <v>1.79184363932154</v>
      </c>
    </row>
    <row r="872" hidden="1">
      <c r="A872" s="67" t="s">
        <v>1632</v>
      </c>
      <c r="B872" s="67" t="s">
        <v>17</v>
      </c>
      <c r="C872" s="68">
        <v>0.5</v>
      </c>
      <c r="D872" s="68">
        <v>1.0</v>
      </c>
      <c r="E872" s="68">
        <v>2.0</v>
      </c>
      <c r="F872" s="68">
        <v>0.0</v>
      </c>
      <c r="G872" s="68">
        <v>2.2951177071166</v>
      </c>
      <c r="H872" s="68">
        <v>116.639248331052</v>
      </c>
      <c r="I872" s="69">
        <v>44311.20300925926</v>
      </c>
      <c r="J872" s="69">
        <v>44311.25564814815</v>
      </c>
      <c r="K872">
        <f>AVERAGE(H872:H876)</f>
        <v>151.5482875</v>
      </c>
      <c r="L872">
        <f>STDEV(H872:H876)</f>
        <v>109.8807842</v>
      </c>
      <c r="M872" s="70">
        <v>116.639248331052</v>
      </c>
      <c r="N872" s="70">
        <v>116.639248331052</v>
      </c>
      <c r="O872" s="70">
        <v>2.2951177071166</v>
      </c>
      <c r="P872" s="70">
        <v>2.2951177071166</v>
      </c>
    </row>
    <row r="873" hidden="1">
      <c r="A873" s="67" t="s">
        <v>1633</v>
      </c>
      <c r="B873" s="67" t="s">
        <v>17</v>
      </c>
      <c r="C873" s="68">
        <v>0.5</v>
      </c>
      <c r="D873" s="68">
        <v>1.0</v>
      </c>
      <c r="E873" s="68">
        <v>2.0</v>
      </c>
      <c r="F873" s="68">
        <v>1.0</v>
      </c>
      <c r="G873" s="68">
        <v>9.46827607686259</v>
      </c>
      <c r="H873" s="68">
        <v>291.279634188801</v>
      </c>
      <c r="I873" s="69">
        <v>44311.25635416667</v>
      </c>
      <c r="J873" s="69">
        <v>44311.25740740741</v>
      </c>
      <c r="K873">
        <f>AVERAGE(H872:H876)</f>
        <v>151.5482875</v>
      </c>
      <c r="L873">
        <f>STDEV(H872:H876)</f>
        <v>109.8807842</v>
      </c>
      <c r="M873" s="70">
        <v>291.279634188801</v>
      </c>
      <c r="N873" s="70">
        <v>291.279634188801</v>
      </c>
      <c r="O873" s="70">
        <v>9.46827607686259</v>
      </c>
      <c r="P873" s="70">
        <v>9.46827607686259</v>
      </c>
    </row>
    <row r="874" hidden="1">
      <c r="A874" s="67" t="s">
        <v>1634</v>
      </c>
      <c r="B874" s="67" t="s">
        <v>17</v>
      </c>
      <c r="C874" s="68">
        <v>0.5</v>
      </c>
      <c r="D874" s="68">
        <v>1.0</v>
      </c>
      <c r="E874" s="68">
        <v>2.0</v>
      </c>
      <c r="F874" s="68">
        <v>2.0</v>
      </c>
      <c r="G874" s="68">
        <v>3.13183148519407</v>
      </c>
      <c r="H874" s="68">
        <v>131.429867400394</v>
      </c>
      <c r="I874" s="69">
        <v>44311.258125</v>
      </c>
      <c r="J874" s="69">
        <v>44311.25834490741</v>
      </c>
      <c r="K874">
        <f>AVERAGE(H872:H876)</f>
        <v>151.5482875</v>
      </c>
      <c r="L874">
        <f>STDEV(H872:H876)</f>
        <v>109.8807842</v>
      </c>
      <c r="M874" s="70">
        <v>131.429867400394</v>
      </c>
      <c r="N874" s="70">
        <v>131.429867400394</v>
      </c>
      <c r="O874" s="70">
        <v>3.13183148519407</v>
      </c>
      <c r="P874" s="70">
        <v>3.13183148519407</v>
      </c>
    </row>
    <row r="875" hidden="1">
      <c r="A875" s="67" t="s">
        <v>1635</v>
      </c>
      <c r="B875" s="67" t="s">
        <v>17</v>
      </c>
      <c r="C875" s="68">
        <v>0.5</v>
      </c>
      <c r="D875" s="68">
        <v>1.0</v>
      </c>
      <c r="E875" s="68">
        <v>2.0</v>
      </c>
      <c r="F875" s="68">
        <v>3.0</v>
      </c>
      <c r="G875" s="68">
        <v>8.38948199032622</v>
      </c>
      <c r="H875" s="68">
        <v>217.730973322204</v>
      </c>
      <c r="I875" s="69">
        <v>44311.259050925924</v>
      </c>
      <c r="J875" s="69">
        <v>44311.259097222224</v>
      </c>
      <c r="K875">
        <f>AVERAGE(H872:H876)</f>
        <v>151.5482875</v>
      </c>
      <c r="L875">
        <f>STDEV(H872:H876)</f>
        <v>109.8807842</v>
      </c>
      <c r="M875" s="70">
        <v>217.730973322204</v>
      </c>
      <c r="N875" s="70">
        <v>217.730973322204</v>
      </c>
      <c r="O875" s="70">
        <v>8.38948199032622</v>
      </c>
      <c r="P875" s="70">
        <v>8.38948199032622</v>
      </c>
    </row>
    <row r="876" hidden="1">
      <c r="A876" s="67" t="s">
        <v>1636</v>
      </c>
      <c r="B876" s="67" t="s">
        <v>17</v>
      </c>
      <c r="C876" s="68">
        <v>0.5</v>
      </c>
      <c r="D876" s="68">
        <v>1.0</v>
      </c>
      <c r="E876" s="68">
        <v>2.0</v>
      </c>
      <c r="F876" s="68">
        <v>4.0</v>
      </c>
      <c r="G876" s="68">
        <v>0.540527840855597</v>
      </c>
      <c r="H876" s="68">
        <v>0.661714315571814</v>
      </c>
      <c r="I876" s="69">
        <v>44311.25981481482</v>
      </c>
      <c r="J876" s="69">
        <v>44311.25991898148</v>
      </c>
      <c r="K876">
        <f>AVERAGE(H872:H876)</f>
        <v>151.5482875</v>
      </c>
      <c r="L876">
        <f>STDEV(H872:H876)</f>
        <v>109.8807842</v>
      </c>
      <c r="M876" s="70">
        <v>0.661714315571814</v>
      </c>
      <c r="N876" s="70">
        <v>0.661714315571814</v>
      </c>
      <c r="O876" s="70">
        <v>0.540527840855597</v>
      </c>
      <c r="P876" s="70">
        <v>0.540527840855597</v>
      </c>
    </row>
    <row r="877" hidden="1">
      <c r="A877" s="67" t="s">
        <v>1637</v>
      </c>
      <c r="B877" s="67" t="s">
        <v>17</v>
      </c>
      <c r="C877" s="68">
        <v>0.75</v>
      </c>
      <c r="D877" s="68">
        <v>0.1</v>
      </c>
      <c r="E877" s="68">
        <v>2.0</v>
      </c>
      <c r="F877" s="68">
        <v>0.0</v>
      </c>
      <c r="G877" s="68">
        <v>2.63523877958625</v>
      </c>
      <c r="H877" s="68">
        <v>123.654620567394</v>
      </c>
      <c r="I877" s="69">
        <v>44311.260625</v>
      </c>
      <c r="J877" s="69">
        <v>44311.32894675926</v>
      </c>
      <c r="K877">
        <f>AVERAGE(H877:H881)</f>
        <v>143.1420577</v>
      </c>
      <c r="L877">
        <f>STDEV(H877:H881)</f>
        <v>141.1466584</v>
      </c>
      <c r="M877" s="70">
        <v>123.654620567394</v>
      </c>
      <c r="N877" s="70">
        <v>123.654620567394</v>
      </c>
      <c r="O877" s="70">
        <v>2.63523877958625</v>
      </c>
      <c r="P877" s="70">
        <v>2.63523877958625</v>
      </c>
    </row>
    <row r="878" hidden="1">
      <c r="A878" s="67" t="s">
        <v>1638</v>
      </c>
      <c r="B878" s="67" t="s">
        <v>17</v>
      </c>
      <c r="C878" s="68">
        <v>0.75</v>
      </c>
      <c r="D878" s="68">
        <v>0.1</v>
      </c>
      <c r="E878" s="68">
        <v>2.0</v>
      </c>
      <c r="F878" s="68">
        <v>1.0</v>
      </c>
      <c r="G878" s="68">
        <v>8.92395987050521</v>
      </c>
      <c r="H878" s="68">
        <v>286.016639146837</v>
      </c>
      <c r="I878" s="69">
        <v>44311.32965277778</v>
      </c>
      <c r="J878" s="69">
        <v>44311.33039351852</v>
      </c>
      <c r="K878">
        <f>AVERAGE(H877:H881)</f>
        <v>143.1420577</v>
      </c>
      <c r="L878">
        <f>STDEV(H877:H881)</f>
        <v>141.1466584</v>
      </c>
      <c r="M878" s="70">
        <v>286.016639146837</v>
      </c>
      <c r="N878" s="70">
        <v>286.016639146837</v>
      </c>
      <c r="O878" s="70">
        <v>8.92395987050521</v>
      </c>
      <c r="P878" s="70">
        <v>8.92395987050521</v>
      </c>
    </row>
    <row r="879" hidden="1">
      <c r="A879" s="67" t="s">
        <v>1639</v>
      </c>
      <c r="B879" s="67" t="s">
        <v>17</v>
      </c>
      <c r="C879" s="68">
        <v>0.75</v>
      </c>
      <c r="D879" s="68">
        <v>0.1</v>
      </c>
      <c r="E879" s="68">
        <v>2.0</v>
      </c>
      <c r="F879" s="68">
        <v>2.0</v>
      </c>
      <c r="G879" s="68">
        <v>0.45804006466034</v>
      </c>
      <c r="H879" s="68">
        <v>0.548173195268089</v>
      </c>
      <c r="I879" s="69">
        <v>44311.331099537034</v>
      </c>
      <c r="J879" s="69">
        <v>44311.33126157407</v>
      </c>
      <c r="K879">
        <f>AVERAGE(H877:H881)</f>
        <v>143.1420577</v>
      </c>
      <c r="L879">
        <f>STDEV(H877:H881)</f>
        <v>141.1466584</v>
      </c>
      <c r="M879" s="70">
        <v>0.548173195268089</v>
      </c>
      <c r="N879" s="70">
        <v>0.548173195268089</v>
      </c>
      <c r="O879" s="70">
        <v>0.45804006466034</v>
      </c>
      <c r="P879" s="70">
        <v>0.45804006466034</v>
      </c>
    </row>
    <row r="880" hidden="1">
      <c r="A880" s="67" t="s">
        <v>1640</v>
      </c>
      <c r="B880" s="67" t="s">
        <v>17</v>
      </c>
      <c r="C880" s="68">
        <v>0.75</v>
      </c>
      <c r="D880" s="68">
        <v>0.1</v>
      </c>
      <c r="E880" s="68">
        <v>2.0</v>
      </c>
      <c r="F880" s="68">
        <v>3.0</v>
      </c>
      <c r="G880" s="68">
        <v>0.986112075366586</v>
      </c>
      <c r="H880" s="68">
        <v>14.2189950103105</v>
      </c>
      <c r="I880" s="69">
        <v>44311.331967592596</v>
      </c>
      <c r="J880" s="69">
        <v>44311.332083333335</v>
      </c>
      <c r="K880">
        <f>AVERAGE(H877:H881)</f>
        <v>143.1420577</v>
      </c>
      <c r="L880">
        <f>STDEV(H877:H881)</f>
        <v>141.1466584</v>
      </c>
      <c r="M880" s="70">
        <v>14.2189950103105</v>
      </c>
      <c r="N880" s="70">
        <v>14.2189950103105</v>
      </c>
      <c r="O880" s="70">
        <v>0.986112075366586</v>
      </c>
      <c r="P880" s="70">
        <v>0.986112075366586</v>
      </c>
    </row>
    <row r="881" hidden="1">
      <c r="A881" s="67" t="s">
        <v>1641</v>
      </c>
      <c r="B881" s="67" t="s">
        <v>17</v>
      </c>
      <c r="C881" s="68">
        <v>0.75</v>
      </c>
      <c r="D881" s="68">
        <v>0.1</v>
      </c>
      <c r="E881" s="68">
        <v>2.0</v>
      </c>
      <c r="F881" s="68">
        <v>4.0</v>
      </c>
      <c r="G881" s="68">
        <v>9.17182730502589</v>
      </c>
      <c r="H881" s="68">
        <v>291.27186044713</v>
      </c>
      <c r="I881" s="69">
        <v>44311.33280092593</v>
      </c>
      <c r="J881" s="69">
        <v>44311.33299768518</v>
      </c>
      <c r="K881">
        <f>AVERAGE(H877:H881)</f>
        <v>143.1420577</v>
      </c>
      <c r="L881">
        <f>STDEV(H877:H881)</f>
        <v>141.1466584</v>
      </c>
      <c r="M881" s="70">
        <v>291.27186044713</v>
      </c>
      <c r="N881" s="70">
        <v>291.27186044713</v>
      </c>
      <c r="O881" s="70">
        <v>9.17182730502589</v>
      </c>
      <c r="P881" s="70">
        <v>9.17182730502589</v>
      </c>
    </row>
    <row r="882" hidden="1">
      <c r="A882" s="67" t="s">
        <v>1642</v>
      </c>
      <c r="B882" s="67" t="s">
        <v>17</v>
      </c>
      <c r="C882" s="68">
        <v>0.75</v>
      </c>
      <c r="D882" s="68">
        <v>0.25</v>
      </c>
      <c r="E882" s="68">
        <v>2.0</v>
      </c>
      <c r="F882" s="68">
        <v>0.0</v>
      </c>
      <c r="G882" s="68">
        <v>3.16065829544187</v>
      </c>
      <c r="H882" s="68">
        <v>157.545696494929</v>
      </c>
      <c r="I882" s="69">
        <v>44311.333703703705</v>
      </c>
      <c r="J882" s="69">
        <v>44311.417592592596</v>
      </c>
      <c r="K882">
        <f>AVERAGE(H882:H886)</f>
        <v>141.5136307</v>
      </c>
      <c r="L882">
        <f>STDEV(H882:H886)</f>
        <v>77.7512461</v>
      </c>
      <c r="M882" s="70">
        <v>157.545696494929</v>
      </c>
      <c r="N882" s="70">
        <v>157.545696494929</v>
      </c>
      <c r="O882" s="70">
        <v>3.16065829544187</v>
      </c>
      <c r="P882" s="70">
        <v>3.16065829544187</v>
      </c>
    </row>
    <row r="883" hidden="1">
      <c r="A883" s="67" t="s">
        <v>1643</v>
      </c>
      <c r="B883" s="67" t="s">
        <v>17</v>
      </c>
      <c r="C883" s="68">
        <v>0.75</v>
      </c>
      <c r="D883" s="68">
        <v>0.25</v>
      </c>
      <c r="E883" s="68">
        <v>2.0</v>
      </c>
      <c r="F883" s="68">
        <v>1.0</v>
      </c>
      <c r="G883" s="68">
        <v>7.13643506413623</v>
      </c>
      <c r="H883" s="68">
        <v>196.25716666177</v>
      </c>
      <c r="I883" s="69">
        <v>44311.41829861111</v>
      </c>
      <c r="J883" s="69">
        <v>44311.41836805556</v>
      </c>
      <c r="K883">
        <f>AVERAGE(H882:H886)</f>
        <v>141.5136307</v>
      </c>
      <c r="L883">
        <f>STDEV(H882:H886)</f>
        <v>77.7512461</v>
      </c>
      <c r="M883" s="70">
        <v>196.25716666177</v>
      </c>
      <c r="N883" s="70">
        <v>196.25716666177</v>
      </c>
      <c r="O883" s="70">
        <v>7.13643506413623</v>
      </c>
      <c r="P883" s="70">
        <v>7.13643506413623</v>
      </c>
    </row>
    <row r="884" hidden="1">
      <c r="A884" s="67" t="s">
        <v>1644</v>
      </c>
      <c r="B884" s="67" t="s">
        <v>17</v>
      </c>
      <c r="C884" s="68">
        <v>0.75</v>
      </c>
      <c r="D884" s="68">
        <v>0.25</v>
      </c>
      <c r="E884" s="68">
        <v>2.0</v>
      </c>
      <c r="F884" s="68">
        <v>2.0</v>
      </c>
      <c r="G884" s="68">
        <v>0.986112075366586</v>
      </c>
      <c r="H884" s="68">
        <v>14.2189950103105</v>
      </c>
      <c r="I884" s="69">
        <v>44311.419074074074</v>
      </c>
      <c r="J884" s="69">
        <v>44311.41917824074</v>
      </c>
      <c r="K884">
        <f>AVERAGE(H882:H886)</f>
        <v>141.5136307</v>
      </c>
      <c r="L884">
        <f>STDEV(H882:H886)</f>
        <v>77.7512461</v>
      </c>
      <c r="M884" s="70">
        <v>14.2189950103105</v>
      </c>
      <c r="N884" s="70">
        <v>14.2189950103105</v>
      </c>
      <c r="O884" s="70">
        <v>0.986112075366586</v>
      </c>
      <c r="P884" s="70">
        <v>0.986112075366586</v>
      </c>
    </row>
    <row r="885" hidden="1">
      <c r="A885" s="67" t="s">
        <v>1645</v>
      </c>
      <c r="B885" s="67" t="s">
        <v>17</v>
      </c>
      <c r="C885" s="68">
        <v>0.75</v>
      </c>
      <c r="D885" s="68">
        <v>0.25</v>
      </c>
      <c r="E885" s="68">
        <v>2.0</v>
      </c>
      <c r="F885" s="68">
        <v>3.0</v>
      </c>
      <c r="G885" s="68">
        <v>7.36984431574421</v>
      </c>
      <c r="H885" s="68">
        <v>209.308058454888</v>
      </c>
      <c r="I885" s="69">
        <v>44311.419895833336</v>
      </c>
      <c r="J885" s="69">
        <v>44311.41994212963</v>
      </c>
      <c r="K885">
        <f>AVERAGE(H882:H886)</f>
        <v>141.5136307</v>
      </c>
      <c r="L885">
        <f>STDEV(H882:H886)</f>
        <v>77.7512461</v>
      </c>
      <c r="M885" s="70">
        <v>209.308058454888</v>
      </c>
      <c r="N885" s="70">
        <v>209.308058454888</v>
      </c>
      <c r="O885" s="70">
        <v>7.36984431574421</v>
      </c>
      <c r="P885" s="70">
        <v>7.36984431574421</v>
      </c>
    </row>
    <row r="886" hidden="1">
      <c r="A886" s="67" t="s">
        <v>1646</v>
      </c>
      <c r="B886" s="67" t="s">
        <v>17</v>
      </c>
      <c r="C886" s="68">
        <v>0.75</v>
      </c>
      <c r="D886" s="68">
        <v>0.25</v>
      </c>
      <c r="E886" s="68">
        <v>2.0</v>
      </c>
      <c r="F886" s="68">
        <v>4.0</v>
      </c>
      <c r="G886" s="68">
        <v>3.99727829616315</v>
      </c>
      <c r="H886" s="68">
        <v>130.238236947458</v>
      </c>
      <c r="I886" s="69">
        <v>44311.420648148145</v>
      </c>
      <c r="J886" s="69">
        <v>44311.42077546296</v>
      </c>
      <c r="K886">
        <f>AVERAGE(H882:H886)</f>
        <v>141.5136307</v>
      </c>
      <c r="L886">
        <f>STDEV(H882:H886)</f>
        <v>77.7512461</v>
      </c>
      <c r="M886" s="70">
        <v>130.238236947458</v>
      </c>
      <c r="N886" s="70">
        <v>130.238236947458</v>
      </c>
      <c r="O886" s="70">
        <v>3.99727829616315</v>
      </c>
      <c r="P886" s="70">
        <v>3.99727829616315</v>
      </c>
    </row>
    <row r="887" hidden="1">
      <c r="A887" s="67" t="s">
        <v>1647</v>
      </c>
      <c r="B887" s="67" t="s">
        <v>17</v>
      </c>
      <c r="C887" s="68">
        <v>0.75</v>
      </c>
      <c r="D887" s="68">
        <v>0.5</v>
      </c>
      <c r="E887" s="68">
        <v>2.0</v>
      </c>
      <c r="F887" s="68">
        <v>0.0</v>
      </c>
      <c r="G887" s="68">
        <v>2.42346560324849</v>
      </c>
      <c r="H887" s="68">
        <v>136.91106756017</v>
      </c>
      <c r="I887" s="69">
        <v>44311.421481481484</v>
      </c>
      <c r="J887" s="69">
        <v>44311.4246412037</v>
      </c>
      <c r="K887">
        <f>AVERAGE(H887:H891)</f>
        <v>93.24477814</v>
      </c>
      <c r="L887">
        <f>STDEV(H887:H891)</f>
        <v>84.63078534</v>
      </c>
      <c r="M887" s="70">
        <v>136.91106756017</v>
      </c>
      <c r="N887" s="70">
        <v>136.91106756017</v>
      </c>
      <c r="O887" s="70">
        <v>2.42346560324849</v>
      </c>
      <c r="P887" s="70">
        <v>2.42346560324849</v>
      </c>
    </row>
    <row r="888" hidden="1">
      <c r="A888" s="67" t="s">
        <v>1648</v>
      </c>
      <c r="B888" s="67" t="s">
        <v>17</v>
      </c>
      <c r="C888" s="68">
        <v>0.75</v>
      </c>
      <c r="D888" s="68">
        <v>0.5</v>
      </c>
      <c r="E888" s="68">
        <v>2.0</v>
      </c>
      <c r="F888" s="68">
        <v>1.0</v>
      </c>
      <c r="G888" s="68">
        <v>3.5838254921389</v>
      </c>
      <c r="H888" s="68">
        <v>171.530472680552</v>
      </c>
      <c r="I888" s="69">
        <v>44311.42534722222</v>
      </c>
      <c r="J888" s="69">
        <v>44311.44310185185</v>
      </c>
      <c r="K888">
        <f>AVERAGE(H887:H891)</f>
        <v>93.24477814</v>
      </c>
      <c r="L888">
        <f>STDEV(H887:H891)</f>
        <v>84.63078534</v>
      </c>
      <c r="M888" s="70">
        <v>171.530472680552</v>
      </c>
      <c r="N888" s="70">
        <v>171.530472680552</v>
      </c>
      <c r="O888" s="70">
        <v>3.5838254921389</v>
      </c>
      <c r="P888" s="70">
        <v>3.5838254921389</v>
      </c>
    </row>
    <row r="889" hidden="1">
      <c r="A889" s="67" t="s">
        <v>1649</v>
      </c>
      <c r="B889" s="67" t="s">
        <v>17</v>
      </c>
      <c r="C889" s="68">
        <v>0.75</v>
      </c>
      <c r="D889" s="68">
        <v>0.5</v>
      </c>
      <c r="E889" s="68">
        <v>2.0</v>
      </c>
      <c r="F889" s="68">
        <v>2.0</v>
      </c>
      <c r="G889" s="68">
        <v>1.14796970748887</v>
      </c>
      <c r="H889" s="68">
        <v>2.07562697749689</v>
      </c>
      <c r="I889" s="69">
        <v>44311.44380787037</v>
      </c>
      <c r="J889" s="69">
        <v>44311.44391203704</v>
      </c>
      <c r="K889">
        <f>AVERAGE(H887:H891)</f>
        <v>93.24477814</v>
      </c>
      <c r="L889">
        <f>STDEV(H887:H891)</f>
        <v>84.63078534</v>
      </c>
      <c r="M889" s="70">
        <v>2.07562697749689</v>
      </c>
      <c r="N889" s="70">
        <v>2.07562697749689</v>
      </c>
      <c r="O889" s="70">
        <v>1.14796970748887</v>
      </c>
      <c r="P889" s="70">
        <v>1.14796970748887</v>
      </c>
    </row>
    <row r="890" hidden="1">
      <c r="A890" s="67" t="s">
        <v>1650</v>
      </c>
      <c r="B890" s="67" t="s">
        <v>17</v>
      </c>
      <c r="C890" s="68">
        <v>0.75</v>
      </c>
      <c r="D890" s="68">
        <v>0.5</v>
      </c>
      <c r="E890" s="68">
        <v>2.0</v>
      </c>
      <c r="F890" s="68">
        <v>3.0</v>
      </c>
      <c r="G890" s="68">
        <v>0.712647031637279</v>
      </c>
      <c r="H890" s="68">
        <v>0.949268918176112</v>
      </c>
      <c r="I890" s="69">
        <v>44311.44462962963</v>
      </c>
      <c r="J890" s="69">
        <v>44311.44484953704</v>
      </c>
      <c r="K890">
        <f>AVERAGE(H887:H891)</f>
        <v>93.24477814</v>
      </c>
      <c r="L890">
        <f>STDEV(H887:H891)</f>
        <v>84.63078534</v>
      </c>
      <c r="M890" s="70">
        <v>0.949268918176112</v>
      </c>
      <c r="N890" s="70">
        <v>0.949268918176112</v>
      </c>
      <c r="O890" s="70">
        <v>0.712647031637279</v>
      </c>
      <c r="P890" s="70">
        <v>0.712647031637279</v>
      </c>
    </row>
    <row r="891" hidden="1">
      <c r="A891" s="67" t="s">
        <v>1651</v>
      </c>
      <c r="B891" s="67" t="s">
        <v>17</v>
      </c>
      <c r="C891" s="68">
        <v>0.75</v>
      </c>
      <c r="D891" s="68">
        <v>0.5</v>
      </c>
      <c r="E891" s="68">
        <v>2.0</v>
      </c>
      <c r="F891" s="68">
        <v>4.0</v>
      </c>
      <c r="G891" s="68">
        <v>3.71534199375834</v>
      </c>
      <c r="H891" s="68">
        <v>154.757454587972</v>
      </c>
      <c r="I891" s="69">
        <v>44311.445555555554</v>
      </c>
      <c r="J891" s="69">
        <v>44311.4503125</v>
      </c>
      <c r="K891">
        <f>AVERAGE(H887:H891)</f>
        <v>93.24477814</v>
      </c>
      <c r="L891">
        <f>STDEV(H887:H891)</f>
        <v>84.63078534</v>
      </c>
      <c r="M891" s="70">
        <v>154.757454587972</v>
      </c>
      <c r="N891" s="70">
        <v>154.757454587972</v>
      </c>
      <c r="O891" s="70">
        <v>3.71534199375834</v>
      </c>
      <c r="P891" s="70">
        <v>3.71534199375834</v>
      </c>
    </row>
    <row r="892" hidden="1">
      <c r="A892" s="67" t="s">
        <v>1652</v>
      </c>
      <c r="B892" s="67" t="s">
        <v>17</v>
      </c>
      <c r="C892" s="68">
        <v>0.75</v>
      </c>
      <c r="D892" s="68">
        <v>0.75</v>
      </c>
      <c r="E892" s="68">
        <v>2.0</v>
      </c>
      <c r="F892" s="68">
        <v>0.0</v>
      </c>
      <c r="G892" s="68">
        <v>3.0017812588746</v>
      </c>
      <c r="H892" s="68">
        <v>139.240537042339</v>
      </c>
      <c r="I892" s="69">
        <v>44311.45103009259</v>
      </c>
      <c r="J892" s="69">
        <v>44311.47741898148</v>
      </c>
      <c r="K892">
        <f>AVERAGE(H892:H896)</f>
        <v>82.40225606</v>
      </c>
      <c r="L892">
        <f>STDEV(H892:H896)</f>
        <v>99.1905227</v>
      </c>
      <c r="M892" s="70">
        <v>139.240537042339</v>
      </c>
      <c r="N892" s="70">
        <v>139.240537042339</v>
      </c>
      <c r="O892" s="70">
        <v>3.0017812588746</v>
      </c>
      <c r="P892" s="70">
        <v>3.0017812588746</v>
      </c>
    </row>
    <row r="893" hidden="1">
      <c r="A893" s="67" t="s">
        <v>1653</v>
      </c>
      <c r="B893" s="67" t="s">
        <v>17</v>
      </c>
      <c r="C893" s="68">
        <v>0.75</v>
      </c>
      <c r="D893" s="68">
        <v>0.75</v>
      </c>
      <c r="E893" s="68">
        <v>2.0</v>
      </c>
      <c r="F893" s="68">
        <v>1.0</v>
      </c>
      <c r="G893" s="68">
        <v>0.584603986676187</v>
      </c>
      <c r="H893" s="68">
        <v>0.74458336506328</v>
      </c>
      <c r="I893" s="69">
        <v>44311.478125</v>
      </c>
      <c r="J893" s="69">
        <v>44311.47907407407</v>
      </c>
      <c r="K893">
        <f>AVERAGE(H892:H896)</f>
        <v>82.40225606</v>
      </c>
      <c r="L893">
        <f>STDEV(H892:H896)</f>
        <v>99.1905227</v>
      </c>
      <c r="M893" s="70">
        <v>0.74458336506328</v>
      </c>
      <c r="N893" s="70">
        <v>0.74458336506328</v>
      </c>
      <c r="O893" s="70">
        <v>0.584603986676187</v>
      </c>
      <c r="P893" s="70">
        <v>0.584603986676187</v>
      </c>
    </row>
    <row r="894" hidden="1">
      <c r="A894" s="67" t="s">
        <v>1654</v>
      </c>
      <c r="B894" s="67" t="s">
        <v>17</v>
      </c>
      <c r="C894" s="68">
        <v>0.75</v>
      </c>
      <c r="D894" s="68">
        <v>0.75</v>
      </c>
      <c r="E894" s="68">
        <v>2.0</v>
      </c>
      <c r="F894" s="68">
        <v>2.0</v>
      </c>
      <c r="G894" s="68">
        <v>0.988760372058673</v>
      </c>
      <c r="H894" s="68">
        <v>14.3020432071134</v>
      </c>
      <c r="I894" s="69">
        <v>44311.479780092595</v>
      </c>
      <c r="J894" s="69">
        <v>44311.479895833334</v>
      </c>
      <c r="K894">
        <f>AVERAGE(H892:H896)</f>
        <v>82.40225606</v>
      </c>
      <c r="L894">
        <f>STDEV(H892:H896)</f>
        <v>99.1905227</v>
      </c>
      <c r="M894" s="70">
        <v>14.3020432071134</v>
      </c>
      <c r="N894" s="70">
        <v>14.3020432071134</v>
      </c>
      <c r="O894" s="70">
        <v>0.988760372058673</v>
      </c>
      <c r="P894" s="70">
        <v>0.988760372058673</v>
      </c>
    </row>
    <row r="895" hidden="1">
      <c r="A895" s="67" t="s">
        <v>1655</v>
      </c>
      <c r="B895" s="67" t="s">
        <v>17</v>
      </c>
      <c r="C895" s="68">
        <v>0.75</v>
      </c>
      <c r="D895" s="68">
        <v>0.75</v>
      </c>
      <c r="E895" s="68">
        <v>2.0</v>
      </c>
      <c r="F895" s="68">
        <v>3.0</v>
      </c>
      <c r="G895" s="68">
        <v>6.35990960644171</v>
      </c>
      <c r="H895" s="68">
        <v>230.108806526649</v>
      </c>
      <c r="I895" s="69">
        <v>44311.48060185185</v>
      </c>
      <c r="J895" s="69">
        <v>44311.48440972222</v>
      </c>
      <c r="K895">
        <f>AVERAGE(H892:H896)</f>
        <v>82.40225606</v>
      </c>
      <c r="L895">
        <f>STDEV(H892:H896)</f>
        <v>99.1905227</v>
      </c>
      <c r="M895" s="70">
        <v>230.108806526649</v>
      </c>
      <c r="N895" s="70">
        <v>230.108806526649</v>
      </c>
      <c r="O895" s="70">
        <v>6.35990960644171</v>
      </c>
      <c r="P895" s="70">
        <v>6.35990960644171</v>
      </c>
    </row>
    <row r="896" hidden="1">
      <c r="A896" s="67" t="s">
        <v>1656</v>
      </c>
      <c r="B896" s="67" t="s">
        <v>17</v>
      </c>
      <c r="C896" s="68">
        <v>0.75</v>
      </c>
      <c r="D896" s="68">
        <v>0.75</v>
      </c>
      <c r="E896" s="68">
        <v>2.0</v>
      </c>
      <c r="F896" s="68">
        <v>4.0</v>
      </c>
      <c r="G896" s="68">
        <v>1.71196915801694</v>
      </c>
      <c r="H896" s="68">
        <v>27.6153101721287</v>
      </c>
      <c r="I896" s="69">
        <v>44311.48511574074</v>
      </c>
      <c r="J896" s="69">
        <v>44311.48542824074</v>
      </c>
      <c r="K896">
        <f>AVERAGE(H892:H896)</f>
        <v>82.40225606</v>
      </c>
      <c r="L896">
        <f>STDEV(H892:H896)</f>
        <v>99.1905227</v>
      </c>
      <c r="M896" s="70">
        <v>27.6153101721287</v>
      </c>
      <c r="N896" s="70">
        <v>27.6153101721287</v>
      </c>
      <c r="O896" s="70">
        <v>1.71196915801694</v>
      </c>
      <c r="P896" s="70">
        <v>1.71196915801694</v>
      </c>
    </row>
    <row r="897" hidden="1">
      <c r="A897" s="67" t="s">
        <v>1657</v>
      </c>
      <c r="B897" s="67" t="s">
        <v>17</v>
      </c>
      <c r="C897" s="68">
        <v>0.75</v>
      </c>
      <c r="D897" s="68">
        <v>1.0</v>
      </c>
      <c r="E897" s="68">
        <v>2.0</v>
      </c>
      <c r="F897" s="68">
        <v>0.0</v>
      </c>
      <c r="G897" s="68">
        <v>6.06055733217808</v>
      </c>
      <c r="H897" s="68">
        <v>229.755104538075</v>
      </c>
      <c r="I897" s="69">
        <v>44311.486134259256</v>
      </c>
      <c r="J897" s="69">
        <v>44311.489120370374</v>
      </c>
      <c r="K897">
        <f>AVERAGE(H897:H901)</f>
        <v>92.52702636</v>
      </c>
      <c r="L897">
        <f>STDEV(H897:H901)</f>
        <v>93.08167497</v>
      </c>
      <c r="M897" s="70">
        <v>229.755104538075</v>
      </c>
      <c r="N897" s="70">
        <v>229.755104538075</v>
      </c>
      <c r="O897" s="70">
        <v>6.06055733217808</v>
      </c>
      <c r="P897" s="70">
        <v>6.06055733217808</v>
      </c>
    </row>
    <row r="898" hidden="1">
      <c r="A898" s="67" t="s">
        <v>1658</v>
      </c>
      <c r="B898" s="67" t="s">
        <v>17</v>
      </c>
      <c r="C898" s="68">
        <v>0.75</v>
      </c>
      <c r="D898" s="68">
        <v>1.0</v>
      </c>
      <c r="E898" s="68">
        <v>2.0</v>
      </c>
      <c r="F898" s="68">
        <v>1.0</v>
      </c>
      <c r="G898" s="68">
        <v>0.458335966856052</v>
      </c>
      <c r="H898" s="68">
        <v>0.548419489690292</v>
      </c>
      <c r="I898" s="69">
        <v>44311.48982638889</v>
      </c>
      <c r="J898" s="69">
        <v>44311.49</v>
      </c>
      <c r="K898">
        <f>AVERAGE(H897:H901)</f>
        <v>92.52702636</v>
      </c>
      <c r="L898">
        <f>STDEV(H897:H901)</f>
        <v>93.08167497</v>
      </c>
      <c r="M898" s="70">
        <v>0.548419489690292</v>
      </c>
      <c r="N898" s="70">
        <v>0.548419489690292</v>
      </c>
      <c r="O898" s="70">
        <v>0.458335966856052</v>
      </c>
      <c r="P898" s="70">
        <v>0.458335966856052</v>
      </c>
    </row>
    <row r="899" hidden="1">
      <c r="A899" s="67" t="s">
        <v>1659</v>
      </c>
      <c r="B899" s="67" t="s">
        <v>17</v>
      </c>
      <c r="C899" s="68">
        <v>0.75</v>
      </c>
      <c r="D899" s="68">
        <v>1.0</v>
      </c>
      <c r="E899" s="68">
        <v>2.0</v>
      </c>
      <c r="F899" s="68">
        <v>2.0</v>
      </c>
      <c r="G899" s="68">
        <v>1.32445210008015</v>
      </c>
      <c r="H899" s="68">
        <v>62.3064012097307</v>
      </c>
      <c r="I899" s="69">
        <v>44311.49070601852</v>
      </c>
      <c r="J899" s="69">
        <v>44311.491944444446</v>
      </c>
      <c r="K899">
        <f>AVERAGE(H897:H901)</f>
        <v>92.52702636</v>
      </c>
      <c r="L899">
        <f>STDEV(H897:H901)</f>
        <v>93.08167497</v>
      </c>
      <c r="M899" s="70">
        <v>62.3064012097307</v>
      </c>
      <c r="N899" s="70">
        <v>62.3064012097307</v>
      </c>
      <c r="O899" s="70">
        <v>1.32445210008015</v>
      </c>
      <c r="P899" s="70">
        <v>1.32445210008015</v>
      </c>
    </row>
    <row r="900" hidden="1">
      <c r="A900" s="67" t="s">
        <v>1660</v>
      </c>
      <c r="B900" s="67" t="s">
        <v>17</v>
      </c>
      <c r="C900" s="68">
        <v>0.75</v>
      </c>
      <c r="D900" s="68">
        <v>1.0</v>
      </c>
      <c r="E900" s="68">
        <v>2.0</v>
      </c>
      <c r="F900" s="68">
        <v>3.0</v>
      </c>
      <c r="G900" s="68">
        <v>3.1019948924556</v>
      </c>
      <c r="H900" s="68">
        <v>141.310756029174</v>
      </c>
      <c r="I900" s="69">
        <v>44311.49265046296</v>
      </c>
      <c r="J900" s="69">
        <v>44311.528715277775</v>
      </c>
      <c r="K900">
        <f>AVERAGE(H897:H901)</f>
        <v>92.52702636</v>
      </c>
      <c r="L900">
        <f>STDEV(H897:H901)</f>
        <v>93.08167497</v>
      </c>
      <c r="M900" s="70">
        <v>141.310756029174</v>
      </c>
      <c r="N900" s="70">
        <v>141.310756029174</v>
      </c>
      <c r="O900" s="70">
        <v>3.1019948924556</v>
      </c>
      <c r="P900" s="70">
        <v>3.1019948924556</v>
      </c>
    </row>
    <row r="901" hidden="1">
      <c r="A901" s="67" t="s">
        <v>1661</v>
      </c>
      <c r="B901" s="67" t="s">
        <v>17</v>
      </c>
      <c r="C901" s="68">
        <v>0.75</v>
      </c>
      <c r="D901" s="68">
        <v>1.0</v>
      </c>
      <c r="E901" s="68">
        <v>2.0</v>
      </c>
      <c r="F901" s="68">
        <v>4.0</v>
      </c>
      <c r="G901" s="68">
        <v>1.80268451015998</v>
      </c>
      <c r="H901" s="68">
        <v>28.7144505418145</v>
      </c>
      <c r="I901" s="69">
        <v>44311.5294212963</v>
      </c>
      <c r="J901" s="69">
        <v>44311.5296875</v>
      </c>
      <c r="K901">
        <f>AVERAGE(H897:H901)</f>
        <v>92.52702636</v>
      </c>
      <c r="L901">
        <f>STDEV(H897:H901)</f>
        <v>93.08167497</v>
      </c>
      <c r="M901" s="70">
        <v>28.7144505418145</v>
      </c>
      <c r="N901" s="70">
        <v>28.7144505418145</v>
      </c>
      <c r="O901" s="70">
        <v>1.80268451015998</v>
      </c>
      <c r="P901" s="70">
        <v>1.80268451015998</v>
      </c>
    </row>
    <row r="902" hidden="1">
      <c r="A902" s="67" t="s">
        <v>1662</v>
      </c>
      <c r="B902" s="67" t="s">
        <v>17</v>
      </c>
      <c r="C902" s="68">
        <v>1.0</v>
      </c>
      <c r="D902" s="68">
        <v>0.1</v>
      </c>
      <c r="E902" s="68">
        <v>2.0</v>
      </c>
      <c r="F902" s="68">
        <v>0.0</v>
      </c>
      <c r="G902" s="68">
        <v>1.68498228940222</v>
      </c>
      <c r="H902" s="68">
        <v>27.8820790651038</v>
      </c>
      <c r="I902" s="69">
        <v>44311.53040509259</v>
      </c>
      <c r="J902" s="69">
        <v>44311.530810185184</v>
      </c>
      <c r="K902">
        <f>AVERAGE(H902:H906)</f>
        <v>98.85371193</v>
      </c>
      <c r="L902">
        <f>STDEV(H902:H906)</f>
        <v>80.62950212</v>
      </c>
      <c r="M902" s="70">
        <v>27.8820790651038</v>
      </c>
      <c r="N902" s="70">
        <v>27.8820790651038</v>
      </c>
      <c r="O902" s="70">
        <v>1.68498228940222</v>
      </c>
      <c r="P902" s="70">
        <v>1.68498228940222</v>
      </c>
    </row>
    <row r="903" hidden="1">
      <c r="A903" s="67" t="s">
        <v>1663</v>
      </c>
      <c r="B903" s="67" t="s">
        <v>17</v>
      </c>
      <c r="C903" s="68">
        <v>1.0</v>
      </c>
      <c r="D903" s="68">
        <v>0.1</v>
      </c>
      <c r="E903" s="68">
        <v>2.0</v>
      </c>
      <c r="F903" s="68">
        <v>1.0</v>
      </c>
      <c r="G903" s="68">
        <v>0.548256113233087</v>
      </c>
      <c r="H903" s="68">
        <v>0.673150388241619</v>
      </c>
      <c r="I903" s="69">
        <v>44311.53152777778</v>
      </c>
      <c r="J903" s="69">
        <v>44311.53166666667</v>
      </c>
      <c r="K903">
        <f>AVERAGE(H902:H906)</f>
        <v>98.85371193</v>
      </c>
      <c r="L903">
        <f>STDEV(H902:H906)</f>
        <v>80.62950212</v>
      </c>
      <c r="M903" s="70">
        <v>0.673150388241619</v>
      </c>
      <c r="N903" s="70">
        <v>0.673150388241619</v>
      </c>
      <c r="O903" s="70">
        <v>0.548256113233087</v>
      </c>
      <c r="P903" s="70">
        <v>0.548256113233087</v>
      </c>
    </row>
    <row r="904" hidden="1">
      <c r="A904" s="67" t="s">
        <v>1664</v>
      </c>
      <c r="B904" s="67" t="s">
        <v>17</v>
      </c>
      <c r="C904" s="68">
        <v>1.0</v>
      </c>
      <c r="D904" s="68">
        <v>0.1</v>
      </c>
      <c r="E904" s="68">
        <v>2.0</v>
      </c>
      <c r="F904" s="68">
        <v>2.0</v>
      </c>
      <c r="G904" s="68">
        <v>4.3589035350592</v>
      </c>
      <c r="H904" s="68">
        <v>189.716647033751</v>
      </c>
      <c r="I904" s="69">
        <v>44311.53238425926</v>
      </c>
      <c r="J904" s="69">
        <v>44311.54476851852</v>
      </c>
      <c r="K904">
        <f>AVERAGE(H902:H906)</f>
        <v>98.85371193</v>
      </c>
      <c r="L904">
        <f>STDEV(H902:H906)</f>
        <v>80.62950212</v>
      </c>
      <c r="M904" s="70">
        <v>189.716647033751</v>
      </c>
      <c r="N904" s="70">
        <v>189.716647033751</v>
      </c>
      <c r="O904" s="70">
        <v>4.3589035350592</v>
      </c>
      <c r="P904" s="70">
        <v>4.3589035350592</v>
      </c>
    </row>
    <row r="905" hidden="1">
      <c r="A905" s="67" t="s">
        <v>1665</v>
      </c>
      <c r="B905" s="67" t="s">
        <v>17</v>
      </c>
      <c r="C905" s="68">
        <v>1.0</v>
      </c>
      <c r="D905" s="68">
        <v>0.1</v>
      </c>
      <c r="E905" s="68">
        <v>2.0</v>
      </c>
      <c r="F905" s="68">
        <v>3.0</v>
      </c>
      <c r="G905" s="68">
        <v>2.90134350495629</v>
      </c>
      <c r="H905" s="68">
        <v>136.075572890787</v>
      </c>
      <c r="I905" s="69">
        <v>44311.545486111114</v>
      </c>
      <c r="J905" s="69">
        <v>44311.56725694444</v>
      </c>
      <c r="K905">
        <f>AVERAGE(H902:H906)</f>
        <v>98.85371193</v>
      </c>
      <c r="L905">
        <f>STDEV(H902:H906)</f>
        <v>80.62950212</v>
      </c>
      <c r="M905" s="70">
        <v>136.075572890787</v>
      </c>
      <c r="N905" s="70">
        <v>136.075572890787</v>
      </c>
      <c r="O905" s="70">
        <v>2.90134350495629</v>
      </c>
      <c r="P905" s="70">
        <v>2.90134350495629</v>
      </c>
    </row>
    <row r="906" hidden="1">
      <c r="A906" s="67" t="s">
        <v>1666</v>
      </c>
      <c r="B906" s="67" t="s">
        <v>17</v>
      </c>
      <c r="C906" s="68">
        <v>1.0</v>
      </c>
      <c r="D906" s="68">
        <v>0.1</v>
      </c>
      <c r="E906" s="68">
        <v>2.0</v>
      </c>
      <c r="F906" s="68">
        <v>4.0</v>
      </c>
      <c r="G906" s="68">
        <v>3.38397656916267</v>
      </c>
      <c r="H906" s="68">
        <v>139.921110264238</v>
      </c>
      <c r="I906" s="69">
        <v>44311.567974537036</v>
      </c>
      <c r="J906" s="69">
        <v>44311.56849537037</v>
      </c>
      <c r="K906">
        <f>AVERAGE(H902:H906)</f>
        <v>98.85371193</v>
      </c>
      <c r="L906">
        <f>STDEV(H902:H906)</f>
        <v>80.62950212</v>
      </c>
      <c r="M906" s="70">
        <v>139.921110264238</v>
      </c>
      <c r="N906" s="70">
        <v>139.921110264238</v>
      </c>
      <c r="O906" s="70">
        <v>3.38397656916267</v>
      </c>
      <c r="P906" s="70">
        <v>3.38397656916267</v>
      </c>
    </row>
    <row r="907" hidden="1">
      <c r="A907" s="67" t="s">
        <v>1667</v>
      </c>
      <c r="B907" s="67" t="s">
        <v>17</v>
      </c>
      <c r="C907" s="68">
        <v>1.0</v>
      </c>
      <c r="D907" s="68">
        <v>0.25</v>
      </c>
      <c r="E907" s="68">
        <v>2.0</v>
      </c>
      <c r="F907" s="68">
        <v>0.0</v>
      </c>
      <c r="G907" s="68">
        <v>9.21734120566558</v>
      </c>
      <c r="H907" s="68">
        <v>291.705969083639</v>
      </c>
      <c r="I907" s="69">
        <v>44311.56920138889</v>
      </c>
      <c r="J907" s="69">
        <v>44311.569398148145</v>
      </c>
      <c r="K907">
        <f>AVERAGE(H907:H911)</f>
        <v>183.2233941</v>
      </c>
      <c r="L907">
        <f>STDEV(H907:H911)</f>
        <v>85.51082325</v>
      </c>
      <c r="M907" s="70">
        <v>291.705969083639</v>
      </c>
      <c r="N907" s="70">
        <v>291.705969083639</v>
      </c>
      <c r="O907" s="70">
        <v>9.21734120566558</v>
      </c>
      <c r="P907" s="70">
        <v>9.21734120566558</v>
      </c>
    </row>
    <row r="908" hidden="1">
      <c r="A908" s="67" t="s">
        <v>1668</v>
      </c>
      <c r="B908" s="67" t="s">
        <v>17</v>
      </c>
      <c r="C908" s="68">
        <v>1.0</v>
      </c>
      <c r="D908" s="68">
        <v>0.25</v>
      </c>
      <c r="E908" s="68">
        <v>2.0</v>
      </c>
      <c r="F908" s="68">
        <v>1.0</v>
      </c>
      <c r="G908" s="68">
        <v>5.58198815377169</v>
      </c>
      <c r="H908" s="68">
        <v>217.8512750578</v>
      </c>
      <c r="I908" s="69">
        <v>44311.57010416667</v>
      </c>
      <c r="J908" s="69">
        <v>44311.571967592594</v>
      </c>
      <c r="K908">
        <f>AVERAGE(H907:H911)</f>
        <v>183.2233941</v>
      </c>
      <c r="L908">
        <f>STDEV(H907:H911)</f>
        <v>85.51082325</v>
      </c>
      <c r="M908" s="70">
        <v>217.8512750578</v>
      </c>
      <c r="N908" s="70">
        <v>217.8512750578</v>
      </c>
      <c r="O908" s="70">
        <v>5.58198815377169</v>
      </c>
      <c r="P908" s="70">
        <v>5.58198815377169</v>
      </c>
    </row>
    <row r="909" hidden="1">
      <c r="A909" s="67" t="s">
        <v>1669</v>
      </c>
      <c r="B909" s="67" t="s">
        <v>17</v>
      </c>
      <c r="C909" s="68">
        <v>1.0</v>
      </c>
      <c r="D909" s="68">
        <v>0.25</v>
      </c>
      <c r="E909" s="68">
        <v>2.0</v>
      </c>
      <c r="F909" s="68">
        <v>2.0</v>
      </c>
      <c r="G909" s="68">
        <v>2.61215820280343</v>
      </c>
      <c r="H909" s="68">
        <v>123.992546861274</v>
      </c>
      <c r="I909" s="69">
        <v>44311.57268518519</v>
      </c>
      <c r="J909" s="69">
        <v>44311.619571759256</v>
      </c>
      <c r="K909">
        <f>AVERAGE(H907:H911)</f>
        <v>183.2233941</v>
      </c>
      <c r="L909">
        <f>STDEV(H907:H911)</f>
        <v>85.51082325</v>
      </c>
      <c r="M909" s="70">
        <v>123.992546861274</v>
      </c>
      <c r="N909" s="70">
        <v>123.992546861274</v>
      </c>
      <c r="O909" s="70">
        <v>2.61215820280343</v>
      </c>
      <c r="P909" s="70">
        <v>2.61215820280343</v>
      </c>
    </row>
    <row r="910" hidden="1">
      <c r="A910" s="67" t="s">
        <v>1670</v>
      </c>
      <c r="B910" s="67" t="s">
        <v>17</v>
      </c>
      <c r="C910" s="68">
        <v>1.0</v>
      </c>
      <c r="D910" s="68">
        <v>0.25</v>
      </c>
      <c r="E910" s="68">
        <v>2.0</v>
      </c>
      <c r="F910" s="68">
        <v>3.0</v>
      </c>
      <c r="G910" s="68">
        <v>1.49666806901561</v>
      </c>
      <c r="H910" s="68">
        <v>73.2591209261133</v>
      </c>
      <c r="I910" s="69">
        <v>44311.62027777778</v>
      </c>
      <c r="J910" s="69">
        <v>44311.62097222222</v>
      </c>
      <c r="K910">
        <f>AVERAGE(H907:H911)</f>
        <v>183.2233941</v>
      </c>
      <c r="L910">
        <f>STDEV(H907:H911)</f>
        <v>85.51082325</v>
      </c>
      <c r="M910" s="70">
        <v>73.2591209261133</v>
      </c>
      <c r="N910" s="70">
        <v>73.2591209261133</v>
      </c>
      <c r="O910" s="70">
        <v>1.49666806901561</v>
      </c>
      <c r="P910" s="70">
        <v>1.49666806901561</v>
      </c>
    </row>
    <row r="911" hidden="1">
      <c r="A911" s="67" t="s">
        <v>1671</v>
      </c>
      <c r="B911" s="67" t="s">
        <v>17</v>
      </c>
      <c r="C911" s="68">
        <v>1.0</v>
      </c>
      <c r="D911" s="68">
        <v>0.25</v>
      </c>
      <c r="E911" s="68">
        <v>2.0</v>
      </c>
      <c r="F911" s="68">
        <v>4.0</v>
      </c>
      <c r="G911" s="68">
        <v>7.36984431574421</v>
      </c>
      <c r="H911" s="68">
        <v>209.308058454888</v>
      </c>
      <c r="I911" s="69">
        <v>44311.62168981481</v>
      </c>
      <c r="J911" s="69">
        <v>44311.62173611111</v>
      </c>
      <c r="K911">
        <f>AVERAGE(H907:H911)</f>
        <v>183.2233941</v>
      </c>
      <c r="L911">
        <f>STDEV(H907:H911)</f>
        <v>85.51082325</v>
      </c>
      <c r="M911" s="70">
        <v>209.308058454888</v>
      </c>
      <c r="N911" s="70">
        <v>209.308058454888</v>
      </c>
      <c r="O911" s="70">
        <v>7.36984431574421</v>
      </c>
      <c r="P911" s="70">
        <v>7.36984431574421</v>
      </c>
    </row>
    <row r="912" hidden="1">
      <c r="A912" s="67" t="s">
        <v>1672</v>
      </c>
      <c r="B912" s="67" t="s">
        <v>17</v>
      </c>
      <c r="C912" s="68">
        <v>1.0</v>
      </c>
      <c r="D912" s="68">
        <v>0.5</v>
      </c>
      <c r="E912" s="68">
        <v>2.0</v>
      </c>
      <c r="F912" s="68">
        <v>0.0</v>
      </c>
      <c r="G912" s="68">
        <v>2.85500552798257</v>
      </c>
      <c r="H912" s="68">
        <v>129.80197193457</v>
      </c>
      <c r="I912" s="69">
        <v>44311.622453703705</v>
      </c>
      <c r="J912" s="69">
        <v>44311.64672453704</v>
      </c>
      <c r="K912">
        <f>AVERAGE(H912:H916)</f>
        <v>137.2969864</v>
      </c>
      <c r="L912">
        <f>STDEV(H912:H916)</f>
        <v>93.97751836</v>
      </c>
      <c r="M912" s="70">
        <v>129.80197193457</v>
      </c>
      <c r="N912" s="70">
        <v>129.80197193457</v>
      </c>
      <c r="O912" s="70">
        <v>2.85500552798257</v>
      </c>
      <c r="P912" s="70">
        <v>2.85500552798257</v>
      </c>
    </row>
    <row r="913" hidden="1">
      <c r="A913" s="67" t="s">
        <v>1673</v>
      </c>
      <c r="B913" s="67" t="s">
        <v>17</v>
      </c>
      <c r="C913" s="68">
        <v>1.0</v>
      </c>
      <c r="D913" s="68">
        <v>0.5</v>
      </c>
      <c r="E913" s="68">
        <v>2.0</v>
      </c>
      <c r="F913" s="68">
        <v>1.0</v>
      </c>
      <c r="G913" s="68">
        <v>2.53687627112856</v>
      </c>
      <c r="H913" s="68">
        <v>132.268738555632</v>
      </c>
      <c r="I913" s="69">
        <v>44311.64743055555</v>
      </c>
      <c r="J913" s="69">
        <v>44311.650358796294</v>
      </c>
      <c r="K913">
        <f>AVERAGE(H912:H916)</f>
        <v>137.2969864</v>
      </c>
      <c r="L913">
        <f>STDEV(H912:H916)</f>
        <v>93.97751836</v>
      </c>
      <c r="M913" s="70">
        <v>132.268738555632</v>
      </c>
      <c r="N913" s="70">
        <v>132.268738555632</v>
      </c>
      <c r="O913" s="70">
        <v>2.53687627112856</v>
      </c>
      <c r="P913" s="70">
        <v>2.53687627112856</v>
      </c>
    </row>
    <row r="914" hidden="1">
      <c r="A914" s="67" t="s">
        <v>1674</v>
      </c>
      <c r="B914" s="67" t="s">
        <v>17</v>
      </c>
      <c r="C914" s="68">
        <v>1.0</v>
      </c>
      <c r="D914" s="68">
        <v>0.5</v>
      </c>
      <c r="E914" s="68">
        <v>2.0</v>
      </c>
      <c r="F914" s="68">
        <v>2.0</v>
      </c>
      <c r="G914" s="68">
        <v>8.83870692432736</v>
      </c>
      <c r="H914" s="68">
        <v>277.043846089438</v>
      </c>
      <c r="I914" s="69">
        <v>44311.65107638889</v>
      </c>
      <c r="J914" s="69">
        <v>44311.651770833334</v>
      </c>
      <c r="K914">
        <f>AVERAGE(H912:H916)</f>
        <v>137.2969864</v>
      </c>
      <c r="L914">
        <f>STDEV(H912:H916)</f>
        <v>93.97751836</v>
      </c>
      <c r="M914" s="70">
        <v>277.043846089438</v>
      </c>
      <c r="N914" s="70">
        <v>277.043846089438</v>
      </c>
      <c r="O914" s="70">
        <v>8.83870692432736</v>
      </c>
      <c r="P914" s="70">
        <v>8.83870692432736</v>
      </c>
    </row>
    <row r="915" hidden="1">
      <c r="A915" s="67" t="s">
        <v>1675</v>
      </c>
      <c r="B915" s="67" t="s">
        <v>17</v>
      </c>
      <c r="C915" s="68">
        <v>1.0</v>
      </c>
      <c r="D915" s="68">
        <v>0.5</v>
      </c>
      <c r="E915" s="68">
        <v>2.0</v>
      </c>
      <c r="F915" s="68">
        <v>3.0</v>
      </c>
      <c r="G915" s="68">
        <v>1.23710177481413</v>
      </c>
      <c r="H915" s="68">
        <v>11.9456920431017</v>
      </c>
      <c r="I915" s="69">
        <v>44311.65248842593</v>
      </c>
      <c r="J915" s="69">
        <v>44311.65267361111</v>
      </c>
      <c r="K915">
        <f>AVERAGE(H912:H916)</f>
        <v>137.2969864</v>
      </c>
      <c r="L915">
        <f>STDEV(H912:H916)</f>
        <v>93.97751836</v>
      </c>
      <c r="M915" s="70">
        <v>11.9456920431017</v>
      </c>
      <c r="N915" s="70">
        <v>11.9456920431017</v>
      </c>
      <c r="O915" s="70">
        <v>1.23710177481413</v>
      </c>
      <c r="P915" s="70">
        <v>1.23710177481413</v>
      </c>
    </row>
    <row r="916" hidden="1">
      <c r="A916" s="67" t="s">
        <v>1676</v>
      </c>
      <c r="B916" s="67" t="s">
        <v>17</v>
      </c>
      <c r="C916" s="68">
        <v>1.0</v>
      </c>
      <c r="D916" s="68">
        <v>0.5</v>
      </c>
      <c r="E916" s="68">
        <v>2.0</v>
      </c>
      <c r="F916" s="68">
        <v>4.0</v>
      </c>
      <c r="G916" s="68">
        <v>2.4979898120699</v>
      </c>
      <c r="H916" s="68">
        <v>135.424683581633</v>
      </c>
      <c r="I916" s="69">
        <v>44311.65337962963</v>
      </c>
      <c r="J916" s="69">
        <v>44311.6540625</v>
      </c>
      <c r="K916">
        <f>AVERAGE(H912:H916)</f>
        <v>137.2969864</v>
      </c>
      <c r="L916">
        <f>STDEV(H912:H916)</f>
        <v>93.97751836</v>
      </c>
      <c r="M916" s="70">
        <v>135.424683581633</v>
      </c>
      <c r="N916" s="70">
        <v>135.424683581633</v>
      </c>
      <c r="O916" s="70">
        <v>2.4979898120699</v>
      </c>
      <c r="P916" s="70">
        <v>2.4979898120699</v>
      </c>
    </row>
    <row r="917" hidden="1">
      <c r="A917" s="67" t="s">
        <v>1677</v>
      </c>
      <c r="B917" s="67" t="s">
        <v>17</v>
      </c>
      <c r="C917" s="68">
        <v>1.0</v>
      </c>
      <c r="D917" s="68">
        <v>0.75</v>
      </c>
      <c r="E917" s="68">
        <v>2.0</v>
      </c>
      <c r="F917" s="68">
        <v>0.0</v>
      </c>
      <c r="G917" s="68">
        <v>3.33598489064849</v>
      </c>
      <c r="H917" s="68">
        <v>170.541510303196</v>
      </c>
      <c r="I917" s="69">
        <v>44311.65478009259</v>
      </c>
      <c r="J917" s="69">
        <v>44311.65491898148</v>
      </c>
      <c r="K917">
        <f>AVERAGE(H917:H921)</f>
        <v>127.4160488</v>
      </c>
      <c r="L917">
        <f>STDEV(H917:H921)</f>
        <v>84.58427771</v>
      </c>
      <c r="M917" s="70">
        <v>170.541510303196</v>
      </c>
      <c r="N917" s="70">
        <v>170.541510303196</v>
      </c>
      <c r="O917" s="70">
        <v>3.33598489064849</v>
      </c>
      <c r="P917" s="70">
        <v>3.33598489064849</v>
      </c>
    </row>
    <row r="918" hidden="1">
      <c r="A918" s="67" t="s">
        <v>1678</v>
      </c>
      <c r="B918" s="67" t="s">
        <v>17</v>
      </c>
      <c r="C918" s="68">
        <v>1.0</v>
      </c>
      <c r="D918" s="68">
        <v>0.75</v>
      </c>
      <c r="E918" s="68">
        <v>2.0</v>
      </c>
      <c r="F918" s="68">
        <v>1.0</v>
      </c>
      <c r="G918" s="68">
        <v>0.519801104118966</v>
      </c>
      <c r="H918" s="68">
        <v>0.630269357930298</v>
      </c>
      <c r="I918" s="69">
        <v>44311.655625</v>
      </c>
      <c r="J918" s="69">
        <v>44311.656793981485</v>
      </c>
      <c r="K918">
        <f>AVERAGE(H917:H921)</f>
        <v>127.4160488</v>
      </c>
      <c r="L918">
        <f>STDEV(H917:H921)</f>
        <v>84.58427771</v>
      </c>
      <c r="M918" s="70">
        <v>0.630269357930298</v>
      </c>
      <c r="N918" s="70">
        <v>0.630269357930298</v>
      </c>
      <c r="O918" s="70">
        <v>0.519801104118966</v>
      </c>
      <c r="P918" s="70">
        <v>0.519801104118966</v>
      </c>
    </row>
    <row r="919" hidden="1">
      <c r="A919" s="67" t="s">
        <v>1679</v>
      </c>
      <c r="B919" s="67" t="s">
        <v>17</v>
      </c>
      <c r="C919" s="68">
        <v>1.0</v>
      </c>
      <c r="D919" s="68">
        <v>0.75</v>
      </c>
      <c r="E919" s="68">
        <v>2.0</v>
      </c>
      <c r="F919" s="68">
        <v>2.0</v>
      </c>
      <c r="G919" s="68">
        <v>3.6426685681462</v>
      </c>
      <c r="H919" s="68">
        <v>166.994763542676</v>
      </c>
      <c r="I919" s="69">
        <v>44311.65751157407</v>
      </c>
      <c r="J919" s="69">
        <v>44311.72925925926</v>
      </c>
      <c r="K919">
        <f>AVERAGE(H917:H921)</f>
        <v>127.4160488</v>
      </c>
      <c r="L919">
        <f>STDEV(H917:H921)</f>
        <v>84.58427771</v>
      </c>
      <c r="M919" s="70">
        <v>166.994763542676</v>
      </c>
      <c r="N919" s="70">
        <v>166.994763542676</v>
      </c>
      <c r="O919" s="70">
        <v>3.6426685681462</v>
      </c>
      <c r="P919" s="70">
        <v>3.6426685681462</v>
      </c>
    </row>
    <row r="920" hidden="1">
      <c r="A920" s="67" t="s">
        <v>1680</v>
      </c>
      <c r="B920" s="67" t="s">
        <v>17</v>
      </c>
      <c r="C920" s="68">
        <v>1.0</v>
      </c>
      <c r="D920" s="68">
        <v>0.75</v>
      </c>
      <c r="E920" s="68">
        <v>2.0</v>
      </c>
      <c r="F920" s="68">
        <v>3.0</v>
      </c>
      <c r="G920" s="68">
        <v>6.1122367652801</v>
      </c>
      <c r="H920" s="68">
        <v>85.6387797780032</v>
      </c>
      <c r="I920" s="69">
        <v>44311.72997685185</v>
      </c>
      <c r="J920" s="69">
        <v>44311.73</v>
      </c>
      <c r="K920">
        <f>AVERAGE(H917:H921)</f>
        <v>127.4160488</v>
      </c>
      <c r="L920">
        <f>STDEV(H917:H921)</f>
        <v>84.58427771</v>
      </c>
      <c r="M920" s="70">
        <v>85.6387797780032</v>
      </c>
      <c r="N920" s="70">
        <v>85.6387797780032</v>
      </c>
      <c r="O920" s="70">
        <v>6.1122367652801</v>
      </c>
      <c r="P920" s="70">
        <v>6.1122367652801</v>
      </c>
    </row>
    <row r="921" hidden="1">
      <c r="A921" s="67" t="s">
        <v>1681</v>
      </c>
      <c r="B921" s="67" t="s">
        <v>17</v>
      </c>
      <c r="C921" s="68">
        <v>1.0</v>
      </c>
      <c r="D921" s="68">
        <v>0.75</v>
      </c>
      <c r="E921" s="68">
        <v>2.0</v>
      </c>
      <c r="F921" s="68">
        <v>4.0</v>
      </c>
      <c r="G921" s="68">
        <v>8.13255465788732</v>
      </c>
      <c r="H921" s="68">
        <v>213.274921257131</v>
      </c>
      <c r="I921" s="69">
        <v>44311.730717592596</v>
      </c>
      <c r="J921" s="69">
        <v>44311.73076388889</v>
      </c>
      <c r="K921">
        <f>AVERAGE(H917:H921)</f>
        <v>127.4160488</v>
      </c>
      <c r="L921">
        <f>STDEV(H917:H921)</f>
        <v>84.58427771</v>
      </c>
      <c r="M921" s="70">
        <v>213.274921257131</v>
      </c>
      <c r="N921" s="70">
        <v>213.274921257131</v>
      </c>
      <c r="O921" s="70">
        <v>8.13255465788732</v>
      </c>
      <c r="P921" s="70">
        <v>8.13255465788732</v>
      </c>
    </row>
    <row r="922" hidden="1">
      <c r="A922" s="67" t="s">
        <v>1682</v>
      </c>
      <c r="B922" s="67" t="s">
        <v>17</v>
      </c>
      <c r="C922" s="68">
        <v>1.0</v>
      </c>
      <c r="D922" s="68">
        <v>1.0</v>
      </c>
      <c r="E922" s="68">
        <v>2.0</v>
      </c>
      <c r="F922" s="68">
        <v>0.0</v>
      </c>
      <c r="G922" s="68">
        <v>6.25648055250307</v>
      </c>
      <c r="H922" s="68">
        <v>86.7791427050527</v>
      </c>
      <c r="I922" s="69">
        <v>44311.731469907405</v>
      </c>
      <c r="J922" s="69">
        <v>44311.73150462963</v>
      </c>
      <c r="K922">
        <f>AVERAGE(H922:H926)</f>
        <v>125.1324045</v>
      </c>
      <c r="L922">
        <f>STDEV(H922:H926)</f>
        <v>69.65555409</v>
      </c>
      <c r="M922" s="70">
        <v>86.7791427050527</v>
      </c>
      <c r="N922" s="70">
        <v>86.7791427050527</v>
      </c>
      <c r="O922" s="70">
        <v>6.25648055250307</v>
      </c>
      <c r="P922" s="70">
        <v>6.25648055250307</v>
      </c>
    </row>
    <row r="923" hidden="1">
      <c r="A923" s="67" t="s">
        <v>1683</v>
      </c>
      <c r="B923" s="67" t="s">
        <v>17</v>
      </c>
      <c r="C923" s="68">
        <v>1.0</v>
      </c>
      <c r="D923" s="68">
        <v>1.0</v>
      </c>
      <c r="E923" s="68">
        <v>2.0</v>
      </c>
      <c r="F923" s="68">
        <v>1.0</v>
      </c>
      <c r="G923" s="68">
        <v>4.89212705636363</v>
      </c>
      <c r="H923" s="68">
        <v>200.094180621917</v>
      </c>
      <c r="I923" s="69">
        <v>44311.73221064815</v>
      </c>
      <c r="J923" s="69">
        <v>44311.733773148146</v>
      </c>
      <c r="K923">
        <f>AVERAGE(H922:H926)</f>
        <v>125.1324045</v>
      </c>
      <c r="L923">
        <f>STDEV(H922:H926)</f>
        <v>69.65555409</v>
      </c>
      <c r="M923" s="70">
        <v>200.094180621917</v>
      </c>
      <c r="N923" s="70">
        <v>200.094180621917</v>
      </c>
      <c r="O923" s="70">
        <v>4.89212705636363</v>
      </c>
      <c r="P923" s="70">
        <v>4.89212705636363</v>
      </c>
    </row>
    <row r="924" hidden="1">
      <c r="A924" s="67" t="s">
        <v>1684</v>
      </c>
      <c r="B924" s="67" t="s">
        <v>17</v>
      </c>
      <c r="C924" s="68">
        <v>1.0</v>
      </c>
      <c r="D924" s="68">
        <v>1.0</v>
      </c>
      <c r="E924" s="68">
        <v>2.0</v>
      </c>
      <c r="F924" s="68">
        <v>2.0</v>
      </c>
      <c r="G924" s="68">
        <v>1.80110685338141</v>
      </c>
      <c r="H924" s="68">
        <v>28.7058245125456</v>
      </c>
      <c r="I924" s="69">
        <v>44311.73447916667</v>
      </c>
      <c r="J924" s="69">
        <v>44311.73475694445</v>
      </c>
      <c r="K924">
        <f>AVERAGE(H922:H926)</f>
        <v>125.1324045</v>
      </c>
      <c r="L924">
        <f>STDEV(H922:H926)</f>
        <v>69.65555409</v>
      </c>
      <c r="M924" s="70">
        <v>28.7058245125456</v>
      </c>
      <c r="N924" s="70">
        <v>28.7058245125456</v>
      </c>
      <c r="O924" s="70">
        <v>1.80110685338141</v>
      </c>
      <c r="P924" s="70">
        <v>1.80110685338141</v>
      </c>
    </row>
    <row r="925" hidden="1">
      <c r="A925" s="67" t="s">
        <v>1685</v>
      </c>
      <c r="B925" s="67" t="s">
        <v>17</v>
      </c>
      <c r="C925" s="68">
        <v>1.0</v>
      </c>
      <c r="D925" s="68">
        <v>1.0</v>
      </c>
      <c r="E925" s="68">
        <v>2.0</v>
      </c>
      <c r="F925" s="68">
        <v>3.0</v>
      </c>
      <c r="G925" s="68">
        <v>4.2712178322885</v>
      </c>
      <c r="H925" s="68">
        <v>179.842228377365</v>
      </c>
      <c r="I925" s="69">
        <v>44311.73547453704</v>
      </c>
      <c r="J925" s="69">
        <v>44311.73652777778</v>
      </c>
      <c r="K925">
        <f>AVERAGE(H922:H926)</f>
        <v>125.1324045</v>
      </c>
      <c r="L925">
        <f>STDEV(H922:H926)</f>
        <v>69.65555409</v>
      </c>
      <c r="M925" s="70">
        <v>179.842228377365</v>
      </c>
      <c r="N925" s="70">
        <v>179.842228377365</v>
      </c>
      <c r="O925" s="70">
        <v>4.2712178322885</v>
      </c>
      <c r="P925" s="70">
        <v>4.2712178322885</v>
      </c>
    </row>
    <row r="926" hidden="1">
      <c r="A926" s="67" t="s">
        <v>1686</v>
      </c>
      <c r="B926" s="67" t="s">
        <v>17</v>
      </c>
      <c r="C926" s="68">
        <v>1.0</v>
      </c>
      <c r="D926" s="68">
        <v>1.0</v>
      </c>
      <c r="E926" s="68">
        <v>2.0</v>
      </c>
      <c r="F926" s="68">
        <v>4.0</v>
      </c>
      <c r="G926" s="68">
        <v>2.67806871074015</v>
      </c>
      <c r="H926" s="68">
        <v>130.240646425906</v>
      </c>
      <c r="I926" s="69">
        <v>44311.737233796295</v>
      </c>
      <c r="J926" s="69">
        <v>44311.77138888889</v>
      </c>
      <c r="K926">
        <f>AVERAGE(H922:H926)</f>
        <v>125.1324045</v>
      </c>
      <c r="L926">
        <f>STDEV(H922:H926)</f>
        <v>69.65555409</v>
      </c>
      <c r="M926" s="70">
        <v>130.240646425906</v>
      </c>
      <c r="N926" s="70">
        <v>130.240646425906</v>
      </c>
      <c r="O926" s="70">
        <v>2.67806871074015</v>
      </c>
      <c r="P926" s="70">
        <v>2.67806871074015</v>
      </c>
    </row>
    <row r="927" hidden="1">
      <c r="A927" s="67" t="s">
        <v>1687</v>
      </c>
      <c r="B927" s="67" t="s">
        <v>268</v>
      </c>
      <c r="C927" s="68">
        <v>0.1</v>
      </c>
      <c r="D927" s="68">
        <v>0.1</v>
      </c>
      <c r="E927" s="68">
        <v>2.0</v>
      </c>
      <c r="F927" s="68">
        <v>0.0</v>
      </c>
      <c r="G927" s="68">
        <v>0.508167066660802</v>
      </c>
      <c r="H927" s="68">
        <v>0.808228695519207</v>
      </c>
      <c r="I927" s="69">
        <v>44311.77210648148</v>
      </c>
      <c r="J927" s="69">
        <v>44311.772141203706</v>
      </c>
      <c r="K927">
        <f>AVERAGE(H927:H931)</f>
        <v>153.6521975</v>
      </c>
      <c r="L927">
        <f>STDEV(H927:H931)</f>
        <v>101.3399822</v>
      </c>
      <c r="M927" s="70">
        <v>0.808228695519207</v>
      </c>
      <c r="N927" s="70">
        <v>0.808228695519207</v>
      </c>
      <c r="O927" s="70">
        <v>0.508167066660802</v>
      </c>
      <c r="P927" s="70">
        <v>0.508167066660802</v>
      </c>
    </row>
    <row r="928" hidden="1">
      <c r="A928" s="67" t="s">
        <v>1688</v>
      </c>
      <c r="B928" s="67" t="s">
        <v>268</v>
      </c>
      <c r="C928" s="68">
        <v>0.1</v>
      </c>
      <c r="D928" s="68">
        <v>0.1</v>
      </c>
      <c r="E928" s="68">
        <v>2.0</v>
      </c>
      <c r="F928" s="68">
        <v>1.0</v>
      </c>
      <c r="G928" s="68">
        <v>7.95372730125129</v>
      </c>
      <c r="H928" s="68">
        <v>282.340413795423</v>
      </c>
      <c r="I928" s="69">
        <v>44311.77284722222</v>
      </c>
      <c r="J928" s="69">
        <v>44311.77307870371</v>
      </c>
      <c r="K928">
        <f>AVERAGE(H927:H931)</f>
        <v>153.6521975</v>
      </c>
      <c r="L928">
        <f>STDEV(H927:H931)</f>
        <v>101.3399822</v>
      </c>
      <c r="M928" s="70">
        <v>282.340413795423</v>
      </c>
      <c r="N928" s="70">
        <v>282.340413795423</v>
      </c>
      <c r="O928" s="70">
        <v>7.95372730125129</v>
      </c>
      <c r="P928" s="70">
        <v>7.95372730125129</v>
      </c>
    </row>
    <row r="929" hidden="1">
      <c r="A929" s="67" t="s">
        <v>1689</v>
      </c>
      <c r="B929" s="67" t="s">
        <v>268</v>
      </c>
      <c r="C929" s="68">
        <v>0.1</v>
      </c>
      <c r="D929" s="68">
        <v>0.1</v>
      </c>
      <c r="E929" s="68">
        <v>2.0</v>
      </c>
      <c r="F929" s="68">
        <v>2.0</v>
      </c>
      <c r="G929" s="68">
        <v>4.69633825327149</v>
      </c>
      <c r="H929" s="68">
        <v>151.030053224637</v>
      </c>
      <c r="I929" s="69">
        <v>44311.77379629629</v>
      </c>
      <c r="J929" s="69">
        <v>44311.77416666667</v>
      </c>
      <c r="K929">
        <f>AVERAGE(H927:H931)</f>
        <v>153.6521975</v>
      </c>
      <c r="L929">
        <f>STDEV(H927:H931)</f>
        <v>101.3399822</v>
      </c>
      <c r="M929" s="70">
        <v>151.030053224637</v>
      </c>
      <c r="N929" s="70">
        <v>151.030053224637</v>
      </c>
      <c r="O929" s="70">
        <v>4.69633825327149</v>
      </c>
      <c r="P929" s="70">
        <v>4.69633825327149</v>
      </c>
    </row>
    <row r="930" hidden="1">
      <c r="A930" s="67" t="s">
        <v>1690</v>
      </c>
      <c r="B930" s="67" t="s">
        <v>268</v>
      </c>
      <c r="C930" s="68">
        <v>0.1</v>
      </c>
      <c r="D930" s="68">
        <v>0.1</v>
      </c>
      <c r="E930" s="68">
        <v>2.0</v>
      </c>
      <c r="F930" s="68">
        <v>3.0</v>
      </c>
      <c r="G930" s="68">
        <v>2.98549933425983</v>
      </c>
      <c r="H930" s="68">
        <v>147.143550147696</v>
      </c>
      <c r="I930" s="69">
        <v>44311.77488425926</v>
      </c>
      <c r="J930" s="69">
        <v>44311.89299768519</v>
      </c>
      <c r="K930">
        <f>AVERAGE(H927:H931)</f>
        <v>153.6521975</v>
      </c>
      <c r="L930">
        <f>STDEV(H927:H931)</f>
        <v>101.3399822</v>
      </c>
      <c r="M930" s="70">
        <v>147.143550147696</v>
      </c>
      <c r="N930" s="70">
        <v>147.143550147696</v>
      </c>
      <c r="O930" s="70">
        <v>2.98549933425983</v>
      </c>
      <c r="P930" s="70">
        <v>2.98549933425983</v>
      </c>
    </row>
    <row r="931" hidden="1">
      <c r="A931" s="67" t="s">
        <v>1691</v>
      </c>
      <c r="B931" s="67" t="s">
        <v>268</v>
      </c>
      <c r="C931" s="68">
        <v>0.1</v>
      </c>
      <c r="D931" s="68">
        <v>0.1</v>
      </c>
      <c r="E931" s="68">
        <v>2.0</v>
      </c>
      <c r="F931" s="68">
        <v>4.0</v>
      </c>
      <c r="G931" s="68">
        <v>6.02984202233938</v>
      </c>
      <c r="H931" s="68">
        <v>186.938741694307</v>
      </c>
      <c r="I931" s="69">
        <v>44311.89371527778</v>
      </c>
      <c r="J931" s="69">
        <v>44311.89377314815</v>
      </c>
      <c r="K931">
        <f>AVERAGE(H927:H931)</f>
        <v>153.6521975</v>
      </c>
      <c r="L931">
        <f>STDEV(H927:H931)</f>
        <v>101.3399822</v>
      </c>
      <c r="M931" s="70">
        <v>186.938741694307</v>
      </c>
      <c r="N931" s="70">
        <v>186.938741694307</v>
      </c>
      <c r="O931" s="70">
        <v>6.02984202233938</v>
      </c>
      <c r="P931" s="70">
        <v>6.02984202233938</v>
      </c>
    </row>
    <row r="932" hidden="1">
      <c r="A932" s="67" t="s">
        <v>1692</v>
      </c>
      <c r="B932" s="67" t="s">
        <v>268</v>
      </c>
      <c r="C932" s="68">
        <v>0.1</v>
      </c>
      <c r="D932" s="68">
        <v>0.25</v>
      </c>
      <c r="E932" s="68">
        <v>2.0</v>
      </c>
      <c r="F932" s="68">
        <v>0.0</v>
      </c>
      <c r="G932" s="68">
        <v>4.22700175416424</v>
      </c>
      <c r="H932" s="68">
        <v>181.797227350163</v>
      </c>
      <c r="I932" s="69">
        <v>44311.894479166665</v>
      </c>
      <c r="J932" s="69">
        <v>44311.94361111111</v>
      </c>
      <c r="K932">
        <f>AVERAGE(H932:H936)</f>
        <v>112.3028381</v>
      </c>
      <c r="L932">
        <f>STDEV(H932:H936)</f>
        <v>116.871482</v>
      </c>
      <c r="M932" s="70">
        <v>181.797227350163</v>
      </c>
      <c r="N932" s="70">
        <v>181.797227350163</v>
      </c>
      <c r="O932" s="70">
        <v>4.22700175416424</v>
      </c>
      <c r="P932" s="70">
        <v>4.22700175416424</v>
      </c>
    </row>
    <row r="933" hidden="1">
      <c r="A933" s="67" t="s">
        <v>1693</v>
      </c>
      <c r="B933" s="67" t="s">
        <v>268</v>
      </c>
      <c r="C933" s="68">
        <v>0.1</v>
      </c>
      <c r="D933" s="68">
        <v>0.25</v>
      </c>
      <c r="E933" s="68">
        <v>2.0</v>
      </c>
      <c r="F933" s="68">
        <v>1.0</v>
      </c>
      <c r="G933" s="68">
        <v>1.72673464917312</v>
      </c>
      <c r="H933" s="68">
        <v>27.877150318074</v>
      </c>
      <c r="I933" s="69">
        <v>44311.94431712963</v>
      </c>
      <c r="J933" s="69">
        <v>44311.94490740741</v>
      </c>
      <c r="K933">
        <f>AVERAGE(H932:H936)</f>
        <v>112.3028381</v>
      </c>
      <c r="L933">
        <f>STDEV(H932:H936)</f>
        <v>116.871482</v>
      </c>
      <c r="M933" s="70">
        <v>27.877150318074</v>
      </c>
      <c r="N933" s="70">
        <v>27.877150318074</v>
      </c>
      <c r="O933" s="70">
        <v>1.72673464917312</v>
      </c>
      <c r="P933" s="70">
        <v>1.72673464917312</v>
      </c>
    </row>
    <row r="934" hidden="1">
      <c r="A934" s="67" t="s">
        <v>1694</v>
      </c>
      <c r="B934" s="67" t="s">
        <v>268</v>
      </c>
      <c r="C934" s="68">
        <v>0.1</v>
      </c>
      <c r="D934" s="68">
        <v>0.25</v>
      </c>
      <c r="E934" s="68">
        <v>2.0</v>
      </c>
      <c r="F934" s="68">
        <v>2.0</v>
      </c>
      <c r="G934" s="68">
        <v>0.65595121587375</v>
      </c>
      <c r="H934" s="68">
        <v>1.21546686721989</v>
      </c>
      <c r="I934" s="69">
        <v>44311.94561342592</v>
      </c>
      <c r="J934" s="69">
        <v>44311.94633101852</v>
      </c>
      <c r="K934">
        <f>AVERAGE(H932:H936)</f>
        <v>112.3028381</v>
      </c>
      <c r="L934">
        <f>STDEV(H932:H936)</f>
        <v>116.871482</v>
      </c>
      <c r="M934" s="70">
        <v>1.21546686721989</v>
      </c>
      <c r="N934" s="70">
        <v>1.21546686721989</v>
      </c>
      <c r="O934" s="70">
        <v>0.65595121587375</v>
      </c>
      <c r="P934" s="70">
        <v>0.65595121587375</v>
      </c>
    </row>
    <row r="935" hidden="1">
      <c r="A935" s="67" t="s">
        <v>1695</v>
      </c>
      <c r="B935" s="67" t="s">
        <v>268</v>
      </c>
      <c r="C935" s="68">
        <v>0.1</v>
      </c>
      <c r="D935" s="68">
        <v>0.25</v>
      </c>
      <c r="E935" s="68">
        <v>2.0</v>
      </c>
      <c r="F935" s="68">
        <v>3.0</v>
      </c>
      <c r="G935" s="68">
        <v>7.88752726184275</v>
      </c>
      <c r="H935" s="68">
        <v>281.137145787684</v>
      </c>
      <c r="I935" s="69">
        <v>44311.94703703704</v>
      </c>
      <c r="J935" s="69">
        <v>44311.947280092594</v>
      </c>
      <c r="K935">
        <f>AVERAGE(H932:H936)</f>
        <v>112.3028381</v>
      </c>
      <c r="L935">
        <f>STDEV(H932:H936)</f>
        <v>116.871482</v>
      </c>
      <c r="M935" s="70">
        <v>281.137145787684</v>
      </c>
      <c r="N935" s="70">
        <v>281.137145787684</v>
      </c>
      <c r="O935" s="70">
        <v>7.88752726184275</v>
      </c>
      <c r="P935" s="70">
        <v>7.88752726184275</v>
      </c>
    </row>
    <row r="936" hidden="1">
      <c r="A936" s="67" t="s">
        <v>1696</v>
      </c>
      <c r="B936" s="67" t="s">
        <v>268</v>
      </c>
      <c r="C936" s="68">
        <v>0.1</v>
      </c>
      <c r="D936" s="68">
        <v>0.25</v>
      </c>
      <c r="E936" s="68">
        <v>2.0</v>
      </c>
      <c r="F936" s="68">
        <v>4.0</v>
      </c>
      <c r="G936" s="68">
        <v>1.35169134501324</v>
      </c>
      <c r="H936" s="68">
        <v>69.4871999436822</v>
      </c>
      <c r="I936" s="69">
        <v>44311.94799768519</v>
      </c>
      <c r="J936" s="69">
        <v>44311.949108796296</v>
      </c>
      <c r="K936">
        <f>AVERAGE(H932:H936)</f>
        <v>112.3028381</v>
      </c>
      <c r="L936">
        <f>STDEV(H932:H936)</f>
        <v>116.871482</v>
      </c>
      <c r="M936" s="70">
        <v>69.4871999436822</v>
      </c>
      <c r="N936" s="70">
        <v>69.4871999436822</v>
      </c>
      <c r="O936" s="70">
        <v>1.35169134501324</v>
      </c>
      <c r="P936" s="70">
        <v>1.35169134501324</v>
      </c>
    </row>
    <row r="937" hidden="1">
      <c r="A937" s="67" t="s">
        <v>1697</v>
      </c>
      <c r="B937" s="67" t="s">
        <v>268</v>
      </c>
      <c r="C937" s="68">
        <v>0.1</v>
      </c>
      <c r="D937" s="68">
        <v>0.5</v>
      </c>
      <c r="E937" s="68">
        <v>2.0</v>
      </c>
      <c r="F937" s="68">
        <v>0.0</v>
      </c>
      <c r="G937" s="68">
        <v>4.77156875722403</v>
      </c>
      <c r="H937" s="68">
        <v>160.946422780825</v>
      </c>
      <c r="I937" s="69">
        <v>44311.94982638889</v>
      </c>
      <c r="J937" s="69">
        <v>44311.95003472222</v>
      </c>
      <c r="K937">
        <f>AVERAGE(H937:H941)</f>
        <v>154.2869114</v>
      </c>
      <c r="L937">
        <f>STDEV(H937:H941)</f>
        <v>104.9250811</v>
      </c>
      <c r="M937" s="70">
        <v>160.946422780825</v>
      </c>
      <c r="N937" s="70">
        <v>160.946422780825</v>
      </c>
      <c r="O937" s="70">
        <v>4.77156875722403</v>
      </c>
      <c r="P937" s="70">
        <v>4.77156875722403</v>
      </c>
    </row>
    <row r="938" hidden="1">
      <c r="A938" s="67" t="s">
        <v>1698</v>
      </c>
      <c r="B938" s="67" t="s">
        <v>268</v>
      </c>
      <c r="C938" s="68">
        <v>0.1</v>
      </c>
      <c r="D938" s="68">
        <v>0.5</v>
      </c>
      <c r="E938" s="68">
        <v>2.0</v>
      </c>
      <c r="F938" s="68">
        <v>1.0</v>
      </c>
      <c r="G938" s="68">
        <v>0.690209399098739</v>
      </c>
      <c r="H938" s="68">
        <v>0.907162369594059</v>
      </c>
      <c r="I938" s="69">
        <v>44311.95075231481</v>
      </c>
      <c r="J938" s="69">
        <v>44311.95097222222</v>
      </c>
      <c r="K938">
        <f>AVERAGE(H937:H941)</f>
        <v>154.2869114</v>
      </c>
      <c r="L938">
        <f>STDEV(H937:H941)</f>
        <v>104.9250811</v>
      </c>
      <c r="M938" s="70">
        <v>0.907162369594059</v>
      </c>
      <c r="N938" s="70">
        <v>0.907162369594059</v>
      </c>
      <c r="O938" s="70">
        <v>0.690209399098739</v>
      </c>
      <c r="P938" s="70">
        <v>0.690209399098739</v>
      </c>
    </row>
    <row r="939" hidden="1">
      <c r="A939" s="67" t="s">
        <v>1699</v>
      </c>
      <c r="B939" s="67" t="s">
        <v>268</v>
      </c>
      <c r="C939" s="68">
        <v>0.1</v>
      </c>
      <c r="D939" s="68">
        <v>0.5</v>
      </c>
      <c r="E939" s="68">
        <v>2.0</v>
      </c>
      <c r="F939" s="68">
        <v>2.0</v>
      </c>
      <c r="G939" s="68">
        <v>8.47759096872349</v>
      </c>
      <c r="H939" s="68">
        <v>292.277610935753</v>
      </c>
      <c r="I939" s="69">
        <v>44311.951689814814</v>
      </c>
      <c r="J939" s="69">
        <v>44311.95260416667</v>
      </c>
      <c r="K939">
        <f>AVERAGE(H937:H941)</f>
        <v>154.2869114</v>
      </c>
      <c r="L939">
        <f>STDEV(H937:H941)</f>
        <v>104.9250811</v>
      </c>
      <c r="M939" s="70">
        <v>292.277610935753</v>
      </c>
      <c r="N939" s="70">
        <v>292.277610935753</v>
      </c>
      <c r="O939" s="70">
        <v>8.47759096872349</v>
      </c>
      <c r="P939" s="70">
        <v>8.47759096872349</v>
      </c>
    </row>
    <row r="940" hidden="1">
      <c r="A940" s="67" t="s">
        <v>1700</v>
      </c>
      <c r="B940" s="67" t="s">
        <v>268</v>
      </c>
      <c r="C940" s="68">
        <v>0.1</v>
      </c>
      <c r="D940" s="68">
        <v>0.5</v>
      </c>
      <c r="E940" s="68">
        <v>2.0</v>
      </c>
      <c r="F940" s="68">
        <v>3.0</v>
      </c>
      <c r="G940" s="68">
        <v>5.40905326180178</v>
      </c>
      <c r="H940" s="68">
        <v>184.994217177921</v>
      </c>
      <c r="I940" s="69">
        <v>44311.953310185185</v>
      </c>
      <c r="J940" s="69">
        <v>44311.95349537037</v>
      </c>
      <c r="K940">
        <f>AVERAGE(H937:H941)</f>
        <v>154.2869114</v>
      </c>
      <c r="L940">
        <f>STDEV(H937:H941)</f>
        <v>104.9250811</v>
      </c>
      <c r="M940" s="70">
        <v>184.994217177921</v>
      </c>
      <c r="N940" s="70">
        <v>184.994217177921</v>
      </c>
      <c r="O940" s="70">
        <v>5.40905326180178</v>
      </c>
      <c r="P940" s="70">
        <v>5.40905326180178</v>
      </c>
    </row>
    <row r="941" hidden="1">
      <c r="A941" s="67" t="s">
        <v>1701</v>
      </c>
      <c r="B941" s="67" t="s">
        <v>268</v>
      </c>
      <c r="C941" s="68">
        <v>0.1</v>
      </c>
      <c r="D941" s="68">
        <v>0.5</v>
      </c>
      <c r="E941" s="68">
        <v>2.0</v>
      </c>
      <c r="F941" s="68">
        <v>4.0</v>
      </c>
      <c r="G941" s="68">
        <v>2.64747423495237</v>
      </c>
      <c r="H941" s="68">
        <v>132.309143721246</v>
      </c>
      <c r="I941" s="69">
        <v>44311.95421296296</v>
      </c>
      <c r="J941" s="69">
        <v>44312.022511574076</v>
      </c>
      <c r="K941">
        <f>AVERAGE(H937:H941)</f>
        <v>154.2869114</v>
      </c>
      <c r="L941">
        <f>STDEV(H937:H941)</f>
        <v>104.9250811</v>
      </c>
      <c r="M941" s="70">
        <v>132.309143721246</v>
      </c>
      <c r="N941" s="70">
        <v>132.309143721246</v>
      </c>
      <c r="O941" s="70">
        <v>2.64747423495237</v>
      </c>
      <c r="P941" s="70">
        <v>2.64747423495237</v>
      </c>
    </row>
    <row r="942" hidden="1">
      <c r="A942" s="67" t="s">
        <v>1702</v>
      </c>
      <c r="B942" s="67" t="s">
        <v>268</v>
      </c>
      <c r="C942" s="68">
        <v>0.1</v>
      </c>
      <c r="D942" s="68">
        <v>0.75</v>
      </c>
      <c r="E942" s="68">
        <v>2.0</v>
      </c>
      <c r="F942" s="68">
        <v>0.0</v>
      </c>
      <c r="G942" s="68">
        <v>0.656070362763364</v>
      </c>
      <c r="H942" s="68">
        <v>1.21606692141228</v>
      </c>
      <c r="I942" s="69">
        <v>44312.02322916667</v>
      </c>
      <c r="J942" s="69">
        <v>44312.023993055554</v>
      </c>
      <c r="K942">
        <f>AVERAGE(H942:H946)</f>
        <v>87.62523066</v>
      </c>
      <c r="L942">
        <f>STDEV(H942:H946)</f>
        <v>83.82188883</v>
      </c>
      <c r="M942" s="70">
        <v>1.21606692141228</v>
      </c>
      <c r="N942" s="70">
        <v>1.21606692141228</v>
      </c>
      <c r="O942" s="70">
        <v>0.656070362763364</v>
      </c>
      <c r="P942" s="70">
        <v>0.656070362763364</v>
      </c>
    </row>
    <row r="943" hidden="1">
      <c r="A943" s="67" t="s">
        <v>1703</v>
      </c>
      <c r="B943" s="67" t="s">
        <v>268</v>
      </c>
      <c r="C943" s="68">
        <v>0.1</v>
      </c>
      <c r="D943" s="68">
        <v>0.75</v>
      </c>
      <c r="E943" s="68">
        <v>2.0</v>
      </c>
      <c r="F943" s="68">
        <v>1.0</v>
      </c>
      <c r="G943" s="68">
        <v>1.35169134501324</v>
      </c>
      <c r="H943" s="68">
        <v>69.4871999436822</v>
      </c>
      <c r="I943" s="69">
        <v>44312.02469907407</v>
      </c>
      <c r="J943" s="69">
        <v>44312.02576388889</v>
      </c>
      <c r="K943">
        <f>AVERAGE(H942:H946)</f>
        <v>87.62523066</v>
      </c>
      <c r="L943">
        <f>STDEV(H942:H946)</f>
        <v>83.82188883</v>
      </c>
      <c r="M943" s="70">
        <v>69.4871999436822</v>
      </c>
      <c r="N943" s="70">
        <v>69.4871999436822</v>
      </c>
      <c r="O943" s="70">
        <v>1.35169134501324</v>
      </c>
      <c r="P943" s="70">
        <v>1.35169134501324</v>
      </c>
    </row>
    <row r="944" hidden="1">
      <c r="A944" s="67" t="s">
        <v>1704</v>
      </c>
      <c r="B944" s="67" t="s">
        <v>268</v>
      </c>
      <c r="C944" s="68">
        <v>0.1</v>
      </c>
      <c r="D944" s="68">
        <v>0.75</v>
      </c>
      <c r="E944" s="68">
        <v>2.0</v>
      </c>
      <c r="F944" s="68">
        <v>2.0</v>
      </c>
      <c r="G944" s="68">
        <v>5.05849925179209</v>
      </c>
      <c r="H944" s="68">
        <v>156.292973453002</v>
      </c>
      <c r="I944" s="69">
        <v>44312.02646990741</v>
      </c>
      <c r="J944" s="69">
        <v>44312.0265625</v>
      </c>
      <c r="K944">
        <f>AVERAGE(H942:H946)</f>
        <v>87.62523066</v>
      </c>
      <c r="L944">
        <f>STDEV(H942:H946)</f>
        <v>83.82188883</v>
      </c>
      <c r="M944" s="70">
        <v>156.292973453002</v>
      </c>
      <c r="N944" s="70">
        <v>156.292973453002</v>
      </c>
      <c r="O944" s="70">
        <v>5.05849925179209</v>
      </c>
      <c r="P944" s="70">
        <v>5.05849925179209</v>
      </c>
    </row>
    <row r="945" hidden="1">
      <c r="A945" s="67" t="s">
        <v>1705</v>
      </c>
      <c r="B945" s="67" t="s">
        <v>268</v>
      </c>
      <c r="C945" s="68">
        <v>0.1</v>
      </c>
      <c r="D945" s="68">
        <v>0.75</v>
      </c>
      <c r="E945" s="68">
        <v>2.0</v>
      </c>
      <c r="F945" s="68">
        <v>3.0</v>
      </c>
      <c r="G945" s="68">
        <v>1.36598770955621</v>
      </c>
      <c r="H945" s="68">
        <v>19.1069377189436</v>
      </c>
      <c r="I945" s="69">
        <v>44312.02726851852</v>
      </c>
      <c r="J945" s="69">
        <v>44312.02787037037</v>
      </c>
      <c r="K945">
        <f>AVERAGE(H942:H946)</f>
        <v>87.62523066</v>
      </c>
      <c r="L945">
        <f>STDEV(H942:H946)</f>
        <v>83.82188883</v>
      </c>
      <c r="M945" s="70">
        <v>19.1069377189436</v>
      </c>
      <c r="N945" s="70">
        <v>19.1069377189436</v>
      </c>
      <c r="O945" s="70">
        <v>1.36598770955621</v>
      </c>
      <c r="P945" s="70">
        <v>1.36598770955621</v>
      </c>
    </row>
    <row r="946" hidden="1">
      <c r="A946" s="67" t="s">
        <v>1706</v>
      </c>
      <c r="B946" s="67" t="s">
        <v>268</v>
      </c>
      <c r="C946" s="68">
        <v>0.1</v>
      </c>
      <c r="D946" s="68">
        <v>0.75</v>
      </c>
      <c r="E946" s="68">
        <v>2.0</v>
      </c>
      <c r="F946" s="68">
        <v>4.0</v>
      </c>
      <c r="G946" s="68">
        <v>4.50736535646372</v>
      </c>
      <c r="H946" s="68">
        <v>192.022975280092</v>
      </c>
      <c r="I946" s="69">
        <v>44312.02857638889</v>
      </c>
      <c r="J946" s="69">
        <v>44312.080347222225</v>
      </c>
      <c r="K946">
        <f>AVERAGE(H942:H946)</f>
        <v>87.62523066</v>
      </c>
      <c r="L946">
        <f>STDEV(H942:H946)</f>
        <v>83.82188883</v>
      </c>
      <c r="M946" s="70">
        <v>192.022975280092</v>
      </c>
      <c r="N946" s="70">
        <v>192.022975280092</v>
      </c>
      <c r="O946" s="70">
        <v>4.50736535646372</v>
      </c>
      <c r="P946" s="70">
        <v>4.50736535646372</v>
      </c>
    </row>
    <row r="947" hidden="1">
      <c r="A947" s="67" t="s">
        <v>1707</v>
      </c>
      <c r="B947" s="67" t="s">
        <v>268</v>
      </c>
      <c r="C947" s="68">
        <v>0.1</v>
      </c>
      <c r="D947" s="68">
        <v>1.0</v>
      </c>
      <c r="E947" s="68">
        <v>2.0</v>
      </c>
      <c r="F947" s="68">
        <v>0.0</v>
      </c>
      <c r="G947" s="68">
        <v>1.29031712224171</v>
      </c>
      <c r="H947" s="68">
        <v>7.9928112809115</v>
      </c>
      <c r="I947" s="69">
        <v>44312.08105324074</v>
      </c>
      <c r="J947" s="69">
        <v>44312.08212962963</v>
      </c>
      <c r="K947">
        <f>AVERAGE(H947:H951)</f>
        <v>267.0963166</v>
      </c>
      <c r="L947">
        <f>STDEV(H947:H951)</f>
        <v>333.1192</v>
      </c>
      <c r="M947" s="70">
        <v>7.9928112809115</v>
      </c>
      <c r="N947" s="70">
        <v>7.9928112809115</v>
      </c>
      <c r="O947" s="70">
        <v>1.29031712224171</v>
      </c>
      <c r="P947" s="70">
        <v>1.29031712224171</v>
      </c>
    </row>
    <row r="948" hidden="1">
      <c r="A948" s="67" t="s">
        <v>1708</v>
      </c>
      <c r="B948" s="67" t="s">
        <v>268</v>
      </c>
      <c r="C948" s="68">
        <v>0.1</v>
      </c>
      <c r="D948" s="68">
        <v>1.0</v>
      </c>
      <c r="E948" s="68">
        <v>2.0</v>
      </c>
      <c r="F948" s="68">
        <v>1.0</v>
      </c>
      <c r="G948" s="68">
        <v>3.55741633649167</v>
      </c>
      <c r="H948" s="68">
        <v>140.740538096558</v>
      </c>
      <c r="I948" s="69">
        <v>44312.08284722222</v>
      </c>
      <c r="J948" s="69">
        <v>44312.08576388889</v>
      </c>
      <c r="K948">
        <f>AVERAGE(H947:H951)</f>
        <v>267.0963166</v>
      </c>
      <c r="L948">
        <f>STDEV(H947:H951)</f>
        <v>333.1192</v>
      </c>
      <c r="M948" s="70">
        <v>140.740538096558</v>
      </c>
      <c r="N948" s="70">
        <v>140.740538096558</v>
      </c>
      <c r="O948" s="70">
        <v>3.55741633649167</v>
      </c>
      <c r="P948" s="70">
        <v>3.55741633649167</v>
      </c>
    </row>
    <row r="949" hidden="1">
      <c r="A949" s="67" t="s">
        <v>1709</v>
      </c>
      <c r="B949" s="67" t="s">
        <v>268</v>
      </c>
      <c r="C949" s="68">
        <v>0.1</v>
      </c>
      <c r="D949" s="68">
        <v>1.0</v>
      </c>
      <c r="E949" s="68">
        <v>2.0</v>
      </c>
      <c r="F949" s="68">
        <v>2.0</v>
      </c>
      <c r="G949" s="68">
        <v>69.1298443530986</v>
      </c>
      <c r="H949" s="68">
        <v>849.763849683435</v>
      </c>
      <c r="I949" s="69">
        <v>44312.08646990741</v>
      </c>
      <c r="J949" s="69">
        <v>44312.086481481485</v>
      </c>
      <c r="K949">
        <f>AVERAGE(H947:H951)</f>
        <v>267.0963166</v>
      </c>
      <c r="L949">
        <f>STDEV(H947:H951)</f>
        <v>333.1192</v>
      </c>
      <c r="M949" s="70">
        <v>849.763849683435</v>
      </c>
      <c r="N949" s="70">
        <v>849.763849683435</v>
      </c>
      <c r="O949" s="70">
        <v>69.1298443530986</v>
      </c>
      <c r="P949" s="70">
        <v>69.1298443530986</v>
      </c>
    </row>
    <row r="950" hidden="1">
      <c r="A950" s="67" t="s">
        <v>1710</v>
      </c>
      <c r="B950" s="67" t="s">
        <v>268</v>
      </c>
      <c r="C950" s="68">
        <v>0.1</v>
      </c>
      <c r="D950" s="68">
        <v>1.0</v>
      </c>
      <c r="E950" s="68">
        <v>2.0</v>
      </c>
      <c r="F950" s="68">
        <v>3.0</v>
      </c>
      <c r="G950" s="68">
        <v>2.67822220453091</v>
      </c>
      <c r="H950" s="68">
        <v>138.274684350775</v>
      </c>
      <c r="I950" s="69">
        <v>44312.0871875</v>
      </c>
      <c r="J950" s="69">
        <v>44312.09890046297</v>
      </c>
      <c r="K950">
        <f>AVERAGE(H947:H951)</f>
        <v>267.0963166</v>
      </c>
      <c r="L950">
        <f>STDEV(H947:H951)</f>
        <v>333.1192</v>
      </c>
      <c r="M950" s="70">
        <v>138.274684350775</v>
      </c>
      <c r="N950" s="70">
        <v>138.274684350775</v>
      </c>
      <c r="O950" s="70">
        <v>2.67822220453091</v>
      </c>
      <c r="P950" s="70">
        <v>2.67822220453091</v>
      </c>
    </row>
    <row r="951" hidden="1">
      <c r="A951" s="67" t="s">
        <v>1711</v>
      </c>
      <c r="B951" s="67" t="s">
        <v>268</v>
      </c>
      <c r="C951" s="68">
        <v>0.1</v>
      </c>
      <c r="D951" s="68">
        <v>1.0</v>
      </c>
      <c r="E951" s="68">
        <v>2.0</v>
      </c>
      <c r="F951" s="68">
        <v>4.0</v>
      </c>
      <c r="G951" s="68">
        <v>4.41406887798387</v>
      </c>
      <c r="H951" s="68">
        <v>198.709699543792</v>
      </c>
      <c r="I951" s="69">
        <v>44312.09960648148</v>
      </c>
      <c r="J951" s="69">
        <v>44312.10326388889</v>
      </c>
      <c r="K951">
        <f>AVERAGE(H947:H951)</f>
        <v>267.0963166</v>
      </c>
      <c r="L951">
        <f>STDEV(H947:H951)</f>
        <v>333.1192</v>
      </c>
      <c r="M951" s="70">
        <v>198.709699543792</v>
      </c>
      <c r="N951" s="70">
        <v>198.709699543792</v>
      </c>
      <c r="O951" s="70">
        <v>4.41406887798387</v>
      </c>
      <c r="P951" s="70">
        <v>4.41406887798387</v>
      </c>
    </row>
    <row r="952" hidden="1">
      <c r="A952" s="67" t="s">
        <v>1712</v>
      </c>
      <c r="B952" s="67" t="s">
        <v>268</v>
      </c>
      <c r="C952" s="68">
        <v>0.25</v>
      </c>
      <c r="D952" s="68">
        <v>0.1</v>
      </c>
      <c r="E952" s="68">
        <v>2.0</v>
      </c>
      <c r="F952" s="68">
        <v>0.0</v>
      </c>
      <c r="G952" s="68">
        <v>0.696011889606323</v>
      </c>
      <c r="H952" s="68">
        <v>0.915391144850654</v>
      </c>
      <c r="I952" s="69">
        <v>44312.10396990741</v>
      </c>
      <c r="J952" s="69">
        <v>44312.10418981482</v>
      </c>
      <c r="K952">
        <f>AVERAGE(H952:H956)</f>
        <v>79.7138836</v>
      </c>
      <c r="L952">
        <f>STDEV(H952:H956)</f>
        <v>102.6755189</v>
      </c>
      <c r="M952" s="70">
        <v>0.915391144850654</v>
      </c>
      <c r="N952" s="70">
        <v>0.915391144850654</v>
      </c>
      <c r="O952" s="70">
        <v>0.696011889606323</v>
      </c>
      <c r="P952" s="70">
        <v>0.696011889606323</v>
      </c>
    </row>
    <row r="953" hidden="1">
      <c r="A953" s="67" t="s">
        <v>1713</v>
      </c>
      <c r="B953" s="67" t="s">
        <v>268</v>
      </c>
      <c r="C953" s="68">
        <v>0.25</v>
      </c>
      <c r="D953" s="68">
        <v>0.1</v>
      </c>
      <c r="E953" s="68">
        <v>2.0</v>
      </c>
      <c r="F953" s="68">
        <v>1.0</v>
      </c>
      <c r="G953" s="68">
        <v>6.84287682591994</v>
      </c>
      <c r="H953" s="68">
        <v>214.833436158144</v>
      </c>
      <c r="I953" s="69">
        <v>44312.104895833334</v>
      </c>
      <c r="J953" s="69">
        <v>44312.105</v>
      </c>
      <c r="K953">
        <f>AVERAGE(H952:H956)</f>
        <v>79.7138836</v>
      </c>
      <c r="L953">
        <f>STDEV(H952:H956)</f>
        <v>102.6755189</v>
      </c>
      <c r="M953" s="70">
        <v>214.833436158144</v>
      </c>
      <c r="N953" s="70">
        <v>214.833436158144</v>
      </c>
      <c r="O953" s="70">
        <v>6.84287682591994</v>
      </c>
      <c r="P953" s="70">
        <v>6.84287682591994</v>
      </c>
    </row>
    <row r="954" hidden="1">
      <c r="A954" s="67" t="s">
        <v>1714</v>
      </c>
      <c r="B954" s="67" t="s">
        <v>268</v>
      </c>
      <c r="C954" s="68">
        <v>0.25</v>
      </c>
      <c r="D954" s="68">
        <v>0.1</v>
      </c>
      <c r="E954" s="68">
        <v>2.0</v>
      </c>
      <c r="F954" s="68">
        <v>2.0</v>
      </c>
      <c r="G954" s="68">
        <v>1.8264746717274</v>
      </c>
      <c r="H954" s="68">
        <v>15.9348615968195</v>
      </c>
      <c r="I954" s="69">
        <v>44312.105717592596</v>
      </c>
      <c r="J954" s="69">
        <v>44312.105729166666</v>
      </c>
      <c r="K954">
        <f>AVERAGE(H952:H956)</f>
        <v>79.7138836</v>
      </c>
      <c r="L954">
        <f>STDEV(H952:H956)</f>
        <v>102.6755189</v>
      </c>
      <c r="M954" s="70">
        <v>15.9348615968195</v>
      </c>
      <c r="N954" s="70">
        <v>15.9348615968195</v>
      </c>
      <c r="O954" s="70">
        <v>1.8264746717274</v>
      </c>
      <c r="P954" s="70">
        <v>1.8264746717274</v>
      </c>
    </row>
    <row r="955" hidden="1">
      <c r="A955" s="67" t="s">
        <v>1715</v>
      </c>
      <c r="B955" s="67" t="s">
        <v>268</v>
      </c>
      <c r="C955" s="68">
        <v>0.25</v>
      </c>
      <c r="D955" s="68">
        <v>0.1</v>
      </c>
      <c r="E955" s="68">
        <v>2.0</v>
      </c>
      <c r="F955" s="68">
        <v>3.0</v>
      </c>
      <c r="G955" s="68">
        <v>3.5866741510192</v>
      </c>
      <c r="H955" s="68">
        <v>165.926131197785</v>
      </c>
      <c r="I955" s="69">
        <v>44312.10644675926</v>
      </c>
      <c r="J955" s="69">
        <v>44312.17679398148</v>
      </c>
      <c r="K955">
        <f>AVERAGE(H952:H956)</f>
        <v>79.7138836</v>
      </c>
      <c r="L955">
        <f>STDEV(H952:H956)</f>
        <v>102.6755189</v>
      </c>
      <c r="M955" s="70">
        <v>165.926131197785</v>
      </c>
      <c r="N955" s="70">
        <v>165.926131197785</v>
      </c>
      <c r="O955" s="70">
        <v>3.5866741510192</v>
      </c>
      <c r="P955" s="70">
        <v>3.5866741510192</v>
      </c>
    </row>
    <row r="956" hidden="1">
      <c r="A956" s="67" t="s">
        <v>1716</v>
      </c>
      <c r="B956" s="67" t="s">
        <v>268</v>
      </c>
      <c r="C956" s="68">
        <v>0.25</v>
      </c>
      <c r="D956" s="68">
        <v>0.1</v>
      </c>
      <c r="E956" s="68">
        <v>2.0</v>
      </c>
      <c r="F956" s="68">
        <v>4.0</v>
      </c>
      <c r="G956" s="68">
        <v>0.743133569978642</v>
      </c>
      <c r="H956" s="68">
        <v>0.959597899087155</v>
      </c>
      <c r="I956" s="69">
        <v>44312.1775</v>
      </c>
      <c r="J956" s="69">
        <v>44312.17768518518</v>
      </c>
      <c r="K956">
        <f>AVERAGE(H952:H956)</f>
        <v>79.7138836</v>
      </c>
      <c r="L956">
        <f>STDEV(H952:H956)</f>
        <v>102.6755189</v>
      </c>
      <c r="M956" s="70">
        <v>0.959597899087155</v>
      </c>
      <c r="N956" s="70">
        <v>0.959597899087155</v>
      </c>
      <c r="O956" s="70">
        <v>0.743133569978642</v>
      </c>
      <c r="P956" s="70">
        <v>0.743133569978642</v>
      </c>
    </row>
    <row r="957" hidden="1">
      <c r="A957" s="67" t="s">
        <v>1717</v>
      </c>
      <c r="B957" s="67" t="s">
        <v>268</v>
      </c>
      <c r="C957" s="68">
        <v>0.25</v>
      </c>
      <c r="D957" s="68">
        <v>0.25</v>
      </c>
      <c r="E957" s="68">
        <v>2.0</v>
      </c>
      <c r="F957" s="68">
        <v>0.0</v>
      </c>
      <c r="G957" s="68">
        <v>0.625915435291458</v>
      </c>
      <c r="H957" s="68">
        <v>0.85866687378515</v>
      </c>
      <c r="I957" s="69">
        <v>44312.178391203706</v>
      </c>
      <c r="J957" s="69">
        <v>44312.178391203706</v>
      </c>
      <c r="K957">
        <f>AVERAGE(H957:H961)</f>
        <v>97.34584414</v>
      </c>
      <c r="L957">
        <f>STDEV(H957:H961)</f>
        <v>88.8938591</v>
      </c>
      <c r="M957" s="70">
        <v>0.85866687378515</v>
      </c>
      <c r="N957" s="70">
        <v>0.85866687378515</v>
      </c>
      <c r="O957" s="70">
        <v>0.625915435291458</v>
      </c>
      <c r="P957" s="70">
        <v>0.625915435291458</v>
      </c>
    </row>
    <row r="958" hidden="1">
      <c r="A958" s="67" t="s">
        <v>1718</v>
      </c>
      <c r="B958" s="67" t="s">
        <v>268</v>
      </c>
      <c r="C958" s="68">
        <v>0.25</v>
      </c>
      <c r="D958" s="68">
        <v>0.25</v>
      </c>
      <c r="E958" s="68">
        <v>2.0</v>
      </c>
      <c r="F958" s="68">
        <v>1.0</v>
      </c>
      <c r="G958" s="68">
        <v>0.71205655889852</v>
      </c>
      <c r="H958" s="68">
        <v>0.948977832482219</v>
      </c>
      <c r="I958" s="69">
        <v>44312.1791087963</v>
      </c>
      <c r="J958" s="69">
        <v>44312.17932870371</v>
      </c>
      <c r="K958">
        <f>AVERAGE(H957:H961)</f>
        <v>97.34584414</v>
      </c>
      <c r="L958">
        <f>STDEV(H957:H961)</f>
        <v>88.8938591</v>
      </c>
      <c r="M958" s="70">
        <v>0.948977832482219</v>
      </c>
      <c r="N958" s="70">
        <v>0.948977832482219</v>
      </c>
      <c r="O958" s="70">
        <v>0.71205655889852</v>
      </c>
      <c r="P958" s="70">
        <v>0.71205655889852</v>
      </c>
    </row>
    <row r="959" hidden="1">
      <c r="A959" s="67" t="s">
        <v>1719</v>
      </c>
      <c r="B959" s="67" t="s">
        <v>268</v>
      </c>
      <c r="C959" s="68">
        <v>0.25</v>
      </c>
      <c r="D959" s="68">
        <v>0.25</v>
      </c>
      <c r="E959" s="68">
        <v>2.0</v>
      </c>
      <c r="F959" s="68">
        <v>2.0</v>
      </c>
      <c r="G959" s="68">
        <v>2.90200814732555</v>
      </c>
      <c r="H959" s="68">
        <v>144.698995161573</v>
      </c>
      <c r="I959" s="69">
        <v>44312.18003472222</v>
      </c>
      <c r="J959" s="69">
        <v>44312.21052083333</v>
      </c>
      <c r="K959">
        <f>AVERAGE(H957:H961)</f>
        <v>97.34584414</v>
      </c>
      <c r="L959">
        <f>STDEV(H957:H961)</f>
        <v>88.8938591</v>
      </c>
      <c r="M959" s="70">
        <v>144.698995161573</v>
      </c>
      <c r="N959" s="70">
        <v>144.698995161573</v>
      </c>
      <c r="O959" s="70">
        <v>2.90200814732555</v>
      </c>
      <c r="P959" s="70">
        <v>2.90200814732555</v>
      </c>
    </row>
    <row r="960" hidden="1">
      <c r="A960" s="67" t="s">
        <v>1720</v>
      </c>
      <c r="B960" s="67" t="s">
        <v>268</v>
      </c>
      <c r="C960" s="68">
        <v>0.25</v>
      </c>
      <c r="D960" s="68">
        <v>0.25</v>
      </c>
      <c r="E960" s="68">
        <v>2.0</v>
      </c>
      <c r="F960" s="68">
        <v>3.0</v>
      </c>
      <c r="G960" s="68">
        <v>4.12808105611726</v>
      </c>
      <c r="H960" s="68">
        <v>179.449391752641</v>
      </c>
      <c r="I960" s="69">
        <v>44312.21123842592</v>
      </c>
      <c r="J960" s="69">
        <v>44312.22141203703</v>
      </c>
      <c r="K960">
        <f>AVERAGE(H957:H961)</f>
        <v>97.34584414</v>
      </c>
      <c r="L960">
        <f>STDEV(H957:H961)</f>
        <v>88.8938591</v>
      </c>
      <c r="M960" s="70">
        <v>179.449391752641</v>
      </c>
      <c r="N960" s="70">
        <v>179.449391752641</v>
      </c>
      <c r="O960" s="70">
        <v>4.12808105611726</v>
      </c>
      <c r="P960" s="70">
        <v>4.12808105611726</v>
      </c>
    </row>
    <row r="961" hidden="1">
      <c r="A961" s="67" t="s">
        <v>1721</v>
      </c>
      <c r="B961" s="67" t="s">
        <v>268</v>
      </c>
      <c r="C961" s="68">
        <v>0.25</v>
      </c>
      <c r="D961" s="68">
        <v>0.25</v>
      </c>
      <c r="E961" s="68">
        <v>2.0</v>
      </c>
      <c r="F961" s="68">
        <v>4.0</v>
      </c>
      <c r="G961" s="68">
        <v>4.76212101936258</v>
      </c>
      <c r="H961" s="68">
        <v>160.773189102542</v>
      </c>
      <c r="I961" s="69">
        <v>44312.22212962963</v>
      </c>
      <c r="J961" s="69">
        <v>44312.222337962965</v>
      </c>
      <c r="K961">
        <f>AVERAGE(H957:H961)</f>
        <v>97.34584414</v>
      </c>
      <c r="L961">
        <f>STDEV(H957:H961)</f>
        <v>88.8938591</v>
      </c>
      <c r="M961" s="70">
        <v>160.773189102542</v>
      </c>
      <c r="N961" s="70">
        <v>160.773189102542</v>
      </c>
      <c r="O961" s="70">
        <v>4.76212101936258</v>
      </c>
      <c r="P961" s="70">
        <v>4.76212101936258</v>
      </c>
    </row>
    <row r="962" hidden="1">
      <c r="A962" s="67" t="s">
        <v>1722</v>
      </c>
      <c r="B962" s="67" t="s">
        <v>268</v>
      </c>
      <c r="C962" s="68">
        <v>0.25</v>
      </c>
      <c r="D962" s="68">
        <v>0.5</v>
      </c>
      <c r="E962" s="68">
        <v>2.0</v>
      </c>
      <c r="F962" s="68">
        <v>0.0</v>
      </c>
      <c r="G962" s="68">
        <v>2.35284915084141</v>
      </c>
      <c r="H962" s="68">
        <v>108.216208309346</v>
      </c>
      <c r="I962" s="69">
        <v>44312.22304398148</v>
      </c>
      <c r="J962" s="69">
        <v>44312.27517361111</v>
      </c>
      <c r="K962">
        <f>AVERAGE(H962:H966)</f>
        <v>140.3364044</v>
      </c>
      <c r="L962">
        <f>STDEV(H962:H966)</f>
        <v>148.3439158</v>
      </c>
      <c r="M962" s="70">
        <v>108.216208309346</v>
      </c>
      <c r="N962" s="70">
        <v>108.216208309346</v>
      </c>
      <c r="O962" s="70">
        <v>2.35284915084141</v>
      </c>
      <c r="P962" s="70">
        <v>2.35284915084141</v>
      </c>
    </row>
    <row r="963" hidden="1">
      <c r="A963" s="67" t="s">
        <v>1723</v>
      </c>
      <c r="B963" s="67" t="s">
        <v>268</v>
      </c>
      <c r="C963" s="68">
        <v>0.25</v>
      </c>
      <c r="D963" s="68">
        <v>0.5</v>
      </c>
      <c r="E963" s="68">
        <v>2.0</v>
      </c>
      <c r="F963" s="68">
        <v>1.0</v>
      </c>
      <c r="G963" s="68">
        <v>0.712368747006467</v>
      </c>
      <c r="H963" s="68">
        <v>0.949250738237319</v>
      </c>
      <c r="I963" s="69">
        <v>44312.27587962963</v>
      </c>
      <c r="J963" s="69">
        <v>44312.276087962964</v>
      </c>
      <c r="K963">
        <f>AVERAGE(H962:H966)</f>
        <v>140.3364044</v>
      </c>
      <c r="L963">
        <f>STDEV(H962:H966)</f>
        <v>148.3439158</v>
      </c>
      <c r="M963" s="70">
        <v>0.949250738237319</v>
      </c>
      <c r="N963" s="70">
        <v>0.949250738237319</v>
      </c>
      <c r="O963" s="70">
        <v>0.712368747006467</v>
      </c>
      <c r="P963" s="70">
        <v>0.712368747006467</v>
      </c>
    </row>
    <row r="964" hidden="1">
      <c r="A964" s="67" t="s">
        <v>1724</v>
      </c>
      <c r="B964" s="67" t="s">
        <v>268</v>
      </c>
      <c r="C964" s="68">
        <v>0.25</v>
      </c>
      <c r="D964" s="68">
        <v>0.5</v>
      </c>
      <c r="E964" s="68">
        <v>2.0</v>
      </c>
      <c r="F964" s="68">
        <v>2.0</v>
      </c>
      <c r="G964" s="68">
        <v>8.26671555110101</v>
      </c>
      <c r="H964" s="68">
        <v>288.396588234789</v>
      </c>
      <c r="I964" s="69">
        <v>44312.27680555556</v>
      </c>
      <c r="J964" s="69">
        <v>44312.27768518519</v>
      </c>
      <c r="K964">
        <f>AVERAGE(H962:H966)</f>
        <v>140.3364044</v>
      </c>
      <c r="L964">
        <f>STDEV(H962:H966)</f>
        <v>148.3439158</v>
      </c>
      <c r="M964" s="70">
        <v>288.396588234789</v>
      </c>
      <c r="N964" s="70">
        <v>288.396588234789</v>
      </c>
      <c r="O964" s="70">
        <v>8.26671555110101</v>
      </c>
      <c r="P964" s="70">
        <v>8.26671555110101</v>
      </c>
    </row>
    <row r="965" hidden="1">
      <c r="A965" s="67" t="s">
        <v>1725</v>
      </c>
      <c r="B965" s="67" t="s">
        <v>268</v>
      </c>
      <c r="C965" s="68">
        <v>0.25</v>
      </c>
      <c r="D965" s="68">
        <v>0.5</v>
      </c>
      <c r="E965" s="68">
        <v>2.0</v>
      </c>
      <c r="F965" s="68">
        <v>3.0</v>
      </c>
      <c r="G965" s="68">
        <v>1.07991001504809</v>
      </c>
      <c r="H965" s="68">
        <v>1.4504242499467</v>
      </c>
      <c r="I965" s="69">
        <v>44312.278391203705</v>
      </c>
      <c r="J965" s="69">
        <v>44312.278495370374</v>
      </c>
      <c r="K965">
        <f>AVERAGE(H962:H966)</f>
        <v>140.3364044</v>
      </c>
      <c r="L965">
        <f>STDEV(H962:H966)</f>
        <v>148.3439158</v>
      </c>
      <c r="M965" s="70">
        <v>1.4504242499467</v>
      </c>
      <c r="N965" s="70">
        <v>1.4504242499467</v>
      </c>
      <c r="O965" s="70">
        <v>1.07991001504809</v>
      </c>
      <c r="P965" s="70">
        <v>1.07991001504809</v>
      </c>
    </row>
    <row r="966" hidden="1">
      <c r="A966" s="67" t="s">
        <v>1726</v>
      </c>
      <c r="B966" s="67" t="s">
        <v>268</v>
      </c>
      <c r="C966" s="68">
        <v>0.25</v>
      </c>
      <c r="D966" s="68">
        <v>0.5</v>
      </c>
      <c r="E966" s="68">
        <v>2.0</v>
      </c>
      <c r="F966" s="68">
        <v>4.0</v>
      </c>
      <c r="G966" s="68">
        <v>8.96190569161877</v>
      </c>
      <c r="H966" s="68">
        <v>302.669550434149</v>
      </c>
      <c r="I966" s="69">
        <v>44312.27921296296</v>
      </c>
      <c r="J966" s="69">
        <v>44312.27966435185</v>
      </c>
      <c r="K966">
        <f>AVERAGE(H962:H966)</f>
        <v>140.3364044</v>
      </c>
      <c r="L966">
        <f>STDEV(H962:H966)</f>
        <v>148.3439158</v>
      </c>
      <c r="M966" s="70">
        <v>302.669550434149</v>
      </c>
      <c r="N966" s="70">
        <v>302.669550434149</v>
      </c>
      <c r="O966" s="70">
        <v>8.96190569161877</v>
      </c>
      <c r="P966" s="70">
        <v>8.96190569161877</v>
      </c>
    </row>
    <row r="967" hidden="1">
      <c r="A967" s="67" t="s">
        <v>1727</v>
      </c>
      <c r="B967" s="67" t="s">
        <v>268</v>
      </c>
      <c r="C967" s="68">
        <v>0.25</v>
      </c>
      <c r="D967" s="68">
        <v>0.75</v>
      </c>
      <c r="E967" s="68">
        <v>2.0</v>
      </c>
      <c r="F967" s="68">
        <v>0.0</v>
      </c>
      <c r="G967" s="68">
        <v>3.44601817678797</v>
      </c>
      <c r="H967" s="68">
        <v>151.897789668429</v>
      </c>
      <c r="I967" s="69">
        <v>44312.28037037037</v>
      </c>
      <c r="J967" s="69">
        <v>44312.3169212963</v>
      </c>
      <c r="K967">
        <f>AVERAGE(H967:H971)</f>
        <v>88.61279328</v>
      </c>
      <c r="L967">
        <f>STDEV(H967:H971)</f>
        <v>129.4322611</v>
      </c>
      <c r="M967" s="70">
        <v>151.897789668429</v>
      </c>
      <c r="N967" s="70">
        <v>151.897789668429</v>
      </c>
      <c r="O967" s="70">
        <v>3.44601817678797</v>
      </c>
      <c r="P967" s="70">
        <v>3.44601817678797</v>
      </c>
    </row>
    <row r="968" hidden="1">
      <c r="A968" s="67" t="s">
        <v>1728</v>
      </c>
      <c r="B968" s="67" t="s">
        <v>268</v>
      </c>
      <c r="C968" s="68">
        <v>0.25</v>
      </c>
      <c r="D968" s="68">
        <v>0.75</v>
      </c>
      <c r="E968" s="68">
        <v>2.0</v>
      </c>
      <c r="F968" s="68">
        <v>1.0</v>
      </c>
      <c r="G968" s="68">
        <v>0.712997756536142</v>
      </c>
      <c r="H968" s="68">
        <v>0.950093966860787</v>
      </c>
      <c r="I968" s="69">
        <v>44312.31762731481</v>
      </c>
      <c r="J968" s="69">
        <v>44312.31784722222</v>
      </c>
      <c r="K968">
        <f>AVERAGE(H967:H971)</f>
        <v>88.61279328</v>
      </c>
      <c r="L968">
        <f>STDEV(H967:H971)</f>
        <v>129.4322611</v>
      </c>
      <c r="M968" s="70">
        <v>0.950093966860787</v>
      </c>
      <c r="N968" s="70">
        <v>0.950093966860787</v>
      </c>
      <c r="O968" s="70">
        <v>0.712997756536142</v>
      </c>
      <c r="P968" s="70">
        <v>0.712997756536142</v>
      </c>
    </row>
    <row r="969" hidden="1">
      <c r="A969" s="67" t="s">
        <v>1729</v>
      </c>
      <c r="B969" s="67" t="s">
        <v>268</v>
      </c>
      <c r="C969" s="68">
        <v>0.25</v>
      </c>
      <c r="D969" s="68">
        <v>0.75</v>
      </c>
      <c r="E969" s="68">
        <v>2.0</v>
      </c>
      <c r="F969" s="68">
        <v>2.0</v>
      </c>
      <c r="G969" s="68">
        <v>0.657393778543208</v>
      </c>
      <c r="H969" s="68">
        <v>1.21871891581613</v>
      </c>
      <c r="I969" s="69">
        <v>44312.318553240744</v>
      </c>
      <c r="J969" s="69">
        <v>44312.31928240741</v>
      </c>
      <c r="K969">
        <f>AVERAGE(H967:H971)</f>
        <v>88.61279328</v>
      </c>
      <c r="L969">
        <f>STDEV(H967:H971)</f>
        <v>129.4322611</v>
      </c>
      <c r="M969" s="70">
        <v>1.21871891581613</v>
      </c>
      <c r="N969" s="70">
        <v>1.21871891581613</v>
      </c>
      <c r="O969" s="70">
        <v>0.657393778543208</v>
      </c>
      <c r="P969" s="70">
        <v>0.657393778543208</v>
      </c>
    </row>
    <row r="970" hidden="1">
      <c r="A970" s="67" t="s">
        <v>1730</v>
      </c>
      <c r="B970" s="67" t="s">
        <v>268</v>
      </c>
      <c r="C970" s="68">
        <v>0.25</v>
      </c>
      <c r="D970" s="68">
        <v>0.75</v>
      </c>
      <c r="E970" s="68">
        <v>2.0</v>
      </c>
      <c r="F970" s="68">
        <v>3.0</v>
      </c>
      <c r="G970" s="68">
        <v>8.27319097864534</v>
      </c>
      <c r="H970" s="68">
        <v>288.437752130383</v>
      </c>
      <c r="I970" s="69">
        <v>44312.31998842592</v>
      </c>
      <c r="J970" s="69">
        <v>44312.320914351854</v>
      </c>
      <c r="K970">
        <f>AVERAGE(H967:H971)</f>
        <v>88.61279328</v>
      </c>
      <c r="L970">
        <f>STDEV(H967:H971)</f>
        <v>129.4322611</v>
      </c>
      <c r="M970" s="70">
        <v>288.437752130383</v>
      </c>
      <c r="N970" s="70">
        <v>288.437752130383</v>
      </c>
      <c r="O970" s="70">
        <v>8.27319097864534</v>
      </c>
      <c r="P970" s="70">
        <v>8.27319097864534</v>
      </c>
    </row>
    <row r="971" hidden="1">
      <c r="A971" s="67" t="s">
        <v>1731</v>
      </c>
      <c r="B971" s="67" t="s">
        <v>268</v>
      </c>
      <c r="C971" s="68">
        <v>0.25</v>
      </c>
      <c r="D971" s="68">
        <v>0.75</v>
      </c>
      <c r="E971" s="68">
        <v>2.0</v>
      </c>
      <c r="F971" s="68">
        <v>4.0</v>
      </c>
      <c r="G971" s="68">
        <v>0.467489314643222</v>
      </c>
      <c r="H971" s="68">
        <v>0.559611722484267</v>
      </c>
      <c r="I971" s="69">
        <v>44312.32162037037</v>
      </c>
      <c r="J971" s="69">
        <v>44312.32178240741</v>
      </c>
      <c r="K971">
        <f>AVERAGE(H967:H971)</f>
        <v>88.61279328</v>
      </c>
      <c r="L971">
        <f>STDEV(H967:H971)</f>
        <v>129.4322611</v>
      </c>
      <c r="M971" s="70">
        <v>0.559611722484267</v>
      </c>
      <c r="N971" s="70">
        <v>0.559611722484267</v>
      </c>
      <c r="O971" s="70">
        <v>0.467489314643222</v>
      </c>
      <c r="P971" s="70">
        <v>0.467489314643222</v>
      </c>
    </row>
    <row r="972" hidden="1">
      <c r="A972" s="67" t="s">
        <v>1732</v>
      </c>
      <c r="B972" s="67" t="s">
        <v>268</v>
      </c>
      <c r="C972" s="68">
        <v>0.25</v>
      </c>
      <c r="D972" s="68">
        <v>1.0</v>
      </c>
      <c r="E972" s="68">
        <v>2.0</v>
      </c>
      <c r="F972" s="68">
        <v>0.0</v>
      </c>
      <c r="G972" s="68">
        <v>3.71861589496891</v>
      </c>
      <c r="H972" s="68">
        <v>160.214541395898</v>
      </c>
      <c r="I972" s="69">
        <v>44312.3225</v>
      </c>
      <c r="J972" s="69">
        <v>44312.36059027778</v>
      </c>
      <c r="K972">
        <f>AVERAGE(H972:H976)</f>
        <v>89.57733028</v>
      </c>
      <c r="L972">
        <f>STDEV(H972:H976)</f>
        <v>88.29670087</v>
      </c>
      <c r="M972" s="70">
        <v>160.214541395898</v>
      </c>
      <c r="N972" s="70">
        <v>160.214541395898</v>
      </c>
      <c r="O972" s="70">
        <v>3.71861589496891</v>
      </c>
      <c r="P972" s="70">
        <v>3.71861589496891</v>
      </c>
    </row>
    <row r="973" hidden="1">
      <c r="A973" s="67" t="s">
        <v>1733</v>
      </c>
      <c r="B973" s="67" t="s">
        <v>268</v>
      </c>
      <c r="C973" s="68">
        <v>0.25</v>
      </c>
      <c r="D973" s="68">
        <v>1.0</v>
      </c>
      <c r="E973" s="68">
        <v>2.0</v>
      </c>
      <c r="F973" s="68">
        <v>1.0</v>
      </c>
      <c r="G973" s="68">
        <v>0.71205655889852</v>
      </c>
      <c r="H973" s="68">
        <v>0.948977832482219</v>
      </c>
      <c r="I973" s="69">
        <v>44312.361296296294</v>
      </c>
      <c r="J973" s="69">
        <v>44312.36152777778</v>
      </c>
      <c r="K973">
        <f>AVERAGE(H972:H976)</f>
        <v>89.57733028</v>
      </c>
      <c r="L973">
        <f>STDEV(H972:H976)</f>
        <v>88.29670087</v>
      </c>
      <c r="M973" s="70">
        <v>0.948977832482219</v>
      </c>
      <c r="N973" s="70">
        <v>0.948977832482219</v>
      </c>
      <c r="O973" s="70">
        <v>0.71205655889852</v>
      </c>
      <c r="P973" s="70">
        <v>0.71205655889852</v>
      </c>
    </row>
    <row r="974" hidden="1">
      <c r="A974" s="67" t="s">
        <v>1734</v>
      </c>
      <c r="B974" s="67" t="s">
        <v>268</v>
      </c>
      <c r="C974" s="68">
        <v>0.25</v>
      </c>
      <c r="D974" s="68">
        <v>1.0</v>
      </c>
      <c r="E974" s="68">
        <v>2.0</v>
      </c>
      <c r="F974" s="68">
        <v>2.0</v>
      </c>
      <c r="G974" s="68">
        <v>1.35161111926862</v>
      </c>
      <c r="H974" s="68">
        <v>69.4765048754465</v>
      </c>
      <c r="I974" s="69">
        <v>44312.362233796295</v>
      </c>
      <c r="J974" s="69">
        <v>44312.363287037035</v>
      </c>
      <c r="K974">
        <f>AVERAGE(H972:H976)</f>
        <v>89.57733028</v>
      </c>
      <c r="L974">
        <f>STDEV(H972:H976)</f>
        <v>88.29670087</v>
      </c>
      <c r="M974" s="70">
        <v>69.4765048754465</v>
      </c>
      <c r="N974" s="70">
        <v>69.4765048754465</v>
      </c>
      <c r="O974" s="70">
        <v>1.35161111926862</v>
      </c>
      <c r="P974" s="70">
        <v>1.35161111926862</v>
      </c>
    </row>
    <row r="975" hidden="1">
      <c r="A975" s="67" t="s">
        <v>1735</v>
      </c>
      <c r="B975" s="67" t="s">
        <v>268</v>
      </c>
      <c r="C975" s="68">
        <v>0.25</v>
      </c>
      <c r="D975" s="68">
        <v>1.0</v>
      </c>
      <c r="E975" s="68">
        <v>2.0</v>
      </c>
      <c r="F975" s="68">
        <v>3.0</v>
      </c>
      <c r="G975" s="68">
        <v>4.36988833966703</v>
      </c>
      <c r="H975" s="68">
        <v>201.389382173018</v>
      </c>
      <c r="I975" s="69">
        <v>44312.36399305556</v>
      </c>
      <c r="J975" s="69">
        <v>44312.36782407408</v>
      </c>
      <c r="K975">
        <f>AVERAGE(H972:H976)</f>
        <v>89.57733028</v>
      </c>
      <c r="L975">
        <f>STDEV(H972:H976)</f>
        <v>88.29670087</v>
      </c>
      <c r="M975" s="70">
        <v>201.389382173018</v>
      </c>
      <c r="N975" s="70">
        <v>201.389382173018</v>
      </c>
      <c r="O975" s="70">
        <v>4.36988833966703</v>
      </c>
      <c r="P975" s="70">
        <v>4.36988833966703</v>
      </c>
    </row>
    <row r="976" hidden="1">
      <c r="A976" s="67" t="s">
        <v>1736</v>
      </c>
      <c r="B976" s="67" t="s">
        <v>268</v>
      </c>
      <c r="C976" s="68">
        <v>0.25</v>
      </c>
      <c r="D976" s="68">
        <v>1.0</v>
      </c>
      <c r="E976" s="68">
        <v>2.0</v>
      </c>
      <c r="F976" s="68">
        <v>4.0</v>
      </c>
      <c r="G976" s="68">
        <v>1.80694587083414</v>
      </c>
      <c r="H976" s="68">
        <v>15.8572451302513</v>
      </c>
      <c r="I976" s="69">
        <v>44312.36853009259</v>
      </c>
      <c r="J976" s="69">
        <v>44312.36855324074</v>
      </c>
      <c r="K976">
        <f>AVERAGE(H972:H976)</f>
        <v>89.57733028</v>
      </c>
      <c r="L976">
        <f>STDEV(H972:H976)</f>
        <v>88.29670087</v>
      </c>
      <c r="M976" s="70">
        <v>15.8572451302513</v>
      </c>
      <c r="N976" s="70">
        <v>15.8572451302513</v>
      </c>
      <c r="O976" s="70">
        <v>1.80694587083414</v>
      </c>
      <c r="P976" s="70">
        <v>1.80694587083414</v>
      </c>
    </row>
    <row r="977" hidden="1">
      <c r="A977" s="67" t="s">
        <v>1737</v>
      </c>
      <c r="B977" s="67" t="s">
        <v>268</v>
      </c>
      <c r="C977" s="68">
        <v>0.5</v>
      </c>
      <c r="D977" s="68">
        <v>0.1</v>
      </c>
      <c r="E977" s="68">
        <v>2.0</v>
      </c>
      <c r="F977" s="68">
        <v>0.0</v>
      </c>
      <c r="G977" s="68">
        <v>1.72163932997841</v>
      </c>
      <c r="H977" s="68">
        <v>28.1077229662839</v>
      </c>
      <c r="I977" s="69">
        <v>44312.369259259256</v>
      </c>
      <c r="J977" s="69">
        <v>44312.36987268519</v>
      </c>
      <c r="K977">
        <f>AVERAGE(H977:H981)</f>
        <v>94.8192694</v>
      </c>
      <c r="L977">
        <f>STDEV(H977:H981)</f>
        <v>126.2667521</v>
      </c>
      <c r="M977" s="70">
        <v>28.1077229662839</v>
      </c>
      <c r="N977" s="70">
        <v>28.1077229662839</v>
      </c>
      <c r="O977" s="70">
        <v>1.72163932997841</v>
      </c>
      <c r="P977" s="70">
        <v>1.72163932997841</v>
      </c>
    </row>
    <row r="978" hidden="1">
      <c r="A978" s="67" t="s">
        <v>1738</v>
      </c>
      <c r="B978" s="67" t="s">
        <v>268</v>
      </c>
      <c r="C978" s="68">
        <v>0.5</v>
      </c>
      <c r="D978" s="68">
        <v>0.1</v>
      </c>
      <c r="E978" s="68">
        <v>2.0</v>
      </c>
      <c r="F978" s="68">
        <v>1.0</v>
      </c>
      <c r="G978" s="68">
        <v>8.35524852988909</v>
      </c>
      <c r="H978" s="68">
        <v>290.025615026503</v>
      </c>
      <c r="I978" s="69">
        <v>44312.37059027778</v>
      </c>
      <c r="J978" s="69">
        <v>44312.37153935185</v>
      </c>
      <c r="K978">
        <f>AVERAGE(H977:H981)</f>
        <v>94.8192694</v>
      </c>
      <c r="L978">
        <f>STDEV(H977:H981)</f>
        <v>126.2667521</v>
      </c>
      <c r="M978" s="70">
        <v>290.025615026503</v>
      </c>
      <c r="N978" s="70">
        <v>290.025615026503</v>
      </c>
      <c r="O978" s="70">
        <v>8.35524852988909</v>
      </c>
      <c r="P978" s="70">
        <v>8.35524852988909</v>
      </c>
    </row>
    <row r="979" hidden="1">
      <c r="A979" s="67" t="s">
        <v>1739</v>
      </c>
      <c r="B979" s="67" t="s">
        <v>268</v>
      </c>
      <c r="C979" s="68">
        <v>0.5</v>
      </c>
      <c r="D979" s="68">
        <v>0.1</v>
      </c>
      <c r="E979" s="68">
        <v>2.0</v>
      </c>
      <c r="F979" s="68">
        <v>2.0</v>
      </c>
      <c r="G979" s="68">
        <v>0.656736784704811</v>
      </c>
      <c r="H979" s="68">
        <v>1.21690404053296</v>
      </c>
      <c r="I979" s="69">
        <v>44312.372245370374</v>
      </c>
      <c r="J979" s="69">
        <v>44312.37300925926</v>
      </c>
      <c r="K979">
        <f>AVERAGE(H977:H981)</f>
        <v>94.8192694</v>
      </c>
      <c r="L979">
        <f>STDEV(H977:H981)</f>
        <v>126.2667521</v>
      </c>
      <c r="M979" s="70">
        <v>1.21690404053296</v>
      </c>
      <c r="N979" s="70">
        <v>1.21690404053296</v>
      </c>
      <c r="O979" s="70">
        <v>0.656736784704811</v>
      </c>
      <c r="P979" s="70">
        <v>0.656736784704811</v>
      </c>
    </row>
    <row r="980" hidden="1">
      <c r="A980" s="67" t="s">
        <v>1740</v>
      </c>
      <c r="B980" s="67" t="s">
        <v>268</v>
      </c>
      <c r="C980" s="68">
        <v>0.5</v>
      </c>
      <c r="D980" s="68">
        <v>0.1</v>
      </c>
      <c r="E980" s="68">
        <v>2.0</v>
      </c>
      <c r="F980" s="68">
        <v>3.0</v>
      </c>
      <c r="G980" s="68">
        <v>3.38175642204552</v>
      </c>
      <c r="H980" s="68">
        <v>154.337586992471</v>
      </c>
      <c r="I980" s="69">
        <v>44312.373715277776</v>
      </c>
      <c r="J980" s="69">
        <v>44312.431805555556</v>
      </c>
      <c r="K980">
        <f>AVERAGE(H977:H981)</f>
        <v>94.8192694</v>
      </c>
      <c r="L980">
        <f>STDEV(H977:H981)</f>
        <v>126.2667521</v>
      </c>
      <c r="M980" s="70">
        <v>154.337586992471</v>
      </c>
      <c r="N980" s="70">
        <v>154.337586992471</v>
      </c>
      <c r="O980" s="70">
        <v>3.38175642204552</v>
      </c>
      <c r="P980" s="70">
        <v>3.38175642204552</v>
      </c>
    </row>
    <row r="981" hidden="1">
      <c r="A981" s="67" t="s">
        <v>1741</v>
      </c>
      <c r="B981" s="67" t="s">
        <v>268</v>
      </c>
      <c r="C981" s="68">
        <v>0.5</v>
      </c>
      <c r="D981" s="68">
        <v>0.1</v>
      </c>
      <c r="E981" s="68">
        <v>2.0</v>
      </c>
      <c r="F981" s="68">
        <v>4.0</v>
      </c>
      <c r="G981" s="68">
        <v>0.319096105615425</v>
      </c>
      <c r="H981" s="68">
        <v>0.408517979006142</v>
      </c>
      <c r="I981" s="69">
        <v>44312.43252314815</v>
      </c>
      <c r="J981" s="69">
        <v>44312.43256944444</v>
      </c>
      <c r="K981">
        <f>AVERAGE(H977:H981)</f>
        <v>94.8192694</v>
      </c>
      <c r="L981">
        <f>STDEV(H977:H981)</f>
        <v>126.2667521</v>
      </c>
      <c r="M981" s="70">
        <v>0.408517979006142</v>
      </c>
      <c r="N981" s="70">
        <v>0.408517979006142</v>
      </c>
      <c r="O981" s="70">
        <v>0.319096105615425</v>
      </c>
      <c r="P981" s="70">
        <v>0.319096105615425</v>
      </c>
    </row>
    <row r="982" hidden="1">
      <c r="A982" s="67" t="s">
        <v>1742</v>
      </c>
      <c r="B982" s="67" t="s">
        <v>268</v>
      </c>
      <c r="C982" s="68">
        <v>0.5</v>
      </c>
      <c r="D982" s="68">
        <v>0.25</v>
      </c>
      <c r="E982" s="68">
        <v>2.0</v>
      </c>
      <c r="F982" s="68">
        <v>0.0</v>
      </c>
      <c r="G982" s="68">
        <v>3.41017844716045</v>
      </c>
      <c r="H982" s="68">
        <v>158.328047282679</v>
      </c>
      <c r="I982" s="69">
        <v>44312.433287037034</v>
      </c>
      <c r="J982" s="69">
        <v>44312.456238425926</v>
      </c>
      <c r="K982">
        <f>AVERAGE(H982:H986)</f>
        <v>110.8671285</v>
      </c>
      <c r="L982">
        <f>STDEV(H982:H986)</f>
        <v>96.0041422</v>
      </c>
      <c r="M982" s="70">
        <v>158.328047282679</v>
      </c>
      <c r="N982" s="70">
        <v>158.328047282679</v>
      </c>
      <c r="O982" s="70">
        <v>3.41017844716045</v>
      </c>
      <c r="P982" s="70">
        <v>3.41017844716045</v>
      </c>
    </row>
    <row r="983" hidden="1">
      <c r="A983" s="67" t="s">
        <v>1743</v>
      </c>
      <c r="B983" s="67" t="s">
        <v>268</v>
      </c>
      <c r="C983" s="68">
        <v>0.5</v>
      </c>
      <c r="D983" s="68">
        <v>0.25</v>
      </c>
      <c r="E983" s="68">
        <v>2.0</v>
      </c>
      <c r="F983" s="68">
        <v>1.0</v>
      </c>
      <c r="G983" s="68">
        <v>3.51788316033968</v>
      </c>
      <c r="H983" s="68">
        <v>167.660920484333</v>
      </c>
      <c r="I983" s="69">
        <v>44312.45695601852</v>
      </c>
      <c r="J983" s="69">
        <v>44312.46517361111</v>
      </c>
      <c r="K983">
        <f>AVERAGE(H982:H986)</f>
        <v>110.8671285</v>
      </c>
      <c r="L983">
        <f>STDEV(H982:H986)</f>
        <v>96.0041422</v>
      </c>
      <c r="M983" s="70">
        <v>167.660920484333</v>
      </c>
      <c r="N983" s="70">
        <v>167.660920484333</v>
      </c>
      <c r="O983" s="70">
        <v>3.51788316033968</v>
      </c>
      <c r="P983" s="70">
        <v>3.51788316033968</v>
      </c>
    </row>
    <row r="984" hidden="1">
      <c r="A984" s="67" t="s">
        <v>1744</v>
      </c>
      <c r="B984" s="67" t="s">
        <v>268</v>
      </c>
      <c r="C984" s="68">
        <v>0.5</v>
      </c>
      <c r="D984" s="68">
        <v>0.25</v>
      </c>
      <c r="E984" s="68">
        <v>2.0</v>
      </c>
      <c r="F984" s="68">
        <v>2.0</v>
      </c>
      <c r="G984" s="68">
        <v>6.77488578580659</v>
      </c>
      <c r="H984" s="68">
        <v>211.880705396794</v>
      </c>
      <c r="I984" s="69">
        <v>44312.465891203705</v>
      </c>
      <c r="J984" s="69">
        <v>44312.46605324074</v>
      </c>
      <c r="K984">
        <f>AVERAGE(H982:H986)</f>
        <v>110.8671285</v>
      </c>
      <c r="L984">
        <f>STDEV(H982:H986)</f>
        <v>96.0041422</v>
      </c>
      <c r="M984" s="70">
        <v>211.880705396794</v>
      </c>
      <c r="N984" s="70">
        <v>211.880705396794</v>
      </c>
      <c r="O984" s="70">
        <v>6.77488578580659</v>
      </c>
      <c r="P984" s="70">
        <v>6.77488578580659</v>
      </c>
    </row>
    <row r="985" hidden="1">
      <c r="A985" s="67" t="s">
        <v>1745</v>
      </c>
      <c r="B985" s="67" t="s">
        <v>268</v>
      </c>
      <c r="C985" s="68">
        <v>0.5</v>
      </c>
      <c r="D985" s="68">
        <v>0.25</v>
      </c>
      <c r="E985" s="68">
        <v>2.0</v>
      </c>
      <c r="F985" s="68">
        <v>3.0</v>
      </c>
      <c r="G985" s="68">
        <v>0.46573691433333</v>
      </c>
      <c r="H985" s="68">
        <v>0.557375274032344</v>
      </c>
      <c r="I985" s="69">
        <v>44312.46675925926</v>
      </c>
      <c r="J985" s="69">
        <v>44312.46693287037</v>
      </c>
      <c r="K985">
        <f>AVERAGE(H982:H986)</f>
        <v>110.8671285</v>
      </c>
      <c r="L985">
        <f>STDEV(H982:H986)</f>
        <v>96.0041422</v>
      </c>
      <c r="M985" s="70">
        <v>0.557375274032344</v>
      </c>
      <c r="N985" s="70">
        <v>0.557375274032344</v>
      </c>
      <c r="O985" s="70">
        <v>0.46573691433333</v>
      </c>
      <c r="P985" s="70">
        <v>0.46573691433333</v>
      </c>
    </row>
    <row r="986" hidden="1">
      <c r="A986" s="67" t="s">
        <v>1746</v>
      </c>
      <c r="B986" s="67" t="s">
        <v>268</v>
      </c>
      <c r="C986" s="68">
        <v>0.5</v>
      </c>
      <c r="D986" s="68">
        <v>0.25</v>
      </c>
      <c r="E986" s="68">
        <v>2.0</v>
      </c>
      <c r="F986" s="68">
        <v>4.0</v>
      </c>
      <c r="G986" s="68">
        <v>1.21437453905074</v>
      </c>
      <c r="H986" s="68">
        <v>15.9085939614324</v>
      </c>
      <c r="I986" s="69">
        <v>44312.46765046296</v>
      </c>
      <c r="J986" s="69">
        <v>44312.46778935185</v>
      </c>
      <c r="K986">
        <f>AVERAGE(H982:H986)</f>
        <v>110.8671285</v>
      </c>
      <c r="L986">
        <f>STDEV(H982:H986)</f>
        <v>96.0041422</v>
      </c>
      <c r="M986" s="70">
        <v>15.9085939614324</v>
      </c>
      <c r="N986" s="70">
        <v>15.9085939614324</v>
      </c>
      <c r="O986" s="70">
        <v>1.21437453905074</v>
      </c>
      <c r="P986" s="70">
        <v>1.21437453905074</v>
      </c>
    </row>
    <row r="987" hidden="1">
      <c r="A987" s="67" t="s">
        <v>1747</v>
      </c>
      <c r="B987" s="67" t="s">
        <v>268</v>
      </c>
      <c r="C987" s="68">
        <v>0.5</v>
      </c>
      <c r="D987" s="68">
        <v>0.5</v>
      </c>
      <c r="E987" s="68">
        <v>2.0</v>
      </c>
      <c r="F987" s="68">
        <v>0.0</v>
      </c>
      <c r="G987" s="68">
        <v>0.738388919616822</v>
      </c>
      <c r="H987" s="68">
        <v>0.954404004182583</v>
      </c>
      <c r="I987" s="69">
        <v>44312.46849537037</v>
      </c>
      <c r="J987" s="69">
        <v>44312.46869212963</v>
      </c>
      <c r="K987">
        <f>AVERAGE(H987:H991)</f>
        <v>105.4197987</v>
      </c>
      <c r="L987">
        <f>STDEV(H987:H991)</f>
        <v>105.8338784</v>
      </c>
      <c r="M987" s="70">
        <v>0.954404004182583</v>
      </c>
      <c r="N987" s="70">
        <v>0.954404004182583</v>
      </c>
      <c r="O987" s="70">
        <v>0.738388919616822</v>
      </c>
      <c r="P987" s="70">
        <v>0.738388919616822</v>
      </c>
    </row>
    <row r="988" hidden="1">
      <c r="A988" s="67" t="s">
        <v>1748</v>
      </c>
      <c r="B988" s="67" t="s">
        <v>268</v>
      </c>
      <c r="C988" s="68">
        <v>0.5</v>
      </c>
      <c r="D988" s="68">
        <v>0.5</v>
      </c>
      <c r="E988" s="68">
        <v>2.0</v>
      </c>
      <c r="F988" s="68">
        <v>1.0</v>
      </c>
      <c r="G988" s="68">
        <v>6.77372128591717</v>
      </c>
      <c r="H988" s="68">
        <v>211.654843742892</v>
      </c>
      <c r="I988" s="69">
        <v>44312.469409722224</v>
      </c>
      <c r="J988" s="69">
        <v>44312.46957175926</v>
      </c>
      <c r="K988">
        <f>AVERAGE(H987:H991)</f>
        <v>105.4197987</v>
      </c>
      <c r="L988">
        <f>STDEV(H987:H991)</f>
        <v>105.8338784</v>
      </c>
      <c r="M988" s="70">
        <v>211.654843742892</v>
      </c>
      <c r="N988" s="70">
        <v>211.654843742892</v>
      </c>
      <c r="O988" s="70">
        <v>6.77372128591717</v>
      </c>
      <c r="P988" s="70">
        <v>6.77372128591717</v>
      </c>
    </row>
    <row r="989" hidden="1">
      <c r="A989" s="67" t="s">
        <v>1749</v>
      </c>
      <c r="B989" s="67" t="s">
        <v>268</v>
      </c>
      <c r="C989" s="68">
        <v>0.5</v>
      </c>
      <c r="D989" s="68">
        <v>0.5</v>
      </c>
      <c r="E989" s="68">
        <v>2.0</v>
      </c>
      <c r="F989" s="68">
        <v>2.0</v>
      </c>
      <c r="G989" s="68">
        <v>5.27831076691784</v>
      </c>
      <c r="H989" s="68">
        <v>213.653503923597</v>
      </c>
      <c r="I989" s="69">
        <v>44312.470289351855</v>
      </c>
      <c r="J989" s="69">
        <v>44312.49835648148</v>
      </c>
      <c r="K989">
        <f>AVERAGE(H987:H991)</f>
        <v>105.4197987</v>
      </c>
      <c r="L989">
        <f>STDEV(H987:H991)</f>
        <v>105.8338784</v>
      </c>
      <c r="M989" s="70">
        <v>213.653503923597</v>
      </c>
      <c r="N989" s="70">
        <v>213.653503923597</v>
      </c>
      <c r="O989" s="70">
        <v>5.27831076691784</v>
      </c>
      <c r="P989" s="70">
        <v>5.27831076691784</v>
      </c>
    </row>
    <row r="990" hidden="1">
      <c r="A990" s="67" t="s">
        <v>1750</v>
      </c>
      <c r="B990" s="67" t="s">
        <v>268</v>
      </c>
      <c r="C990" s="68">
        <v>0.5</v>
      </c>
      <c r="D990" s="68">
        <v>0.5</v>
      </c>
      <c r="E990" s="68">
        <v>2.0</v>
      </c>
      <c r="F990" s="68">
        <v>3.0</v>
      </c>
      <c r="G990" s="68">
        <v>0.655101627214027</v>
      </c>
      <c r="H990" s="68">
        <v>1.22751355670995</v>
      </c>
      <c r="I990" s="69">
        <v>44312.4990625</v>
      </c>
      <c r="J990" s="69">
        <v>44312.499768518515</v>
      </c>
      <c r="K990">
        <f>AVERAGE(H987:H991)</f>
        <v>105.4197987</v>
      </c>
      <c r="L990">
        <f>STDEV(H987:H991)</f>
        <v>105.8338784</v>
      </c>
      <c r="M990" s="70">
        <v>1.22751355670995</v>
      </c>
      <c r="N990" s="70">
        <v>1.22751355670995</v>
      </c>
      <c r="O990" s="70">
        <v>0.655101627214027</v>
      </c>
      <c r="P990" s="70">
        <v>0.655101627214027</v>
      </c>
    </row>
    <row r="991" hidden="1">
      <c r="A991" s="67" t="s">
        <v>1751</v>
      </c>
      <c r="B991" s="67" t="s">
        <v>268</v>
      </c>
      <c r="C991" s="68">
        <v>0.5</v>
      </c>
      <c r="D991" s="68">
        <v>0.5</v>
      </c>
      <c r="E991" s="68">
        <v>2.0</v>
      </c>
      <c r="F991" s="68">
        <v>4.0</v>
      </c>
      <c r="G991" s="68">
        <v>1.95833100637276</v>
      </c>
      <c r="H991" s="68">
        <v>99.6087281034095</v>
      </c>
      <c r="I991" s="69">
        <v>44312.50047453704</v>
      </c>
      <c r="J991" s="69">
        <v>44312.51563657408</v>
      </c>
      <c r="K991">
        <f>AVERAGE(H987:H991)</f>
        <v>105.4197987</v>
      </c>
      <c r="L991">
        <f>STDEV(H987:H991)</f>
        <v>105.8338784</v>
      </c>
      <c r="M991" s="70">
        <v>99.6087281034095</v>
      </c>
      <c r="N991" s="70">
        <v>99.6087281034095</v>
      </c>
      <c r="O991" s="70">
        <v>1.95833100637276</v>
      </c>
      <c r="P991" s="70">
        <v>1.95833100637276</v>
      </c>
    </row>
    <row r="992" hidden="1">
      <c r="A992" s="67" t="s">
        <v>1752</v>
      </c>
      <c r="B992" s="67" t="s">
        <v>268</v>
      </c>
      <c r="C992" s="68">
        <v>0.5</v>
      </c>
      <c r="D992" s="68">
        <v>0.75</v>
      </c>
      <c r="E992" s="68">
        <v>2.0</v>
      </c>
      <c r="F992" s="68">
        <v>0.0</v>
      </c>
      <c r="G992" s="68">
        <v>2.65066504174383</v>
      </c>
      <c r="H992" s="68">
        <v>4.15203700319512</v>
      </c>
      <c r="I992" s="69">
        <v>44312.51635416667</v>
      </c>
      <c r="J992" s="69">
        <v>44312.51644675926</v>
      </c>
      <c r="K992">
        <f>AVERAGE(H992:H996)</f>
        <v>111.5271459</v>
      </c>
      <c r="L992">
        <f>STDEV(H992:H996)</f>
        <v>91.02186597</v>
      </c>
      <c r="M992" s="70">
        <v>4.15203700319512</v>
      </c>
      <c r="N992" s="70">
        <v>4.15203700319512</v>
      </c>
      <c r="O992" s="70">
        <v>2.65066504174383</v>
      </c>
      <c r="P992" s="70">
        <v>2.65066504174383</v>
      </c>
    </row>
    <row r="993" hidden="1">
      <c r="A993" s="67" t="s">
        <v>1753</v>
      </c>
      <c r="B993" s="67" t="s">
        <v>268</v>
      </c>
      <c r="C993" s="68">
        <v>0.5</v>
      </c>
      <c r="D993" s="68">
        <v>0.75</v>
      </c>
      <c r="E993" s="68">
        <v>2.0</v>
      </c>
      <c r="F993" s="68">
        <v>1.0</v>
      </c>
      <c r="G993" s="68">
        <v>2.94087975246139</v>
      </c>
      <c r="H993" s="68">
        <v>134.892466604467</v>
      </c>
      <c r="I993" s="69">
        <v>44312.51715277778</v>
      </c>
      <c r="J993" s="69">
        <v>44312.54350694444</v>
      </c>
      <c r="K993">
        <f>AVERAGE(H992:H996)</f>
        <v>111.5271459</v>
      </c>
      <c r="L993">
        <f>STDEV(H992:H996)</f>
        <v>91.02186597</v>
      </c>
      <c r="M993" s="70">
        <v>134.892466604467</v>
      </c>
      <c r="N993" s="70">
        <v>134.892466604467</v>
      </c>
      <c r="O993" s="70">
        <v>2.94087975246139</v>
      </c>
      <c r="P993" s="70">
        <v>2.94087975246139</v>
      </c>
    </row>
    <row r="994" hidden="1">
      <c r="A994" s="67" t="s">
        <v>1754</v>
      </c>
      <c r="B994" s="67" t="s">
        <v>268</v>
      </c>
      <c r="C994" s="68">
        <v>0.5</v>
      </c>
      <c r="D994" s="68">
        <v>0.75</v>
      </c>
      <c r="E994" s="68">
        <v>2.0</v>
      </c>
      <c r="F994" s="68">
        <v>2.0</v>
      </c>
      <c r="G994" s="68">
        <v>4.36998881037222</v>
      </c>
      <c r="H994" s="68">
        <v>201.051468498115</v>
      </c>
      <c r="I994" s="69">
        <v>44312.544224537036</v>
      </c>
      <c r="J994" s="69">
        <v>44312.54751157408</v>
      </c>
      <c r="K994">
        <f>AVERAGE(H992:H996)</f>
        <v>111.5271459</v>
      </c>
      <c r="L994">
        <f>STDEV(H992:H996)</f>
        <v>91.02186597</v>
      </c>
      <c r="M994" s="70">
        <v>201.051468498115</v>
      </c>
      <c r="N994" s="70">
        <v>201.051468498115</v>
      </c>
      <c r="O994" s="70">
        <v>4.36998881037222</v>
      </c>
      <c r="P994" s="70">
        <v>4.36998881037222</v>
      </c>
    </row>
    <row r="995" hidden="1">
      <c r="A995" s="67" t="s">
        <v>1755</v>
      </c>
      <c r="B995" s="67" t="s">
        <v>268</v>
      </c>
      <c r="C995" s="68">
        <v>0.5</v>
      </c>
      <c r="D995" s="68">
        <v>0.75</v>
      </c>
      <c r="E995" s="68">
        <v>2.0</v>
      </c>
      <c r="F995" s="68">
        <v>3.0</v>
      </c>
      <c r="G995" s="68">
        <v>1.72484904105253</v>
      </c>
      <c r="H995" s="68">
        <v>28.0395909931306</v>
      </c>
      <c r="I995" s="69">
        <v>44312.54821759259</v>
      </c>
      <c r="J995" s="69">
        <v>44312.54881944445</v>
      </c>
      <c r="K995">
        <f>AVERAGE(H992:H996)</f>
        <v>111.5271459</v>
      </c>
      <c r="L995">
        <f>STDEV(H992:H996)</f>
        <v>91.02186597</v>
      </c>
      <c r="M995" s="70">
        <v>28.0395909931306</v>
      </c>
      <c r="N995" s="70">
        <v>28.0395909931306</v>
      </c>
      <c r="O995" s="70">
        <v>1.72484904105253</v>
      </c>
      <c r="P995" s="70">
        <v>1.72484904105253</v>
      </c>
    </row>
    <row r="996" hidden="1">
      <c r="A996" s="67" t="s">
        <v>1756</v>
      </c>
      <c r="B996" s="67" t="s">
        <v>268</v>
      </c>
      <c r="C996" s="68">
        <v>0.5</v>
      </c>
      <c r="D996" s="68">
        <v>0.75</v>
      </c>
      <c r="E996" s="68">
        <v>2.0</v>
      </c>
      <c r="F996" s="68">
        <v>4.0</v>
      </c>
      <c r="G996" s="68">
        <v>4.11125141596984</v>
      </c>
      <c r="H996" s="68">
        <v>189.500166569457</v>
      </c>
      <c r="I996" s="69">
        <v>44312.54953703703</v>
      </c>
      <c r="J996" s="69">
        <v>44312.55241898148</v>
      </c>
      <c r="K996">
        <f>AVERAGE(H992:H996)</f>
        <v>111.5271459</v>
      </c>
      <c r="L996">
        <f>STDEV(H992:H996)</f>
        <v>91.02186597</v>
      </c>
      <c r="M996" s="70">
        <v>189.500166569457</v>
      </c>
      <c r="N996" s="70">
        <v>189.500166569457</v>
      </c>
      <c r="O996" s="70">
        <v>4.11125141596984</v>
      </c>
      <c r="P996" s="70">
        <v>4.11125141596984</v>
      </c>
    </row>
    <row r="997" hidden="1">
      <c r="A997" s="67" t="s">
        <v>1757</v>
      </c>
      <c r="B997" s="67" t="s">
        <v>268</v>
      </c>
      <c r="C997" s="68">
        <v>0.5</v>
      </c>
      <c r="D997" s="68">
        <v>1.0</v>
      </c>
      <c r="E997" s="68">
        <v>2.0</v>
      </c>
      <c r="F997" s="68">
        <v>0.0</v>
      </c>
      <c r="G997" s="68">
        <v>1.07991001504809</v>
      </c>
      <c r="H997" s="68">
        <v>1.4504242499467</v>
      </c>
      <c r="I997" s="69">
        <v>44312.553136574075</v>
      </c>
      <c r="J997" s="69">
        <v>44312.553252314814</v>
      </c>
      <c r="K997">
        <f>AVERAGE(H997:H1001)</f>
        <v>121.3098933</v>
      </c>
      <c r="L997">
        <f>STDEV(H997:H1001)</f>
        <v>89.50006292</v>
      </c>
      <c r="M997" s="70">
        <v>1.4504242499467</v>
      </c>
      <c r="N997" s="70">
        <v>1.4504242499467</v>
      </c>
      <c r="O997" s="70">
        <v>1.07991001504809</v>
      </c>
      <c r="P997" s="70">
        <v>1.07991001504809</v>
      </c>
    </row>
    <row r="998" hidden="1">
      <c r="A998" s="67" t="s">
        <v>1758</v>
      </c>
      <c r="B998" s="67" t="s">
        <v>268</v>
      </c>
      <c r="C998" s="68">
        <v>0.5</v>
      </c>
      <c r="D998" s="68">
        <v>1.0</v>
      </c>
      <c r="E998" s="68">
        <v>2.0</v>
      </c>
      <c r="F998" s="68">
        <v>1.0</v>
      </c>
      <c r="G998" s="68">
        <v>4.19513815267797</v>
      </c>
      <c r="H998" s="68">
        <v>115.793222145536</v>
      </c>
      <c r="I998" s="69">
        <v>44312.55395833333</v>
      </c>
      <c r="J998" s="69">
        <v>44312.554027777776</v>
      </c>
      <c r="K998">
        <f>AVERAGE(H997:H1001)</f>
        <v>121.3098933</v>
      </c>
      <c r="L998">
        <f>STDEV(H997:H1001)</f>
        <v>89.50006292</v>
      </c>
      <c r="M998" s="70">
        <v>115.793222145536</v>
      </c>
      <c r="N998" s="70">
        <v>115.793222145536</v>
      </c>
      <c r="O998" s="70">
        <v>4.19513815267797</v>
      </c>
      <c r="P998" s="70">
        <v>4.19513815267797</v>
      </c>
    </row>
    <row r="999" hidden="1">
      <c r="A999" s="67" t="s">
        <v>1759</v>
      </c>
      <c r="B999" s="67" t="s">
        <v>268</v>
      </c>
      <c r="C999" s="68">
        <v>0.5</v>
      </c>
      <c r="D999" s="68">
        <v>1.0</v>
      </c>
      <c r="E999" s="68">
        <v>2.0</v>
      </c>
      <c r="F999" s="68">
        <v>2.0</v>
      </c>
      <c r="G999" s="68">
        <v>6.26948895447359</v>
      </c>
      <c r="H999" s="68">
        <v>249.274772291919</v>
      </c>
      <c r="I999" s="69">
        <v>44312.5547337963</v>
      </c>
      <c r="J999" s="69">
        <v>44312.555555555555</v>
      </c>
      <c r="K999">
        <f>AVERAGE(H997:H1001)</f>
        <v>121.3098933</v>
      </c>
      <c r="L999">
        <f>STDEV(H997:H1001)</f>
        <v>89.50006292</v>
      </c>
      <c r="M999" s="70">
        <v>249.274772291919</v>
      </c>
      <c r="N999" s="70">
        <v>249.274772291919</v>
      </c>
      <c r="O999" s="70">
        <v>6.26948895447359</v>
      </c>
      <c r="P999" s="70">
        <v>6.26948895447359</v>
      </c>
    </row>
    <row r="1000" hidden="1">
      <c r="A1000" s="67" t="s">
        <v>1760</v>
      </c>
      <c r="B1000" s="67" t="s">
        <v>268</v>
      </c>
      <c r="C1000" s="68">
        <v>0.5</v>
      </c>
      <c r="D1000" s="68">
        <v>1.0</v>
      </c>
      <c r="E1000" s="68">
        <v>2.0</v>
      </c>
      <c r="F1000" s="68">
        <v>3.0</v>
      </c>
      <c r="G1000" s="68">
        <v>3.17809267803616</v>
      </c>
      <c r="H1000" s="68">
        <v>145.174598128352</v>
      </c>
      <c r="I1000" s="69">
        <v>44312.55627314815</v>
      </c>
      <c r="J1000" s="69">
        <v>44312.60424768519</v>
      </c>
      <c r="K1000">
        <f>AVERAGE(H997:H1001)</f>
        <v>121.3098933</v>
      </c>
      <c r="L1000">
        <f>STDEV(H997:H1001)</f>
        <v>89.50006292</v>
      </c>
      <c r="M1000" s="70">
        <v>145.174598128352</v>
      </c>
      <c r="N1000" s="70">
        <v>145.174598128352</v>
      </c>
      <c r="O1000" s="70">
        <v>3.17809267803616</v>
      </c>
      <c r="P1000" s="70">
        <v>3.17809267803616</v>
      </c>
    </row>
    <row r="1001" hidden="1">
      <c r="A1001" s="67" t="s">
        <v>1761</v>
      </c>
      <c r="B1001" s="67" t="s">
        <v>268</v>
      </c>
      <c r="C1001" s="68">
        <v>0.5</v>
      </c>
      <c r="D1001" s="68">
        <v>1.0</v>
      </c>
      <c r="E1001" s="68">
        <v>2.0</v>
      </c>
      <c r="F1001" s="68">
        <v>4.0</v>
      </c>
      <c r="G1001" s="68">
        <v>1.63584961699082</v>
      </c>
      <c r="H1001" s="68">
        <v>94.8564497873542</v>
      </c>
      <c r="I1001" s="69">
        <v>44312.6049537037</v>
      </c>
      <c r="J1001" s="69">
        <v>44312.60556712963</v>
      </c>
      <c r="K1001">
        <f>AVERAGE(H997:H1001)</f>
        <v>121.3098933</v>
      </c>
      <c r="L1001">
        <f>STDEV(H997:H1001)</f>
        <v>89.50006292</v>
      </c>
      <c r="M1001" s="70">
        <v>94.8564497873542</v>
      </c>
      <c r="N1001" s="70">
        <v>94.8564497873542</v>
      </c>
      <c r="O1001" s="70">
        <v>1.63584961699082</v>
      </c>
      <c r="P1001" s="70">
        <v>1.63584961699082</v>
      </c>
    </row>
    <row r="1002" hidden="1">
      <c r="A1002" s="67" t="s">
        <v>1762</v>
      </c>
      <c r="B1002" s="67" t="s">
        <v>268</v>
      </c>
      <c r="C1002" s="68">
        <v>0.75</v>
      </c>
      <c r="D1002" s="68">
        <v>0.1</v>
      </c>
      <c r="E1002" s="68">
        <v>2.0</v>
      </c>
      <c r="F1002" s="68">
        <v>0.0</v>
      </c>
      <c r="G1002" s="68">
        <v>4.21453803099847</v>
      </c>
      <c r="H1002" s="68">
        <v>116.116006113591</v>
      </c>
      <c r="I1002" s="69">
        <v>44312.60628472222</v>
      </c>
      <c r="J1002" s="69">
        <v>44312.60634259259</v>
      </c>
      <c r="K1002">
        <f>AVERAGE(H1002:H1006)</f>
        <v>125.2377121</v>
      </c>
      <c r="L1002">
        <f>STDEV(H1002:H1006)</f>
        <v>83.36939238</v>
      </c>
      <c r="M1002" s="70">
        <v>116.116006113591</v>
      </c>
      <c r="N1002" s="70">
        <v>116.116006113591</v>
      </c>
      <c r="O1002" s="70">
        <v>4.21453803099847</v>
      </c>
      <c r="P1002" s="70">
        <v>4.21453803099847</v>
      </c>
    </row>
    <row r="1003" hidden="1">
      <c r="A1003" s="67" t="s">
        <v>1763</v>
      </c>
      <c r="B1003" s="67" t="s">
        <v>268</v>
      </c>
      <c r="C1003" s="68">
        <v>0.75</v>
      </c>
      <c r="D1003" s="68">
        <v>0.1</v>
      </c>
      <c r="E1003" s="68">
        <v>2.0</v>
      </c>
      <c r="F1003" s="68">
        <v>1.0</v>
      </c>
      <c r="G1003" s="68">
        <v>3.06117964361169</v>
      </c>
      <c r="H1003" s="68">
        <v>143.184044343945</v>
      </c>
      <c r="I1003" s="69">
        <v>44312.60704861111</v>
      </c>
      <c r="J1003" s="69">
        <v>44312.67061342593</v>
      </c>
      <c r="K1003">
        <f>AVERAGE(H1002:H1006)</f>
        <v>125.2377121</v>
      </c>
      <c r="L1003">
        <f>STDEV(H1002:H1006)</f>
        <v>83.36939238</v>
      </c>
      <c r="M1003" s="70">
        <v>143.184044343945</v>
      </c>
      <c r="N1003" s="70">
        <v>143.184044343945</v>
      </c>
      <c r="O1003" s="70">
        <v>3.06117964361169</v>
      </c>
      <c r="P1003" s="70">
        <v>3.06117964361169</v>
      </c>
    </row>
    <row r="1004" hidden="1">
      <c r="A1004" s="67" t="s">
        <v>1764</v>
      </c>
      <c r="B1004" s="67" t="s">
        <v>268</v>
      </c>
      <c r="C1004" s="68">
        <v>0.75</v>
      </c>
      <c r="D1004" s="68">
        <v>0.1</v>
      </c>
      <c r="E1004" s="68">
        <v>2.0</v>
      </c>
      <c r="F1004" s="68">
        <v>2.0</v>
      </c>
      <c r="G1004" s="68">
        <v>2.48208363386629</v>
      </c>
      <c r="H1004" s="68">
        <v>131.574842502573</v>
      </c>
      <c r="I1004" s="69">
        <v>44312.671319444446</v>
      </c>
      <c r="J1004" s="69">
        <v>44312.67153935185</v>
      </c>
      <c r="K1004">
        <f>AVERAGE(H1002:H1006)</f>
        <v>125.2377121</v>
      </c>
      <c r="L1004">
        <f>STDEV(H1002:H1006)</f>
        <v>83.36939238</v>
      </c>
      <c r="M1004" s="70">
        <v>131.574842502573</v>
      </c>
      <c r="N1004" s="70">
        <v>131.574842502573</v>
      </c>
      <c r="O1004" s="70">
        <v>2.48208363386629</v>
      </c>
      <c r="P1004" s="70">
        <v>2.48208363386629</v>
      </c>
    </row>
    <row r="1005" hidden="1">
      <c r="A1005" s="67" t="s">
        <v>1765</v>
      </c>
      <c r="B1005" s="67" t="s">
        <v>268</v>
      </c>
      <c r="C1005" s="68">
        <v>0.75</v>
      </c>
      <c r="D1005" s="68">
        <v>0.1</v>
      </c>
      <c r="E1005" s="68">
        <v>2.0</v>
      </c>
      <c r="F1005" s="68">
        <v>3.0</v>
      </c>
      <c r="G1005" s="68">
        <v>5.85491693484326</v>
      </c>
      <c r="H1005" s="68">
        <v>234.36468994903</v>
      </c>
      <c r="I1005" s="69">
        <v>44312.67224537037</v>
      </c>
      <c r="J1005" s="69">
        <v>44312.67327546296</v>
      </c>
      <c r="K1005">
        <f>AVERAGE(H1002:H1006)</f>
        <v>125.2377121</v>
      </c>
      <c r="L1005">
        <f>STDEV(H1002:H1006)</f>
        <v>83.36939238</v>
      </c>
      <c r="M1005" s="70">
        <v>234.36468994903</v>
      </c>
      <c r="N1005" s="70">
        <v>234.36468994903</v>
      </c>
      <c r="O1005" s="70">
        <v>5.85491693484326</v>
      </c>
      <c r="P1005" s="70">
        <v>5.85491693484326</v>
      </c>
    </row>
    <row r="1006" hidden="1">
      <c r="A1006" s="67" t="s">
        <v>1766</v>
      </c>
      <c r="B1006" s="67" t="s">
        <v>268</v>
      </c>
      <c r="C1006" s="68">
        <v>0.75</v>
      </c>
      <c r="D1006" s="68">
        <v>0.1</v>
      </c>
      <c r="E1006" s="68">
        <v>2.0</v>
      </c>
      <c r="F1006" s="68">
        <v>4.0</v>
      </c>
      <c r="G1006" s="68">
        <v>0.71205655889852</v>
      </c>
      <c r="H1006" s="68">
        <v>0.948977832482219</v>
      </c>
      <c r="I1006" s="69">
        <v>44312.67398148148</v>
      </c>
      <c r="J1006" s="69">
        <v>44312.67420138889</v>
      </c>
      <c r="K1006">
        <f>AVERAGE(H1002:H1006)</f>
        <v>125.2377121</v>
      </c>
      <c r="L1006">
        <f>STDEV(H1002:H1006)</f>
        <v>83.36939238</v>
      </c>
      <c r="M1006" s="70">
        <v>0.948977832482219</v>
      </c>
      <c r="N1006" s="70">
        <v>0.948977832482219</v>
      </c>
      <c r="O1006" s="70">
        <v>0.71205655889852</v>
      </c>
      <c r="P1006" s="70">
        <v>0.71205655889852</v>
      </c>
    </row>
    <row r="1007" hidden="1">
      <c r="A1007" s="67" t="s">
        <v>1767</v>
      </c>
      <c r="B1007" s="67" t="s">
        <v>268</v>
      </c>
      <c r="C1007" s="68">
        <v>0.75</v>
      </c>
      <c r="D1007" s="68">
        <v>0.25</v>
      </c>
      <c r="E1007" s="68">
        <v>2.0</v>
      </c>
      <c r="F1007" s="68">
        <v>0.0</v>
      </c>
      <c r="G1007" s="68">
        <v>0.738388919616822</v>
      </c>
      <c r="H1007" s="68">
        <v>0.954404004182583</v>
      </c>
      <c r="I1007" s="69">
        <v>44312.67490740741</v>
      </c>
      <c r="J1007" s="69">
        <v>44312.675104166665</v>
      </c>
      <c r="K1007">
        <f>AVERAGE(H1007:H1011)</f>
        <v>127.9916319</v>
      </c>
      <c r="L1007">
        <f>STDEV(H1007:H1011)</f>
        <v>116.9759602</v>
      </c>
      <c r="M1007" s="70">
        <v>0.954404004182583</v>
      </c>
      <c r="N1007" s="70">
        <v>0.954404004182583</v>
      </c>
      <c r="O1007" s="70">
        <v>0.738388919616822</v>
      </c>
      <c r="P1007" s="70">
        <v>0.738388919616822</v>
      </c>
    </row>
    <row r="1008" hidden="1">
      <c r="A1008" s="67" t="s">
        <v>1768</v>
      </c>
      <c r="B1008" s="67" t="s">
        <v>268</v>
      </c>
      <c r="C1008" s="68">
        <v>0.75</v>
      </c>
      <c r="D1008" s="68">
        <v>0.25</v>
      </c>
      <c r="E1008" s="68">
        <v>2.0</v>
      </c>
      <c r="F1008" s="68">
        <v>1.0</v>
      </c>
      <c r="G1008" s="68">
        <v>1.72042551456287</v>
      </c>
      <c r="H1008" s="68">
        <v>27.931279824232</v>
      </c>
      <c r="I1008" s="69">
        <v>44312.67582175926</v>
      </c>
      <c r="J1008" s="69">
        <v>44312.676412037035</v>
      </c>
      <c r="K1008">
        <f>AVERAGE(H1007:H1011)</f>
        <v>127.9916319</v>
      </c>
      <c r="L1008">
        <f>STDEV(H1007:H1011)</f>
        <v>116.9759602</v>
      </c>
      <c r="M1008" s="70">
        <v>27.931279824232</v>
      </c>
      <c r="N1008" s="70">
        <v>27.931279824232</v>
      </c>
      <c r="O1008" s="70">
        <v>1.72042551456287</v>
      </c>
      <c r="P1008" s="70">
        <v>1.72042551456287</v>
      </c>
    </row>
    <row r="1009" hidden="1">
      <c r="A1009" s="67" t="s">
        <v>1769</v>
      </c>
      <c r="B1009" s="67" t="s">
        <v>268</v>
      </c>
      <c r="C1009" s="68">
        <v>0.75</v>
      </c>
      <c r="D1009" s="68">
        <v>0.25</v>
      </c>
      <c r="E1009" s="68">
        <v>2.0</v>
      </c>
      <c r="F1009" s="68">
        <v>2.0</v>
      </c>
      <c r="G1009" s="68">
        <v>8.35429703078711</v>
      </c>
      <c r="H1009" s="68">
        <v>290.011764996972</v>
      </c>
      <c r="I1009" s="69">
        <v>44312.67712962963</v>
      </c>
      <c r="J1009" s="69">
        <v>44312.67806712963</v>
      </c>
      <c r="K1009">
        <f>AVERAGE(H1007:H1011)</f>
        <v>127.9916319</v>
      </c>
      <c r="L1009">
        <f>STDEV(H1007:H1011)</f>
        <v>116.9759602</v>
      </c>
      <c r="M1009" s="70">
        <v>290.011764996972</v>
      </c>
      <c r="N1009" s="70">
        <v>290.011764996972</v>
      </c>
      <c r="O1009" s="70">
        <v>8.35429703078711</v>
      </c>
      <c r="P1009" s="70">
        <v>8.35429703078711</v>
      </c>
    </row>
    <row r="1010" hidden="1">
      <c r="A1010" s="67" t="s">
        <v>1770</v>
      </c>
      <c r="B1010" s="67" t="s">
        <v>268</v>
      </c>
      <c r="C1010" s="68">
        <v>0.75</v>
      </c>
      <c r="D1010" s="68">
        <v>0.25</v>
      </c>
      <c r="E1010" s="68">
        <v>2.0</v>
      </c>
      <c r="F1010" s="68">
        <v>3.0</v>
      </c>
      <c r="G1010" s="68">
        <v>4.95707122364993</v>
      </c>
      <c r="H1010" s="68">
        <v>170.896385658193</v>
      </c>
      <c r="I1010" s="69">
        <v>44312.67878472222</v>
      </c>
      <c r="J1010" s="69">
        <v>44312.67890046296</v>
      </c>
      <c r="K1010">
        <f>AVERAGE(H1007:H1011)</f>
        <v>127.9916319</v>
      </c>
      <c r="L1010">
        <f>STDEV(H1007:H1011)</f>
        <v>116.9759602</v>
      </c>
      <c r="M1010" s="70">
        <v>170.896385658193</v>
      </c>
      <c r="N1010" s="70">
        <v>170.896385658193</v>
      </c>
      <c r="O1010" s="70">
        <v>4.95707122364993</v>
      </c>
      <c r="P1010" s="70">
        <v>4.95707122364993</v>
      </c>
    </row>
    <row r="1011" hidden="1">
      <c r="A1011" s="67" t="s">
        <v>1771</v>
      </c>
      <c r="B1011" s="67" t="s">
        <v>268</v>
      </c>
      <c r="C1011" s="68">
        <v>0.75</v>
      </c>
      <c r="D1011" s="68">
        <v>0.25</v>
      </c>
      <c r="E1011" s="68">
        <v>2.0</v>
      </c>
      <c r="F1011" s="68">
        <v>4.0</v>
      </c>
      <c r="G1011" s="68">
        <v>3.04767329891466</v>
      </c>
      <c r="H1011" s="68">
        <v>150.164325061628</v>
      </c>
      <c r="I1011" s="69">
        <v>44312.679606481484</v>
      </c>
      <c r="J1011" s="69">
        <v>44312.719293981485</v>
      </c>
      <c r="K1011">
        <f>AVERAGE(H1007:H1011)</f>
        <v>127.9916319</v>
      </c>
      <c r="L1011">
        <f>STDEV(H1007:H1011)</f>
        <v>116.9759602</v>
      </c>
      <c r="M1011" s="70">
        <v>150.164325061628</v>
      </c>
      <c r="N1011" s="70">
        <v>150.164325061628</v>
      </c>
      <c r="O1011" s="70">
        <v>3.04767329891466</v>
      </c>
      <c r="P1011" s="70">
        <v>3.04767329891466</v>
      </c>
    </row>
    <row r="1012" hidden="1">
      <c r="A1012" s="67" t="s">
        <v>1772</v>
      </c>
      <c r="B1012" s="67" t="s">
        <v>268</v>
      </c>
      <c r="C1012" s="68">
        <v>0.75</v>
      </c>
      <c r="D1012" s="68">
        <v>0.5</v>
      </c>
      <c r="E1012" s="68">
        <v>2.0</v>
      </c>
      <c r="F1012" s="68">
        <v>0.0</v>
      </c>
      <c r="G1012" s="68">
        <v>3.19249733543068</v>
      </c>
      <c r="H1012" s="68">
        <v>149.139419488524</v>
      </c>
      <c r="I1012" s="69">
        <v>44312.72001157407</v>
      </c>
      <c r="J1012" s="69">
        <v>44312.782743055555</v>
      </c>
      <c r="K1012">
        <f>AVERAGE(H1012:H1016)</f>
        <v>89.42099279</v>
      </c>
      <c r="L1012">
        <f>STDEV(H1012:H1016)</f>
        <v>128.1711125</v>
      </c>
      <c r="M1012" s="70">
        <v>149.139419488524</v>
      </c>
      <c r="N1012" s="70">
        <v>149.139419488524</v>
      </c>
      <c r="O1012" s="70">
        <v>3.19249733543068</v>
      </c>
      <c r="P1012" s="70">
        <v>3.19249733543068</v>
      </c>
    </row>
    <row r="1013" hidden="1">
      <c r="A1013" s="67" t="s">
        <v>1773</v>
      </c>
      <c r="B1013" s="67" t="s">
        <v>268</v>
      </c>
      <c r="C1013" s="68">
        <v>0.75</v>
      </c>
      <c r="D1013" s="68">
        <v>0.5</v>
      </c>
      <c r="E1013" s="68">
        <v>2.0</v>
      </c>
      <c r="F1013" s="68">
        <v>1.0</v>
      </c>
      <c r="G1013" s="68">
        <v>8.28860781437791</v>
      </c>
      <c r="H1013" s="68">
        <v>288.820830956456</v>
      </c>
      <c r="I1013" s="69">
        <v>44312.78344907407</v>
      </c>
      <c r="J1013" s="69">
        <v>44312.78438657407</v>
      </c>
      <c r="K1013">
        <f>AVERAGE(H1012:H1016)</f>
        <v>89.42099279</v>
      </c>
      <c r="L1013">
        <f>STDEV(H1012:H1016)</f>
        <v>128.1711125</v>
      </c>
      <c r="M1013" s="70">
        <v>288.820830956456</v>
      </c>
      <c r="N1013" s="70">
        <v>288.820830956456</v>
      </c>
      <c r="O1013" s="70">
        <v>8.28860781437791</v>
      </c>
      <c r="P1013" s="70">
        <v>8.28860781437791</v>
      </c>
    </row>
    <row r="1014" hidden="1">
      <c r="A1014" s="67" t="s">
        <v>1774</v>
      </c>
      <c r="B1014" s="67" t="s">
        <v>268</v>
      </c>
      <c r="C1014" s="68">
        <v>0.75</v>
      </c>
      <c r="D1014" s="68">
        <v>0.5</v>
      </c>
      <c r="E1014" s="68">
        <v>2.0</v>
      </c>
      <c r="F1014" s="68">
        <v>2.0</v>
      </c>
      <c r="G1014" s="68">
        <v>2.64145420487137</v>
      </c>
      <c r="H1014" s="68">
        <v>4.1380101737941</v>
      </c>
      <c r="I1014" s="69">
        <v>44312.785104166665</v>
      </c>
      <c r="J1014" s="69">
        <v>44312.78518518519</v>
      </c>
      <c r="K1014">
        <f>AVERAGE(H1012:H1016)</f>
        <v>89.42099279</v>
      </c>
      <c r="L1014">
        <f>STDEV(H1012:H1016)</f>
        <v>128.1711125</v>
      </c>
      <c r="M1014" s="70">
        <v>4.1380101737941</v>
      </c>
      <c r="N1014" s="70">
        <v>4.1380101737941</v>
      </c>
      <c r="O1014" s="70">
        <v>2.64145420487137</v>
      </c>
      <c r="P1014" s="70">
        <v>2.64145420487137</v>
      </c>
    </row>
    <row r="1015" hidden="1">
      <c r="A1015" s="67" t="s">
        <v>1775</v>
      </c>
      <c r="B1015" s="67" t="s">
        <v>268</v>
      </c>
      <c r="C1015" s="68">
        <v>0.75</v>
      </c>
      <c r="D1015" s="68">
        <v>0.5</v>
      </c>
      <c r="E1015" s="68">
        <v>2.0</v>
      </c>
      <c r="F1015" s="68">
        <v>3.0</v>
      </c>
      <c r="G1015" s="68">
        <v>1.08182500887364</v>
      </c>
      <c r="H1015" s="68">
        <v>1.45203428376343</v>
      </c>
      <c r="I1015" s="69">
        <v>44312.78590277778</v>
      </c>
      <c r="J1015" s="69">
        <v>44312.78600694444</v>
      </c>
      <c r="K1015">
        <f>AVERAGE(H1012:H1016)</f>
        <v>89.42099279</v>
      </c>
      <c r="L1015">
        <f>STDEV(H1012:H1016)</f>
        <v>128.1711125</v>
      </c>
      <c r="M1015" s="70">
        <v>1.45203428376343</v>
      </c>
      <c r="N1015" s="70">
        <v>1.45203428376343</v>
      </c>
      <c r="O1015" s="70">
        <v>1.08182500887364</v>
      </c>
      <c r="P1015" s="70">
        <v>1.08182500887364</v>
      </c>
    </row>
    <row r="1016" hidden="1">
      <c r="A1016" s="67" t="s">
        <v>1776</v>
      </c>
      <c r="B1016" s="67" t="s">
        <v>268</v>
      </c>
      <c r="C1016" s="68">
        <v>0.75</v>
      </c>
      <c r="D1016" s="68">
        <v>0.5</v>
      </c>
      <c r="E1016" s="68">
        <v>2.0</v>
      </c>
      <c r="F1016" s="68">
        <v>4.0</v>
      </c>
      <c r="G1016" s="68">
        <v>0.475529835326892</v>
      </c>
      <c r="H1016" s="68">
        <v>3.55466905884177</v>
      </c>
      <c r="I1016" s="69">
        <v>44312.786724537036</v>
      </c>
      <c r="J1016" s="69">
        <v>44312.787314814814</v>
      </c>
      <c r="K1016">
        <f>AVERAGE(H1012:H1016)</f>
        <v>89.42099279</v>
      </c>
      <c r="L1016">
        <f>STDEV(H1012:H1016)</f>
        <v>128.1711125</v>
      </c>
      <c r="M1016" s="70">
        <v>3.55466905884177</v>
      </c>
      <c r="N1016" s="70">
        <v>3.55466905884177</v>
      </c>
      <c r="O1016" s="70">
        <v>0.475529835326892</v>
      </c>
      <c r="P1016" s="70">
        <v>0.475529835326892</v>
      </c>
    </row>
    <row r="1017" hidden="1">
      <c r="A1017" s="67" t="s">
        <v>1777</v>
      </c>
      <c r="B1017" s="67" t="s">
        <v>268</v>
      </c>
      <c r="C1017" s="68">
        <v>0.75</v>
      </c>
      <c r="D1017" s="68">
        <v>0.75</v>
      </c>
      <c r="E1017" s="68">
        <v>2.0</v>
      </c>
      <c r="F1017" s="68">
        <v>0.0</v>
      </c>
      <c r="G1017" s="68">
        <v>4.10958575979338</v>
      </c>
      <c r="H1017" s="68">
        <v>189.459404486492</v>
      </c>
      <c r="I1017" s="69">
        <v>44312.78803240741</v>
      </c>
      <c r="J1017" s="69">
        <v>44312.79189814815</v>
      </c>
      <c r="K1017">
        <f>AVERAGE(H1017:H1021)</f>
        <v>72.58344111</v>
      </c>
      <c r="L1017">
        <f>STDEV(H1017:H1021)</f>
        <v>96.83505614</v>
      </c>
      <c r="M1017" s="70">
        <v>189.459404486492</v>
      </c>
      <c r="N1017" s="70">
        <v>189.459404486492</v>
      </c>
      <c r="O1017" s="70">
        <v>4.10958575979338</v>
      </c>
      <c r="P1017" s="70">
        <v>4.10958575979338</v>
      </c>
    </row>
    <row r="1018" hidden="1">
      <c r="A1018" s="67" t="s">
        <v>1778</v>
      </c>
      <c r="B1018" s="67" t="s">
        <v>268</v>
      </c>
      <c r="C1018" s="68">
        <v>0.75</v>
      </c>
      <c r="D1018" s="68">
        <v>0.75</v>
      </c>
      <c r="E1018" s="68">
        <v>2.0</v>
      </c>
      <c r="F1018" s="68">
        <v>1.0</v>
      </c>
      <c r="G1018" s="68">
        <v>2.65066504174383</v>
      </c>
      <c r="H1018" s="68">
        <v>4.15203700319512</v>
      </c>
      <c r="I1018" s="69">
        <v>44312.79261574074</v>
      </c>
      <c r="J1018" s="69">
        <v>44312.792708333334</v>
      </c>
      <c r="K1018">
        <f>AVERAGE(H1017:H1021)</f>
        <v>72.58344111</v>
      </c>
      <c r="L1018">
        <f>STDEV(H1017:H1021)</f>
        <v>96.83505614</v>
      </c>
      <c r="M1018" s="70">
        <v>4.15203700319512</v>
      </c>
      <c r="N1018" s="70">
        <v>4.15203700319512</v>
      </c>
      <c r="O1018" s="70">
        <v>2.65066504174383</v>
      </c>
      <c r="P1018" s="70">
        <v>2.65066504174383</v>
      </c>
    </row>
    <row r="1019" hidden="1">
      <c r="A1019" s="67" t="s">
        <v>1779</v>
      </c>
      <c r="B1019" s="67" t="s">
        <v>268</v>
      </c>
      <c r="C1019" s="68">
        <v>0.75</v>
      </c>
      <c r="D1019" s="68">
        <v>0.75</v>
      </c>
      <c r="E1019" s="68">
        <v>2.0</v>
      </c>
      <c r="F1019" s="68">
        <v>2.0</v>
      </c>
      <c r="G1019" s="68">
        <v>0.656056426986656</v>
      </c>
      <c r="H1019" s="68">
        <v>1.21679555650784</v>
      </c>
      <c r="I1019" s="69">
        <v>44312.79341435185</v>
      </c>
      <c r="J1019" s="69">
        <v>44312.794224537036</v>
      </c>
      <c r="K1019">
        <f>AVERAGE(H1017:H1021)</f>
        <v>72.58344111</v>
      </c>
      <c r="L1019">
        <f>STDEV(H1017:H1021)</f>
        <v>96.83505614</v>
      </c>
      <c r="M1019" s="70">
        <v>1.21679555650784</v>
      </c>
      <c r="N1019" s="70">
        <v>1.21679555650784</v>
      </c>
      <c r="O1019" s="70">
        <v>0.656056426986656</v>
      </c>
      <c r="P1019" s="70">
        <v>0.656056426986656</v>
      </c>
    </row>
    <row r="1020" hidden="1">
      <c r="A1020" s="67" t="s">
        <v>1780</v>
      </c>
      <c r="B1020" s="67" t="s">
        <v>268</v>
      </c>
      <c r="C1020" s="68">
        <v>0.75</v>
      </c>
      <c r="D1020" s="68">
        <v>0.75</v>
      </c>
      <c r="E1020" s="68">
        <v>2.0</v>
      </c>
      <c r="F1020" s="68">
        <v>3.0</v>
      </c>
      <c r="G1020" s="68">
        <v>0.712997756536142</v>
      </c>
      <c r="H1020" s="68">
        <v>0.950093966860787</v>
      </c>
      <c r="I1020" s="69">
        <v>44312.79494212963</v>
      </c>
      <c r="J1020" s="69">
        <v>44312.79516203704</v>
      </c>
      <c r="K1020">
        <f>AVERAGE(H1017:H1021)</f>
        <v>72.58344111</v>
      </c>
      <c r="L1020">
        <f>STDEV(H1017:H1021)</f>
        <v>96.83505614</v>
      </c>
      <c r="M1020" s="70">
        <v>0.950093966860787</v>
      </c>
      <c r="N1020" s="70">
        <v>0.950093966860787</v>
      </c>
      <c r="O1020" s="70">
        <v>0.712997756536142</v>
      </c>
      <c r="P1020" s="70">
        <v>0.712997756536142</v>
      </c>
    </row>
    <row r="1021" hidden="1">
      <c r="A1021" s="67" t="s">
        <v>1781</v>
      </c>
      <c r="B1021" s="67" t="s">
        <v>268</v>
      </c>
      <c r="C1021" s="68">
        <v>0.75</v>
      </c>
      <c r="D1021" s="68">
        <v>0.75</v>
      </c>
      <c r="E1021" s="68">
        <v>2.0</v>
      </c>
      <c r="F1021" s="68">
        <v>4.0</v>
      </c>
      <c r="G1021" s="68">
        <v>3.8379465239912</v>
      </c>
      <c r="H1021" s="68">
        <v>167.138874519954</v>
      </c>
      <c r="I1021" s="69">
        <v>44312.79587962963</v>
      </c>
      <c r="J1021" s="69">
        <v>44312.832824074074</v>
      </c>
      <c r="K1021">
        <f>AVERAGE(H1017:H1021)</f>
        <v>72.58344111</v>
      </c>
      <c r="L1021">
        <f>STDEV(H1017:H1021)</f>
        <v>96.83505614</v>
      </c>
      <c r="M1021" s="70">
        <v>167.138874519954</v>
      </c>
      <c r="N1021" s="70">
        <v>167.138874519954</v>
      </c>
      <c r="O1021" s="70">
        <v>3.8379465239912</v>
      </c>
      <c r="P1021" s="70">
        <v>3.8379465239912</v>
      </c>
    </row>
    <row r="1022" hidden="1">
      <c r="A1022" s="67" t="s">
        <v>1782</v>
      </c>
      <c r="B1022" s="67" t="s">
        <v>268</v>
      </c>
      <c r="C1022" s="68">
        <v>0.75</v>
      </c>
      <c r="D1022" s="68">
        <v>1.0</v>
      </c>
      <c r="E1022" s="68">
        <v>2.0</v>
      </c>
      <c r="F1022" s="68">
        <v>0.0</v>
      </c>
      <c r="G1022" s="68">
        <v>0.319096105615425</v>
      </c>
      <c r="H1022" s="68">
        <v>0.408517979006142</v>
      </c>
      <c r="I1022" s="69">
        <v>44312.83353009259</v>
      </c>
      <c r="J1022" s="69">
        <v>44312.83358796296</v>
      </c>
      <c r="K1022">
        <f>AVERAGE(H1022:H1026)</f>
        <v>93.06648761</v>
      </c>
      <c r="L1022">
        <f>STDEV(H1022:H1026)</f>
        <v>87.03169917</v>
      </c>
      <c r="M1022" s="70">
        <v>0.408517979006142</v>
      </c>
      <c r="N1022" s="70">
        <v>0.408517979006142</v>
      </c>
      <c r="O1022" s="70">
        <v>0.319096105615425</v>
      </c>
      <c r="P1022" s="70">
        <v>0.319096105615425</v>
      </c>
    </row>
    <row r="1023" hidden="1">
      <c r="A1023" s="67" t="s">
        <v>1783</v>
      </c>
      <c r="B1023" s="67" t="s">
        <v>268</v>
      </c>
      <c r="C1023" s="68">
        <v>0.75</v>
      </c>
      <c r="D1023" s="68">
        <v>1.0</v>
      </c>
      <c r="E1023" s="68">
        <v>2.0</v>
      </c>
      <c r="F1023" s="68">
        <v>1.0</v>
      </c>
      <c r="G1023" s="68">
        <v>3.7921049798557</v>
      </c>
      <c r="H1023" s="68">
        <v>181.311823949634</v>
      </c>
      <c r="I1023" s="69">
        <v>44312.83430555555</v>
      </c>
      <c r="J1023" s="69">
        <v>44312.856145833335</v>
      </c>
      <c r="K1023">
        <f>AVERAGE(H1022:H1026)</f>
        <v>93.06648761</v>
      </c>
      <c r="L1023">
        <f>STDEV(H1022:H1026)</f>
        <v>87.03169917</v>
      </c>
      <c r="M1023" s="70">
        <v>181.311823949634</v>
      </c>
      <c r="N1023" s="70">
        <v>181.311823949634</v>
      </c>
      <c r="O1023" s="70">
        <v>3.7921049798557</v>
      </c>
      <c r="P1023" s="70">
        <v>3.7921049798557</v>
      </c>
    </row>
    <row r="1024" hidden="1">
      <c r="A1024" s="67" t="s">
        <v>1784</v>
      </c>
      <c r="B1024" s="67" t="s">
        <v>268</v>
      </c>
      <c r="C1024" s="68">
        <v>0.75</v>
      </c>
      <c r="D1024" s="68">
        <v>1.0</v>
      </c>
      <c r="E1024" s="68">
        <v>2.0</v>
      </c>
      <c r="F1024" s="68">
        <v>2.0</v>
      </c>
      <c r="G1024" s="68">
        <v>4.77768105433788</v>
      </c>
      <c r="H1024" s="68">
        <v>161.088305480721</v>
      </c>
      <c r="I1024" s="69">
        <v>44312.85686342593</v>
      </c>
      <c r="J1024" s="69">
        <v>44312.857083333336</v>
      </c>
      <c r="K1024">
        <f>AVERAGE(H1022:H1026)</f>
        <v>93.06648761</v>
      </c>
      <c r="L1024">
        <f>STDEV(H1022:H1026)</f>
        <v>87.03169917</v>
      </c>
      <c r="M1024" s="70">
        <v>161.088305480721</v>
      </c>
      <c r="N1024" s="70">
        <v>161.088305480721</v>
      </c>
      <c r="O1024" s="70">
        <v>4.77768105433788</v>
      </c>
      <c r="P1024" s="70">
        <v>4.77768105433788</v>
      </c>
    </row>
    <row r="1025" hidden="1">
      <c r="A1025" s="67" t="s">
        <v>1785</v>
      </c>
      <c r="B1025" s="67" t="s">
        <v>268</v>
      </c>
      <c r="C1025" s="68">
        <v>0.75</v>
      </c>
      <c r="D1025" s="68">
        <v>1.0</v>
      </c>
      <c r="E1025" s="68">
        <v>2.0</v>
      </c>
      <c r="F1025" s="68">
        <v>3.0</v>
      </c>
      <c r="G1025" s="68">
        <v>0.71205655889852</v>
      </c>
      <c r="H1025" s="68">
        <v>0.948977832482219</v>
      </c>
      <c r="I1025" s="69">
        <v>44312.85778935185</v>
      </c>
      <c r="J1025" s="69">
        <v>44312.85802083334</v>
      </c>
      <c r="K1025">
        <f>AVERAGE(H1022:H1026)</f>
        <v>93.06648761</v>
      </c>
      <c r="L1025">
        <f>STDEV(H1022:H1026)</f>
        <v>87.03169917</v>
      </c>
      <c r="M1025" s="70">
        <v>0.948977832482219</v>
      </c>
      <c r="N1025" s="70">
        <v>0.948977832482219</v>
      </c>
      <c r="O1025" s="70">
        <v>0.71205655889852</v>
      </c>
      <c r="P1025" s="70">
        <v>0.71205655889852</v>
      </c>
    </row>
    <row r="1026" hidden="1">
      <c r="A1026" s="67" t="s">
        <v>1786</v>
      </c>
      <c r="B1026" s="67" t="s">
        <v>268</v>
      </c>
      <c r="C1026" s="68">
        <v>0.75</v>
      </c>
      <c r="D1026" s="68">
        <v>1.0</v>
      </c>
      <c r="E1026" s="68">
        <v>2.0</v>
      </c>
      <c r="F1026" s="68">
        <v>4.0</v>
      </c>
      <c r="G1026" s="68">
        <v>2.9059054229175</v>
      </c>
      <c r="H1026" s="68">
        <v>121.57481280952</v>
      </c>
      <c r="I1026" s="69">
        <v>44312.85872685185</v>
      </c>
      <c r="J1026" s="69">
        <v>44312.87422453704</v>
      </c>
      <c r="K1026">
        <f>AVERAGE(H1022:H1026)</f>
        <v>93.06648761</v>
      </c>
      <c r="L1026">
        <f>STDEV(H1022:H1026)</f>
        <v>87.03169917</v>
      </c>
      <c r="M1026" s="70">
        <v>121.57481280952</v>
      </c>
      <c r="N1026" s="70">
        <v>121.57481280952</v>
      </c>
      <c r="O1026" s="70">
        <v>2.9059054229175</v>
      </c>
      <c r="P1026" s="70">
        <v>2.9059054229175</v>
      </c>
    </row>
    <row r="1027" hidden="1">
      <c r="A1027" s="67" t="s">
        <v>1787</v>
      </c>
      <c r="B1027" s="67" t="s">
        <v>268</v>
      </c>
      <c r="C1027" s="68">
        <v>1.0</v>
      </c>
      <c r="D1027" s="68">
        <v>0.1</v>
      </c>
      <c r="E1027" s="68">
        <v>2.0</v>
      </c>
      <c r="F1027" s="68">
        <v>0.0</v>
      </c>
      <c r="G1027" s="68">
        <v>8.35524852988909</v>
      </c>
      <c r="H1027" s="68">
        <v>290.025615026503</v>
      </c>
      <c r="I1027" s="69">
        <v>44312.874930555554</v>
      </c>
      <c r="J1027" s="69">
        <v>44312.87587962963</v>
      </c>
      <c r="K1027">
        <f>AVERAGE(H1027:H1031)</f>
        <v>95.69717048</v>
      </c>
      <c r="L1027">
        <f>STDEV(H1027:H1031)</f>
        <v>126.6208097</v>
      </c>
      <c r="M1027" s="70">
        <v>290.025615026503</v>
      </c>
      <c r="N1027" s="70">
        <v>290.025615026503</v>
      </c>
      <c r="O1027" s="70">
        <v>8.35524852988909</v>
      </c>
      <c r="P1027" s="70">
        <v>8.35524852988909</v>
      </c>
    </row>
    <row r="1028" hidden="1">
      <c r="A1028" s="67" t="s">
        <v>1788</v>
      </c>
      <c r="B1028" s="67" t="s">
        <v>268</v>
      </c>
      <c r="C1028" s="68">
        <v>1.0</v>
      </c>
      <c r="D1028" s="68">
        <v>0.1</v>
      </c>
      <c r="E1028" s="68">
        <v>2.0</v>
      </c>
      <c r="F1028" s="68">
        <v>1.0</v>
      </c>
      <c r="G1028" s="68">
        <v>1.72410412132279</v>
      </c>
      <c r="H1028" s="68">
        <v>28.1362458801306</v>
      </c>
      <c r="I1028" s="69">
        <v>44312.87658564815</v>
      </c>
      <c r="J1028" s="69">
        <v>44312.87719907407</v>
      </c>
      <c r="K1028">
        <f>AVERAGE(H1027:H1031)</f>
        <v>95.69717048</v>
      </c>
      <c r="L1028">
        <f>STDEV(H1027:H1031)</f>
        <v>126.6208097</v>
      </c>
      <c r="M1028" s="70">
        <v>28.1362458801306</v>
      </c>
      <c r="N1028" s="70">
        <v>28.1362458801306</v>
      </c>
      <c r="O1028" s="70">
        <v>1.72410412132279</v>
      </c>
      <c r="P1028" s="70">
        <v>1.72410412132279</v>
      </c>
    </row>
    <row r="1029" hidden="1">
      <c r="A1029" s="67" t="s">
        <v>1789</v>
      </c>
      <c r="B1029" s="67" t="s">
        <v>268</v>
      </c>
      <c r="C1029" s="68">
        <v>1.0</v>
      </c>
      <c r="D1029" s="68">
        <v>0.1</v>
      </c>
      <c r="E1029" s="68">
        <v>2.0</v>
      </c>
      <c r="F1029" s="68">
        <v>2.0</v>
      </c>
      <c r="G1029" s="68">
        <v>3.50045715780563</v>
      </c>
      <c r="H1029" s="68">
        <v>158.152337137289</v>
      </c>
      <c r="I1029" s="69">
        <v>44312.877916666665</v>
      </c>
      <c r="J1029" s="69">
        <v>44312.91971064815</v>
      </c>
      <c r="K1029">
        <f>AVERAGE(H1027:H1031)</f>
        <v>95.69717048</v>
      </c>
      <c r="L1029">
        <f>STDEV(H1027:H1031)</f>
        <v>126.6208097</v>
      </c>
      <c r="M1029" s="70">
        <v>158.152337137289</v>
      </c>
      <c r="N1029" s="70">
        <v>158.152337137289</v>
      </c>
      <c r="O1029" s="70">
        <v>3.50045715780563</v>
      </c>
      <c r="P1029" s="70">
        <v>3.50045715780563</v>
      </c>
    </row>
    <row r="1030" hidden="1">
      <c r="A1030" s="67" t="s">
        <v>1790</v>
      </c>
      <c r="B1030" s="67" t="s">
        <v>268</v>
      </c>
      <c r="C1030" s="68">
        <v>1.0</v>
      </c>
      <c r="D1030" s="68">
        <v>0.1</v>
      </c>
      <c r="E1030" s="68">
        <v>2.0</v>
      </c>
      <c r="F1030" s="68">
        <v>3.0</v>
      </c>
      <c r="G1030" s="68">
        <v>0.656893640287881</v>
      </c>
      <c r="H1030" s="68">
        <v>1.21725036970723</v>
      </c>
      <c r="I1030" s="69">
        <v>44312.92042824074</v>
      </c>
      <c r="J1030" s="69">
        <v>44312.92115740741</v>
      </c>
      <c r="K1030">
        <f>AVERAGE(H1027:H1031)</f>
        <v>95.69717048</v>
      </c>
      <c r="L1030">
        <f>STDEV(H1027:H1031)</f>
        <v>126.6208097</v>
      </c>
      <c r="M1030" s="70">
        <v>1.21725036970723</v>
      </c>
      <c r="N1030" s="70">
        <v>1.21725036970723</v>
      </c>
      <c r="O1030" s="70">
        <v>0.656893640287881</v>
      </c>
      <c r="P1030" s="70">
        <v>0.656893640287881</v>
      </c>
    </row>
    <row r="1031" hidden="1">
      <c r="A1031" s="67" t="s">
        <v>1791</v>
      </c>
      <c r="B1031" s="67" t="s">
        <v>268</v>
      </c>
      <c r="C1031" s="68">
        <v>1.0</v>
      </c>
      <c r="D1031" s="68">
        <v>0.1</v>
      </c>
      <c r="E1031" s="68">
        <v>2.0</v>
      </c>
      <c r="F1031" s="68">
        <v>4.0</v>
      </c>
      <c r="G1031" s="68">
        <v>0.738388919616822</v>
      </c>
      <c r="H1031" s="68">
        <v>0.954404004182583</v>
      </c>
      <c r="I1031" s="69">
        <v>44312.92186342592</v>
      </c>
      <c r="J1031" s="69">
        <v>44312.92207175926</v>
      </c>
      <c r="K1031">
        <f>AVERAGE(H1027:H1031)</f>
        <v>95.69717048</v>
      </c>
      <c r="L1031">
        <f>STDEV(H1027:H1031)</f>
        <v>126.6208097</v>
      </c>
      <c r="M1031" s="70">
        <v>0.954404004182583</v>
      </c>
      <c r="N1031" s="70">
        <v>0.954404004182583</v>
      </c>
      <c r="O1031" s="70">
        <v>0.738388919616822</v>
      </c>
      <c r="P1031" s="70">
        <v>0.738388919616822</v>
      </c>
    </row>
    <row r="1032" hidden="1">
      <c r="A1032" s="67" t="s">
        <v>1792</v>
      </c>
      <c r="B1032" s="67" t="s">
        <v>268</v>
      </c>
      <c r="C1032" s="68">
        <v>1.0</v>
      </c>
      <c r="D1032" s="68">
        <v>0.25</v>
      </c>
      <c r="E1032" s="68">
        <v>2.0</v>
      </c>
      <c r="F1032" s="68">
        <v>0.0</v>
      </c>
      <c r="G1032" s="68">
        <v>0.464154903697962</v>
      </c>
      <c r="H1032" s="68">
        <v>0.556535061267823</v>
      </c>
      <c r="I1032" s="69">
        <v>44312.92277777778</v>
      </c>
      <c r="J1032" s="69">
        <v>44312.922951388886</v>
      </c>
      <c r="K1032">
        <f>AVERAGE(H1032:H1036)</f>
        <v>71.87333249</v>
      </c>
      <c r="L1032">
        <f>STDEV(H1032:H1036)</f>
        <v>83.19402182</v>
      </c>
      <c r="M1032" s="70">
        <v>0.556535061267823</v>
      </c>
      <c r="N1032" s="70">
        <v>0.556535061267823</v>
      </c>
      <c r="O1032" s="70">
        <v>0.464154903697962</v>
      </c>
      <c r="P1032" s="70">
        <v>0.464154903697962</v>
      </c>
    </row>
    <row r="1033" hidden="1">
      <c r="A1033" s="67" t="s">
        <v>1793</v>
      </c>
      <c r="B1033" s="67" t="s">
        <v>268</v>
      </c>
      <c r="C1033" s="68">
        <v>1.0</v>
      </c>
      <c r="D1033" s="68">
        <v>0.25</v>
      </c>
      <c r="E1033" s="68">
        <v>2.0</v>
      </c>
      <c r="F1033" s="68">
        <v>1.0</v>
      </c>
      <c r="G1033" s="68">
        <v>1.23399713434347</v>
      </c>
      <c r="H1033" s="68">
        <v>22.4838093941599</v>
      </c>
      <c r="I1033" s="69">
        <v>44312.92365740741</v>
      </c>
      <c r="J1033" s="69">
        <v>44312.92582175926</v>
      </c>
      <c r="K1033">
        <f>AVERAGE(H1032:H1036)</f>
        <v>71.87333249</v>
      </c>
      <c r="L1033">
        <f>STDEV(H1032:H1036)</f>
        <v>83.19402182</v>
      </c>
      <c r="M1033" s="70">
        <v>22.4838093941599</v>
      </c>
      <c r="N1033" s="70">
        <v>22.4838093941599</v>
      </c>
      <c r="O1033" s="70">
        <v>1.23399713434347</v>
      </c>
      <c r="P1033" s="70">
        <v>1.23399713434347</v>
      </c>
    </row>
    <row r="1034" hidden="1">
      <c r="A1034" s="67" t="s">
        <v>1794</v>
      </c>
      <c r="B1034" s="67" t="s">
        <v>268</v>
      </c>
      <c r="C1034" s="68">
        <v>1.0</v>
      </c>
      <c r="D1034" s="68">
        <v>0.25</v>
      </c>
      <c r="E1034" s="68">
        <v>2.0</v>
      </c>
      <c r="F1034" s="68">
        <v>2.0</v>
      </c>
      <c r="G1034" s="68">
        <v>4.2811649982666</v>
      </c>
      <c r="H1034" s="68">
        <v>186.887030353848</v>
      </c>
      <c r="I1034" s="69">
        <v>44312.92653935185</v>
      </c>
      <c r="J1034" s="69">
        <v>44312.97900462963</v>
      </c>
      <c r="K1034">
        <f>AVERAGE(H1032:H1036)</f>
        <v>71.87333249</v>
      </c>
      <c r="L1034">
        <f>STDEV(H1032:H1036)</f>
        <v>83.19402182</v>
      </c>
      <c r="M1034" s="70">
        <v>186.887030353848</v>
      </c>
      <c r="N1034" s="70">
        <v>186.887030353848</v>
      </c>
      <c r="O1034" s="70">
        <v>4.2811649982666</v>
      </c>
      <c r="P1034" s="70">
        <v>4.2811649982666</v>
      </c>
    </row>
    <row r="1035" hidden="1">
      <c r="A1035" s="67" t="s">
        <v>1795</v>
      </c>
      <c r="B1035" s="67" t="s">
        <v>268</v>
      </c>
      <c r="C1035" s="68">
        <v>1.0</v>
      </c>
      <c r="D1035" s="68">
        <v>0.25</v>
      </c>
      <c r="E1035" s="68">
        <v>2.0</v>
      </c>
      <c r="F1035" s="68">
        <v>3.0</v>
      </c>
      <c r="G1035" s="68">
        <v>2.54292434938265</v>
      </c>
      <c r="H1035" s="68">
        <v>133.521075803138</v>
      </c>
      <c r="I1035" s="69">
        <v>44312.97971064815</v>
      </c>
      <c r="J1035" s="69">
        <v>44312.97990740741</v>
      </c>
      <c r="K1035">
        <f>AVERAGE(H1032:H1036)</f>
        <v>71.87333249</v>
      </c>
      <c r="L1035">
        <f>STDEV(H1032:H1036)</f>
        <v>83.19402182</v>
      </c>
      <c r="M1035" s="70">
        <v>133.521075803138</v>
      </c>
      <c r="N1035" s="70">
        <v>133.521075803138</v>
      </c>
      <c r="O1035" s="70">
        <v>2.54292434938265</v>
      </c>
      <c r="P1035" s="70">
        <v>2.54292434938265</v>
      </c>
    </row>
    <row r="1036" hidden="1">
      <c r="A1036" s="67" t="s">
        <v>1796</v>
      </c>
      <c r="B1036" s="67" t="s">
        <v>268</v>
      </c>
      <c r="C1036" s="68">
        <v>1.0</v>
      </c>
      <c r="D1036" s="68">
        <v>0.25</v>
      </c>
      <c r="E1036" s="68">
        <v>2.0</v>
      </c>
      <c r="F1036" s="68">
        <v>4.0</v>
      </c>
      <c r="G1036" s="68">
        <v>1.21546693384922</v>
      </c>
      <c r="H1036" s="68">
        <v>15.9182118408278</v>
      </c>
      <c r="I1036" s="69">
        <v>44312.980625</v>
      </c>
      <c r="J1036" s="69">
        <v>44312.98075231481</v>
      </c>
      <c r="K1036">
        <f>AVERAGE(H1032:H1036)</f>
        <v>71.87333249</v>
      </c>
      <c r="L1036">
        <f>STDEV(H1032:H1036)</f>
        <v>83.19402182</v>
      </c>
      <c r="M1036" s="70">
        <v>15.9182118408278</v>
      </c>
      <c r="N1036" s="70">
        <v>15.9182118408278</v>
      </c>
      <c r="O1036" s="70">
        <v>1.21546693384922</v>
      </c>
      <c r="P1036" s="70">
        <v>1.21546693384922</v>
      </c>
    </row>
    <row r="1037" hidden="1">
      <c r="A1037" s="67" t="s">
        <v>1797</v>
      </c>
      <c r="B1037" s="67" t="s">
        <v>268</v>
      </c>
      <c r="C1037" s="68">
        <v>1.0</v>
      </c>
      <c r="D1037" s="68">
        <v>0.5</v>
      </c>
      <c r="E1037" s="68">
        <v>2.0</v>
      </c>
      <c r="F1037" s="68">
        <v>0.0</v>
      </c>
      <c r="G1037" s="68">
        <v>8.16004198160929</v>
      </c>
      <c r="H1037" s="68">
        <v>283.439092119308</v>
      </c>
      <c r="I1037" s="69">
        <v>44312.981469907405</v>
      </c>
      <c r="J1037" s="69">
        <v>44312.982453703706</v>
      </c>
      <c r="K1037">
        <f>AVERAGE(H1037:H1041)</f>
        <v>167.9768256</v>
      </c>
      <c r="L1037">
        <f>STDEV(H1037:H1041)</f>
        <v>79.11211504</v>
      </c>
      <c r="M1037" s="70">
        <v>283.439092119308</v>
      </c>
      <c r="N1037" s="70">
        <v>283.439092119308</v>
      </c>
      <c r="O1037" s="70">
        <v>8.16004198160929</v>
      </c>
      <c r="P1037" s="70">
        <v>8.16004198160929</v>
      </c>
    </row>
    <row r="1038" hidden="1">
      <c r="A1038" s="67" t="s">
        <v>1798</v>
      </c>
      <c r="B1038" s="67" t="s">
        <v>268</v>
      </c>
      <c r="C1038" s="68">
        <v>1.0</v>
      </c>
      <c r="D1038" s="68">
        <v>0.5</v>
      </c>
      <c r="E1038" s="68">
        <v>2.0</v>
      </c>
      <c r="F1038" s="68">
        <v>1.0</v>
      </c>
      <c r="G1038" s="68">
        <v>1.18554744432883</v>
      </c>
      <c r="H1038" s="68">
        <v>70.106349946063</v>
      </c>
      <c r="I1038" s="69">
        <v>44312.98315972222</v>
      </c>
      <c r="J1038" s="69">
        <v>44312.98583333333</v>
      </c>
      <c r="K1038">
        <f>AVERAGE(H1037:H1041)</f>
        <v>167.9768256</v>
      </c>
      <c r="L1038">
        <f>STDEV(H1037:H1041)</f>
        <v>79.11211504</v>
      </c>
      <c r="M1038" s="70">
        <v>70.106349946063</v>
      </c>
      <c r="N1038" s="70">
        <v>70.106349946063</v>
      </c>
      <c r="O1038" s="70">
        <v>1.18554744432883</v>
      </c>
      <c r="P1038" s="70">
        <v>1.18554744432883</v>
      </c>
    </row>
    <row r="1039" hidden="1">
      <c r="A1039" s="67" t="s">
        <v>1799</v>
      </c>
      <c r="B1039" s="67" t="s">
        <v>268</v>
      </c>
      <c r="C1039" s="68">
        <v>1.0</v>
      </c>
      <c r="D1039" s="68">
        <v>0.5</v>
      </c>
      <c r="E1039" s="68">
        <v>2.0</v>
      </c>
      <c r="F1039" s="68">
        <v>2.0</v>
      </c>
      <c r="G1039" s="68">
        <v>3.45367922529039</v>
      </c>
      <c r="H1039" s="68">
        <v>163.713257095401</v>
      </c>
      <c r="I1039" s="69">
        <v>44312.98653935185</v>
      </c>
      <c r="J1039" s="69">
        <v>44312.99800925926</v>
      </c>
      <c r="K1039">
        <f>AVERAGE(H1037:H1041)</f>
        <v>167.9768256</v>
      </c>
      <c r="L1039">
        <f>STDEV(H1037:H1041)</f>
        <v>79.11211504</v>
      </c>
      <c r="M1039" s="70">
        <v>163.713257095401</v>
      </c>
      <c r="N1039" s="70">
        <v>163.713257095401</v>
      </c>
      <c r="O1039" s="70">
        <v>3.45367922529039</v>
      </c>
      <c r="P1039" s="70">
        <v>3.45367922529039</v>
      </c>
    </row>
    <row r="1040" hidden="1">
      <c r="A1040" s="67" t="s">
        <v>1800</v>
      </c>
      <c r="B1040" s="67" t="s">
        <v>268</v>
      </c>
      <c r="C1040" s="68">
        <v>1.0</v>
      </c>
      <c r="D1040" s="68">
        <v>0.5</v>
      </c>
      <c r="E1040" s="68">
        <v>2.0</v>
      </c>
      <c r="F1040" s="68">
        <v>3.0</v>
      </c>
      <c r="G1040" s="68">
        <v>7.98421488450123</v>
      </c>
      <c r="H1040" s="68">
        <v>193.075453638876</v>
      </c>
      <c r="I1040" s="69">
        <v>44312.998715277776</v>
      </c>
      <c r="J1040" s="69">
        <v>44312.998761574076</v>
      </c>
      <c r="K1040">
        <f>AVERAGE(H1037:H1041)</f>
        <v>167.9768256</v>
      </c>
      <c r="L1040">
        <f>STDEV(H1037:H1041)</f>
        <v>79.11211504</v>
      </c>
      <c r="M1040" s="70">
        <v>193.075453638876</v>
      </c>
      <c r="N1040" s="70">
        <v>193.075453638876</v>
      </c>
      <c r="O1040" s="70">
        <v>7.98421488450123</v>
      </c>
      <c r="P1040" s="70">
        <v>7.98421488450123</v>
      </c>
    </row>
    <row r="1041" hidden="1">
      <c r="A1041" s="67" t="s">
        <v>1801</v>
      </c>
      <c r="B1041" s="67" t="s">
        <v>268</v>
      </c>
      <c r="C1041" s="68">
        <v>1.0</v>
      </c>
      <c r="D1041" s="68">
        <v>0.5</v>
      </c>
      <c r="E1041" s="68">
        <v>2.0</v>
      </c>
      <c r="F1041" s="68">
        <v>4.0</v>
      </c>
      <c r="G1041" s="68">
        <v>2.97006819833004</v>
      </c>
      <c r="H1041" s="68">
        <v>129.549975073273</v>
      </c>
      <c r="I1041" s="69">
        <v>44312.99946759259</v>
      </c>
      <c r="J1041" s="69">
        <v>44313.01173611111</v>
      </c>
      <c r="K1041">
        <f>AVERAGE(H1037:H1041)</f>
        <v>167.9768256</v>
      </c>
      <c r="L1041">
        <f>STDEV(H1037:H1041)</f>
        <v>79.11211504</v>
      </c>
      <c r="M1041" s="70">
        <v>129.549975073273</v>
      </c>
      <c r="N1041" s="70">
        <v>129.549975073273</v>
      </c>
      <c r="O1041" s="70">
        <v>2.97006819833004</v>
      </c>
      <c r="P1041" s="70">
        <v>2.97006819833004</v>
      </c>
    </row>
    <row r="1042" hidden="1">
      <c r="A1042" s="67" t="s">
        <v>1802</v>
      </c>
      <c r="B1042" s="67" t="s">
        <v>268</v>
      </c>
      <c r="C1042" s="68">
        <v>1.0</v>
      </c>
      <c r="D1042" s="68">
        <v>0.75</v>
      </c>
      <c r="E1042" s="68">
        <v>2.0</v>
      </c>
      <c r="F1042" s="68">
        <v>0.0</v>
      </c>
      <c r="G1042" s="68">
        <v>0.303724836417965</v>
      </c>
      <c r="H1042" s="68">
        <v>0.482799461486827</v>
      </c>
      <c r="I1042" s="69">
        <v>44313.01244212963</v>
      </c>
      <c r="J1042" s="69">
        <v>44313.01247685185</v>
      </c>
      <c r="K1042">
        <f>AVERAGE(H1042:H1046)</f>
        <v>96.04453108</v>
      </c>
      <c r="L1042">
        <f>STDEV(H1042:H1046)</f>
        <v>87.25013063</v>
      </c>
      <c r="M1042" s="70">
        <v>0.482799461486827</v>
      </c>
      <c r="N1042" s="70">
        <v>0.482799461486827</v>
      </c>
      <c r="O1042" s="70">
        <v>0.303724836417965</v>
      </c>
      <c r="P1042" s="70">
        <v>0.303724836417965</v>
      </c>
    </row>
    <row r="1043" hidden="1">
      <c r="A1043" s="67" t="s">
        <v>1803</v>
      </c>
      <c r="B1043" s="67" t="s">
        <v>268</v>
      </c>
      <c r="C1043" s="68">
        <v>1.0</v>
      </c>
      <c r="D1043" s="68">
        <v>0.75</v>
      </c>
      <c r="E1043" s="68">
        <v>2.0</v>
      </c>
      <c r="F1043" s="68">
        <v>1.0</v>
      </c>
      <c r="G1043" s="68">
        <v>0.463699646319632</v>
      </c>
      <c r="H1043" s="68">
        <v>0.556153026606167</v>
      </c>
      <c r="I1043" s="69">
        <v>44313.01318287037</v>
      </c>
      <c r="J1043" s="69">
        <v>44313.01335648148</v>
      </c>
      <c r="K1043">
        <f>AVERAGE(H1042:H1046)</f>
        <v>96.04453108</v>
      </c>
      <c r="L1043">
        <f>STDEV(H1042:H1046)</f>
        <v>87.25013063</v>
      </c>
      <c r="M1043" s="70">
        <v>0.556153026606167</v>
      </c>
      <c r="N1043" s="70">
        <v>0.556153026606167</v>
      </c>
      <c r="O1043" s="70">
        <v>0.463699646319632</v>
      </c>
      <c r="P1043" s="70">
        <v>0.463699646319632</v>
      </c>
    </row>
    <row r="1044" hidden="1">
      <c r="A1044" s="67" t="s">
        <v>1804</v>
      </c>
      <c r="B1044" s="67" t="s">
        <v>268</v>
      </c>
      <c r="C1044" s="68">
        <v>1.0</v>
      </c>
      <c r="D1044" s="68">
        <v>0.75</v>
      </c>
      <c r="E1044" s="68">
        <v>2.0</v>
      </c>
      <c r="F1044" s="68">
        <v>2.0</v>
      </c>
      <c r="G1044" s="68">
        <v>3.42562875721981</v>
      </c>
      <c r="H1044" s="68">
        <v>162.970417021255</v>
      </c>
      <c r="I1044" s="69">
        <v>44313.0140625</v>
      </c>
      <c r="J1044" s="69">
        <v>44313.087916666664</v>
      </c>
      <c r="K1044">
        <f>AVERAGE(H1042:H1046)</f>
        <v>96.04453108</v>
      </c>
      <c r="L1044">
        <f>STDEV(H1042:H1046)</f>
        <v>87.25013063</v>
      </c>
      <c r="M1044" s="70">
        <v>162.970417021255</v>
      </c>
      <c r="N1044" s="70">
        <v>162.970417021255</v>
      </c>
      <c r="O1044" s="70">
        <v>3.42562875721981</v>
      </c>
      <c r="P1044" s="70">
        <v>3.42562875721981</v>
      </c>
    </row>
    <row r="1045" hidden="1">
      <c r="A1045" s="67" t="s">
        <v>1805</v>
      </c>
      <c r="B1045" s="67" t="s">
        <v>268</v>
      </c>
      <c r="C1045" s="68">
        <v>1.0</v>
      </c>
      <c r="D1045" s="68">
        <v>0.75</v>
      </c>
      <c r="E1045" s="68">
        <v>2.0</v>
      </c>
      <c r="F1045" s="68">
        <v>3.0</v>
      </c>
      <c r="G1045" s="68">
        <v>4.77768105433788</v>
      </c>
      <c r="H1045" s="68">
        <v>161.088305480721</v>
      </c>
      <c r="I1045" s="69">
        <v>44313.08862268519</v>
      </c>
      <c r="J1045" s="69">
        <v>44313.08883101852</v>
      </c>
      <c r="K1045">
        <f>AVERAGE(H1042:H1046)</f>
        <v>96.04453108</v>
      </c>
      <c r="L1045">
        <f>STDEV(H1042:H1046)</f>
        <v>87.25013063</v>
      </c>
      <c r="M1045" s="70">
        <v>161.088305480721</v>
      </c>
      <c r="N1045" s="70">
        <v>161.088305480721</v>
      </c>
      <c r="O1045" s="70">
        <v>4.77768105433788</v>
      </c>
      <c r="P1045" s="70">
        <v>4.77768105433788</v>
      </c>
    </row>
    <row r="1046" hidden="1">
      <c r="A1046" s="67" t="s">
        <v>1806</v>
      </c>
      <c r="B1046" s="67" t="s">
        <v>268</v>
      </c>
      <c r="C1046" s="68">
        <v>1.0</v>
      </c>
      <c r="D1046" s="68">
        <v>0.75</v>
      </c>
      <c r="E1046" s="68">
        <v>2.0</v>
      </c>
      <c r="F1046" s="68">
        <v>4.0</v>
      </c>
      <c r="G1046" s="68">
        <v>4.95412374415906</v>
      </c>
      <c r="H1046" s="68">
        <v>155.124980405851</v>
      </c>
      <c r="I1046" s="69">
        <v>44313.08954861111</v>
      </c>
      <c r="J1046" s="69">
        <v>44313.08962962963</v>
      </c>
      <c r="K1046">
        <f>AVERAGE(H1042:H1046)</f>
        <v>96.04453108</v>
      </c>
      <c r="L1046">
        <f>STDEV(H1042:H1046)</f>
        <v>87.25013063</v>
      </c>
      <c r="M1046" s="70">
        <v>155.124980405851</v>
      </c>
      <c r="N1046" s="70">
        <v>155.124980405851</v>
      </c>
      <c r="O1046" s="70">
        <v>4.95412374415906</v>
      </c>
      <c r="P1046" s="70">
        <v>4.95412374415906</v>
      </c>
    </row>
    <row r="1047" hidden="1">
      <c r="A1047" s="67" t="s">
        <v>1807</v>
      </c>
      <c r="B1047" s="67" t="s">
        <v>268</v>
      </c>
      <c r="C1047" s="68">
        <v>1.0</v>
      </c>
      <c r="D1047" s="68">
        <v>1.0</v>
      </c>
      <c r="E1047" s="68">
        <v>2.0</v>
      </c>
      <c r="F1047" s="68">
        <v>0.0</v>
      </c>
      <c r="G1047" s="68">
        <v>4.34701397093844</v>
      </c>
      <c r="H1047" s="68">
        <v>188.638761794415</v>
      </c>
      <c r="I1047" s="69">
        <v>44313.09034722222</v>
      </c>
      <c r="J1047" s="69">
        <v>44313.14219907407</v>
      </c>
      <c r="K1047">
        <f>AVERAGE(H1047:H1051)</f>
        <v>53.82232074</v>
      </c>
      <c r="L1047">
        <f>STDEV(H1047:H1051)</f>
        <v>82.16606347</v>
      </c>
      <c r="M1047" s="70">
        <v>188.638761794415</v>
      </c>
      <c r="N1047" s="70">
        <v>188.638761794415</v>
      </c>
      <c r="O1047" s="70">
        <v>4.34701397093844</v>
      </c>
      <c r="P1047" s="70">
        <v>4.34701397093844</v>
      </c>
    </row>
    <row r="1048" hidden="1">
      <c r="A1048" s="67" t="s">
        <v>1808</v>
      </c>
      <c r="B1048" s="67" t="s">
        <v>268</v>
      </c>
      <c r="C1048" s="68">
        <v>1.0</v>
      </c>
      <c r="D1048" s="68">
        <v>1.0</v>
      </c>
      <c r="E1048" s="68">
        <v>2.0</v>
      </c>
      <c r="F1048" s="68">
        <v>1.0</v>
      </c>
      <c r="G1048" s="68">
        <v>0.737236600096038</v>
      </c>
      <c r="H1048" s="68">
        <v>2.16707783469928</v>
      </c>
      <c r="I1048" s="69">
        <v>44313.142905092594</v>
      </c>
      <c r="J1048" s="69">
        <v>44313.142916666664</v>
      </c>
      <c r="K1048">
        <f>AVERAGE(H1047:H1051)</f>
        <v>53.82232074</v>
      </c>
      <c r="L1048">
        <f>STDEV(H1047:H1051)</f>
        <v>82.16606347</v>
      </c>
      <c r="M1048" s="70">
        <v>2.16707783469928</v>
      </c>
      <c r="N1048" s="70">
        <v>2.16707783469928</v>
      </c>
      <c r="O1048" s="70">
        <v>0.737236600096038</v>
      </c>
      <c r="P1048" s="70">
        <v>0.737236600096038</v>
      </c>
    </row>
    <row r="1049" hidden="1">
      <c r="A1049" s="67" t="s">
        <v>1809</v>
      </c>
      <c r="B1049" s="67" t="s">
        <v>268</v>
      </c>
      <c r="C1049" s="68">
        <v>1.0</v>
      </c>
      <c r="D1049" s="68">
        <v>1.0</v>
      </c>
      <c r="E1049" s="68">
        <v>2.0</v>
      </c>
      <c r="F1049" s="68">
        <v>2.0</v>
      </c>
      <c r="G1049" s="68">
        <v>1.91558020720815</v>
      </c>
      <c r="H1049" s="68">
        <v>76.8034928814996</v>
      </c>
      <c r="I1049" s="69">
        <v>44313.14362268519</v>
      </c>
      <c r="J1049" s="69">
        <v>44313.14739583333</v>
      </c>
      <c r="K1049">
        <f>AVERAGE(H1047:H1051)</f>
        <v>53.82232074</v>
      </c>
      <c r="L1049">
        <f>STDEV(H1047:H1051)</f>
        <v>82.16606347</v>
      </c>
      <c r="M1049" s="70">
        <v>76.8034928814996</v>
      </c>
      <c r="N1049" s="70">
        <v>76.8034928814996</v>
      </c>
      <c r="O1049" s="70">
        <v>1.91558020720815</v>
      </c>
      <c r="P1049" s="70">
        <v>1.91558020720815</v>
      </c>
    </row>
    <row r="1050" hidden="1">
      <c r="A1050" s="67" t="s">
        <v>1810</v>
      </c>
      <c r="B1050" s="67" t="s">
        <v>268</v>
      </c>
      <c r="C1050" s="68">
        <v>1.0</v>
      </c>
      <c r="D1050" s="68">
        <v>1.0</v>
      </c>
      <c r="E1050" s="68">
        <v>2.0</v>
      </c>
      <c r="F1050" s="68">
        <v>3.0</v>
      </c>
      <c r="G1050" s="68">
        <v>0.70824463417538</v>
      </c>
      <c r="H1050" s="68">
        <v>0.945286099682805</v>
      </c>
      <c r="I1050" s="69">
        <v>44313.14811342592</v>
      </c>
      <c r="J1050" s="69">
        <v>44313.14833333333</v>
      </c>
      <c r="K1050">
        <f>AVERAGE(H1047:H1051)</f>
        <v>53.82232074</v>
      </c>
      <c r="L1050">
        <f>STDEV(H1047:H1051)</f>
        <v>82.16606347</v>
      </c>
      <c r="M1050" s="70">
        <v>0.945286099682805</v>
      </c>
      <c r="N1050" s="70">
        <v>0.945286099682805</v>
      </c>
      <c r="O1050" s="70">
        <v>0.70824463417538</v>
      </c>
      <c r="P1050" s="70">
        <v>0.70824463417538</v>
      </c>
    </row>
    <row r="1051" hidden="1">
      <c r="A1051" s="67" t="s">
        <v>1811</v>
      </c>
      <c r="B1051" s="67" t="s">
        <v>268</v>
      </c>
      <c r="C1051" s="68">
        <v>1.0</v>
      </c>
      <c r="D1051" s="68">
        <v>1.0</v>
      </c>
      <c r="E1051" s="68">
        <v>2.0</v>
      </c>
      <c r="F1051" s="68">
        <v>4.0</v>
      </c>
      <c r="G1051" s="68">
        <v>0.464590140147063</v>
      </c>
      <c r="H1051" s="68">
        <v>0.556985070722892</v>
      </c>
      <c r="I1051" s="69">
        <v>44313.149050925924</v>
      </c>
      <c r="J1051" s="69">
        <v>44313.14921296296</v>
      </c>
      <c r="K1051">
        <f>AVERAGE(H1047:H1051)</f>
        <v>53.82232074</v>
      </c>
      <c r="L1051">
        <f>STDEV(H1047:H1051)</f>
        <v>82.16606347</v>
      </c>
      <c r="M1051" s="70">
        <v>0.556985070722892</v>
      </c>
      <c r="N1051" s="70">
        <v>0.556985070722892</v>
      </c>
      <c r="O1051" s="70">
        <v>0.464590140147063</v>
      </c>
      <c r="P1051" s="70">
        <v>0.464590140147063</v>
      </c>
    </row>
    <row r="1052" hidden="1">
      <c r="A1052" s="67" t="s">
        <v>1812</v>
      </c>
      <c r="B1052" s="67" t="s">
        <v>519</v>
      </c>
      <c r="C1052" s="68">
        <v>0.1</v>
      </c>
      <c r="D1052" s="68">
        <v>0.1</v>
      </c>
      <c r="E1052" s="68">
        <v>2.0</v>
      </c>
      <c r="F1052" s="68">
        <v>0.0</v>
      </c>
      <c r="G1052" s="68">
        <v>7.85901034962557</v>
      </c>
      <c r="H1052" s="68">
        <v>273.019545274939</v>
      </c>
      <c r="I1052" s="69">
        <v>44313.149930555555</v>
      </c>
      <c r="J1052" s="69">
        <v>44313.151030092595</v>
      </c>
      <c r="K1052">
        <f>AVERAGE(H1052:H1056)</f>
        <v>178.5768299</v>
      </c>
      <c r="L1052">
        <f>STDEV(H1052:H1056)</f>
        <v>115.5179391</v>
      </c>
      <c r="M1052" s="70">
        <v>273.019545274939</v>
      </c>
      <c r="N1052" s="70">
        <v>273.019545274939</v>
      </c>
      <c r="O1052" s="70">
        <v>7.85901034962557</v>
      </c>
      <c r="P1052" s="70">
        <v>7.85901034962557</v>
      </c>
    </row>
    <row r="1053" hidden="1">
      <c r="A1053" s="67" t="s">
        <v>1813</v>
      </c>
      <c r="B1053" s="67" t="s">
        <v>519</v>
      </c>
      <c r="C1053" s="68">
        <v>0.1</v>
      </c>
      <c r="D1053" s="68">
        <v>0.1</v>
      </c>
      <c r="E1053" s="68">
        <v>2.0</v>
      </c>
      <c r="F1053" s="68">
        <v>1.0</v>
      </c>
      <c r="G1053" s="68">
        <v>0.51535197661602</v>
      </c>
      <c r="H1053" s="68">
        <v>0.876451543314545</v>
      </c>
      <c r="I1053" s="69">
        <v>44313.15174768519</v>
      </c>
      <c r="J1053" s="69">
        <v>44313.152233796296</v>
      </c>
      <c r="K1053">
        <f>AVERAGE(H1052:H1056)</f>
        <v>178.5768299</v>
      </c>
      <c r="L1053">
        <f>STDEV(H1052:H1056)</f>
        <v>115.5179391</v>
      </c>
      <c r="M1053" s="70">
        <v>0.876451543314545</v>
      </c>
      <c r="N1053" s="70">
        <v>0.876451543314545</v>
      </c>
      <c r="O1053" s="70">
        <v>0.51535197661602</v>
      </c>
      <c r="P1053" s="70">
        <v>0.51535197661602</v>
      </c>
    </row>
    <row r="1054" hidden="1">
      <c r="A1054" s="67" t="s">
        <v>1814</v>
      </c>
      <c r="B1054" s="67" t="s">
        <v>519</v>
      </c>
      <c r="C1054" s="68">
        <v>0.1</v>
      </c>
      <c r="D1054" s="68">
        <v>0.1</v>
      </c>
      <c r="E1054" s="68">
        <v>2.0</v>
      </c>
      <c r="F1054" s="68">
        <v>2.0</v>
      </c>
      <c r="G1054" s="68">
        <v>8.7834378059608</v>
      </c>
      <c r="H1054" s="68">
        <v>230.715900343985</v>
      </c>
      <c r="I1054" s="69">
        <v>44313.15293981481</v>
      </c>
      <c r="J1054" s="69">
        <v>44313.15298611111</v>
      </c>
      <c r="K1054">
        <f>AVERAGE(H1052:H1056)</f>
        <v>178.5768299</v>
      </c>
      <c r="L1054">
        <f>STDEV(H1052:H1056)</f>
        <v>115.5179391</v>
      </c>
      <c r="M1054" s="70">
        <v>230.715900343985</v>
      </c>
      <c r="N1054" s="70">
        <v>230.715900343985</v>
      </c>
      <c r="O1054" s="70">
        <v>8.7834378059608</v>
      </c>
      <c r="P1054" s="70">
        <v>8.7834378059608</v>
      </c>
    </row>
    <row r="1055" hidden="1">
      <c r="A1055" s="67" t="s">
        <v>1815</v>
      </c>
      <c r="B1055" s="67" t="s">
        <v>519</v>
      </c>
      <c r="C1055" s="68">
        <v>0.1</v>
      </c>
      <c r="D1055" s="68">
        <v>0.1</v>
      </c>
      <c r="E1055" s="68">
        <v>2.0</v>
      </c>
      <c r="F1055" s="68">
        <v>3.0</v>
      </c>
      <c r="G1055" s="68">
        <v>2.62450668865437</v>
      </c>
      <c r="H1055" s="68">
        <v>124.572989438309</v>
      </c>
      <c r="I1055" s="69">
        <v>44313.153703703705</v>
      </c>
      <c r="J1055" s="69">
        <v>44313.212592592594</v>
      </c>
      <c r="K1055">
        <f>AVERAGE(H1052:H1056)</f>
        <v>178.5768299</v>
      </c>
      <c r="L1055">
        <f>STDEV(H1052:H1056)</f>
        <v>115.5179391</v>
      </c>
      <c r="M1055" s="70">
        <v>124.572989438309</v>
      </c>
      <c r="N1055" s="70">
        <v>124.572989438309</v>
      </c>
      <c r="O1055" s="70">
        <v>2.62450668865437</v>
      </c>
      <c r="P1055" s="70">
        <v>2.62450668865437</v>
      </c>
    </row>
    <row r="1056" hidden="1">
      <c r="A1056" s="67" t="s">
        <v>1816</v>
      </c>
      <c r="B1056" s="67" t="s">
        <v>519</v>
      </c>
      <c r="C1056" s="68">
        <v>0.1</v>
      </c>
      <c r="D1056" s="68">
        <v>0.1</v>
      </c>
      <c r="E1056" s="68">
        <v>2.0</v>
      </c>
      <c r="F1056" s="68">
        <v>4.0</v>
      </c>
      <c r="G1056" s="68">
        <v>7.0597628944955</v>
      </c>
      <c r="H1056" s="68">
        <v>263.699263108241</v>
      </c>
      <c r="I1056" s="69">
        <v>44313.21331018519</v>
      </c>
      <c r="J1056" s="69">
        <v>44313.213587962964</v>
      </c>
      <c r="K1056">
        <f>AVERAGE(H1052:H1056)</f>
        <v>178.5768299</v>
      </c>
      <c r="L1056">
        <f>STDEV(H1052:H1056)</f>
        <v>115.5179391</v>
      </c>
      <c r="M1056" s="70">
        <v>263.699263108241</v>
      </c>
      <c r="N1056" s="70">
        <v>263.699263108241</v>
      </c>
      <c r="O1056" s="70">
        <v>7.0597628944955</v>
      </c>
      <c r="P1056" s="70">
        <v>7.0597628944955</v>
      </c>
    </row>
    <row r="1057" hidden="1">
      <c r="A1057" s="67" t="s">
        <v>1817</v>
      </c>
      <c r="B1057" s="67" t="s">
        <v>519</v>
      </c>
      <c r="C1057" s="68">
        <v>0.1</v>
      </c>
      <c r="D1057" s="68">
        <v>0.25</v>
      </c>
      <c r="E1057" s="68">
        <v>2.0</v>
      </c>
      <c r="F1057" s="68">
        <v>0.0</v>
      </c>
      <c r="G1057" s="68">
        <v>1.08269881214681</v>
      </c>
      <c r="H1057" s="68">
        <v>1.45225338817616</v>
      </c>
      <c r="I1057" s="69">
        <v>44313.21429398148</v>
      </c>
      <c r="J1057" s="69">
        <v>44313.21440972222</v>
      </c>
      <c r="K1057">
        <f>AVERAGE(H1057:H1061)</f>
        <v>90.23319251</v>
      </c>
      <c r="L1057">
        <f>STDEV(H1057:H1061)</f>
        <v>93.29605404</v>
      </c>
      <c r="M1057" s="70">
        <v>1.45225338817616</v>
      </c>
      <c r="N1057" s="70">
        <v>1.45225338817616</v>
      </c>
      <c r="O1057" s="70">
        <v>1.08269881214681</v>
      </c>
      <c r="P1057" s="70">
        <v>1.08269881214681</v>
      </c>
    </row>
    <row r="1058" hidden="1">
      <c r="A1058" s="67" t="s">
        <v>1818</v>
      </c>
      <c r="B1058" s="67" t="s">
        <v>519</v>
      </c>
      <c r="C1058" s="68">
        <v>0.1</v>
      </c>
      <c r="D1058" s="68">
        <v>0.25</v>
      </c>
      <c r="E1058" s="68">
        <v>2.0</v>
      </c>
      <c r="F1058" s="68">
        <v>1.0</v>
      </c>
      <c r="G1058" s="68">
        <v>4.28602526234668</v>
      </c>
      <c r="H1058" s="68">
        <v>180.23514668785</v>
      </c>
      <c r="I1058" s="69">
        <v>44313.21511574074</v>
      </c>
      <c r="J1058" s="69">
        <v>44313.22493055555</v>
      </c>
      <c r="K1058">
        <f>AVERAGE(H1057:H1061)</f>
        <v>90.23319251</v>
      </c>
      <c r="L1058">
        <f>STDEV(H1057:H1061)</f>
        <v>93.29605404</v>
      </c>
      <c r="M1058" s="70">
        <v>180.23514668785</v>
      </c>
      <c r="N1058" s="70">
        <v>180.23514668785</v>
      </c>
      <c r="O1058" s="70">
        <v>4.28602526234668</v>
      </c>
      <c r="P1058" s="70">
        <v>4.28602526234668</v>
      </c>
    </row>
    <row r="1059" hidden="1">
      <c r="A1059" s="67" t="s">
        <v>1819</v>
      </c>
      <c r="B1059" s="67" t="s">
        <v>519</v>
      </c>
      <c r="C1059" s="68">
        <v>0.1</v>
      </c>
      <c r="D1059" s="68">
        <v>0.25</v>
      </c>
      <c r="E1059" s="68">
        <v>2.0</v>
      </c>
      <c r="F1059" s="68">
        <v>2.0</v>
      </c>
      <c r="G1059" s="68">
        <v>0.489676805726507</v>
      </c>
      <c r="H1059" s="68">
        <v>0.607785815320461</v>
      </c>
      <c r="I1059" s="69">
        <v>44313.225636574076</v>
      </c>
      <c r="J1059" s="69">
        <v>44313.22603009259</v>
      </c>
      <c r="K1059">
        <f>AVERAGE(H1057:H1061)</f>
        <v>90.23319251</v>
      </c>
      <c r="L1059">
        <f>STDEV(H1057:H1061)</f>
        <v>93.29605404</v>
      </c>
      <c r="M1059" s="70">
        <v>0.607785815320461</v>
      </c>
      <c r="N1059" s="70">
        <v>0.607785815320461</v>
      </c>
      <c r="O1059" s="70">
        <v>0.489676805726507</v>
      </c>
      <c r="P1059" s="70">
        <v>0.489676805726507</v>
      </c>
    </row>
    <row r="1060" hidden="1">
      <c r="A1060" s="67" t="s">
        <v>1820</v>
      </c>
      <c r="B1060" s="67" t="s">
        <v>519</v>
      </c>
      <c r="C1060" s="68">
        <v>0.1</v>
      </c>
      <c r="D1060" s="68">
        <v>0.25</v>
      </c>
      <c r="E1060" s="68">
        <v>2.0</v>
      </c>
      <c r="F1060" s="68">
        <v>3.0</v>
      </c>
      <c r="G1060" s="68">
        <v>1.92905160186598</v>
      </c>
      <c r="H1060" s="68">
        <v>75.7249713015882</v>
      </c>
      <c r="I1060" s="69">
        <v>44313.22673611111</v>
      </c>
      <c r="J1060" s="69">
        <v>44313.23306712963</v>
      </c>
      <c r="K1060">
        <f>AVERAGE(H1057:H1061)</f>
        <v>90.23319251</v>
      </c>
      <c r="L1060">
        <f>STDEV(H1057:H1061)</f>
        <v>93.29605404</v>
      </c>
      <c r="M1060" s="70">
        <v>75.7249713015882</v>
      </c>
      <c r="N1060" s="70">
        <v>75.7249713015882</v>
      </c>
      <c r="O1060" s="70">
        <v>1.92905160186598</v>
      </c>
      <c r="P1060" s="70">
        <v>1.92905160186598</v>
      </c>
    </row>
    <row r="1061" hidden="1">
      <c r="A1061" s="67" t="s">
        <v>1821</v>
      </c>
      <c r="B1061" s="67" t="s">
        <v>519</v>
      </c>
      <c r="C1061" s="68">
        <v>0.1</v>
      </c>
      <c r="D1061" s="68">
        <v>0.25</v>
      </c>
      <c r="E1061" s="68">
        <v>2.0</v>
      </c>
      <c r="F1061" s="68">
        <v>4.0</v>
      </c>
      <c r="G1061" s="68">
        <v>4.37339839089624</v>
      </c>
      <c r="H1061" s="68">
        <v>193.145805338786</v>
      </c>
      <c r="I1061" s="69">
        <v>44313.233773148146</v>
      </c>
      <c r="J1061" s="69">
        <v>44313.24633101852</v>
      </c>
      <c r="K1061">
        <f>AVERAGE(H1057:H1061)</f>
        <v>90.23319251</v>
      </c>
      <c r="L1061">
        <f>STDEV(H1057:H1061)</f>
        <v>93.29605404</v>
      </c>
      <c r="M1061" s="70">
        <v>193.145805338786</v>
      </c>
      <c r="N1061" s="70">
        <v>193.145805338786</v>
      </c>
      <c r="O1061" s="70">
        <v>4.37339839089624</v>
      </c>
      <c r="P1061" s="70">
        <v>4.37339839089624</v>
      </c>
    </row>
    <row r="1062" hidden="1">
      <c r="A1062" s="67" t="s">
        <v>1822</v>
      </c>
      <c r="B1062" s="67" t="s">
        <v>519</v>
      </c>
      <c r="C1062" s="68">
        <v>0.1</v>
      </c>
      <c r="D1062" s="68">
        <v>0.5</v>
      </c>
      <c r="E1062" s="68">
        <v>2.0</v>
      </c>
      <c r="F1062" s="68">
        <v>0.0</v>
      </c>
      <c r="G1062" s="68">
        <v>4.74705142226649</v>
      </c>
      <c r="H1062" s="68">
        <v>192.446442056273</v>
      </c>
      <c r="I1062" s="69">
        <v>44313.247037037036</v>
      </c>
      <c r="J1062" s="69">
        <v>44313.25210648148</v>
      </c>
      <c r="K1062">
        <f>AVERAGE(H1062:H1066)</f>
        <v>124.6072025</v>
      </c>
      <c r="L1062">
        <f>STDEV(H1062:H1066)</f>
        <v>90.36431202</v>
      </c>
      <c r="M1062" s="70">
        <v>192.446442056273</v>
      </c>
      <c r="N1062" s="70">
        <v>192.446442056273</v>
      </c>
      <c r="O1062" s="70">
        <v>4.74705142226649</v>
      </c>
      <c r="P1062" s="70">
        <v>4.74705142226649</v>
      </c>
    </row>
    <row r="1063" hidden="1">
      <c r="A1063" s="67" t="s">
        <v>1823</v>
      </c>
      <c r="B1063" s="67" t="s">
        <v>519</v>
      </c>
      <c r="C1063" s="68">
        <v>0.1</v>
      </c>
      <c r="D1063" s="68">
        <v>0.5</v>
      </c>
      <c r="E1063" s="68">
        <v>2.0</v>
      </c>
      <c r="F1063" s="68">
        <v>1.0</v>
      </c>
      <c r="G1063" s="68">
        <v>1.43612489959202</v>
      </c>
      <c r="H1063" s="68">
        <v>54.56682098784</v>
      </c>
      <c r="I1063" s="69">
        <v>44313.2528125</v>
      </c>
      <c r="J1063" s="69">
        <v>44313.25908564815</v>
      </c>
      <c r="K1063">
        <f>AVERAGE(H1062:H1066)</f>
        <v>124.6072025</v>
      </c>
      <c r="L1063">
        <f>STDEV(H1062:H1066)</f>
        <v>90.36431202</v>
      </c>
      <c r="M1063" s="70">
        <v>54.56682098784</v>
      </c>
      <c r="N1063" s="70">
        <v>54.56682098784</v>
      </c>
      <c r="O1063" s="70">
        <v>1.43612489959202</v>
      </c>
      <c r="P1063" s="70">
        <v>1.43612489959202</v>
      </c>
    </row>
    <row r="1064" hidden="1">
      <c r="A1064" s="67" t="s">
        <v>1824</v>
      </c>
      <c r="B1064" s="67" t="s">
        <v>519</v>
      </c>
      <c r="C1064" s="68">
        <v>0.1</v>
      </c>
      <c r="D1064" s="68">
        <v>0.5</v>
      </c>
      <c r="E1064" s="68">
        <v>2.0</v>
      </c>
      <c r="F1064" s="68">
        <v>2.0</v>
      </c>
      <c r="G1064" s="68">
        <v>0.84548789308218</v>
      </c>
      <c r="H1064" s="68">
        <v>1.14526909868345</v>
      </c>
      <c r="I1064" s="69">
        <v>44313.25980324074</v>
      </c>
      <c r="J1064" s="69">
        <v>44313.26</v>
      </c>
      <c r="K1064">
        <f>AVERAGE(H1062:H1066)</f>
        <v>124.6072025</v>
      </c>
      <c r="L1064">
        <f>STDEV(H1062:H1066)</f>
        <v>90.36431202</v>
      </c>
      <c r="M1064" s="70">
        <v>1.14526909868345</v>
      </c>
      <c r="N1064" s="70">
        <v>1.14526909868345</v>
      </c>
      <c r="O1064" s="70">
        <v>0.84548789308218</v>
      </c>
      <c r="P1064" s="70">
        <v>0.84548789308218</v>
      </c>
    </row>
    <row r="1065" hidden="1">
      <c r="A1065" s="67" t="s">
        <v>1825</v>
      </c>
      <c r="B1065" s="67" t="s">
        <v>519</v>
      </c>
      <c r="C1065" s="68">
        <v>0.1</v>
      </c>
      <c r="D1065" s="68">
        <v>0.5</v>
      </c>
      <c r="E1065" s="68">
        <v>2.0</v>
      </c>
      <c r="F1065" s="68">
        <v>3.0</v>
      </c>
      <c r="G1065" s="68">
        <v>7.77083225381251</v>
      </c>
      <c r="H1065" s="68">
        <v>190.316657730302</v>
      </c>
      <c r="I1065" s="69">
        <v>44313.26070601852</v>
      </c>
      <c r="J1065" s="69">
        <v>44313.26075231482</v>
      </c>
      <c r="K1065">
        <f>AVERAGE(H1062:H1066)</f>
        <v>124.6072025</v>
      </c>
      <c r="L1065">
        <f>STDEV(H1062:H1066)</f>
        <v>90.36431202</v>
      </c>
      <c r="M1065" s="70">
        <v>190.316657730302</v>
      </c>
      <c r="N1065" s="70">
        <v>190.316657730302</v>
      </c>
      <c r="O1065" s="70">
        <v>7.77083225381251</v>
      </c>
      <c r="P1065" s="70">
        <v>7.77083225381251</v>
      </c>
    </row>
    <row r="1066" hidden="1">
      <c r="A1066" s="67" t="s">
        <v>1826</v>
      </c>
      <c r="B1066" s="67" t="s">
        <v>519</v>
      </c>
      <c r="C1066" s="68">
        <v>0.1</v>
      </c>
      <c r="D1066" s="68">
        <v>0.5</v>
      </c>
      <c r="E1066" s="68">
        <v>2.0</v>
      </c>
      <c r="F1066" s="68">
        <v>4.0</v>
      </c>
      <c r="G1066" s="68">
        <v>3.96220632345733</v>
      </c>
      <c r="H1066" s="68">
        <v>184.560822701664</v>
      </c>
      <c r="I1066" s="69">
        <v>44313.261458333334</v>
      </c>
      <c r="J1066" s="69">
        <v>44313.27701388889</v>
      </c>
      <c r="K1066">
        <f>AVERAGE(H1062:H1066)</f>
        <v>124.6072025</v>
      </c>
      <c r="L1066">
        <f>STDEV(H1062:H1066)</f>
        <v>90.36431202</v>
      </c>
      <c r="M1066" s="70">
        <v>184.560822701664</v>
      </c>
      <c r="N1066" s="70">
        <v>184.560822701664</v>
      </c>
      <c r="O1066" s="70">
        <v>3.96220632345733</v>
      </c>
      <c r="P1066" s="70">
        <v>3.96220632345733</v>
      </c>
    </row>
    <row r="1067" hidden="1">
      <c r="A1067" s="67" t="s">
        <v>1827</v>
      </c>
      <c r="B1067" s="67" t="s">
        <v>519</v>
      </c>
      <c r="C1067" s="68">
        <v>0.1</v>
      </c>
      <c r="D1067" s="68">
        <v>0.75</v>
      </c>
      <c r="E1067" s="68">
        <v>2.0</v>
      </c>
      <c r="F1067" s="68">
        <v>0.0</v>
      </c>
      <c r="G1067" s="68">
        <v>3.53114623516591</v>
      </c>
      <c r="H1067" s="68">
        <v>167.203794464549</v>
      </c>
      <c r="I1067" s="69">
        <v>44313.27773148148</v>
      </c>
      <c r="J1067" s="69">
        <v>44313.35804398148</v>
      </c>
      <c r="K1067">
        <f>AVERAGE(H1067:H1071)</f>
        <v>108.101799</v>
      </c>
      <c r="L1067">
        <f>STDEV(H1067:H1071)</f>
        <v>94.3792368</v>
      </c>
      <c r="M1067" s="70">
        <v>167.203794464549</v>
      </c>
      <c r="N1067" s="70">
        <v>167.203794464549</v>
      </c>
      <c r="O1067" s="70">
        <v>3.53114623516591</v>
      </c>
      <c r="P1067" s="70">
        <v>3.53114623516591</v>
      </c>
    </row>
    <row r="1068" hidden="1">
      <c r="A1068" s="67" t="s">
        <v>1828</v>
      </c>
      <c r="B1068" s="67" t="s">
        <v>519</v>
      </c>
      <c r="C1068" s="68">
        <v>0.1</v>
      </c>
      <c r="D1068" s="68">
        <v>0.75</v>
      </c>
      <c r="E1068" s="68">
        <v>2.0</v>
      </c>
      <c r="F1068" s="68">
        <v>1.0</v>
      </c>
      <c r="G1068" s="68">
        <v>2.50625702320649</v>
      </c>
      <c r="H1068" s="68">
        <v>132.627469067318</v>
      </c>
      <c r="I1068" s="69">
        <v>44313.35875</v>
      </c>
      <c r="J1068" s="69">
        <v>44313.35895833333</v>
      </c>
      <c r="K1068">
        <f>AVERAGE(H1067:H1071)</f>
        <v>108.101799</v>
      </c>
      <c r="L1068">
        <f>STDEV(H1067:H1071)</f>
        <v>94.3792368</v>
      </c>
      <c r="M1068" s="70">
        <v>132.627469067318</v>
      </c>
      <c r="N1068" s="70">
        <v>132.627469067318</v>
      </c>
      <c r="O1068" s="70">
        <v>2.50625702320649</v>
      </c>
      <c r="P1068" s="70">
        <v>2.50625702320649</v>
      </c>
    </row>
    <row r="1069" hidden="1">
      <c r="A1069" s="67" t="s">
        <v>1829</v>
      </c>
      <c r="B1069" s="67" t="s">
        <v>519</v>
      </c>
      <c r="C1069" s="68">
        <v>0.1</v>
      </c>
      <c r="D1069" s="68">
        <v>0.75</v>
      </c>
      <c r="E1069" s="68">
        <v>2.0</v>
      </c>
      <c r="F1069" s="68">
        <v>2.0</v>
      </c>
      <c r="G1069" s="68">
        <v>0.470275114529804</v>
      </c>
      <c r="H1069" s="68">
        <v>0.561714902354158</v>
      </c>
      <c r="I1069" s="69">
        <v>44313.359664351854</v>
      </c>
      <c r="J1069" s="69">
        <v>44313.35983796296</v>
      </c>
      <c r="K1069">
        <f>AVERAGE(H1067:H1071)</f>
        <v>108.101799</v>
      </c>
      <c r="L1069">
        <f>STDEV(H1067:H1071)</f>
        <v>94.3792368</v>
      </c>
      <c r="M1069" s="70">
        <v>0.561714902354158</v>
      </c>
      <c r="N1069" s="70">
        <v>0.561714902354158</v>
      </c>
      <c r="O1069" s="70">
        <v>0.470275114529804</v>
      </c>
      <c r="P1069" s="70">
        <v>0.470275114529804</v>
      </c>
    </row>
    <row r="1070" hidden="1">
      <c r="A1070" s="67" t="s">
        <v>1830</v>
      </c>
      <c r="B1070" s="67" t="s">
        <v>519</v>
      </c>
      <c r="C1070" s="68">
        <v>0.1</v>
      </c>
      <c r="D1070" s="68">
        <v>0.75</v>
      </c>
      <c r="E1070" s="68">
        <v>2.0</v>
      </c>
      <c r="F1070" s="68">
        <v>3.0</v>
      </c>
      <c r="G1070" s="68">
        <v>9.23164589053482</v>
      </c>
      <c r="H1070" s="68">
        <v>219.265960243058</v>
      </c>
      <c r="I1070" s="69">
        <v>44313.36054398148</v>
      </c>
      <c r="J1070" s="69">
        <v>44313.36064814815</v>
      </c>
      <c r="K1070">
        <f>AVERAGE(H1067:H1071)</f>
        <v>108.101799</v>
      </c>
      <c r="L1070">
        <f>STDEV(H1067:H1071)</f>
        <v>94.3792368</v>
      </c>
      <c r="M1070" s="70">
        <v>219.265960243058</v>
      </c>
      <c r="N1070" s="70">
        <v>219.265960243058</v>
      </c>
      <c r="O1070" s="70">
        <v>9.23164589053482</v>
      </c>
      <c r="P1070" s="70">
        <v>9.23164589053482</v>
      </c>
    </row>
    <row r="1071" hidden="1">
      <c r="A1071" s="67" t="s">
        <v>1831</v>
      </c>
      <c r="B1071" s="67" t="s">
        <v>519</v>
      </c>
      <c r="C1071" s="68">
        <v>0.1</v>
      </c>
      <c r="D1071" s="68">
        <v>0.75</v>
      </c>
      <c r="E1071" s="68">
        <v>2.0</v>
      </c>
      <c r="F1071" s="68">
        <v>4.0</v>
      </c>
      <c r="G1071" s="68">
        <v>1.22200748559291</v>
      </c>
      <c r="H1071" s="68">
        <v>20.8500565474323</v>
      </c>
      <c r="I1071" s="69">
        <v>44313.36136574074</v>
      </c>
      <c r="J1071" s="69">
        <v>44313.36162037037</v>
      </c>
      <c r="K1071">
        <f>AVERAGE(H1067:H1071)</f>
        <v>108.101799</v>
      </c>
      <c r="L1071">
        <f>STDEV(H1067:H1071)</f>
        <v>94.3792368</v>
      </c>
      <c r="M1071" s="70">
        <v>20.8500565474323</v>
      </c>
      <c r="N1071" s="70">
        <v>20.8500565474323</v>
      </c>
      <c r="O1071" s="70">
        <v>1.22200748559291</v>
      </c>
      <c r="P1071" s="70">
        <v>1.22200748559291</v>
      </c>
    </row>
    <row r="1072" hidden="1">
      <c r="A1072" s="67" t="s">
        <v>1832</v>
      </c>
      <c r="B1072" s="67" t="s">
        <v>519</v>
      </c>
      <c r="C1072" s="68">
        <v>0.1</v>
      </c>
      <c r="D1072" s="68">
        <v>1.0</v>
      </c>
      <c r="E1072" s="68">
        <v>2.0</v>
      </c>
      <c r="F1072" s="68">
        <v>0.0</v>
      </c>
      <c r="G1072" s="68">
        <v>8.22395021694749</v>
      </c>
      <c r="H1072" s="68">
        <v>289.628721147006</v>
      </c>
      <c r="I1072" s="69">
        <v>44313.362337962964</v>
      </c>
      <c r="J1072" s="69">
        <v>44313.36431712963</v>
      </c>
      <c r="K1072">
        <f>AVERAGE(H1072:H1076)</f>
        <v>135.0642056</v>
      </c>
      <c r="L1072">
        <f>STDEV(H1072:H1076)</f>
        <v>109.4730752</v>
      </c>
      <c r="M1072" s="70">
        <v>289.628721147006</v>
      </c>
      <c r="N1072" s="70">
        <v>289.628721147006</v>
      </c>
      <c r="O1072" s="70">
        <v>8.22395021694749</v>
      </c>
      <c r="P1072" s="70">
        <v>8.22395021694749</v>
      </c>
    </row>
    <row r="1073" hidden="1">
      <c r="A1073" s="67" t="s">
        <v>1833</v>
      </c>
      <c r="B1073" s="67" t="s">
        <v>519</v>
      </c>
      <c r="C1073" s="68">
        <v>0.1</v>
      </c>
      <c r="D1073" s="68">
        <v>1.0</v>
      </c>
      <c r="E1073" s="68">
        <v>2.0</v>
      </c>
      <c r="F1073" s="68">
        <v>1.0</v>
      </c>
      <c r="G1073" s="68">
        <v>0.317145370870006</v>
      </c>
      <c r="H1073" s="68">
        <v>0.406115963760371</v>
      </c>
      <c r="I1073" s="69">
        <v>44313.36502314815</v>
      </c>
      <c r="J1073" s="69">
        <v>44313.36508101852</v>
      </c>
      <c r="K1073">
        <f>AVERAGE(H1072:H1076)</f>
        <v>135.0642056</v>
      </c>
      <c r="L1073">
        <f>STDEV(H1072:H1076)</f>
        <v>109.4730752</v>
      </c>
      <c r="M1073" s="70">
        <v>0.406115963760371</v>
      </c>
      <c r="N1073" s="70">
        <v>0.406115963760371</v>
      </c>
      <c r="O1073" s="70">
        <v>0.317145370870006</v>
      </c>
      <c r="P1073" s="70">
        <v>0.317145370870006</v>
      </c>
    </row>
    <row r="1074" hidden="1">
      <c r="A1074" s="67" t="s">
        <v>1834</v>
      </c>
      <c r="B1074" s="67" t="s">
        <v>519</v>
      </c>
      <c r="C1074" s="68">
        <v>0.1</v>
      </c>
      <c r="D1074" s="68">
        <v>1.0</v>
      </c>
      <c r="E1074" s="68">
        <v>2.0</v>
      </c>
      <c r="F1074" s="68">
        <v>2.0</v>
      </c>
      <c r="G1074" s="68">
        <v>2.89637933948861</v>
      </c>
      <c r="H1074" s="68">
        <v>144.522713461714</v>
      </c>
      <c r="I1074" s="69">
        <v>44313.365798611114</v>
      </c>
      <c r="J1074" s="69">
        <v>44313.39162037037</v>
      </c>
      <c r="K1074">
        <f>AVERAGE(H1072:H1076)</f>
        <v>135.0642056</v>
      </c>
      <c r="L1074">
        <f>STDEV(H1072:H1076)</f>
        <v>109.4730752</v>
      </c>
      <c r="M1074" s="70">
        <v>144.522713461714</v>
      </c>
      <c r="N1074" s="70">
        <v>144.522713461714</v>
      </c>
      <c r="O1074" s="70">
        <v>2.89637933948861</v>
      </c>
      <c r="P1074" s="70">
        <v>2.89637933948861</v>
      </c>
    </row>
    <row r="1075" hidden="1">
      <c r="A1075" s="67" t="s">
        <v>1835</v>
      </c>
      <c r="B1075" s="67" t="s">
        <v>519</v>
      </c>
      <c r="C1075" s="68">
        <v>0.1</v>
      </c>
      <c r="D1075" s="68">
        <v>1.0</v>
      </c>
      <c r="E1075" s="68">
        <v>2.0</v>
      </c>
      <c r="F1075" s="68">
        <v>3.0</v>
      </c>
      <c r="G1075" s="68">
        <v>5.69326513085975</v>
      </c>
      <c r="H1075" s="68">
        <v>172.313487998376</v>
      </c>
      <c r="I1075" s="69">
        <v>44313.39233796296</v>
      </c>
      <c r="J1075" s="69">
        <v>44313.392476851855</v>
      </c>
      <c r="K1075">
        <f>AVERAGE(H1072:H1076)</f>
        <v>135.0642056</v>
      </c>
      <c r="L1075">
        <f>STDEV(H1072:H1076)</f>
        <v>109.4730752</v>
      </c>
      <c r="M1075" s="70">
        <v>172.313487998376</v>
      </c>
      <c r="N1075" s="70">
        <v>172.313487998376</v>
      </c>
      <c r="O1075" s="70">
        <v>5.69326513085975</v>
      </c>
      <c r="P1075" s="70">
        <v>5.69326513085975</v>
      </c>
    </row>
    <row r="1076" hidden="1">
      <c r="A1076" s="67" t="s">
        <v>1836</v>
      </c>
      <c r="B1076" s="67" t="s">
        <v>519</v>
      </c>
      <c r="C1076" s="68">
        <v>0.1</v>
      </c>
      <c r="D1076" s="68">
        <v>1.0</v>
      </c>
      <c r="E1076" s="68">
        <v>2.0</v>
      </c>
      <c r="F1076" s="68">
        <v>4.0</v>
      </c>
      <c r="G1076" s="68">
        <v>1.66760012563201</v>
      </c>
      <c r="H1076" s="68">
        <v>68.4499893653294</v>
      </c>
      <c r="I1076" s="69">
        <v>44313.39319444444</v>
      </c>
      <c r="J1076" s="69">
        <v>44313.40734953704</v>
      </c>
      <c r="K1076">
        <f>AVERAGE(H1072:H1076)</f>
        <v>135.0642056</v>
      </c>
      <c r="L1076">
        <f>STDEV(H1072:H1076)</f>
        <v>109.4730752</v>
      </c>
      <c r="M1076" s="70">
        <v>68.4499893653294</v>
      </c>
      <c r="N1076" s="70">
        <v>68.4499893653294</v>
      </c>
      <c r="O1076" s="70">
        <v>1.66760012563201</v>
      </c>
      <c r="P1076" s="70">
        <v>1.66760012563201</v>
      </c>
    </row>
    <row r="1077" hidden="1">
      <c r="A1077" s="67" t="s">
        <v>1837</v>
      </c>
      <c r="B1077" s="67" t="s">
        <v>519</v>
      </c>
      <c r="C1077" s="68">
        <v>0.25</v>
      </c>
      <c r="D1077" s="68">
        <v>0.1</v>
      </c>
      <c r="E1077" s="68">
        <v>2.0</v>
      </c>
      <c r="F1077" s="68">
        <v>0.0</v>
      </c>
      <c r="G1077" s="68">
        <v>5.67077261123753</v>
      </c>
      <c r="H1077" s="68">
        <v>133.265734077852</v>
      </c>
      <c r="I1077" s="69">
        <v>44313.408055555556</v>
      </c>
      <c r="J1077" s="69">
        <v>44313.408101851855</v>
      </c>
      <c r="K1077">
        <f>AVERAGE(H1077:H1081)</f>
        <v>162.2150131</v>
      </c>
      <c r="L1077">
        <f>STDEV(H1077:H1081)</f>
        <v>63.20859326</v>
      </c>
      <c r="M1077" s="70">
        <v>133.265734077852</v>
      </c>
      <c r="N1077" s="70">
        <v>133.265734077852</v>
      </c>
      <c r="O1077" s="70">
        <v>5.67077261123753</v>
      </c>
      <c r="P1077" s="70">
        <v>5.67077261123753</v>
      </c>
    </row>
    <row r="1078" hidden="1">
      <c r="A1078" s="67" t="s">
        <v>1838</v>
      </c>
      <c r="B1078" s="67" t="s">
        <v>519</v>
      </c>
      <c r="C1078" s="68">
        <v>0.25</v>
      </c>
      <c r="D1078" s="68">
        <v>0.1</v>
      </c>
      <c r="E1078" s="68">
        <v>2.0</v>
      </c>
      <c r="F1078" s="68">
        <v>1.0</v>
      </c>
      <c r="G1078" s="68">
        <v>2.50116697534713</v>
      </c>
      <c r="H1078" s="68">
        <v>132.458666467733</v>
      </c>
      <c r="I1078" s="69">
        <v>44313.40881944444</v>
      </c>
      <c r="J1078" s="69">
        <v>44313.40902777778</v>
      </c>
      <c r="K1078">
        <f>AVERAGE(H1077:H1081)</f>
        <v>162.2150131</v>
      </c>
      <c r="L1078">
        <f>STDEV(H1077:H1081)</f>
        <v>63.20859326</v>
      </c>
      <c r="M1078" s="70">
        <v>132.458666467733</v>
      </c>
      <c r="N1078" s="70">
        <v>132.458666467733</v>
      </c>
      <c r="O1078" s="70">
        <v>2.50116697534713</v>
      </c>
      <c r="P1078" s="70">
        <v>2.50116697534713</v>
      </c>
    </row>
    <row r="1079" hidden="1">
      <c r="A1079" s="67" t="s">
        <v>1839</v>
      </c>
      <c r="B1079" s="67" t="s">
        <v>519</v>
      </c>
      <c r="C1079" s="68">
        <v>0.25</v>
      </c>
      <c r="D1079" s="68">
        <v>0.1</v>
      </c>
      <c r="E1079" s="68">
        <v>2.0</v>
      </c>
      <c r="F1079" s="68">
        <v>2.0</v>
      </c>
      <c r="G1079" s="68">
        <v>2.43565908776159</v>
      </c>
      <c r="H1079" s="68">
        <v>125.840845805324</v>
      </c>
      <c r="I1079" s="69">
        <v>44313.40974537037</v>
      </c>
      <c r="J1079" s="69">
        <v>44313.47136574074</v>
      </c>
      <c r="K1079">
        <f>AVERAGE(H1077:H1081)</f>
        <v>162.2150131</v>
      </c>
      <c r="L1079">
        <f>STDEV(H1077:H1081)</f>
        <v>63.20859326</v>
      </c>
      <c r="M1079" s="70">
        <v>125.840845805324</v>
      </c>
      <c r="N1079" s="70">
        <v>125.840845805324</v>
      </c>
      <c r="O1079" s="70">
        <v>2.43565908776159</v>
      </c>
      <c r="P1079" s="70">
        <v>2.43565908776159</v>
      </c>
    </row>
    <row r="1080" hidden="1">
      <c r="A1080" s="67" t="s">
        <v>1840</v>
      </c>
      <c r="B1080" s="67" t="s">
        <v>519</v>
      </c>
      <c r="C1080" s="68">
        <v>0.25</v>
      </c>
      <c r="D1080" s="68">
        <v>0.1</v>
      </c>
      <c r="E1080" s="68">
        <v>2.0</v>
      </c>
      <c r="F1080" s="68">
        <v>3.0</v>
      </c>
      <c r="G1080" s="68">
        <v>6.30405776013636</v>
      </c>
      <c r="H1080" s="68">
        <v>144.891049771177</v>
      </c>
      <c r="I1080" s="69">
        <v>44313.47207175926</v>
      </c>
      <c r="J1080" s="69">
        <v>44313.47217592593</v>
      </c>
      <c r="K1080">
        <f>AVERAGE(H1077:H1081)</f>
        <v>162.2150131</v>
      </c>
      <c r="L1080">
        <f>STDEV(H1077:H1081)</f>
        <v>63.20859326</v>
      </c>
      <c r="M1080" s="70">
        <v>144.891049771177</v>
      </c>
      <c r="N1080" s="70">
        <v>144.891049771177</v>
      </c>
      <c r="O1080" s="70">
        <v>6.30405776013636</v>
      </c>
      <c r="P1080" s="70">
        <v>6.30405776013636</v>
      </c>
    </row>
    <row r="1081" hidden="1">
      <c r="A1081" s="67" t="s">
        <v>1841</v>
      </c>
      <c r="B1081" s="67" t="s">
        <v>519</v>
      </c>
      <c r="C1081" s="68">
        <v>0.25</v>
      </c>
      <c r="D1081" s="68">
        <v>0.1</v>
      </c>
      <c r="E1081" s="68">
        <v>2.0</v>
      </c>
      <c r="F1081" s="68">
        <v>4.0</v>
      </c>
      <c r="G1081" s="68">
        <v>9.58501948908768</v>
      </c>
      <c r="H1081" s="68">
        <v>274.618769162775</v>
      </c>
      <c r="I1081" s="69">
        <v>44313.47288194444</v>
      </c>
      <c r="J1081" s="69">
        <v>44313.47355324074</v>
      </c>
      <c r="K1081">
        <f>AVERAGE(H1077:H1081)</f>
        <v>162.2150131</v>
      </c>
      <c r="L1081">
        <f>STDEV(H1077:H1081)</f>
        <v>63.20859326</v>
      </c>
      <c r="M1081" s="70">
        <v>274.618769162775</v>
      </c>
      <c r="N1081" s="70">
        <v>274.618769162775</v>
      </c>
      <c r="O1081" s="70">
        <v>9.58501948908768</v>
      </c>
      <c r="P1081" s="70">
        <v>9.58501948908768</v>
      </c>
    </row>
    <row r="1082" hidden="1">
      <c r="A1082" s="67" t="s">
        <v>1842</v>
      </c>
      <c r="B1082" s="67" t="s">
        <v>519</v>
      </c>
      <c r="C1082" s="68">
        <v>0.25</v>
      </c>
      <c r="D1082" s="68">
        <v>0.25</v>
      </c>
      <c r="E1082" s="68">
        <v>2.0</v>
      </c>
      <c r="F1082" s="68">
        <v>0.0</v>
      </c>
      <c r="G1082" s="68">
        <v>3.87536328247478</v>
      </c>
      <c r="H1082" s="68">
        <v>179.510861439247</v>
      </c>
      <c r="I1082" s="69">
        <v>44313.47425925926</v>
      </c>
      <c r="J1082" s="69">
        <v>44313.522523148145</v>
      </c>
      <c r="K1082">
        <f>AVERAGE(H1082:H1086)</f>
        <v>112.3138939</v>
      </c>
      <c r="L1082">
        <f>STDEV(H1082:H1086)</f>
        <v>83.7213097</v>
      </c>
      <c r="M1082" s="70">
        <v>179.510861439247</v>
      </c>
      <c r="N1082" s="70">
        <v>179.510861439247</v>
      </c>
      <c r="O1082" s="70">
        <v>3.87536328247478</v>
      </c>
      <c r="P1082" s="70">
        <v>3.87536328247478</v>
      </c>
    </row>
    <row r="1083" hidden="1">
      <c r="A1083" s="67" t="s">
        <v>1843</v>
      </c>
      <c r="B1083" s="67" t="s">
        <v>519</v>
      </c>
      <c r="C1083" s="68">
        <v>0.25</v>
      </c>
      <c r="D1083" s="68">
        <v>0.25</v>
      </c>
      <c r="E1083" s="68">
        <v>2.0</v>
      </c>
      <c r="F1083" s="68">
        <v>1.0</v>
      </c>
      <c r="G1083" s="68">
        <v>1.67745318112174</v>
      </c>
      <c r="H1083" s="68">
        <v>79.8039882504375</v>
      </c>
      <c r="I1083" s="69">
        <v>44313.52322916667</v>
      </c>
      <c r="J1083" s="69">
        <v>44313.52421296296</v>
      </c>
      <c r="K1083">
        <f>AVERAGE(H1082:H1086)</f>
        <v>112.3138939</v>
      </c>
      <c r="L1083">
        <f>STDEV(H1082:H1086)</f>
        <v>83.7213097</v>
      </c>
      <c r="M1083" s="70">
        <v>79.8039882504375</v>
      </c>
      <c r="N1083" s="70">
        <v>79.8039882504375</v>
      </c>
      <c r="O1083" s="70">
        <v>1.67745318112174</v>
      </c>
      <c r="P1083" s="70">
        <v>1.67745318112174</v>
      </c>
    </row>
    <row r="1084" hidden="1">
      <c r="A1084" s="67" t="s">
        <v>1844</v>
      </c>
      <c r="B1084" s="67" t="s">
        <v>519</v>
      </c>
      <c r="C1084" s="68">
        <v>0.25</v>
      </c>
      <c r="D1084" s="68">
        <v>0.25</v>
      </c>
      <c r="E1084" s="68">
        <v>2.0</v>
      </c>
      <c r="F1084" s="68">
        <v>2.0</v>
      </c>
      <c r="G1084" s="68">
        <v>1.3689778525884</v>
      </c>
      <c r="H1084" s="68">
        <v>70.1480769678274</v>
      </c>
      <c r="I1084" s="69">
        <v>44313.524930555555</v>
      </c>
      <c r="J1084" s="69">
        <v>44313.52590277778</v>
      </c>
      <c r="K1084">
        <f>AVERAGE(H1082:H1086)</f>
        <v>112.3138939</v>
      </c>
      <c r="L1084">
        <f>STDEV(H1082:H1086)</f>
        <v>83.7213097</v>
      </c>
      <c r="M1084" s="70">
        <v>70.1480769678274</v>
      </c>
      <c r="N1084" s="70">
        <v>70.1480769678274</v>
      </c>
      <c r="O1084" s="70">
        <v>1.3689778525884</v>
      </c>
      <c r="P1084" s="70">
        <v>1.3689778525884</v>
      </c>
    </row>
    <row r="1085" hidden="1">
      <c r="A1085" s="67" t="s">
        <v>1845</v>
      </c>
      <c r="B1085" s="67" t="s">
        <v>519</v>
      </c>
      <c r="C1085" s="68">
        <v>0.25</v>
      </c>
      <c r="D1085" s="68">
        <v>0.25</v>
      </c>
      <c r="E1085" s="68">
        <v>2.0</v>
      </c>
      <c r="F1085" s="68">
        <v>3.0</v>
      </c>
      <c r="G1085" s="68">
        <v>0.958465840048195</v>
      </c>
      <c r="H1085" s="68">
        <v>14.4196589343545</v>
      </c>
      <c r="I1085" s="69">
        <v>44313.526608796295</v>
      </c>
      <c r="J1085" s="69">
        <v>44313.52667824074</v>
      </c>
      <c r="K1085">
        <f>AVERAGE(H1082:H1086)</f>
        <v>112.3138939</v>
      </c>
      <c r="L1085">
        <f>STDEV(H1082:H1086)</f>
        <v>83.7213097</v>
      </c>
      <c r="M1085" s="70">
        <v>14.4196589343545</v>
      </c>
      <c r="N1085" s="70">
        <v>14.4196589343545</v>
      </c>
      <c r="O1085" s="70">
        <v>0.958465840048195</v>
      </c>
      <c r="P1085" s="70">
        <v>0.958465840048195</v>
      </c>
    </row>
    <row r="1086" hidden="1">
      <c r="A1086" s="67" t="s">
        <v>1846</v>
      </c>
      <c r="B1086" s="67" t="s">
        <v>519</v>
      </c>
      <c r="C1086" s="68">
        <v>0.25</v>
      </c>
      <c r="D1086" s="68">
        <v>0.25</v>
      </c>
      <c r="E1086" s="68">
        <v>2.0</v>
      </c>
      <c r="F1086" s="68">
        <v>4.0</v>
      </c>
      <c r="G1086" s="68">
        <v>9.10369240045279</v>
      </c>
      <c r="H1086" s="68">
        <v>217.686883912033</v>
      </c>
      <c r="I1086" s="69">
        <v>44313.527395833335</v>
      </c>
      <c r="J1086" s="69">
        <v>44313.52751157407</v>
      </c>
      <c r="K1086">
        <f>AVERAGE(H1082:H1086)</f>
        <v>112.3138939</v>
      </c>
      <c r="L1086">
        <f>STDEV(H1082:H1086)</f>
        <v>83.7213097</v>
      </c>
      <c r="M1086" s="70">
        <v>217.686883912033</v>
      </c>
      <c r="N1086" s="70">
        <v>217.686883912033</v>
      </c>
      <c r="O1086" s="70">
        <v>9.10369240045279</v>
      </c>
      <c r="P1086" s="70">
        <v>9.10369240045279</v>
      </c>
    </row>
    <row r="1087" hidden="1">
      <c r="A1087" s="67" t="s">
        <v>1847</v>
      </c>
      <c r="B1087" s="67" t="s">
        <v>519</v>
      </c>
      <c r="C1087" s="68">
        <v>0.25</v>
      </c>
      <c r="D1087" s="68">
        <v>0.5</v>
      </c>
      <c r="E1087" s="68">
        <v>2.0</v>
      </c>
      <c r="F1087" s="68">
        <v>0.0</v>
      </c>
      <c r="G1087" s="68">
        <v>0.466491018990041</v>
      </c>
      <c r="H1087" s="68">
        <v>0.558846337991739</v>
      </c>
      <c r="I1087" s="69">
        <v>44313.52821759259</v>
      </c>
      <c r="J1087" s="69">
        <v>44313.528391203705</v>
      </c>
      <c r="K1087">
        <f>AVERAGE(H1087:H1091)</f>
        <v>90.36007399</v>
      </c>
      <c r="L1087">
        <f>STDEV(H1087:H1091)</f>
        <v>87.65567267</v>
      </c>
      <c r="M1087" s="70">
        <v>0.558846337991739</v>
      </c>
      <c r="N1087" s="70">
        <v>0.558846337991739</v>
      </c>
      <c r="O1087" s="70">
        <v>0.466491018990041</v>
      </c>
      <c r="P1087" s="70">
        <v>0.466491018990041</v>
      </c>
    </row>
    <row r="1088" hidden="1">
      <c r="A1088" s="67" t="s">
        <v>1848</v>
      </c>
      <c r="B1088" s="67" t="s">
        <v>519</v>
      </c>
      <c r="C1088" s="68">
        <v>0.25</v>
      </c>
      <c r="D1088" s="68">
        <v>0.5</v>
      </c>
      <c r="E1088" s="68">
        <v>2.0</v>
      </c>
      <c r="F1088" s="68">
        <v>1.0</v>
      </c>
      <c r="G1088" s="68">
        <v>0.712368747006467</v>
      </c>
      <c r="H1088" s="68">
        <v>0.949250738237319</v>
      </c>
      <c r="I1088" s="69">
        <v>44313.5291087963</v>
      </c>
      <c r="J1088" s="69">
        <v>44313.529328703706</v>
      </c>
      <c r="K1088">
        <f>AVERAGE(H1087:H1091)</f>
        <v>90.36007399</v>
      </c>
      <c r="L1088">
        <f>STDEV(H1087:H1091)</f>
        <v>87.65567267</v>
      </c>
      <c r="M1088" s="70">
        <v>0.949250738237319</v>
      </c>
      <c r="N1088" s="70">
        <v>0.949250738237319</v>
      </c>
      <c r="O1088" s="70">
        <v>0.712368747006467</v>
      </c>
      <c r="P1088" s="70">
        <v>0.712368747006467</v>
      </c>
    </row>
    <row r="1089" hidden="1">
      <c r="A1089" s="67" t="s">
        <v>1849</v>
      </c>
      <c r="B1089" s="67" t="s">
        <v>519</v>
      </c>
      <c r="C1089" s="68">
        <v>0.25</v>
      </c>
      <c r="D1089" s="68">
        <v>0.5</v>
      </c>
      <c r="E1089" s="68">
        <v>2.0</v>
      </c>
      <c r="F1089" s="68">
        <v>2.0</v>
      </c>
      <c r="G1089" s="68">
        <v>2.12032852559811</v>
      </c>
      <c r="H1089" s="68">
        <v>99.228878256647</v>
      </c>
      <c r="I1089" s="69">
        <v>44313.5300462963</v>
      </c>
      <c r="J1089" s="69">
        <v>44313.53141203704</v>
      </c>
      <c r="K1089">
        <f>AVERAGE(H1087:H1091)</f>
        <v>90.36007399</v>
      </c>
      <c r="L1089">
        <f>STDEV(H1087:H1091)</f>
        <v>87.65567267</v>
      </c>
      <c r="M1089" s="70">
        <v>99.228878256647</v>
      </c>
      <c r="N1089" s="70">
        <v>99.228878256647</v>
      </c>
      <c r="O1089" s="70">
        <v>2.12032852559811</v>
      </c>
      <c r="P1089" s="70">
        <v>2.12032852559811</v>
      </c>
    </row>
    <row r="1090" hidden="1">
      <c r="A1090" s="67" t="s">
        <v>1850</v>
      </c>
      <c r="B1090" s="67" t="s">
        <v>519</v>
      </c>
      <c r="C1090" s="68">
        <v>0.25</v>
      </c>
      <c r="D1090" s="68">
        <v>0.5</v>
      </c>
      <c r="E1090" s="68">
        <v>2.0</v>
      </c>
      <c r="F1090" s="68">
        <v>3.0</v>
      </c>
      <c r="G1090" s="68">
        <v>3.83829194062974</v>
      </c>
      <c r="H1090" s="68">
        <v>182.1817150849</v>
      </c>
      <c r="I1090" s="69">
        <v>44313.53212962963</v>
      </c>
      <c r="J1090" s="69">
        <v>44313.552141203705</v>
      </c>
      <c r="K1090">
        <f>AVERAGE(H1087:H1091)</f>
        <v>90.36007399</v>
      </c>
      <c r="L1090">
        <f>STDEV(H1087:H1091)</f>
        <v>87.65567267</v>
      </c>
      <c r="M1090" s="70">
        <v>182.1817150849</v>
      </c>
      <c r="N1090" s="70">
        <v>182.1817150849</v>
      </c>
      <c r="O1090" s="70">
        <v>3.83829194062974</v>
      </c>
      <c r="P1090" s="70">
        <v>3.83829194062974</v>
      </c>
    </row>
    <row r="1091" hidden="1">
      <c r="A1091" s="67" t="s">
        <v>1851</v>
      </c>
      <c r="B1091" s="67" t="s">
        <v>519</v>
      </c>
      <c r="C1091" s="68">
        <v>0.25</v>
      </c>
      <c r="D1091" s="68">
        <v>0.5</v>
      </c>
      <c r="E1091" s="68">
        <v>2.0</v>
      </c>
      <c r="F1091" s="68">
        <v>4.0</v>
      </c>
      <c r="G1091" s="68">
        <v>4.07703052049564</v>
      </c>
      <c r="H1091" s="68">
        <v>168.881679540133</v>
      </c>
      <c r="I1091" s="69">
        <v>44313.55284722222</v>
      </c>
      <c r="J1091" s="69">
        <v>44313.565775462965</v>
      </c>
      <c r="K1091">
        <f>AVERAGE(H1087:H1091)</f>
        <v>90.36007399</v>
      </c>
      <c r="L1091">
        <f>STDEV(H1087:H1091)</f>
        <v>87.65567267</v>
      </c>
      <c r="M1091" s="70">
        <v>168.881679540133</v>
      </c>
      <c r="N1091" s="70">
        <v>168.881679540133</v>
      </c>
      <c r="O1091" s="70">
        <v>4.07703052049564</v>
      </c>
      <c r="P1091" s="70">
        <v>4.07703052049564</v>
      </c>
    </row>
    <row r="1092" hidden="1">
      <c r="A1092" s="67" t="s">
        <v>1852</v>
      </c>
      <c r="B1092" s="67" t="s">
        <v>519</v>
      </c>
      <c r="C1092" s="68">
        <v>0.25</v>
      </c>
      <c r="D1092" s="68">
        <v>0.75</v>
      </c>
      <c r="E1092" s="68">
        <v>2.0</v>
      </c>
      <c r="F1092" s="68">
        <v>0.0</v>
      </c>
      <c r="G1092" s="68">
        <v>4.4827099137854</v>
      </c>
      <c r="H1092" s="68">
        <v>170.561108746643</v>
      </c>
      <c r="I1092" s="69">
        <v>44313.56649305556</v>
      </c>
      <c r="J1092" s="69">
        <v>44313.56655092593</v>
      </c>
      <c r="K1092">
        <f>AVERAGE(H1092:H1096)</f>
        <v>171.577638</v>
      </c>
      <c r="L1092">
        <f>STDEV(H1092:H1096)</f>
        <v>62.5109101</v>
      </c>
      <c r="M1092" s="70">
        <v>170.561108746643</v>
      </c>
      <c r="N1092" s="70">
        <v>170.561108746643</v>
      </c>
      <c r="O1092" s="70">
        <v>4.4827099137854</v>
      </c>
      <c r="P1092" s="70">
        <v>4.4827099137854</v>
      </c>
    </row>
    <row r="1093" hidden="1">
      <c r="A1093" s="67" t="s">
        <v>1853</v>
      </c>
      <c r="B1093" s="67" t="s">
        <v>519</v>
      </c>
      <c r="C1093" s="68">
        <v>0.25</v>
      </c>
      <c r="D1093" s="68">
        <v>0.75</v>
      </c>
      <c r="E1093" s="68">
        <v>2.0</v>
      </c>
      <c r="F1093" s="68">
        <v>1.0</v>
      </c>
      <c r="G1093" s="68">
        <v>3.33368011223705</v>
      </c>
      <c r="H1093" s="68">
        <v>165.051295760106</v>
      </c>
      <c r="I1093" s="69">
        <v>44313.56726851852</v>
      </c>
      <c r="J1093" s="69">
        <v>44313.60199074074</v>
      </c>
      <c r="K1093">
        <f>AVERAGE(H1092:H1096)</f>
        <v>171.577638</v>
      </c>
      <c r="L1093">
        <f>STDEV(H1092:H1096)</f>
        <v>62.5109101</v>
      </c>
      <c r="M1093" s="70">
        <v>165.051295760106</v>
      </c>
      <c r="N1093" s="70">
        <v>165.051295760106</v>
      </c>
      <c r="O1093" s="70">
        <v>3.33368011223705</v>
      </c>
      <c r="P1093" s="70">
        <v>3.33368011223705</v>
      </c>
    </row>
    <row r="1094" hidden="1">
      <c r="A1094" s="67" t="s">
        <v>1854</v>
      </c>
      <c r="B1094" s="67" t="s">
        <v>519</v>
      </c>
      <c r="C1094" s="68">
        <v>0.25</v>
      </c>
      <c r="D1094" s="68">
        <v>0.75</v>
      </c>
      <c r="E1094" s="68">
        <v>2.0</v>
      </c>
      <c r="F1094" s="68">
        <v>2.0</v>
      </c>
      <c r="G1094" s="68">
        <v>4.19649389937619</v>
      </c>
      <c r="H1094" s="68">
        <v>151.512852666895</v>
      </c>
      <c r="I1094" s="69">
        <v>44313.60269675926</v>
      </c>
      <c r="J1094" s="69">
        <v>44313.60429398148</v>
      </c>
      <c r="K1094">
        <f>AVERAGE(H1092:H1096)</f>
        <v>171.577638</v>
      </c>
      <c r="L1094">
        <f>STDEV(H1092:H1096)</f>
        <v>62.5109101</v>
      </c>
      <c r="M1094" s="70">
        <v>151.512852666895</v>
      </c>
      <c r="N1094" s="70">
        <v>151.512852666895</v>
      </c>
      <c r="O1094" s="70">
        <v>4.19649389937619</v>
      </c>
      <c r="P1094" s="70">
        <v>4.19649389937619</v>
      </c>
    </row>
    <row r="1095" hidden="1">
      <c r="A1095" s="67" t="s">
        <v>1855</v>
      </c>
      <c r="B1095" s="67" t="s">
        <v>519</v>
      </c>
      <c r="C1095" s="68">
        <v>0.25</v>
      </c>
      <c r="D1095" s="68">
        <v>0.75</v>
      </c>
      <c r="E1095" s="68">
        <v>2.0</v>
      </c>
      <c r="F1095" s="68">
        <v>3.0</v>
      </c>
      <c r="G1095" s="68">
        <v>1.96669509965858</v>
      </c>
      <c r="H1095" s="68">
        <v>99.3490826235074</v>
      </c>
      <c r="I1095" s="69">
        <v>44313.605</v>
      </c>
      <c r="J1095" s="69">
        <v>44313.608252314814</v>
      </c>
      <c r="K1095">
        <f>AVERAGE(H1092:H1096)</f>
        <v>171.577638</v>
      </c>
      <c r="L1095">
        <f>STDEV(H1092:H1096)</f>
        <v>62.5109101</v>
      </c>
      <c r="M1095" s="70">
        <v>99.3490826235074</v>
      </c>
      <c r="N1095" s="70">
        <v>99.3490826235074</v>
      </c>
      <c r="O1095" s="70">
        <v>1.96669509965858</v>
      </c>
      <c r="P1095" s="70">
        <v>1.96669509965858</v>
      </c>
    </row>
    <row r="1096" hidden="1">
      <c r="A1096" s="67" t="s">
        <v>1856</v>
      </c>
      <c r="B1096" s="67" t="s">
        <v>519</v>
      </c>
      <c r="C1096" s="68">
        <v>0.25</v>
      </c>
      <c r="D1096" s="68">
        <v>0.75</v>
      </c>
      <c r="E1096" s="68">
        <v>2.0</v>
      </c>
      <c r="F1096" s="68">
        <v>4.0</v>
      </c>
      <c r="G1096" s="68">
        <v>7.36801153412992</v>
      </c>
      <c r="H1096" s="68">
        <v>271.413850010904</v>
      </c>
      <c r="I1096" s="69">
        <v>44313.60895833333</v>
      </c>
      <c r="J1096" s="69">
        <v>44313.60922453704</v>
      </c>
      <c r="K1096">
        <f>AVERAGE(H1092:H1096)</f>
        <v>171.577638</v>
      </c>
      <c r="L1096">
        <f>STDEV(H1092:H1096)</f>
        <v>62.5109101</v>
      </c>
      <c r="M1096" s="70">
        <v>271.413850010904</v>
      </c>
      <c r="N1096" s="70">
        <v>271.413850010904</v>
      </c>
      <c r="O1096" s="70">
        <v>7.36801153412992</v>
      </c>
      <c r="P1096" s="70">
        <v>7.36801153412992</v>
      </c>
    </row>
    <row r="1097" hidden="1">
      <c r="A1097" s="67" t="s">
        <v>1857</v>
      </c>
      <c r="B1097" s="67" t="s">
        <v>519</v>
      </c>
      <c r="C1097" s="68">
        <v>0.25</v>
      </c>
      <c r="D1097" s="68">
        <v>1.0</v>
      </c>
      <c r="E1097" s="68">
        <v>2.0</v>
      </c>
      <c r="F1097" s="68">
        <v>0.0</v>
      </c>
      <c r="G1097" s="68">
        <v>5.78526466860113</v>
      </c>
      <c r="H1097" s="68">
        <v>173.208643907638</v>
      </c>
      <c r="I1097" s="69">
        <v>44313.60994212963</v>
      </c>
      <c r="J1097" s="69">
        <v>44313.610081018516</v>
      </c>
      <c r="K1097">
        <f>AVERAGE(H1097:H1101)</f>
        <v>117.6522944</v>
      </c>
      <c r="L1097">
        <f>STDEV(H1097:H1101)</f>
        <v>79.32263139</v>
      </c>
      <c r="M1097" s="70">
        <v>173.208643907638</v>
      </c>
      <c r="N1097" s="70">
        <v>173.208643907638</v>
      </c>
      <c r="O1097" s="70">
        <v>5.78526466860113</v>
      </c>
      <c r="P1097" s="70">
        <v>5.78526466860113</v>
      </c>
    </row>
    <row r="1098" hidden="1">
      <c r="A1098" s="67" t="s">
        <v>1858</v>
      </c>
      <c r="B1098" s="67" t="s">
        <v>519</v>
      </c>
      <c r="C1098" s="68">
        <v>0.25</v>
      </c>
      <c r="D1098" s="68">
        <v>1.0</v>
      </c>
      <c r="E1098" s="68">
        <v>2.0</v>
      </c>
      <c r="F1098" s="68">
        <v>1.0</v>
      </c>
      <c r="G1098" s="68">
        <v>4.344399637732</v>
      </c>
      <c r="H1098" s="68">
        <v>178.905231850488</v>
      </c>
      <c r="I1098" s="69">
        <v>44313.61079861111</v>
      </c>
      <c r="J1098" s="69">
        <v>44313.61682870371</v>
      </c>
      <c r="K1098">
        <f>AVERAGE(H1097:H1101)</f>
        <v>117.6522944</v>
      </c>
      <c r="L1098">
        <f>STDEV(H1097:H1101)</f>
        <v>79.32263139</v>
      </c>
      <c r="M1098" s="70">
        <v>178.905231850488</v>
      </c>
      <c r="N1098" s="70">
        <v>178.905231850488</v>
      </c>
      <c r="O1098" s="70">
        <v>4.344399637732</v>
      </c>
      <c r="P1098" s="70">
        <v>4.344399637732</v>
      </c>
    </row>
    <row r="1099" hidden="1">
      <c r="A1099" s="67" t="s">
        <v>1859</v>
      </c>
      <c r="B1099" s="67" t="s">
        <v>519</v>
      </c>
      <c r="C1099" s="68">
        <v>0.25</v>
      </c>
      <c r="D1099" s="68">
        <v>1.0</v>
      </c>
      <c r="E1099" s="68">
        <v>2.0</v>
      </c>
      <c r="F1099" s="68">
        <v>2.0</v>
      </c>
      <c r="G1099" s="68">
        <v>3.36657917743039</v>
      </c>
      <c r="H1099" s="68">
        <v>165.849988575804</v>
      </c>
      <c r="I1099" s="69">
        <v>44313.61754629629</v>
      </c>
      <c r="J1099" s="69">
        <v>44313.65252314815</v>
      </c>
      <c r="K1099">
        <f>AVERAGE(H1097:H1101)</f>
        <v>117.6522944</v>
      </c>
      <c r="L1099">
        <f>STDEV(H1097:H1101)</f>
        <v>79.32263139</v>
      </c>
      <c r="M1099" s="70">
        <v>165.849988575804</v>
      </c>
      <c r="N1099" s="70">
        <v>165.849988575804</v>
      </c>
      <c r="O1099" s="70">
        <v>3.36657917743039</v>
      </c>
      <c r="P1099" s="70">
        <v>3.36657917743039</v>
      </c>
    </row>
    <row r="1100" hidden="1">
      <c r="A1100" s="67" t="s">
        <v>1860</v>
      </c>
      <c r="B1100" s="67" t="s">
        <v>519</v>
      </c>
      <c r="C1100" s="68">
        <v>0.25</v>
      </c>
      <c r="D1100" s="68">
        <v>1.0</v>
      </c>
      <c r="E1100" s="68">
        <v>2.0</v>
      </c>
      <c r="F1100" s="68">
        <v>3.0</v>
      </c>
      <c r="G1100" s="68">
        <v>0.464317719294888</v>
      </c>
      <c r="H1100" s="68">
        <v>0.556756558753167</v>
      </c>
      <c r="I1100" s="69">
        <v>44313.653229166666</v>
      </c>
      <c r="J1100" s="69">
        <v>44313.653402777774</v>
      </c>
      <c r="K1100">
        <f>AVERAGE(H1097:H1101)</f>
        <v>117.6522944</v>
      </c>
      <c r="L1100">
        <f>STDEV(H1097:H1101)</f>
        <v>79.32263139</v>
      </c>
      <c r="M1100" s="70">
        <v>0.556756558753167</v>
      </c>
      <c r="N1100" s="70">
        <v>0.556756558753167</v>
      </c>
      <c r="O1100" s="70">
        <v>0.464317719294888</v>
      </c>
      <c r="P1100" s="70">
        <v>0.464317719294888</v>
      </c>
    </row>
    <row r="1101" hidden="1">
      <c r="A1101" s="67" t="s">
        <v>1861</v>
      </c>
      <c r="B1101" s="67" t="s">
        <v>519</v>
      </c>
      <c r="C1101" s="68">
        <v>0.25</v>
      </c>
      <c r="D1101" s="68">
        <v>1.0</v>
      </c>
      <c r="E1101" s="68">
        <v>2.0</v>
      </c>
      <c r="F1101" s="68">
        <v>4.0</v>
      </c>
      <c r="G1101" s="68">
        <v>1.35488810348748</v>
      </c>
      <c r="H1101" s="68">
        <v>69.7408513378879</v>
      </c>
      <c r="I1101" s="69">
        <v>44313.6541087963</v>
      </c>
      <c r="J1101" s="69">
        <v>44313.65525462963</v>
      </c>
      <c r="K1101">
        <f>AVERAGE(H1097:H1101)</f>
        <v>117.6522944</v>
      </c>
      <c r="L1101">
        <f>STDEV(H1097:H1101)</f>
        <v>79.32263139</v>
      </c>
      <c r="M1101" s="70">
        <v>69.7408513378879</v>
      </c>
      <c r="N1101" s="70">
        <v>69.7408513378879</v>
      </c>
      <c r="O1101" s="70">
        <v>1.35488810348748</v>
      </c>
      <c r="P1101" s="70">
        <v>1.35488810348748</v>
      </c>
    </row>
    <row r="1102" hidden="1">
      <c r="A1102" s="67" t="s">
        <v>1862</v>
      </c>
      <c r="B1102" s="67" t="s">
        <v>519</v>
      </c>
      <c r="C1102" s="68">
        <v>0.5</v>
      </c>
      <c r="D1102" s="68">
        <v>0.1</v>
      </c>
      <c r="E1102" s="68">
        <v>2.0</v>
      </c>
      <c r="F1102" s="68">
        <v>0.0</v>
      </c>
      <c r="G1102" s="68">
        <v>5.02026694252673</v>
      </c>
      <c r="H1102" s="68">
        <v>180.562531513418</v>
      </c>
      <c r="I1102" s="69">
        <v>44313.655960648146</v>
      </c>
      <c r="J1102" s="69">
        <v>44313.65872685185</v>
      </c>
      <c r="K1102">
        <f>AVERAGE(H1102:H1106)</f>
        <v>105.5455438</v>
      </c>
      <c r="L1102">
        <f>STDEV(H1102:H1106)</f>
        <v>77.16190867</v>
      </c>
      <c r="M1102" s="70">
        <v>180.562531513418</v>
      </c>
      <c r="N1102" s="70">
        <v>180.562531513418</v>
      </c>
      <c r="O1102" s="70">
        <v>5.02026694252673</v>
      </c>
      <c r="P1102" s="70">
        <v>5.02026694252673</v>
      </c>
    </row>
    <row r="1103" hidden="1">
      <c r="A1103" s="67" t="s">
        <v>1863</v>
      </c>
      <c r="B1103" s="67" t="s">
        <v>519</v>
      </c>
      <c r="C1103" s="68">
        <v>0.5</v>
      </c>
      <c r="D1103" s="68">
        <v>0.1</v>
      </c>
      <c r="E1103" s="68">
        <v>2.0</v>
      </c>
      <c r="F1103" s="68">
        <v>1.0</v>
      </c>
      <c r="G1103" s="68">
        <v>1.43559173156676</v>
      </c>
      <c r="H1103" s="68">
        <v>70.642990198295</v>
      </c>
      <c r="I1103" s="69">
        <v>44313.65943287037</v>
      </c>
      <c r="J1103" s="69">
        <v>44313.660208333335</v>
      </c>
      <c r="K1103">
        <f>AVERAGE(H1102:H1106)</f>
        <v>105.5455438</v>
      </c>
      <c r="L1103">
        <f>STDEV(H1102:H1106)</f>
        <v>77.16190867</v>
      </c>
      <c r="M1103" s="70">
        <v>70.642990198295</v>
      </c>
      <c r="N1103" s="70">
        <v>70.642990198295</v>
      </c>
      <c r="O1103" s="70">
        <v>1.43559173156676</v>
      </c>
      <c r="P1103" s="70">
        <v>1.43559173156676</v>
      </c>
    </row>
    <row r="1104" hidden="1">
      <c r="A1104" s="67" t="s">
        <v>1864</v>
      </c>
      <c r="B1104" s="67" t="s">
        <v>519</v>
      </c>
      <c r="C1104" s="68">
        <v>0.5</v>
      </c>
      <c r="D1104" s="68">
        <v>0.1</v>
      </c>
      <c r="E1104" s="68">
        <v>2.0</v>
      </c>
      <c r="F1104" s="68">
        <v>2.0</v>
      </c>
      <c r="G1104" s="68">
        <v>0.206777119219931</v>
      </c>
      <c r="H1104" s="68">
        <v>0.420245147853419</v>
      </c>
      <c r="I1104" s="69">
        <v>44313.66091435185</v>
      </c>
      <c r="J1104" s="69">
        <v>44313.66096064815</v>
      </c>
      <c r="K1104">
        <f>AVERAGE(H1102:H1106)</f>
        <v>105.5455438</v>
      </c>
      <c r="L1104">
        <f>STDEV(H1102:H1106)</f>
        <v>77.16190867</v>
      </c>
      <c r="M1104" s="70">
        <v>0.420245147853419</v>
      </c>
      <c r="N1104" s="70">
        <v>0.420245147853419</v>
      </c>
      <c r="O1104" s="70">
        <v>0.206777119219931</v>
      </c>
      <c r="P1104" s="70">
        <v>0.206777119219931</v>
      </c>
    </row>
    <row r="1105" hidden="1">
      <c r="A1105" s="67" t="s">
        <v>1865</v>
      </c>
      <c r="B1105" s="67" t="s">
        <v>519</v>
      </c>
      <c r="C1105" s="68">
        <v>0.5</v>
      </c>
      <c r="D1105" s="68">
        <v>0.1</v>
      </c>
      <c r="E1105" s="68">
        <v>2.0</v>
      </c>
      <c r="F1105" s="68">
        <v>3.0</v>
      </c>
      <c r="G1105" s="68">
        <v>1.83992838906838</v>
      </c>
      <c r="H1105" s="68">
        <v>94.4300566338541</v>
      </c>
      <c r="I1105" s="69">
        <v>44313.66166666667</v>
      </c>
      <c r="J1105" s="69">
        <v>44313.66417824074</v>
      </c>
      <c r="K1105">
        <f>AVERAGE(H1102:H1106)</f>
        <v>105.5455438</v>
      </c>
      <c r="L1105">
        <f>STDEV(H1102:H1106)</f>
        <v>77.16190867</v>
      </c>
      <c r="M1105" s="70">
        <v>94.4300566338541</v>
      </c>
      <c r="N1105" s="70">
        <v>94.4300566338541</v>
      </c>
      <c r="O1105" s="70">
        <v>1.83992838906838</v>
      </c>
      <c r="P1105" s="70">
        <v>1.83992838906838</v>
      </c>
    </row>
    <row r="1106" hidden="1">
      <c r="A1106" s="67" t="s">
        <v>1866</v>
      </c>
      <c r="B1106" s="67" t="s">
        <v>519</v>
      </c>
      <c r="C1106" s="68">
        <v>0.5</v>
      </c>
      <c r="D1106" s="68">
        <v>0.1</v>
      </c>
      <c r="E1106" s="68">
        <v>2.0</v>
      </c>
      <c r="F1106" s="68">
        <v>4.0</v>
      </c>
      <c r="G1106" s="68">
        <v>3.78270222790433</v>
      </c>
      <c r="H1106" s="68">
        <v>181.671895566434</v>
      </c>
      <c r="I1106" s="69">
        <v>44313.66489583333</v>
      </c>
      <c r="J1106" s="69">
        <v>44313.69295138889</v>
      </c>
      <c r="K1106">
        <f>AVERAGE(H1102:H1106)</f>
        <v>105.5455438</v>
      </c>
      <c r="L1106">
        <f>STDEV(H1102:H1106)</f>
        <v>77.16190867</v>
      </c>
      <c r="M1106" s="70">
        <v>181.671895566434</v>
      </c>
      <c r="N1106" s="70">
        <v>181.671895566434</v>
      </c>
      <c r="O1106" s="70">
        <v>3.78270222790433</v>
      </c>
      <c r="P1106" s="70">
        <v>3.78270222790433</v>
      </c>
    </row>
    <row r="1107" hidden="1">
      <c r="A1107" s="67" t="s">
        <v>1867</v>
      </c>
      <c r="B1107" s="67" t="s">
        <v>519</v>
      </c>
      <c r="C1107" s="68">
        <v>0.5</v>
      </c>
      <c r="D1107" s="68">
        <v>0.25</v>
      </c>
      <c r="E1107" s="68">
        <v>2.0</v>
      </c>
      <c r="F1107" s="68">
        <v>0.0</v>
      </c>
      <c r="G1107" s="68">
        <v>9.79625109572905</v>
      </c>
      <c r="H1107" s="68">
        <v>266.793785786276</v>
      </c>
      <c r="I1107" s="69">
        <v>44313.69366898148</v>
      </c>
      <c r="J1107" s="69">
        <v>44313.69422453704</v>
      </c>
      <c r="K1107">
        <f>AVERAGE(H1107:H1111)</f>
        <v>111.6768081</v>
      </c>
      <c r="L1107">
        <f>STDEV(H1107:H1111)</f>
        <v>107.1445178</v>
      </c>
      <c r="M1107" s="70">
        <v>266.793785786276</v>
      </c>
      <c r="N1107" s="70">
        <v>266.793785786276</v>
      </c>
      <c r="O1107" s="70">
        <v>9.79625109572905</v>
      </c>
      <c r="P1107" s="70">
        <v>9.79625109572905</v>
      </c>
    </row>
    <row r="1108" hidden="1">
      <c r="A1108" s="67" t="s">
        <v>1868</v>
      </c>
      <c r="B1108" s="67" t="s">
        <v>519</v>
      </c>
      <c r="C1108" s="68">
        <v>0.5</v>
      </c>
      <c r="D1108" s="68">
        <v>0.25</v>
      </c>
      <c r="E1108" s="68">
        <v>2.0</v>
      </c>
      <c r="F1108" s="68">
        <v>1.0</v>
      </c>
      <c r="G1108" s="68">
        <v>2.42845691636973</v>
      </c>
      <c r="H1108" s="68">
        <v>106.582955013095</v>
      </c>
      <c r="I1108" s="69">
        <v>44313.69493055555</v>
      </c>
      <c r="J1108" s="69">
        <v>44313.695231481484</v>
      </c>
      <c r="K1108">
        <f>AVERAGE(H1107:H1111)</f>
        <v>111.6768081</v>
      </c>
      <c r="L1108">
        <f>STDEV(H1107:H1111)</f>
        <v>107.1445178</v>
      </c>
      <c r="M1108" s="70">
        <v>106.582955013095</v>
      </c>
      <c r="N1108" s="70">
        <v>106.582955013095</v>
      </c>
      <c r="O1108" s="70">
        <v>2.42845691636973</v>
      </c>
      <c r="P1108" s="70">
        <v>2.42845691636973</v>
      </c>
    </row>
    <row r="1109" hidden="1">
      <c r="A1109" s="67" t="s">
        <v>1869</v>
      </c>
      <c r="B1109" s="67" t="s">
        <v>519</v>
      </c>
      <c r="C1109" s="68">
        <v>0.5</v>
      </c>
      <c r="D1109" s="68">
        <v>0.25</v>
      </c>
      <c r="E1109" s="68">
        <v>2.0</v>
      </c>
      <c r="F1109" s="68">
        <v>2.0</v>
      </c>
      <c r="G1109" s="68">
        <v>3.13221445827895</v>
      </c>
      <c r="H1109" s="68">
        <v>159.388272358222</v>
      </c>
      <c r="I1109" s="69">
        <v>44313.6959375</v>
      </c>
      <c r="J1109" s="69">
        <v>44313.74202546296</v>
      </c>
      <c r="K1109">
        <f>AVERAGE(H1107:H1111)</f>
        <v>111.6768081</v>
      </c>
      <c r="L1109">
        <f>STDEV(H1107:H1111)</f>
        <v>107.1445178</v>
      </c>
      <c r="M1109" s="70">
        <v>159.388272358222</v>
      </c>
      <c r="N1109" s="70">
        <v>159.388272358222</v>
      </c>
      <c r="O1109" s="70">
        <v>3.13221445827895</v>
      </c>
      <c r="P1109" s="70">
        <v>3.13221445827895</v>
      </c>
    </row>
    <row r="1110" hidden="1">
      <c r="A1110" s="67" t="s">
        <v>1870</v>
      </c>
      <c r="B1110" s="67" t="s">
        <v>519</v>
      </c>
      <c r="C1110" s="68">
        <v>0.5</v>
      </c>
      <c r="D1110" s="68">
        <v>0.25</v>
      </c>
      <c r="E1110" s="68">
        <v>2.0</v>
      </c>
      <c r="F1110" s="68">
        <v>3.0</v>
      </c>
      <c r="G1110" s="68">
        <v>0.975527047669137</v>
      </c>
      <c r="H1110" s="68">
        <v>14.6396867521584</v>
      </c>
      <c r="I1110" s="69">
        <v>44313.742731481485</v>
      </c>
      <c r="J1110" s="69">
        <v>44313.742800925924</v>
      </c>
      <c r="K1110">
        <f>AVERAGE(H1107:H1111)</f>
        <v>111.6768081</v>
      </c>
      <c r="L1110">
        <f>STDEV(H1107:H1111)</f>
        <v>107.1445178</v>
      </c>
      <c r="M1110" s="70">
        <v>14.6396867521584</v>
      </c>
      <c r="N1110" s="70">
        <v>14.6396867521584</v>
      </c>
      <c r="O1110" s="70">
        <v>0.975527047669137</v>
      </c>
      <c r="P1110" s="70">
        <v>0.975527047669137</v>
      </c>
    </row>
    <row r="1111" hidden="1">
      <c r="A1111" s="67" t="s">
        <v>1871</v>
      </c>
      <c r="B1111" s="67" t="s">
        <v>519</v>
      </c>
      <c r="C1111" s="68">
        <v>0.5</v>
      </c>
      <c r="D1111" s="68">
        <v>0.25</v>
      </c>
      <c r="E1111" s="68">
        <v>2.0</v>
      </c>
      <c r="F1111" s="68">
        <v>4.0</v>
      </c>
      <c r="G1111" s="68">
        <v>0.620505261797377</v>
      </c>
      <c r="H1111" s="68">
        <v>10.9793407579612</v>
      </c>
      <c r="I1111" s="69">
        <v>44313.74351851852</v>
      </c>
      <c r="J1111" s="69">
        <v>44313.744155092594</v>
      </c>
      <c r="K1111">
        <f>AVERAGE(H1107:H1111)</f>
        <v>111.6768081</v>
      </c>
      <c r="L1111">
        <f>STDEV(H1107:H1111)</f>
        <v>107.1445178</v>
      </c>
      <c r="M1111" s="70">
        <v>10.9793407579612</v>
      </c>
      <c r="N1111" s="70">
        <v>10.9793407579612</v>
      </c>
      <c r="O1111" s="70">
        <v>0.620505261797377</v>
      </c>
      <c r="P1111" s="70">
        <v>0.620505261797377</v>
      </c>
    </row>
    <row r="1112" hidden="1">
      <c r="A1112" s="67" t="s">
        <v>1872</v>
      </c>
      <c r="B1112" s="67" t="s">
        <v>519</v>
      </c>
      <c r="C1112" s="68">
        <v>0.5</v>
      </c>
      <c r="D1112" s="68">
        <v>0.5</v>
      </c>
      <c r="E1112" s="68">
        <v>2.0</v>
      </c>
      <c r="F1112" s="68">
        <v>0.0</v>
      </c>
      <c r="G1112" s="68">
        <v>0.695547592285203</v>
      </c>
      <c r="H1112" s="68">
        <v>0.915016556116492</v>
      </c>
      <c r="I1112" s="69">
        <v>44313.74486111111</v>
      </c>
      <c r="J1112" s="69">
        <v>44313.74508101852</v>
      </c>
      <c r="K1112">
        <f>AVERAGE(H1112:H1116)</f>
        <v>99.60740312</v>
      </c>
      <c r="L1112">
        <f>STDEV(H1112:H1116)</f>
        <v>99.02701134</v>
      </c>
      <c r="M1112" s="70">
        <v>0.915016556116492</v>
      </c>
      <c r="N1112" s="70">
        <v>0.915016556116492</v>
      </c>
      <c r="O1112" s="70">
        <v>0.695547592285203</v>
      </c>
      <c r="P1112" s="70">
        <v>0.695547592285203</v>
      </c>
    </row>
    <row r="1113" hidden="1">
      <c r="A1113" s="67" t="s">
        <v>1873</v>
      </c>
      <c r="B1113" s="67" t="s">
        <v>519</v>
      </c>
      <c r="C1113" s="68">
        <v>0.5</v>
      </c>
      <c r="D1113" s="68">
        <v>0.5</v>
      </c>
      <c r="E1113" s="68">
        <v>2.0</v>
      </c>
      <c r="F1113" s="68">
        <v>1.0</v>
      </c>
      <c r="G1113" s="68">
        <v>1.73472946282274</v>
      </c>
      <c r="H1113" s="68">
        <v>97.5448324602968</v>
      </c>
      <c r="I1113" s="69">
        <v>44313.745787037034</v>
      </c>
      <c r="J1113" s="69">
        <v>44313.74857638889</v>
      </c>
      <c r="K1113">
        <f>AVERAGE(H1112:H1116)</f>
        <v>99.60740312</v>
      </c>
      <c r="L1113">
        <f>STDEV(H1112:H1116)</f>
        <v>99.02701134</v>
      </c>
      <c r="M1113" s="70">
        <v>97.5448324602968</v>
      </c>
      <c r="N1113" s="70">
        <v>97.5448324602968</v>
      </c>
      <c r="O1113" s="70">
        <v>1.73472946282274</v>
      </c>
      <c r="P1113" s="70">
        <v>1.73472946282274</v>
      </c>
    </row>
    <row r="1114" hidden="1">
      <c r="A1114" s="67" t="s">
        <v>1874</v>
      </c>
      <c r="B1114" s="67" t="s">
        <v>519</v>
      </c>
      <c r="C1114" s="68">
        <v>0.5</v>
      </c>
      <c r="D1114" s="68">
        <v>0.5</v>
      </c>
      <c r="E1114" s="68">
        <v>2.0</v>
      </c>
      <c r="F1114" s="68">
        <v>2.0</v>
      </c>
      <c r="G1114" s="68">
        <v>9.16353586452592</v>
      </c>
      <c r="H1114" s="68">
        <v>218.690543730929</v>
      </c>
      <c r="I1114" s="69">
        <v>44313.74928240741</v>
      </c>
      <c r="J1114" s="69">
        <v>44313.749398148146</v>
      </c>
      <c r="K1114">
        <f>AVERAGE(H1112:H1116)</f>
        <v>99.60740312</v>
      </c>
      <c r="L1114">
        <f>STDEV(H1112:H1116)</f>
        <v>99.02701134</v>
      </c>
      <c r="M1114" s="70">
        <v>218.690543730929</v>
      </c>
      <c r="N1114" s="70">
        <v>218.690543730929</v>
      </c>
      <c r="O1114" s="70">
        <v>9.16353586452592</v>
      </c>
      <c r="P1114" s="70">
        <v>9.16353586452592</v>
      </c>
    </row>
    <row r="1115" hidden="1">
      <c r="A1115" s="67" t="s">
        <v>1875</v>
      </c>
      <c r="B1115" s="67" t="s">
        <v>519</v>
      </c>
      <c r="C1115" s="68">
        <v>0.5</v>
      </c>
      <c r="D1115" s="68">
        <v>0.5</v>
      </c>
      <c r="E1115" s="68">
        <v>2.0</v>
      </c>
      <c r="F1115" s="68">
        <v>3.0</v>
      </c>
      <c r="G1115" s="68">
        <v>3.82552810426458</v>
      </c>
      <c r="H1115" s="68">
        <v>177.426640292877</v>
      </c>
      <c r="I1115" s="69">
        <v>44313.75010416667</v>
      </c>
      <c r="J1115" s="69">
        <v>44313.79386574074</v>
      </c>
      <c r="K1115">
        <f>AVERAGE(H1112:H1116)</f>
        <v>99.60740312</v>
      </c>
      <c r="L1115">
        <f>STDEV(H1112:H1116)</f>
        <v>99.02701134</v>
      </c>
      <c r="M1115" s="70">
        <v>177.426640292877</v>
      </c>
      <c r="N1115" s="70">
        <v>177.426640292877</v>
      </c>
      <c r="O1115" s="70">
        <v>3.82552810426458</v>
      </c>
      <c r="P1115" s="70">
        <v>3.82552810426458</v>
      </c>
    </row>
    <row r="1116" hidden="1">
      <c r="A1116" s="67" t="s">
        <v>1876</v>
      </c>
      <c r="B1116" s="67" t="s">
        <v>519</v>
      </c>
      <c r="C1116" s="68">
        <v>0.5</v>
      </c>
      <c r="D1116" s="68">
        <v>0.5</v>
      </c>
      <c r="E1116" s="68">
        <v>2.0</v>
      </c>
      <c r="F1116" s="68">
        <v>4.0</v>
      </c>
      <c r="G1116" s="68">
        <v>2.19661449563354</v>
      </c>
      <c r="H1116" s="68">
        <v>3.4599825385096</v>
      </c>
      <c r="I1116" s="69">
        <v>44313.79457175926</v>
      </c>
      <c r="J1116" s="69">
        <v>44313.794594907406</v>
      </c>
      <c r="K1116">
        <f>AVERAGE(H1112:H1116)</f>
        <v>99.60740312</v>
      </c>
      <c r="L1116">
        <f>STDEV(H1112:H1116)</f>
        <v>99.02701134</v>
      </c>
      <c r="M1116" s="70">
        <v>3.4599825385096</v>
      </c>
      <c r="N1116" s="70">
        <v>3.4599825385096</v>
      </c>
      <c r="O1116" s="70">
        <v>2.19661449563354</v>
      </c>
      <c r="P1116" s="70">
        <v>2.19661449563354</v>
      </c>
    </row>
    <row r="1117" hidden="1">
      <c r="A1117" s="67" t="s">
        <v>1877</v>
      </c>
      <c r="B1117" s="67" t="s">
        <v>519</v>
      </c>
      <c r="C1117" s="68">
        <v>0.5</v>
      </c>
      <c r="D1117" s="68">
        <v>0.75</v>
      </c>
      <c r="E1117" s="68">
        <v>2.0</v>
      </c>
      <c r="F1117" s="68">
        <v>0.0</v>
      </c>
      <c r="G1117" s="68">
        <v>5.22368889524978</v>
      </c>
      <c r="H1117" s="68">
        <v>168.160607927257</v>
      </c>
      <c r="I1117" s="69">
        <v>44313.7953125</v>
      </c>
      <c r="J1117" s="69">
        <v>44313.79546296296</v>
      </c>
      <c r="K1117">
        <f>AVERAGE(H1117:H1121)</f>
        <v>170.4172988</v>
      </c>
      <c r="L1117">
        <f>STDEV(H1117:H1121)</f>
        <v>59.06222598</v>
      </c>
      <c r="M1117" s="70">
        <v>168.160607927257</v>
      </c>
      <c r="N1117" s="70">
        <v>168.160607927257</v>
      </c>
      <c r="O1117" s="70">
        <v>5.22368889524978</v>
      </c>
      <c r="P1117" s="70">
        <v>5.22368889524978</v>
      </c>
    </row>
    <row r="1118" hidden="1">
      <c r="A1118" s="67" t="s">
        <v>1878</v>
      </c>
      <c r="B1118" s="67" t="s">
        <v>519</v>
      </c>
      <c r="C1118" s="68">
        <v>0.5</v>
      </c>
      <c r="D1118" s="68">
        <v>0.75</v>
      </c>
      <c r="E1118" s="68">
        <v>2.0</v>
      </c>
      <c r="F1118" s="68">
        <v>1.0</v>
      </c>
      <c r="G1118" s="68">
        <v>8.61255936778778</v>
      </c>
      <c r="H1118" s="68">
        <v>222.607292028438</v>
      </c>
      <c r="I1118" s="69">
        <v>44313.796168981484</v>
      </c>
      <c r="J1118" s="69">
        <v>44313.79620370371</v>
      </c>
      <c r="K1118">
        <f>AVERAGE(H1117:H1121)</f>
        <v>170.4172988</v>
      </c>
      <c r="L1118">
        <f>STDEV(H1117:H1121)</f>
        <v>59.06222598</v>
      </c>
      <c r="M1118" s="70">
        <v>222.607292028438</v>
      </c>
      <c r="N1118" s="70">
        <v>222.607292028438</v>
      </c>
      <c r="O1118" s="70">
        <v>8.61255936778778</v>
      </c>
      <c r="P1118" s="70">
        <v>8.61255936778778</v>
      </c>
    </row>
    <row r="1119" hidden="1">
      <c r="A1119" s="67" t="s">
        <v>1879</v>
      </c>
      <c r="B1119" s="67" t="s">
        <v>519</v>
      </c>
      <c r="C1119" s="68">
        <v>0.5</v>
      </c>
      <c r="D1119" s="68">
        <v>0.75</v>
      </c>
      <c r="E1119" s="68">
        <v>2.0</v>
      </c>
      <c r="F1119" s="68">
        <v>2.0</v>
      </c>
      <c r="G1119" s="68">
        <v>1.3308813191584</v>
      </c>
      <c r="H1119" s="68">
        <v>75.9620808444294</v>
      </c>
      <c r="I1119" s="69">
        <v>44313.79690972222</v>
      </c>
      <c r="J1119" s="69">
        <v>44313.79840277778</v>
      </c>
      <c r="K1119">
        <f>AVERAGE(H1117:H1121)</f>
        <v>170.4172988</v>
      </c>
      <c r="L1119">
        <f>STDEV(H1117:H1121)</f>
        <v>59.06222598</v>
      </c>
      <c r="M1119" s="70">
        <v>75.9620808444294</v>
      </c>
      <c r="N1119" s="70">
        <v>75.9620808444294</v>
      </c>
      <c r="O1119" s="70">
        <v>1.3308813191584</v>
      </c>
      <c r="P1119" s="70">
        <v>1.3308813191584</v>
      </c>
    </row>
    <row r="1120" hidden="1">
      <c r="A1120" s="67" t="s">
        <v>1880</v>
      </c>
      <c r="B1120" s="67" t="s">
        <v>519</v>
      </c>
      <c r="C1120" s="68">
        <v>0.5</v>
      </c>
      <c r="D1120" s="68">
        <v>0.75</v>
      </c>
      <c r="E1120" s="68">
        <v>2.0</v>
      </c>
      <c r="F1120" s="68">
        <v>3.0</v>
      </c>
      <c r="G1120" s="68">
        <v>3.42757084636406</v>
      </c>
      <c r="H1120" s="68">
        <v>167.069572370247</v>
      </c>
      <c r="I1120" s="69">
        <v>44313.79912037037</v>
      </c>
      <c r="J1120" s="69">
        <v>44313.8569212963</v>
      </c>
      <c r="K1120">
        <f>AVERAGE(H1117:H1121)</f>
        <v>170.4172988</v>
      </c>
      <c r="L1120">
        <f>STDEV(H1117:H1121)</f>
        <v>59.06222598</v>
      </c>
      <c r="M1120" s="70">
        <v>167.069572370247</v>
      </c>
      <c r="N1120" s="70">
        <v>167.069572370247</v>
      </c>
      <c r="O1120" s="70">
        <v>3.42757084636406</v>
      </c>
      <c r="P1120" s="70">
        <v>3.42757084636406</v>
      </c>
    </row>
    <row r="1121" hidden="1">
      <c r="A1121" s="67" t="s">
        <v>1881</v>
      </c>
      <c r="B1121" s="67" t="s">
        <v>519</v>
      </c>
      <c r="C1121" s="68">
        <v>0.5</v>
      </c>
      <c r="D1121" s="68">
        <v>0.75</v>
      </c>
      <c r="E1121" s="68">
        <v>2.0</v>
      </c>
      <c r="F1121" s="68">
        <v>4.0</v>
      </c>
      <c r="G1121" s="68">
        <v>9.13318603979324</v>
      </c>
      <c r="H1121" s="68">
        <v>218.286940874213</v>
      </c>
      <c r="I1121" s="69">
        <v>44313.85763888889</v>
      </c>
      <c r="J1121" s="69">
        <v>44313.85774305555</v>
      </c>
      <c r="K1121">
        <f>AVERAGE(H1117:H1121)</f>
        <v>170.4172988</v>
      </c>
      <c r="L1121">
        <f>STDEV(H1117:H1121)</f>
        <v>59.06222598</v>
      </c>
      <c r="M1121" s="70">
        <v>218.286940874213</v>
      </c>
      <c r="N1121" s="70">
        <v>218.286940874213</v>
      </c>
      <c r="O1121" s="70">
        <v>9.13318603979324</v>
      </c>
      <c r="P1121" s="70">
        <v>9.13318603979324</v>
      </c>
    </row>
    <row r="1122" hidden="1">
      <c r="A1122" s="67" t="s">
        <v>1882</v>
      </c>
      <c r="B1122" s="67" t="s">
        <v>519</v>
      </c>
      <c r="C1122" s="68">
        <v>0.5</v>
      </c>
      <c r="D1122" s="68">
        <v>1.0</v>
      </c>
      <c r="E1122" s="68">
        <v>2.0</v>
      </c>
      <c r="F1122" s="68">
        <v>0.0</v>
      </c>
      <c r="G1122" s="68">
        <v>1.73087503474224</v>
      </c>
      <c r="H1122" s="68">
        <v>84.0938813793715</v>
      </c>
      <c r="I1122" s="69">
        <v>44313.858449074076</v>
      </c>
      <c r="J1122" s="69">
        <v>44313.85915509259</v>
      </c>
      <c r="K1122">
        <f>AVERAGE(H1122:H1126)</f>
        <v>107.5034892</v>
      </c>
      <c r="L1122">
        <f>STDEV(H1122:H1126)</f>
        <v>67.70378476</v>
      </c>
      <c r="M1122" s="70">
        <v>84.0938813793715</v>
      </c>
      <c r="N1122" s="70">
        <v>84.0938813793715</v>
      </c>
      <c r="O1122" s="70">
        <v>1.73087503474224</v>
      </c>
      <c r="P1122" s="70">
        <v>1.73087503474224</v>
      </c>
    </row>
    <row r="1123" hidden="1">
      <c r="A1123" s="67" t="s">
        <v>1883</v>
      </c>
      <c r="B1123" s="67" t="s">
        <v>519</v>
      </c>
      <c r="C1123" s="68">
        <v>0.5</v>
      </c>
      <c r="D1123" s="68">
        <v>1.0</v>
      </c>
      <c r="E1123" s="68">
        <v>2.0</v>
      </c>
      <c r="F1123" s="68">
        <v>1.0</v>
      </c>
      <c r="G1123" s="68">
        <v>3.57149746338015</v>
      </c>
      <c r="H1123" s="68">
        <v>169.517840417192</v>
      </c>
      <c r="I1123" s="69">
        <v>44313.85986111111</v>
      </c>
      <c r="J1123" s="69">
        <v>44313.93412037037</v>
      </c>
      <c r="K1123">
        <f>AVERAGE(H1122:H1126)</f>
        <v>107.5034892</v>
      </c>
      <c r="L1123">
        <f>STDEV(H1122:H1126)</f>
        <v>67.70378476</v>
      </c>
      <c r="M1123" s="70">
        <v>169.517840417192</v>
      </c>
      <c r="N1123" s="70">
        <v>169.517840417192</v>
      </c>
      <c r="O1123" s="70">
        <v>3.57149746338015</v>
      </c>
      <c r="P1123" s="70">
        <v>3.57149746338015</v>
      </c>
    </row>
    <row r="1124" hidden="1">
      <c r="A1124" s="67" t="s">
        <v>1884</v>
      </c>
      <c r="B1124" s="67" t="s">
        <v>519</v>
      </c>
      <c r="C1124" s="68">
        <v>0.5</v>
      </c>
      <c r="D1124" s="68">
        <v>1.0</v>
      </c>
      <c r="E1124" s="68">
        <v>2.0</v>
      </c>
      <c r="F1124" s="68">
        <v>2.0</v>
      </c>
      <c r="G1124" s="68">
        <v>4.97124706593709</v>
      </c>
      <c r="H1124" s="68">
        <v>151.253610780075</v>
      </c>
      <c r="I1124" s="69">
        <v>44313.93482638889</v>
      </c>
      <c r="J1124" s="69">
        <v>44313.93508101852</v>
      </c>
      <c r="K1124">
        <f>AVERAGE(H1122:H1126)</f>
        <v>107.5034892</v>
      </c>
      <c r="L1124">
        <f>STDEV(H1122:H1126)</f>
        <v>67.70378476</v>
      </c>
      <c r="M1124" s="70">
        <v>151.253610780075</v>
      </c>
      <c r="N1124" s="70">
        <v>151.253610780075</v>
      </c>
      <c r="O1124" s="70">
        <v>4.97124706593709</v>
      </c>
      <c r="P1124" s="70">
        <v>4.97124706593709</v>
      </c>
    </row>
    <row r="1125" hidden="1">
      <c r="A1125" s="67" t="s">
        <v>1885</v>
      </c>
      <c r="B1125" s="67" t="s">
        <v>519</v>
      </c>
      <c r="C1125" s="68">
        <v>0.5</v>
      </c>
      <c r="D1125" s="68">
        <v>1.0</v>
      </c>
      <c r="E1125" s="68">
        <v>2.0</v>
      </c>
      <c r="F1125" s="68">
        <v>3.0</v>
      </c>
      <c r="G1125" s="68">
        <v>0.485401521796469</v>
      </c>
      <c r="H1125" s="68">
        <v>0.613860890771523</v>
      </c>
      <c r="I1125" s="69">
        <v>44313.93578703704</v>
      </c>
      <c r="J1125" s="69">
        <v>44313.93579861111</v>
      </c>
      <c r="K1125">
        <f>AVERAGE(H1122:H1126)</f>
        <v>107.5034892</v>
      </c>
      <c r="L1125">
        <f>STDEV(H1122:H1126)</f>
        <v>67.70378476</v>
      </c>
      <c r="M1125" s="70">
        <v>0.613860890771523</v>
      </c>
      <c r="N1125" s="70">
        <v>0.613860890771523</v>
      </c>
      <c r="O1125" s="70">
        <v>0.485401521796469</v>
      </c>
      <c r="P1125" s="70">
        <v>0.485401521796469</v>
      </c>
    </row>
    <row r="1126" hidden="1">
      <c r="A1126" s="67" t="s">
        <v>1886</v>
      </c>
      <c r="B1126" s="67" t="s">
        <v>519</v>
      </c>
      <c r="C1126" s="68">
        <v>0.5</v>
      </c>
      <c r="D1126" s="68">
        <v>1.0</v>
      </c>
      <c r="E1126" s="68">
        <v>2.0</v>
      </c>
      <c r="F1126" s="68">
        <v>4.0</v>
      </c>
      <c r="G1126" s="68">
        <v>2.49603971113464</v>
      </c>
      <c r="H1126" s="68">
        <v>132.038252443348</v>
      </c>
      <c r="I1126" s="69">
        <v>44313.93650462963</v>
      </c>
      <c r="J1126" s="69">
        <v>44313.93672453704</v>
      </c>
      <c r="K1126">
        <f>AVERAGE(H1122:H1126)</f>
        <v>107.5034892</v>
      </c>
      <c r="L1126">
        <f>STDEV(H1122:H1126)</f>
        <v>67.70378476</v>
      </c>
      <c r="M1126" s="70">
        <v>132.038252443348</v>
      </c>
      <c r="N1126" s="70">
        <v>132.038252443348</v>
      </c>
      <c r="O1126" s="70">
        <v>2.49603971113464</v>
      </c>
      <c r="P1126" s="70">
        <v>2.49603971113464</v>
      </c>
    </row>
    <row r="1127" hidden="1">
      <c r="A1127" s="67" t="s">
        <v>1887</v>
      </c>
      <c r="B1127" s="67" t="s">
        <v>519</v>
      </c>
      <c r="C1127" s="68">
        <v>0.75</v>
      </c>
      <c r="D1127" s="68">
        <v>0.1</v>
      </c>
      <c r="E1127" s="68">
        <v>2.0</v>
      </c>
      <c r="F1127" s="68">
        <v>0.0</v>
      </c>
      <c r="G1127" s="68">
        <v>0.510777112840109</v>
      </c>
      <c r="H1127" s="68">
        <v>0.885633912199155</v>
      </c>
      <c r="I1127" s="69">
        <v>44313.93744212963</v>
      </c>
      <c r="J1127" s="69">
        <v>44313.93787037037</v>
      </c>
      <c r="K1127">
        <f>AVERAGE(H1127:H1131)</f>
        <v>134.1676947</v>
      </c>
      <c r="L1127">
        <f>STDEV(H1127:H1131)</f>
        <v>86.7240664</v>
      </c>
      <c r="M1127" s="70">
        <v>0.885633912199155</v>
      </c>
      <c r="N1127" s="70">
        <v>0.885633912199155</v>
      </c>
      <c r="O1127" s="70">
        <v>0.510777112840109</v>
      </c>
      <c r="P1127" s="70">
        <v>0.510777112840109</v>
      </c>
    </row>
    <row r="1128" hidden="1">
      <c r="A1128" s="67" t="s">
        <v>1888</v>
      </c>
      <c r="B1128" s="67" t="s">
        <v>519</v>
      </c>
      <c r="C1128" s="68">
        <v>0.75</v>
      </c>
      <c r="D1128" s="68">
        <v>0.1</v>
      </c>
      <c r="E1128" s="68">
        <v>2.0</v>
      </c>
      <c r="F1128" s="68">
        <v>1.0</v>
      </c>
      <c r="G1128" s="68">
        <v>2.46188350785702</v>
      </c>
      <c r="H1128" s="68">
        <v>101.40745177154</v>
      </c>
      <c r="I1128" s="69">
        <v>44313.93858796296</v>
      </c>
      <c r="J1128" s="69">
        <v>44313.93902777778</v>
      </c>
      <c r="K1128">
        <f>AVERAGE(H1127:H1131)</f>
        <v>134.1676947</v>
      </c>
      <c r="L1128">
        <f>STDEV(H1127:H1131)</f>
        <v>86.7240664</v>
      </c>
      <c r="M1128" s="70">
        <v>101.40745177154</v>
      </c>
      <c r="N1128" s="70">
        <v>101.40745177154</v>
      </c>
      <c r="O1128" s="70">
        <v>2.46188350785702</v>
      </c>
      <c r="P1128" s="70">
        <v>2.46188350785702</v>
      </c>
    </row>
    <row r="1129" hidden="1">
      <c r="A1129" s="67" t="s">
        <v>1889</v>
      </c>
      <c r="B1129" s="67" t="s">
        <v>519</v>
      </c>
      <c r="C1129" s="68">
        <v>0.75</v>
      </c>
      <c r="D1129" s="68">
        <v>0.1</v>
      </c>
      <c r="E1129" s="68">
        <v>2.0</v>
      </c>
      <c r="F1129" s="68">
        <v>2.0</v>
      </c>
      <c r="G1129" s="68">
        <v>3.60391424282385</v>
      </c>
      <c r="H1129" s="68">
        <v>174.951464391992</v>
      </c>
      <c r="I1129" s="69">
        <v>44313.93974537037</v>
      </c>
      <c r="J1129" s="69">
        <v>44314.000868055555</v>
      </c>
      <c r="K1129">
        <f>AVERAGE(H1127:H1131)</f>
        <v>134.1676947</v>
      </c>
      <c r="L1129">
        <f>STDEV(H1127:H1131)</f>
        <v>86.7240664</v>
      </c>
      <c r="M1129" s="70">
        <v>174.951464391992</v>
      </c>
      <c r="N1129" s="70">
        <v>174.951464391992</v>
      </c>
      <c r="O1129" s="70">
        <v>3.60391424282385</v>
      </c>
      <c r="P1129" s="70">
        <v>3.60391424282385</v>
      </c>
    </row>
    <row r="1130" hidden="1">
      <c r="A1130" s="67" t="s">
        <v>1890</v>
      </c>
      <c r="B1130" s="67" t="s">
        <v>519</v>
      </c>
      <c r="C1130" s="68">
        <v>0.75</v>
      </c>
      <c r="D1130" s="68">
        <v>0.1</v>
      </c>
      <c r="E1130" s="68">
        <v>2.0</v>
      </c>
      <c r="F1130" s="68">
        <v>3.0</v>
      </c>
      <c r="G1130" s="68">
        <v>6.99001780704225</v>
      </c>
      <c r="H1130" s="68">
        <v>226.282106304323</v>
      </c>
      <c r="I1130" s="69">
        <v>44314.00158564815</v>
      </c>
      <c r="J1130" s="69">
        <v>44314.00173611111</v>
      </c>
      <c r="K1130">
        <f>AVERAGE(H1127:H1131)</f>
        <v>134.1676947</v>
      </c>
      <c r="L1130">
        <f>STDEV(H1127:H1131)</f>
        <v>86.7240664</v>
      </c>
      <c r="M1130" s="70">
        <v>226.282106304323</v>
      </c>
      <c r="N1130" s="70">
        <v>226.282106304323</v>
      </c>
      <c r="O1130" s="70">
        <v>6.99001780704225</v>
      </c>
      <c r="P1130" s="70">
        <v>6.99001780704225</v>
      </c>
    </row>
    <row r="1131" hidden="1">
      <c r="A1131" s="67" t="s">
        <v>1891</v>
      </c>
      <c r="B1131" s="67" t="s">
        <v>519</v>
      </c>
      <c r="C1131" s="68">
        <v>0.75</v>
      </c>
      <c r="D1131" s="68">
        <v>0.1</v>
      </c>
      <c r="E1131" s="68">
        <v>2.0</v>
      </c>
      <c r="F1131" s="68">
        <v>4.0</v>
      </c>
      <c r="G1131" s="68">
        <v>4.49587990721596</v>
      </c>
      <c r="H1131" s="68">
        <v>167.311816871959</v>
      </c>
      <c r="I1131" s="69">
        <v>44314.00244212963</v>
      </c>
      <c r="J1131" s="69">
        <v>44314.002592592595</v>
      </c>
      <c r="K1131">
        <f>AVERAGE(H1127:H1131)</f>
        <v>134.1676947</v>
      </c>
      <c r="L1131">
        <f>STDEV(H1127:H1131)</f>
        <v>86.7240664</v>
      </c>
      <c r="M1131" s="70">
        <v>167.311816871959</v>
      </c>
      <c r="N1131" s="70">
        <v>167.311816871959</v>
      </c>
      <c r="O1131" s="70">
        <v>4.49587990721596</v>
      </c>
      <c r="P1131" s="70">
        <v>4.49587990721596</v>
      </c>
    </row>
    <row r="1132" hidden="1">
      <c r="A1132" s="67" t="s">
        <v>1892</v>
      </c>
      <c r="B1132" s="67" t="s">
        <v>519</v>
      </c>
      <c r="C1132" s="68">
        <v>0.75</v>
      </c>
      <c r="D1132" s="68">
        <v>0.25</v>
      </c>
      <c r="E1132" s="68">
        <v>2.0</v>
      </c>
      <c r="F1132" s="68">
        <v>0.0</v>
      </c>
      <c r="G1132" s="68">
        <v>0.423234559222296</v>
      </c>
      <c r="H1132" s="68">
        <v>0.761690383344015</v>
      </c>
      <c r="I1132" s="69">
        <v>44314.00329861111</v>
      </c>
      <c r="J1132" s="69">
        <v>44314.00329861111</v>
      </c>
      <c r="K1132">
        <f>AVERAGE(H1132:H1136)</f>
        <v>106.3483304</v>
      </c>
      <c r="L1132">
        <f>STDEV(H1132:H1136)</f>
        <v>87.30721587</v>
      </c>
      <c r="M1132" s="70">
        <v>0.761690383344015</v>
      </c>
      <c r="N1132" s="70">
        <v>0.761690383344015</v>
      </c>
      <c r="O1132" s="70">
        <v>0.423234559222296</v>
      </c>
      <c r="P1132" s="70">
        <v>0.423234559222296</v>
      </c>
    </row>
    <row r="1133" hidden="1">
      <c r="A1133" s="67" t="s">
        <v>1893</v>
      </c>
      <c r="B1133" s="67" t="s">
        <v>519</v>
      </c>
      <c r="C1133" s="68">
        <v>0.75</v>
      </c>
      <c r="D1133" s="68">
        <v>0.25</v>
      </c>
      <c r="E1133" s="68">
        <v>2.0</v>
      </c>
      <c r="F1133" s="68">
        <v>1.0</v>
      </c>
      <c r="G1133" s="68">
        <v>3.68377110851193</v>
      </c>
      <c r="H1133" s="68">
        <v>181.337687520714</v>
      </c>
      <c r="I1133" s="69">
        <v>44314.004016203704</v>
      </c>
      <c r="J1133" s="69">
        <v>44314.03207175926</v>
      </c>
      <c r="K1133">
        <f>AVERAGE(H1132:H1136)</f>
        <v>106.3483304</v>
      </c>
      <c r="L1133">
        <f>STDEV(H1132:H1136)</f>
        <v>87.30721587</v>
      </c>
      <c r="M1133" s="70">
        <v>181.337687520714</v>
      </c>
      <c r="N1133" s="70">
        <v>181.337687520714</v>
      </c>
      <c r="O1133" s="70">
        <v>3.68377110851193</v>
      </c>
      <c r="P1133" s="70">
        <v>3.68377110851193</v>
      </c>
    </row>
    <row r="1134" hidden="1">
      <c r="A1134" s="67" t="s">
        <v>1894</v>
      </c>
      <c r="B1134" s="67" t="s">
        <v>519</v>
      </c>
      <c r="C1134" s="68">
        <v>0.75</v>
      </c>
      <c r="D1134" s="68">
        <v>0.25</v>
      </c>
      <c r="E1134" s="68">
        <v>2.0</v>
      </c>
      <c r="F1134" s="68">
        <v>2.0</v>
      </c>
      <c r="G1134" s="68">
        <v>3.03963219197913</v>
      </c>
      <c r="H1134" s="68">
        <v>138.493769878799</v>
      </c>
      <c r="I1134" s="69">
        <v>44314.032789351855</v>
      </c>
      <c r="J1134" s="69">
        <v>44314.039814814816</v>
      </c>
      <c r="K1134">
        <f>AVERAGE(H1132:H1136)</f>
        <v>106.3483304</v>
      </c>
      <c r="L1134">
        <f>STDEV(H1132:H1136)</f>
        <v>87.30721587</v>
      </c>
      <c r="M1134" s="70">
        <v>138.493769878799</v>
      </c>
      <c r="N1134" s="70">
        <v>138.493769878799</v>
      </c>
      <c r="O1134" s="70">
        <v>3.03963219197913</v>
      </c>
      <c r="P1134" s="70">
        <v>3.03963219197913</v>
      </c>
    </row>
    <row r="1135" hidden="1">
      <c r="A1135" s="67" t="s">
        <v>1895</v>
      </c>
      <c r="B1135" s="67" t="s">
        <v>519</v>
      </c>
      <c r="C1135" s="68">
        <v>0.75</v>
      </c>
      <c r="D1135" s="68">
        <v>0.25</v>
      </c>
      <c r="E1135" s="68">
        <v>2.0</v>
      </c>
      <c r="F1135" s="68">
        <v>3.0</v>
      </c>
      <c r="G1135" s="68">
        <v>4.87733194333709</v>
      </c>
      <c r="H1135" s="68">
        <v>185.21007915728</v>
      </c>
      <c r="I1135" s="69">
        <v>44314.04053240741</v>
      </c>
      <c r="J1135" s="69">
        <v>44314.040671296294</v>
      </c>
      <c r="K1135">
        <f>AVERAGE(H1132:H1136)</f>
        <v>106.3483304</v>
      </c>
      <c r="L1135">
        <f>STDEV(H1132:H1136)</f>
        <v>87.30721587</v>
      </c>
      <c r="M1135" s="70">
        <v>185.21007915728</v>
      </c>
      <c r="N1135" s="70">
        <v>185.21007915728</v>
      </c>
      <c r="O1135" s="70">
        <v>4.87733194333709</v>
      </c>
      <c r="P1135" s="70">
        <v>4.87733194333709</v>
      </c>
    </row>
    <row r="1136" hidden="1">
      <c r="A1136" s="67" t="s">
        <v>1896</v>
      </c>
      <c r="B1136" s="67" t="s">
        <v>519</v>
      </c>
      <c r="C1136" s="68">
        <v>0.75</v>
      </c>
      <c r="D1136" s="68">
        <v>0.25</v>
      </c>
      <c r="E1136" s="68">
        <v>2.0</v>
      </c>
      <c r="F1136" s="68">
        <v>4.0</v>
      </c>
      <c r="G1136" s="68">
        <v>1.59727482826265</v>
      </c>
      <c r="H1136" s="68">
        <v>25.9384252701773</v>
      </c>
      <c r="I1136" s="69">
        <v>44314.04138888889</v>
      </c>
      <c r="J1136" s="69">
        <v>44314.041655092595</v>
      </c>
      <c r="K1136">
        <f>AVERAGE(H1132:H1136)</f>
        <v>106.3483304</v>
      </c>
      <c r="L1136">
        <f>STDEV(H1132:H1136)</f>
        <v>87.30721587</v>
      </c>
      <c r="M1136" s="70">
        <v>25.9384252701773</v>
      </c>
      <c r="N1136" s="70">
        <v>25.9384252701773</v>
      </c>
      <c r="O1136" s="70">
        <v>1.59727482826265</v>
      </c>
      <c r="P1136" s="70">
        <v>1.59727482826265</v>
      </c>
    </row>
    <row r="1137" hidden="1">
      <c r="A1137" s="67" t="s">
        <v>1897</v>
      </c>
      <c r="B1137" s="67" t="s">
        <v>519</v>
      </c>
      <c r="C1137" s="68">
        <v>0.75</v>
      </c>
      <c r="D1137" s="68">
        <v>0.5</v>
      </c>
      <c r="E1137" s="68">
        <v>2.0</v>
      </c>
      <c r="F1137" s="68">
        <v>0.0</v>
      </c>
      <c r="G1137" s="68">
        <v>9.18062444369471</v>
      </c>
      <c r="H1137" s="68">
        <v>218.657134655609</v>
      </c>
      <c r="I1137" s="69">
        <v>44314.04236111111</v>
      </c>
      <c r="J1137" s="69">
        <v>44314.04247685185</v>
      </c>
      <c r="K1137">
        <f>AVERAGE(H1137:H1141)</f>
        <v>110.1599788</v>
      </c>
      <c r="L1137">
        <f>STDEV(H1137:H1141)</f>
        <v>101.0548993</v>
      </c>
      <c r="M1137" s="70">
        <v>218.657134655609</v>
      </c>
      <c r="N1137" s="70">
        <v>218.657134655609</v>
      </c>
      <c r="O1137" s="70">
        <v>9.18062444369471</v>
      </c>
      <c r="P1137" s="70">
        <v>9.18062444369471</v>
      </c>
    </row>
    <row r="1138" hidden="1">
      <c r="A1138" s="67" t="s">
        <v>1898</v>
      </c>
      <c r="B1138" s="67" t="s">
        <v>519</v>
      </c>
      <c r="C1138" s="68">
        <v>0.75</v>
      </c>
      <c r="D1138" s="68">
        <v>0.5</v>
      </c>
      <c r="E1138" s="68">
        <v>2.0</v>
      </c>
      <c r="F1138" s="68">
        <v>1.0</v>
      </c>
      <c r="G1138" s="68">
        <v>3.43637089881062</v>
      </c>
      <c r="H1138" s="68">
        <v>166.287406401056</v>
      </c>
      <c r="I1138" s="69">
        <v>44314.04318287037</v>
      </c>
      <c r="J1138" s="69">
        <v>44314.114652777775</v>
      </c>
      <c r="K1138">
        <f>AVERAGE(H1137:H1141)</f>
        <v>110.1599788</v>
      </c>
      <c r="L1138">
        <f>STDEV(H1137:H1141)</f>
        <v>101.0548993</v>
      </c>
      <c r="M1138" s="70">
        <v>166.287406401056</v>
      </c>
      <c r="N1138" s="70">
        <v>166.287406401056</v>
      </c>
      <c r="O1138" s="70">
        <v>3.43637089881062</v>
      </c>
      <c r="P1138" s="70">
        <v>3.43637089881062</v>
      </c>
    </row>
    <row r="1139" hidden="1">
      <c r="A1139" s="67" t="s">
        <v>1899</v>
      </c>
      <c r="B1139" s="67" t="s">
        <v>519</v>
      </c>
      <c r="C1139" s="68">
        <v>0.75</v>
      </c>
      <c r="D1139" s="68">
        <v>0.5</v>
      </c>
      <c r="E1139" s="68">
        <v>2.0</v>
      </c>
      <c r="F1139" s="68">
        <v>2.0</v>
      </c>
      <c r="G1139" s="68">
        <v>0.61327205228964</v>
      </c>
      <c r="H1139" s="68">
        <v>3.54407314974683</v>
      </c>
      <c r="I1139" s="69">
        <v>44314.1153587963</v>
      </c>
      <c r="J1139" s="69">
        <v>44314.11555555555</v>
      </c>
      <c r="K1139">
        <f>AVERAGE(H1137:H1141)</f>
        <v>110.1599788</v>
      </c>
      <c r="L1139">
        <f>STDEV(H1137:H1141)</f>
        <v>101.0548993</v>
      </c>
      <c r="M1139" s="70">
        <v>3.54407314974683</v>
      </c>
      <c r="N1139" s="70">
        <v>3.54407314974683</v>
      </c>
      <c r="O1139" s="70">
        <v>0.61327205228964</v>
      </c>
      <c r="P1139" s="70">
        <v>0.61327205228964</v>
      </c>
    </row>
    <row r="1140" hidden="1">
      <c r="A1140" s="67" t="s">
        <v>1900</v>
      </c>
      <c r="B1140" s="67" t="s">
        <v>519</v>
      </c>
      <c r="C1140" s="68">
        <v>0.75</v>
      </c>
      <c r="D1140" s="68">
        <v>0.5</v>
      </c>
      <c r="E1140" s="68">
        <v>2.0</v>
      </c>
      <c r="F1140" s="68">
        <v>3.0</v>
      </c>
      <c r="G1140" s="68">
        <v>4.44364129046295</v>
      </c>
      <c r="H1140" s="68">
        <v>161.395888736418</v>
      </c>
      <c r="I1140" s="69">
        <v>44314.116261574076</v>
      </c>
      <c r="J1140" s="69">
        <v>44314.116481481484</v>
      </c>
      <c r="K1140">
        <f>AVERAGE(H1137:H1141)</f>
        <v>110.1599788</v>
      </c>
      <c r="L1140">
        <f>STDEV(H1137:H1141)</f>
        <v>101.0548993</v>
      </c>
      <c r="M1140" s="70">
        <v>161.395888736418</v>
      </c>
      <c r="N1140" s="70">
        <v>161.395888736418</v>
      </c>
      <c r="O1140" s="70">
        <v>4.44364129046295</v>
      </c>
      <c r="P1140" s="70">
        <v>4.44364129046295</v>
      </c>
    </row>
    <row r="1141" hidden="1">
      <c r="A1141" s="67" t="s">
        <v>1901</v>
      </c>
      <c r="B1141" s="67" t="s">
        <v>519</v>
      </c>
      <c r="C1141" s="68">
        <v>0.75</v>
      </c>
      <c r="D1141" s="68">
        <v>0.5</v>
      </c>
      <c r="E1141" s="68">
        <v>2.0</v>
      </c>
      <c r="F1141" s="68">
        <v>4.0</v>
      </c>
      <c r="G1141" s="68">
        <v>0.696011889606323</v>
      </c>
      <c r="H1141" s="68">
        <v>0.915391144850654</v>
      </c>
      <c r="I1141" s="69">
        <v>44314.1171875</v>
      </c>
      <c r="J1141" s="69">
        <v>44314.11740740741</v>
      </c>
      <c r="K1141">
        <f>AVERAGE(H1137:H1141)</f>
        <v>110.1599788</v>
      </c>
      <c r="L1141">
        <f>STDEV(H1137:H1141)</f>
        <v>101.0548993</v>
      </c>
      <c r="M1141" s="70">
        <v>0.915391144850654</v>
      </c>
      <c r="N1141" s="70">
        <v>0.915391144850654</v>
      </c>
      <c r="O1141" s="70">
        <v>0.696011889606323</v>
      </c>
      <c r="P1141" s="70">
        <v>0.696011889606323</v>
      </c>
    </row>
    <row r="1142" hidden="1">
      <c r="A1142" s="67" t="s">
        <v>1902</v>
      </c>
      <c r="B1142" s="67" t="s">
        <v>519</v>
      </c>
      <c r="C1142" s="68">
        <v>0.75</v>
      </c>
      <c r="D1142" s="68">
        <v>0.75</v>
      </c>
      <c r="E1142" s="68">
        <v>2.0</v>
      </c>
      <c r="F1142" s="68">
        <v>0.0</v>
      </c>
      <c r="G1142" s="68">
        <v>9.10526824515469</v>
      </c>
      <c r="H1142" s="68">
        <v>217.720161444004</v>
      </c>
      <c r="I1142" s="69">
        <v>44314.118113425924</v>
      </c>
      <c r="J1142" s="69">
        <v>44314.11822916667</v>
      </c>
      <c r="K1142">
        <f>AVERAGE(H1142:H1146)</f>
        <v>97.39231245</v>
      </c>
      <c r="L1142">
        <f>STDEV(H1142:H1146)</f>
        <v>97.23504988</v>
      </c>
      <c r="M1142" s="70">
        <v>217.720161444004</v>
      </c>
      <c r="N1142" s="70">
        <v>217.720161444004</v>
      </c>
      <c r="O1142" s="70">
        <v>9.10526824515469</v>
      </c>
      <c r="P1142" s="70">
        <v>9.10526824515469</v>
      </c>
    </row>
    <row r="1143" hidden="1">
      <c r="A1143" s="67" t="s">
        <v>1903</v>
      </c>
      <c r="B1143" s="67" t="s">
        <v>519</v>
      </c>
      <c r="C1143" s="68">
        <v>0.75</v>
      </c>
      <c r="D1143" s="68">
        <v>0.75</v>
      </c>
      <c r="E1143" s="68">
        <v>2.0</v>
      </c>
      <c r="F1143" s="68">
        <v>1.0</v>
      </c>
      <c r="G1143" s="68">
        <v>0.435892374287305</v>
      </c>
      <c r="H1143" s="68">
        <v>0.517789750177409</v>
      </c>
      <c r="I1143" s="69">
        <v>44314.118935185186</v>
      </c>
      <c r="J1143" s="69">
        <v>44314.1190625</v>
      </c>
      <c r="K1143">
        <f>AVERAGE(H1142:H1146)</f>
        <v>97.39231245</v>
      </c>
      <c r="L1143">
        <f>STDEV(H1142:H1146)</f>
        <v>97.23504988</v>
      </c>
      <c r="M1143" s="70">
        <v>0.517789750177409</v>
      </c>
      <c r="N1143" s="70">
        <v>0.517789750177409</v>
      </c>
      <c r="O1143" s="70">
        <v>0.435892374287305</v>
      </c>
      <c r="P1143" s="70">
        <v>0.435892374287305</v>
      </c>
    </row>
    <row r="1144" hidden="1">
      <c r="A1144" s="67" t="s">
        <v>1904</v>
      </c>
      <c r="B1144" s="67" t="s">
        <v>519</v>
      </c>
      <c r="C1144" s="68">
        <v>0.75</v>
      </c>
      <c r="D1144" s="68">
        <v>0.75</v>
      </c>
      <c r="E1144" s="68">
        <v>2.0</v>
      </c>
      <c r="F1144" s="68">
        <v>2.0</v>
      </c>
      <c r="G1144" s="68">
        <v>3.41269099438727</v>
      </c>
      <c r="H1144" s="68">
        <v>164.638129505869</v>
      </c>
      <c r="I1144" s="69">
        <v>44314.11976851852</v>
      </c>
      <c r="J1144" s="69">
        <v>44314.23431712963</v>
      </c>
      <c r="K1144">
        <f>AVERAGE(H1142:H1146)</f>
        <v>97.39231245</v>
      </c>
      <c r="L1144">
        <f>STDEV(H1142:H1146)</f>
        <v>97.23504988</v>
      </c>
      <c r="M1144" s="70">
        <v>164.638129505869</v>
      </c>
      <c r="N1144" s="70">
        <v>164.638129505869</v>
      </c>
      <c r="O1144" s="70">
        <v>3.41269099438727</v>
      </c>
      <c r="P1144" s="70">
        <v>3.41269099438727</v>
      </c>
    </row>
    <row r="1145" hidden="1">
      <c r="A1145" s="67" t="s">
        <v>1905</v>
      </c>
      <c r="B1145" s="67" t="s">
        <v>519</v>
      </c>
      <c r="C1145" s="68">
        <v>0.75</v>
      </c>
      <c r="D1145" s="68">
        <v>0.75</v>
      </c>
      <c r="E1145" s="68">
        <v>2.0</v>
      </c>
      <c r="F1145" s="68">
        <v>3.0</v>
      </c>
      <c r="G1145" s="68">
        <v>0.292830552417628</v>
      </c>
      <c r="H1145" s="68">
        <v>0.467610629995808</v>
      </c>
      <c r="I1145" s="69">
        <v>44314.23502314815</v>
      </c>
      <c r="J1145" s="69">
        <v>44314.23505787037</v>
      </c>
      <c r="K1145">
        <f>AVERAGE(H1142:H1146)</f>
        <v>97.39231245</v>
      </c>
      <c r="L1145">
        <f>STDEV(H1142:H1146)</f>
        <v>97.23504988</v>
      </c>
      <c r="M1145" s="70">
        <v>0.467610629995808</v>
      </c>
      <c r="N1145" s="70">
        <v>0.467610629995808</v>
      </c>
      <c r="O1145" s="70">
        <v>0.292830552417628</v>
      </c>
      <c r="P1145" s="70">
        <v>0.292830552417628</v>
      </c>
    </row>
    <row r="1146" hidden="1">
      <c r="A1146" s="67" t="s">
        <v>1906</v>
      </c>
      <c r="B1146" s="67" t="s">
        <v>519</v>
      </c>
      <c r="C1146" s="68">
        <v>0.75</v>
      </c>
      <c r="D1146" s="68">
        <v>0.75</v>
      </c>
      <c r="E1146" s="68">
        <v>2.0</v>
      </c>
      <c r="F1146" s="68">
        <v>4.0</v>
      </c>
      <c r="G1146" s="68">
        <v>2.3692339379221</v>
      </c>
      <c r="H1146" s="68">
        <v>103.617870921525</v>
      </c>
      <c r="I1146" s="69">
        <v>44314.235763888886</v>
      </c>
      <c r="J1146" s="69">
        <v>44314.23608796296</v>
      </c>
      <c r="K1146">
        <f>AVERAGE(H1142:H1146)</f>
        <v>97.39231245</v>
      </c>
      <c r="L1146">
        <f>STDEV(H1142:H1146)</f>
        <v>97.23504988</v>
      </c>
      <c r="M1146" s="70">
        <v>103.617870921525</v>
      </c>
      <c r="N1146" s="70">
        <v>103.617870921525</v>
      </c>
      <c r="O1146" s="70">
        <v>2.3692339379221</v>
      </c>
      <c r="P1146" s="70">
        <v>2.3692339379221</v>
      </c>
    </row>
    <row r="1147" hidden="1">
      <c r="A1147" s="67" t="s">
        <v>1907</v>
      </c>
      <c r="B1147" s="67" t="s">
        <v>519</v>
      </c>
      <c r="C1147" s="68">
        <v>0.75</v>
      </c>
      <c r="D1147" s="68">
        <v>1.0</v>
      </c>
      <c r="E1147" s="68">
        <v>2.0</v>
      </c>
      <c r="F1147" s="68">
        <v>0.0</v>
      </c>
      <c r="G1147" s="68">
        <v>5.7421177310095</v>
      </c>
      <c r="H1147" s="68">
        <v>180.420212104374</v>
      </c>
      <c r="I1147" s="69">
        <v>44314.23679398148</v>
      </c>
      <c r="J1147" s="69">
        <v>44314.236921296295</v>
      </c>
      <c r="K1147">
        <f>AVERAGE(H1147:H1151)</f>
        <v>153.9207874</v>
      </c>
      <c r="L1147">
        <f>STDEV(H1147:H1151)</f>
        <v>86.07582997</v>
      </c>
      <c r="M1147" s="70">
        <v>180.420212104374</v>
      </c>
      <c r="N1147" s="70">
        <v>180.420212104374</v>
      </c>
      <c r="O1147" s="70">
        <v>5.7421177310095</v>
      </c>
      <c r="P1147" s="70">
        <v>5.7421177310095</v>
      </c>
    </row>
    <row r="1148" hidden="1">
      <c r="A1148" s="67" t="s">
        <v>1908</v>
      </c>
      <c r="B1148" s="67" t="s">
        <v>519</v>
      </c>
      <c r="C1148" s="68">
        <v>0.75</v>
      </c>
      <c r="D1148" s="68">
        <v>1.0</v>
      </c>
      <c r="E1148" s="68">
        <v>2.0</v>
      </c>
      <c r="F1148" s="68">
        <v>1.0</v>
      </c>
      <c r="G1148" s="68">
        <v>9.16911725477209</v>
      </c>
      <c r="H1148" s="68">
        <v>218.723886110033</v>
      </c>
      <c r="I1148" s="69">
        <v>44314.23763888889</v>
      </c>
      <c r="J1148" s="69">
        <v>44314.23774305556</v>
      </c>
      <c r="K1148">
        <f>AVERAGE(H1147:H1151)</f>
        <v>153.9207874</v>
      </c>
      <c r="L1148">
        <f>STDEV(H1147:H1151)</f>
        <v>86.07582997</v>
      </c>
      <c r="M1148" s="70">
        <v>218.723886110033</v>
      </c>
      <c r="N1148" s="70">
        <v>218.723886110033</v>
      </c>
      <c r="O1148" s="70">
        <v>9.16911725477209</v>
      </c>
      <c r="P1148" s="70">
        <v>9.16911725477209</v>
      </c>
    </row>
    <row r="1149" hidden="1">
      <c r="A1149" s="67" t="s">
        <v>1909</v>
      </c>
      <c r="B1149" s="67" t="s">
        <v>519</v>
      </c>
      <c r="C1149" s="68">
        <v>0.75</v>
      </c>
      <c r="D1149" s="68">
        <v>1.0</v>
      </c>
      <c r="E1149" s="68">
        <v>2.0</v>
      </c>
      <c r="F1149" s="68">
        <v>2.0</v>
      </c>
      <c r="G1149" s="68">
        <v>2.56922686227748</v>
      </c>
      <c r="H1149" s="68">
        <v>133.214312258813</v>
      </c>
      <c r="I1149" s="69">
        <v>44314.23844907407</v>
      </c>
      <c r="J1149" s="69">
        <v>44314.29846064815</v>
      </c>
      <c r="K1149">
        <f>AVERAGE(H1147:H1151)</f>
        <v>153.9207874</v>
      </c>
      <c r="L1149">
        <f>STDEV(H1147:H1151)</f>
        <v>86.07582997</v>
      </c>
      <c r="M1149" s="70">
        <v>133.214312258813</v>
      </c>
      <c r="N1149" s="70">
        <v>133.214312258813</v>
      </c>
      <c r="O1149" s="70">
        <v>2.56922686227748</v>
      </c>
      <c r="P1149" s="70">
        <v>2.56922686227748</v>
      </c>
    </row>
    <row r="1150" hidden="1">
      <c r="A1150" s="67" t="s">
        <v>1910</v>
      </c>
      <c r="B1150" s="67" t="s">
        <v>519</v>
      </c>
      <c r="C1150" s="68">
        <v>0.75</v>
      </c>
      <c r="D1150" s="68">
        <v>1.0</v>
      </c>
      <c r="E1150" s="68">
        <v>2.0</v>
      </c>
      <c r="F1150" s="68">
        <v>3.0</v>
      </c>
      <c r="G1150" s="68">
        <v>3.04709082730207</v>
      </c>
      <c r="H1150" s="68">
        <v>14.1864817800702</v>
      </c>
      <c r="I1150" s="69">
        <v>44314.299166666664</v>
      </c>
      <c r="J1150" s="69">
        <v>44314.29917824074</v>
      </c>
      <c r="K1150">
        <f>AVERAGE(H1147:H1151)</f>
        <v>153.9207874</v>
      </c>
      <c r="L1150">
        <f>STDEV(H1147:H1151)</f>
        <v>86.07582997</v>
      </c>
      <c r="M1150" s="70">
        <v>14.1864817800702</v>
      </c>
      <c r="N1150" s="70">
        <v>14.1864817800702</v>
      </c>
      <c r="O1150" s="70">
        <v>3.04709082730207</v>
      </c>
      <c r="P1150" s="70">
        <v>3.04709082730207</v>
      </c>
    </row>
    <row r="1151" hidden="1">
      <c r="A1151" s="67" t="s">
        <v>1911</v>
      </c>
      <c r="B1151" s="67" t="s">
        <v>519</v>
      </c>
      <c r="C1151" s="68">
        <v>0.75</v>
      </c>
      <c r="D1151" s="68">
        <v>1.0</v>
      </c>
      <c r="E1151" s="68">
        <v>2.0</v>
      </c>
      <c r="F1151" s="68">
        <v>4.0</v>
      </c>
      <c r="G1151" s="68">
        <v>5.22588273693388</v>
      </c>
      <c r="H1151" s="68">
        <v>223.059044729183</v>
      </c>
      <c r="I1151" s="69">
        <v>44314.29988425926</v>
      </c>
      <c r="J1151" s="69">
        <v>44314.30206018518</v>
      </c>
      <c r="K1151">
        <f>AVERAGE(H1147:H1151)</f>
        <v>153.9207874</v>
      </c>
      <c r="L1151">
        <f>STDEV(H1147:H1151)</f>
        <v>86.07582997</v>
      </c>
      <c r="M1151" s="70">
        <v>223.059044729183</v>
      </c>
      <c r="N1151" s="70">
        <v>223.059044729183</v>
      </c>
      <c r="O1151" s="70">
        <v>5.22588273693388</v>
      </c>
      <c r="P1151" s="70">
        <v>5.22588273693388</v>
      </c>
    </row>
    <row r="1152" hidden="1">
      <c r="A1152" s="67" t="s">
        <v>1912</v>
      </c>
      <c r="B1152" s="67" t="s">
        <v>519</v>
      </c>
      <c r="C1152" s="68">
        <v>1.0</v>
      </c>
      <c r="D1152" s="68">
        <v>0.1</v>
      </c>
      <c r="E1152" s="68">
        <v>2.0</v>
      </c>
      <c r="F1152" s="68">
        <v>0.0</v>
      </c>
      <c r="G1152" s="68">
        <v>8.63397317531642</v>
      </c>
      <c r="H1152" s="68">
        <v>255.879789431306</v>
      </c>
      <c r="I1152" s="69">
        <v>44294.18951388889</v>
      </c>
      <c r="J1152" s="69">
        <v>44294.19314814815</v>
      </c>
      <c r="K1152">
        <f>AVERAGE(H1152:H1156)</f>
        <v>107.4774065</v>
      </c>
      <c r="L1152">
        <f>STDEV(H1152:H1156)</f>
        <v>108.4906843</v>
      </c>
      <c r="M1152" s="70">
        <v>255.879789431306</v>
      </c>
      <c r="N1152" s="70">
        <v>255.879789431306</v>
      </c>
      <c r="O1152" s="70">
        <v>8.63397317531642</v>
      </c>
      <c r="P1152" s="70">
        <v>8.63397317531642</v>
      </c>
    </row>
    <row r="1153" hidden="1">
      <c r="A1153" s="67" t="s">
        <v>1913</v>
      </c>
      <c r="B1153" s="67" t="s">
        <v>519</v>
      </c>
      <c r="C1153" s="68">
        <v>1.0</v>
      </c>
      <c r="D1153" s="68">
        <v>0.1</v>
      </c>
      <c r="E1153" s="68">
        <v>2.0</v>
      </c>
      <c r="F1153" s="68">
        <v>1.0</v>
      </c>
      <c r="G1153" s="68">
        <v>0.488220672595613</v>
      </c>
      <c r="H1153" s="68">
        <v>0.594653969574967</v>
      </c>
      <c r="I1153" s="69">
        <v>44294.19762731482</v>
      </c>
      <c r="J1153" s="69">
        <v>44294.19893518519</v>
      </c>
      <c r="K1153">
        <f>AVERAGE(H1152:H1156)</f>
        <v>107.4774065</v>
      </c>
      <c r="L1153">
        <f>STDEV(H1152:H1156)</f>
        <v>108.4906843</v>
      </c>
      <c r="M1153" s="70">
        <v>0.594653969574967</v>
      </c>
      <c r="N1153" s="70">
        <v>0.594653969574967</v>
      </c>
      <c r="O1153" s="70">
        <v>0.488220672595613</v>
      </c>
      <c r="P1153" s="70">
        <v>0.488220672595613</v>
      </c>
    </row>
    <row r="1154" hidden="1">
      <c r="A1154" s="67" t="s">
        <v>1914</v>
      </c>
      <c r="B1154" s="67" t="s">
        <v>519</v>
      </c>
      <c r="C1154" s="68">
        <v>1.0</v>
      </c>
      <c r="D1154" s="68">
        <v>0.1</v>
      </c>
      <c r="E1154" s="68">
        <v>2.0</v>
      </c>
      <c r="F1154" s="68">
        <v>2.0</v>
      </c>
      <c r="G1154" s="68">
        <v>2.73621556680797</v>
      </c>
      <c r="H1154" s="68">
        <v>143.489974405324</v>
      </c>
      <c r="I1154" s="69">
        <v>44294.20099537037</v>
      </c>
      <c r="J1154" s="69">
        <v>44294.320752314816</v>
      </c>
      <c r="K1154">
        <f>AVERAGE(H1152:H1156)</f>
        <v>107.4774065</v>
      </c>
      <c r="L1154">
        <f>STDEV(H1152:H1156)</f>
        <v>108.4906843</v>
      </c>
      <c r="M1154" s="70">
        <v>143.489974405324</v>
      </c>
      <c r="N1154" s="70">
        <v>143.489974405324</v>
      </c>
      <c r="O1154" s="70">
        <v>2.73621556680797</v>
      </c>
      <c r="P1154" s="70">
        <v>2.73621556680797</v>
      </c>
    </row>
    <row r="1155" hidden="1">
      <c r="A1155" s="67" t="s">
        <v>1915</v>
      </c>
      <c r="B1155" s="67" t="s">
        <v>519</v>
      </c>
      <c r="C1155" s="68">
        <v>1.0</v>
      </c>
      <c r="D1155" s="68">
        <v>0.1</v>
      </c>
      <c r="E1155" s="68">
        <v>2.0</v>
      </c>
      <c r="F1155" s="68">
        <v>3.0</v>
      </c>
      <c r="G1155" s="68">
        <v>3.35469131217556</v>
      </c>
      <c r="H1155" s="68">
        <v>137.016498485142</v>
      </c>
      <c r="I1155" s="69">
        <v>44294.41162037037</v>
      </c>
      <c r="J1155" s="69">
        <v>44294.41400462963</v>
      </c>
      <c r="K1155">
        <f>AVERAGE(H1152:H1156)</f>
        <v>107.4774065</v>
      </c>
      <c r="L1155">
        <f>STDEV(H1152:H1156)</f>
        <v>108.4906843</v>
      </c>
      <c r="M1155" s="70">
        <v>137.016498485142</v>
      </c>
      <c r="N1155" s="70">
        <v>137.016498485142</v>
      </c>
      <c r="O1155" s="70">
        <v>3.35469131217556</v>
      </c>
      <c r="P1155" s="70">
        <v>3.35469131217556</v>
      </c>
    </row>
    <row r="1156" hidden="1">
      <c r="A1156" s="67" t="s">
        <v>1916</v>
      </c>
      <c r="B1156" s="67" t="s">
        <v>519</v>
      </c>
      <c r="C1156" s="68">
        <v>1.0</v>
      </c>
      <c r="D1156" s="68">
        <v>0.1</v>
      </c>
      <c r="E1156" s="68">
        <v>2.0</v>
      </c>
      <c r="F1156" s="68">
        <v>4.0</v>
      </c>
      <c r="G1156" s="68">
        <v>0.317145370870006</v>
      </c>
      <c r="H1156" s="68">
        <v>0.406115963760371</v>
      </c>
      <c r="I1156" s="69">
        <v>44294.41724537037</v>
      </c>
      <c r="J1156" s="69">
        <v>44294.417349537034</v>
      </c>
      <c r="K1156">
        <f>AVERAGE(H1152:H1156)</f>
        <v>107.4774065</v>
      </c>
      <c r="L1156">
        <f>STDEV(H1152:H1156)</f>
        <v>108.4906843</v>
      </c>
      <c r="M1156" s="70">
        <v>0.406115963760371</v>
      </c>
      <c r="N1156" s="70">
        <v>0.406115963760371</v>
      </c>
      <c r="O1156" s="70">
        <v>0.317145370870006</v>
      </c>
      <c r="P1156" s="70">
        <v>0.317145370870006</v>
      </c>
    </row>
    <row r="1157" hidden="1">
      <c r="A1157" s="67" t="s">
        <v>1917</v>
      </c>
      <c r="B1157" s="67" t="s">
        <v>519</v>
      </c>
      <c r="C1157" s="68">
        <v>1.0</v>
      </c>
      <c r="D1157" s="68">
        <v>0.25</v>
      </c>
      <c r="E1157" s="68">
        <v>2.0</v>
      </c>
      <c r="F1157" s="68">
        <v>0.0</v>
      </c>
      <c r="G1157" s="68">
        <v>5.79158321371536</v>
      </c>
      <c r="H1157" s="68">
        <v>54.6344322558755</v>
      </c>
      <c r="I1157" s="69">
        <v>44314.302766203706</v>
      </c>
      <c r="J1157" s="69">
        <v>44314.30278935185</v>
      </c>
      <c r="K1157">
        <f>AVERAGE(H1157:H1161)</f>
        <v>112.652353</v>
      </c>
      <c r="L1157">
        <f>STDEV(H1157:H1161)</f>
        <v>84.85361442</v>
      </c>
      <c r="M1157" s="70">
        <v>54.6344322558755</v>
      </c>
      <c r="N1157" s="70">
        <v>54.6344322558755</v>
      </c>
      <c r="O1157" s="70">
        <v>5.79158321371536</v>
      </c>
      <c r="P1157" s="70">
        <v>5.79158321371536</v>
      </c>
    </row>
    <row r="1158" hidden="1">
      <c r="A1158" s="67" t="s">
        <v>1918</v>
      </c>
      <c r="B1158" s="67" t="s">
        <v>519</v>
      </c>
      <c r="C1158" s="68">
        <v>1.0</v>
      </c>
      <c r="D1158" s="68">
        <v>0.25</v>
      </c>
      <c r="E1158" s="68">
        <v>2.0</v>
      </c>
      <c r="F1158" s="68">
        <v>1.0</v>
      </c>
      <c r="G1158" s="68">
        <v>0.253135938138399</v>
      </c>
      <c r="H1158" s="68">
        <v>0.324913100821679</v>
      </c>
      <c r="I1158" s="69">
        <v>44314.303506944445</v>
      </c>
      <c r="J1158" s="69">
        <v>44314.30357638889</v>
      </c>
      <c r="K1158">
        <f>AVERAGE(H1157:H1161)</f>
        <v>112.652353</v>
      </c>
      <c r="L1158">
        <f>STDEV(H1157:H1161)</f>
        <v>84.85361442</v>
      </c>
      <c r="M1158" s="70">
        <v>0.324913100821679</v>
      </c>
      <c r="N1158" s="70">
        <v>0.324913100821679</v>
      </c>
      <c r="O1158" s="70">
        <v>0.253135938138399</v>
      </c>
      <c r="P1158" s="70">
        <v>0.253135938138399</v>
      </c>
    </row>
    <row r="1159" hidden="1">
      <c r="A1159" s="67" t="s">
        <v>1919</v>
      </c>
      <c r="B1159" s="67" t="s">
        <v>519</v>
      </c>
      <c r="C1159" s="68">
        <v>1.0</v>
      </c>
      <c r="D1159" s="68">
        <v>0.25</v>
      </c>
      <c r="E1159" s="68">
        <v>2.0</v>
      </c>
      <c r="F1159" s="68">
        <v>2.0</v>
      </c>
      <c r="G1159" s="68">
        <v>3.42358958166236</v>
      </c>
      <c r="H1159" s="68">
        <v>170.982786141673</v>
      </c>
      <c r="I1159" s="69">
        <v>44314.304293981484</v>
      </c>
      <c r="J1159" s="69">
        <v>44314.38123842593</v>
      </c>
      <c r="K1159">
        <f>AVERAGE(H1157:H1161)</f>
        <v>112.652353</v>
      </c>
      <c r="L1159">
        <f>STDEV(H1157:H1161)</f>
        <v>84.85361442</v>
      </c>
      <c r="M1159" s="70">
        <v>170.982786141673</v>
      </c>
      <c r="N1159" s="70">
        <v>170.982786141673</v>
      </c>
      <c r="O1159" s="70">
        <v>3.42358958166236</v>
      </c>
      <c r="P1159" s="70">
        <v>3.42358958166236</v>
      </c>
    </row>
    <row r="1160" hidden="1">
      <c r="A1160" s="67" t="s">
        <v>1920</v>
      </c>
      <c r="B1160" s="67" t="s">
        <v>519</v>
      </c>
      <c r="C1160" s="68">
        <v>1.0</v>
      </c>
      <c r="D1160" s="68">
        <v>0.25</v>
      </c>
      <c r="E1160" s="68">
        <v>2.0</v>
      </c>
      <c r="F1160" s="68">
        <v>3.0</v>
      </c>
      <c r="G1160" s="68">
        <v>2.90937593209163</v>
      </c>
      <c r="H1160" s="68">
        <v>129.030917878379</v>
      </c>
      <c r="I1160" s="69">
        <v>44314.38195601852</v>
      </c>
      <c r="J1160" s="69">
        <v>44314.382569444446</v>
      </c>
      <c r="K1160">
        <f>AVERAGE(H1157:H1161)</f>
        <v>112.652353</v>
      </c>
      <c r="L1160">
        <f>STDEV(H1157:H1161)</f>
        <v>84.85361442</v>
      </c>
      <c r="M1160" s="70">
        <v>129.030917878379</v>
      </c>
      <c r="N1160" s="70">
        <v>129.030917878379</v>
      </c>
      <c r="O1160" s="70">
        <v>2.90937593209163</v>
      </c>
      <c r="P1160" s="70">
        <v>2.90937593209163</v>
      </c>
    </row>
    <row r="1161" hidden="1">
      <c r="A1161" s="67" t="s">
        <v>1921</v>
      </c>
      <c r="B1161" s="67" t="s">
        <v>519</v>
      </c>
      <c r="C1161" s="68">
        <v>1.0</v>
      </c>
      <c r="D1161" s="68">
        <v>0.25</v>
      </c>
      <c r="E1161" s="68">
        <v>2.0</v>
      </c>
      <c r="F1161" s="68">
        <v>4.0</v>
      </c>
      <c r="G1161" s="68">
        <v>7.06454093723955</v>
      </c>
      <c r="H1161" s="68">
        <v>208.28871545528</v>
      </c>
      <c r="I1161" s="69">
        <v>44314.38327546296</v>
      </c>
      <c r="J1161" s="69">
        <v>44314.38350694445</v>
      </c>
      <c r="K1161">
        <f>AVERAGE(H1157:H1161)</f>
        <v>112.652353</v>
      </c>
      <c r="L1161">
        <f>STDEV(H1157:H1161)</f>
        <v>84.85361442</v>
      </c>
      <c r="M1161" s="70">
        <v>208.28871545528</v>
      </c>
      <c r="N1161" s="70">
        <v>208.28871545528</v>
      </c>
      <c r="O1161" s="70">
        <v>7.06454093723955</v>
      </c>
      <c r="P1161" s="70">
        <v>7.06454093723955</v>
      </c>
    </row>
    <row r="1162" hidden="1">
      <c r="A1162" s="67" t="s">
        <v>1922</v>
      </c>
      <c r="B1162" s="67" t="s">
        <v>519</v>
      </c>
      <c r="C1162" s="68">
        <v>1.0</v>
      </c>
      <c r="D1162" s="68">
        <v>0.5</v>
      </c>
      <c r="E1162" s="68">
        <v>2.0</v>
      </c>
      <c r="F1162" s="68">
        <v>0.0</v>
      </c>
      <c r="G1162" s="68">
        <v>5.55333996245901</v>
      </c>
      <c r="H1162" s="68">
        <v>191.286344696011</v>
      </c>
      <c r="I1162" s="69">
        <v>44314.38421296296</v>
      </c>
      <c r="J1162" s="69">
        <v>44314.3849537037</v>
      </c>
      <c r="K1162">
        <f>AVERAGE(H1162:H1166)</f>
        <v>171.3112787</v>
      </c>
      <c r="L1162">
        <f>STDEV(H1162:H1166)</f>
        <v>21.33809282</v>
      </c>
      <c r="M1162" s="70">
        <v>191.286344696011</v>
      </c>
      <c r="N1162" s="70">
        <v>191.286344696011</v>
      </c>
      <c r="O1162" s="70">
        <v>5.55333996245901</v>
      </c>
      <c r="P1162" s="70">
        <v>5.55333996245901</v>
      </c>
    </row>
    <row r="1163" hidden="1">
      <c r="A1163" s="67" t="s">
        <v>1923</v>
      </c>
      <c r="B1163" s="67" t="s">
        <v>519</v>
      </c>
      <c r="C1163" s="68">
        <v>1.0</v>
      </c>
      <c r="D1163" s="68">
        <v>0.5</v>
      </c>
      <c r="E1163" s="68">
        <v>2.0</v>
      </c>
      <c r="F1163" s="68">
        <v>1.0</v>
      </c>
      <c r="G1163" s="68">
        <v>2.67559512920861</v>
      </c>
      <c r="H1163" s="68">
        <v>147.859548104072</v>
      </c>
      <c r="I1163" s="69">
        <v>44314.385659722226</v>
      </c>
      <c r="J1163" s="69">
        <v>44314.44631944445</v>
      </c>
      <c r="K1163">
        <f>AVERAGE(H1162:H1166)</f>
        <v>171.3112787</v>
      </c>
      <c r="L1163">
        <f>STDEV(H1162:H1166)</f>
        <v>21.33809282</v>
      </c>
      <c r="M1163" s="70">
        <v>147.859548104072</v>
      </c>
      <c r="N1163" s="70">
        <v>147.859548104072</v>
      </c>
      <c r="O1163" s="70">
        <v>2.67559512920861</v>
      </c>
      <c r="P1163" s="70">
        <v>2.67559512920861</v>
      </c>
    </row>
    <row r="1164" hidden="1">
      <c r="A1164" s="67" t="s">
        <v>1924</v>
      </c>
      <c r="B1164" s="67" t="s">
        <v>519</v>
      </c>
      <c r="C1164" s="68">
        <v>1.0</v>
      </c>
      <c r="D1164" s="68">
        <v>0.5</v>
      </c>
      <c r="E1164" s="68">
        <v>2.0</v>
      </c>
      <c r="F1164" s="68">
        <v>2.0</v>
      </c>
      <c r="G1164" s="68">
        <v>6.61795276101304</v>
      </c>
      <c r="H1164" s="68">
        <v>196.26760776154</v>
      </c>
      <c r="I1164" s="69">
        <v>44314.44702546296</v>
      </c>
      <c r="J1164" s="69">
        <v>44314.44710648148</v>
      </c>
      <c r="K1164">
        <f>AVERAGE(H1162:H1166)</f>
        <v>171.3112787</v>
      </c>
      <c r="L1164">
        <f>STDEV(H1162:H1166)</f>
        <v>21.33809282</v>
      </c>
      <c r="M1164" s="70">
        <v>196.26760776154</v>
      </c>
      <c r="N1164" s="70">
        <v>196.26760776154</v>
      </c>
      <c r="O1164" s="70">
        <v>6.61795276101304</v>
      </c>
      <c r="P1164" s="70">
        <v>6.61795276101304</v>
      </c>
    </row>
    <row r="1165" hidden="1">
      <c r="A1165" s="67" t="s">
        <v>1925</v>
      </c>
      <c r="B1165" s="67" t="s">
        <v>519</v>
      </c>
      <c r="C1165" s="68">
        <v>1.0</v>
      </c>
      <c r="D1165" s="68">
        <v>0.5</v>
      </c>
      <c r="E1165" s="68">
        <v>2.0</v>
      </c>
      <c r="F1165" s="68">
        <v>3.0</v>
      </c>
      <c r="G1165" s="68">
        <v>5.25208664127732</v>
      </c>
      <c r="H1165" s="68">
        <v>157.508478953097</v>
      </c>
      <c r="I1165" s="69">
        <v>44314.4478125</v>
      </c>
      <c r="J1165" s="69">
        <v>44314.4480787037</v>
      </c>
      <c r="K1165">
        <f>AVERAGE(H1162:H1166)</f>
        <v>171.3112787</v>
      </c>
      <c r="L1165">
        <f>STDEV(H1162:H1166)</f>
        <v>21.33809282</v>
      </c>
      <c r="M1165" s="70">
        <v>157.508478953097</v>
      </c>
      <c r="N1165" s="70">
        <v>157.508478953097</v>
      </c>
      <c r="O1165" s="70">
        <v>5.25208664127732</v>
      </c>
      <c r="P1165" s="70">
        <v>5.25208664127732</v>
      </c>
    </row>
    <row r="1166" hidden="1">
      <c r="A1166" s="67" t="s">
        <v>1926</v>
      </c>
      <c r="B1166" s="67" t="s">
        <v>519</v>
      </c>
      <c r="C1166" s="68">
        <v>1.0</v>
      </c>
      <c r="D1166" s="68">
        <v>0.5</v>
      </c>
      <c r="E1166" s="68">
        <v>2.0</v>
      </c>
      <c r="F1166" s="68">
        <v>4.0</v>
      </c>
      <c r="G1166" s="68">
        <v>4.63217575009541</v>
      </c>
      <c r="H1166" s="68">
        <v>163.634414131074</v>
      </c>
      <c r="I1166" s="69">
        <v>44314.44878472222</v>
      </c>
      <c r="J1166" s="69">
        <v>44314.44903935185</v>
      </c>
      <c r="K1166">
        <f>AVERAGE(H1162:H1166)</f>
        <v>171.3112787</v>
      </c>
      <c r="L1166">
        <f>STDEV(H1162:H1166)</f>
        <v>21.33809282</v>
      </c>
      <c r="M1166" s="70">
        <v>163.634414131074</v>
      </c>
      <c r="N1166" s="70">
        <v>163.634414131074</v>
      </c>
      <c r="O1166" s="70">
        <v>4.63217575009541</v>
      </c>
      <c r="P1166" s="70">
        <v>4.63217575009541</v>
      </c>
    </row>
    <row r="1167" hidden="1">
      <c r="A1167" s="67" t="s">
        <v>1927</v>
      </c>
      <c r="B1167" s="67" t="s">
        <v>519</v>
      </c>
      <c r="C1167" s="68">
        <v>1.0</v>
      </c>
      <c r="D1167" s="68">
        <v>0.75</v>
      </c>
      <c r="E1167" s="68">
        <v>2.0</v>
      </c>
      <c r="F1167" s="68">
        <v>0.0</v>
      </c>
      <c r="G1167" s="68">
        <v>5.51006643551613</v>
      </c>
      <c r="H1167" s="68">
        <v>167.689907037705</v>
      </c>
      <c r="I1167" s="69">
        <v>44314.44974537037</v>
      </c>
      <c r="J1167" s="69">
        <v>44314.44998842593</v>
      </c>
      <c r="K1167">
        <f>AVERAGE(H1167:H1171)</f>
        <v>163.049171</v>
      </c>
      <c r="L1167">
        <f>STDEV(H1167:H1171)</f>
        <v>91.48805181</v>
      </c>
      <c r="M1167" s="70">
        <v>167.689907037705</v>
      </c>
      <c r="N1167" s="70">
        <v>167.689907037705</v>
      </c>
      <c r="O1167" s="70">
        <v>5.51006643551613</v>
      </c>
      <c r="P1167" s="70">
        <v>5.51006643551613</v>
      </c>
    </row>
    <row r="1168" hidden="1">
      <c r="A1168" s="67" t="s">
        <v>1928</v>
      </c>
      <c r="B1168" s="67" t="s">
        <v>519</v>
      </c>
      <c r="C1168" s="68">
        <v>1.0</v>
      </c>
      <c r="D1168" s="68">
        <v>0.75</v>
      </c>
      <c r="E1168" s="68">
        <v>2.0</v>
      </c>
      <c r="F1168" s="68">
        <v>1.0</v>
      </c>
      <c r="G1168" s="68">
        <v>5.31583611651438</v>
      </c>
      <c r="H1168" s="68">
        <v>182.101904653392</v>
      </c>
      <c r="I1168" s="69">
        <v>44314.450694444444</v>
      </c>
      <c r="J1168" s="69">
        <v>44314.450833333336</v>
      </c>
      <c r="K1168">
        <f>AVERAGE(H1167:H1171)</f>
        <v>163.049171</v>
      </c>
      <c r="L1168">
        <f>STDEV(H1167:H1171)</f>
        <v>91.48805181</v>
      </c>
      <c r="M1168" s="70">
        <v>182.101904653392</v>
      </c>
      <c r="N1168" s="70">
        <v>182.101904653392</v>
      </c>
      <c r="O1168" s="70">
        <v>5.31583611651438</v>
      </c>
      <c r="P1168" s="70">
        <v>5.31583611651438</v>
      </c>
    </row>
    <row r="1169" hidden="1">
      <c r="A1169" s="67" t="s">
        <v>1929</v>
      </c>
      <c r="B1169" s="67" t="s">
        <v>519</v>
      </c>
      <c r="C1169" s="68">
        <v>1.0</v>
      </c>
      <c r="D1169" s="68">
        <v>0.75</v>
      </c>
      <c r="E1169" s="68">
        <v>2.0</v>
      </c>
      <c r="F1169" s="68">
        <v>2.0</v>
      </c>
      <c r="G1169" s="68">
        <v>2.52158296643178</v>
      </c>
      <c r="H1169" s="68">
        <v>130.883193110473</v>
      </c>
      <c r="I1169" s="69">
        <v>44314.45153935185</v>
      </c>
      <c r="J1169" s="69">
        <v>44314.506944444445</v>
      </c>
      <c r="K1169">
        <f>AVERAGE(H1167:H1171)</f>
        <v>163.049171</v>
      </c>
      <c r="L1169">
        <f>STDEV(H1167:H1171)</f>
        <v>91.48805181</v>
      </c>
      <c r="M1169" s="70">
        <v>130.883193110473</v>
      </c>
      <c r="N1169" s="70">
        <v>130.883193110473</v>
      </c>
      <c r="O1169" s="70">
        <v>2.52158296643178</v>
      </c>
      <c r="P1169" s="70">
        <v>2.52158296643178</v>
      </c>
    </row>
    <row r="1170" hidden="1">
      <c r="A1170" s="67" t="s">
        <v>1930</v>
      </c>
      <c r="B1170" s="67" t="s">
        <v>519</v>
      </c>
      <c r="C1170" s="68">
        <v>1.0</v>
      </c>
      <c r="D1170" s="68">
        <v>0.75</v>
      </c>
      <c r="E1170" s="68">
        <v>2.0</v>
      </c>
      <c r="F1170" s="68">
        <v>3.0</v>
      </c>
      <c r="G1170" s="68">
        <v>2.50904492752724</v>
      </c>
      <c r="H1170" s="68">
        <v>40.744582817418</v>
      </c>
      <c r="I1170" s="69">
        <v>44314.50765046296</v>
      </c>
      <c r="J1170" s="69">
        <v>44314.50771990741</v>
      </c>
      <c r="K1170">
        <f>AVERAGE(H1167:H1171)</f>
        <v>163.049171</v>
      </c>
      <c r="L1170">
        <f>STDEV(H1167:H1171)</f>
        <v>91.48805181</v>
      </c>
      <c r="M1170" s="70">
        <v>40.744582817418</v>
      </c>
      <c r="N1170" s="70">
        <v>40.744582817418</v>
      </c>
      <c r="O1170" s="70">
        <v>2.50904492752724</v>
      </c>
      <c r="P1170" s="70">
        <v>2.50904492752724</v>
      </c>
    </row>
    <row r="1171" hidden="1">
      <c r="A1171" s="67" t="s">
        <v>1931</v>
      </c>
      <c r="B1171" s="67" t="s">
        <v>519</v>
      </c>
      <c r="C1171" s="68">
        <v>1.0</v>
      </c>
      <c r="D1171" s="68">
        <v>0.75</v>
      </c>
      <c r="E1171" s="68">
        <v>2.0</v>
      </c>
      <c r="F1171" s="68">
        <v>4.0</v>
      </c>
      <c r="G1171" s="68">
        <v>8.45575171421982</v>
      </c>
      <c r="H1171" s="68">
        <v>293.826267554201</v>
      </c>
      <c r="I1171" s="69">
        <v>44314.5084375</v>
      </c>
      <c r="J1171" s="69">
        <v>44314.50925925926</v>
      </c>
      <c r="K1171">
        <f>AVERAGE(H1167:H1171)</f>
        <v>163.049171</v>
      </c>
      <c r="L1171">
        <f>STDEV(H1167:H1171)</f>
        <v>91.48805181</v>
      </c>
      <c r="M1171" s="70">
        <v>293.826267554201</v>
      </c>
      <c r="N1171" s="70">
        <v>293.826267554201</v>
      </c>
      <c r="O1171" s="70">
        <v>8.45575171421982</v>
      </c>
      <c r="P1171" s="70">
        <v>8.45575171421982</v>
      </c>
    </row>
    <row r="1172" hidden="1">
      <c r="A1172" s="67" t="s">
        <v>1932</v>
      </c>
      <c r="B1172" s="67" t="s">
        <v>519</v>
      </c>
      <c r="C1172" s="68">
        <v>1.0</v>
      </c>
      <c r="D1172" s="68">
        <v>1.0</v>
      </c>
      <c r="E1172" s="68">
        <v>2.0</v>
      </c>
      <c r="F1172" s="68">
        <v>0.0</v>
      </c>
      <c r="G1172" s="68">
        <v>4.45065311644912</v>
      </c>
      <c r="H1172" s="68">
        <v>165.843611201403</v>
      </c>
      <c r="I1172" s="69">
        <v>44314.50997685185</v>
      </c>
      <c r="J1172" s="69">
        <v>44314.510046296295</v>
      </c>
      <c r="K1172">
        <f>AVERAGE(H1172:H1176)</f>
        <v>170.7882375</v>
      </c>
      <c r="L1172">
        <f>STDEV(H1172:H1176)</f>
        <v>30.36838394</v>
      </c>
      <c r="M1172" s="70">
        <v>165.843611201403</v>
      </c>
      <c r="N1172" s="70">
        <v>165.843611201403</v>
      </c>
      <c r="O1172" s="70">
        <v>4.45065311644912</v>
      </c>
      <c r="P1172" s="70">
        <v>4.45065311644912</v>
      </c>
    </row>
    <row r="1173" hidden="1">
      <c r="A1173" s="67" t="s">
        <v>1933</v>
      </c>
      <c r="B1173" s="67" t="s">
        <v>519</v>
      </c>
      <c r="C1173" s="68">
        <v>1.0</v>
      </c>
      <c r="D1173" s="68">
        <v>1.0</v>
      </c>
      <c r="E1173" s="68">
        <v>2.0</v>
      </c>
      <c r="F1173" s="68">
        <v>1.0</v>
      </c>
      <c r="G1173" s="68">
        <v>6.33937710999437</v>
      </c>
      <c r="H1173" s="68">
        <v>173.369441513312</v>
      </c>
      <c r="I1173" s="69">
        <v>44314.51075231482</v>
      </c>
      <c r="J1173" s="69">
        <v>44314.51082175926</v>
      </c>
      <c r="K1173">
        <f>AVERAGE(H1172:H1176)</f>
        <v>170.7882375</v>
      </c>
      <c r="L1173">
        <f>STDEV(H1172:H1176)</f>
        <v>30.36838394</v>
      </c>
      <c r="M1173" s="70">
        <v>173.369441513312</v>
      </c>
      <c r="N1173" s="70">
        <v>173.369441513312</v>
      </c>
      <c r="O1173" s="70">
        <v>6.33937710999437</v>
      </c>
      <c r="P1173" s="70">
        <v>6.33937710999437</v>
      </c>
    </row>
    <row r="1174" hidden="1">
      <c r="A1174" s="67" t="s">
        <v>1934</v>
      </c>
      <c r="B1174" s="67" t="s">
        <v>519</v>
      </c>
      <c r="C1174" s="68">
        <v>1.0</v>
      </c>
      <c r="D1174" s="68">
        <v>1.0</v>
      </c>
      <c r="E1174" s="68">
        <v>2.0</v>
      </c>
      <c r="F1174" s="68">
        <v>2.0</v>
      </c>
      <c r="G1174" s="68">
        <v>3.13792500014473</v>
      </c>
      <c r="H1174" s="68">
        <v>157.311124026336</v>
      </c>
      <c r="I1174" s="69">
        <v>44314.51152777778</v>
      </c>
      <c r="J1174" s="69">
        <v>44314.594375</v>
      </c>
      <c r="K1174">
        <f>AVERAGE(H1172:H1176)</f>
        <v>170.7882375</v>
      </c>
      <c r="L1174">
        <f>STDEV(H1172:H1176)</f>
        <v>30.36838394</v>
      </c>
      <c r="M1174" s="70">
        <v>157.311124026336</v>
      </c>
      <c r="N1174" s="70">
        <v>157.311124026336</v>
      </c>
      <c r="O1174" s="70">
        <v>3.13792500014473</v>
      </c>
      <c r="P1174" s="70">
        <v>3.13792500014473</v>
      </c>
    </row>
    <row r="1175" hidden="1">
      <c r="A1175" s="67" t="s">
        <v>1935</v>
      </c>
      <c r="B1175" s="67" t="s">
        <v>519</v>
      </c>
      <c r="C1175" s="68">
        <v>1.0</v>
      </c>
      <c r="D1175" s="68">
        <v>1.0</v>
      </c>
      <c r="E1175" s="68">
        <v>2.0</v>
      </c>
      <c r="F1175" s="68">
        <v>3.0</v>
      </c>
      <c r="G1175" s="68">
        <v>2.66587286189983</v>
      </c>
      <c r="H1175" s="68">
        <v>137.777165683813</v>
      </c>
      <c r="I1175" s="69">
        <v>44314.59508101852</v>
      </c>
      <c r="J1175" s="69">
        <v>44314.59527777778</v>
      </c>
      <c r="K1175">
        <f>AVERAGE(H1172:H1176)</f>
        <v>170.7882375</v>
      </c>
      <c r="L1175">
        <f>STDEV(H1172:H1176)</f>
        <v>30.36838394</v>
      </c>
      <c r="M1175" s="70">
        <v>137.777165683813</v>
      </c>
      <c r="N1175" s="70">
        <v>137.777165683813</v>
      </c>
      <c r="O1175" s="70">
        <v>2.66587286189983</v>
      </c>
      <c r="P1175" s="70">
        <v>2.66587286189983</v>
      </c>
    </row>
    <row r="1176" hidden="1">
      <c r="A1176" s="67" t="s">
        <v>1936</v>
      </c>
      <c r="B1176" s="67" t="s">
        <v>519</v>
      </c>
      <c r="C1176" s="68">
        <v>1.0</v>
      </c>
      <c r="D1176" s="68">
        <v>1.0</v>
      </c>
      <c r="E1176" s="68">
        <v>2.0</v>
      </c>
      <c r="F1176" s="68">
        <v>4.0</v>
      </c>
      <c r="G1176" s="68">
        <v>9.24154400802002</v>
      </c>
      <c r="H1176" s="68">
        <v>219.639845246567</v>
      </c>
      <c r="I1176" s="69">
        <v>44314.59599537037</v>
      </c>
      <c r="J1176" s="69">
        <v>44314.59609953704</v>
      </c>
      <c r="K1176">
        <f>AVERAGE(H1172:H1176)</f>
        <v>170.7882375</v>
      </c>
      <c r="L1176">
        <f>STDEV(H1172:H1176)</f>
        <v>30.36838394</v>
      </c>
      <c r="M1176" s="70">
        <v>219.639845246567</v>
      </c>
      <c r="N1176" s="70">
        <v>219.639845246567</v>
      </c>
      <c r="O1176" s="70">
        <v>9.24154400802002</v>
      </c>
      <c r="P1176" s="70">
        <v>9.24154400802002</v>
      </c>
    </row>
    <row r="1177" hidden="1">
      <c r="A1177" s="67" t="s">
        <v>1937</v>
      </c>
      <c r="B1177" s="67" t="s">
        <v>17</v>
      </c>
      <c r="C1177" s="68">
        <v>0.1</v>
      </c>
      <c r="D1177" s="68">
        <v>0.1</v>
      </c>
      <c r="E1177" s="68">
        <v>3.0</v>
      </c>
      <c r="F1177" s="68">
        <v>0.0</v>
      </c>
      <c r="G1177" s="68">
        <v>1.35234038675955</v>
      </c>
      <c r="H1177" s="68">
        <v>69.4930544964491</v>
      </c>
      <c r="I1177" s="69">
        <v>44314.596817129626</v>
      </c>
      <c r="J1177" s="69">
        <v>44314.59793981481</v>
      </c>
      <c r="K1177">
        <f>AVERAGE(H1177:H1181)</f>
        <v>123.6638275</v>
      </c>
      <c r="L1177">
        <f>STDEV(H1177:H1181)</f>
        <v>80.65125065</v>
      </c>
      <c r="M1177" s="70">
        <v>69.4930544964491</v>
      </c>
      <c r="N1177" s="70">
        <v>69.4930544964491</v>
      </c>
      <c r="O1177" s="70">
        <v>1.35234038675955</v>
      </c>
      <c r="P1177" s="70">
        <v>1.35234038675955</v>
      </c>
    </row>
    <row r="1178" hidden="1">
      <c r="A1178" s="67" t="s">
        <v>1938</v>
      </c>
      <c r="B1178" s="67" t="s">
        <v>17</v>
      </c>
      <c r="C1178" s="68">
        <v>0.1</v>
      </c>
      <c r="D1178" s="68">
        <v>0.1</v>
      </c>
      <c r="E1178" s="68">
        <v>3.0</v>
      </c>
      <c r="F1178" s="68">
        <v>1.0</v>
      </c>
      <c r="G1178" s="68">
        <v>4.16967269759586</v>
      </c>
      <c r="H1178" s="68">
        <v>214.855249396239</v>
      </c>
      <c r="I1178" s="69">
        <v>44314.598645833335</v>
      </c>
      <c r="J1178" s="69">
        <v>44314.59899305556</v>
      </c>
      <c r="K1178">
        <f>AVERAGE(H1177:H1181)</f>
        <v>123.6638275</v>
      </c>
      <c r="L1178">
        <f>STDEV(H1177:H1181)</f>
        <v>80.65125065</v>
      </c>
      <c r="M1178" s="70">
        <v>214.855249396239</v>
      </c>
      <c r="N1178" s="70">
        <v>214.855249396239</v>
      </c>
      <c r="O1178" s="70">
        <v>4.16967269759586</v>
      </c>
      <c r="P1178" s="70">
        <v>4.16967269759586</v>
      </c>
    </row>
    <row r="1179" hidden="1">
      <c r="A1179" s="67" t="s">
        <v>1939</v>
      </c>
      <c r="B1179" s="67" t="s">
        <v>17</v>
      </c>
      <c r="C1179" s="68">
        <v>0.1</v>
      </c>
      <c r="D1179" s="68">
        <v>0.1</v>
      </c>
      <c r="E1179" s="68">
        <v>3.0</v>
      </c>
      <c r="F1179" s="68">
        <v>2.0</v>
      </c>
      <c r="G1179" s="68">
        <v>0.985116609976925</v>
      </c>
      <c r="H1179" s="68">
        <v>14.2091812258625</v>
      </c>
      <c r="I1179" s="69">
        <v>44314.599710648145</v>
      </c>
      <c r="J1179" s="69">
        <v>44314.599814814814</v>
      </c>
      <c r="K1179">
        <f>AVERAGE(H1177:H1181)</f>
        <v>123.6638275</v>
      </c>
      <c r="L1179">
        <f>STDEV(H1177:H1181)</f>
        <v>80.65125065</v>
      </c>
      <c r="M1179" s="70">
        <v>14.2091812258625</v>
      </c>
      <c r="N1179" s="70">
        <v>14.2091812258625</v>
      </c>
      <c r="O1179" s="70">
        <v>0.985116609976925</v>
      </c>
      <c r="P1179" s="70">
        <v>0.985116609976925</v>
      </c>
    </row>
    <row r="1180" hidden="1">
      <c r="A1180" s="67" t="s">
        <v>1940</v>
      </c>
      <c r="B1180" s="67" t="s">
        <v>17</v>
      </c>
      <c r="C1180" s="68">
        <v>0.1</v>
      </c>
      <c r="D1180" s="68">
        <v>0.1</v>
      </c>
      <c r="E1180" s="68">
        <v>3.0</v>
      </c>
      <c r="F1180" s="68">
        <v>3.0</v>
      </c>
      <c r="G1180" s="68">
        <v>4.59785461564349</v>
      </c>
      <c r="H1180" s="68">
        <v>150.811998178904</v>
      </c>
      <c r="I1180" s="69">
        <v>44314.60053240741</v>
      </c>
      <c r="J1180" s="69">
        <v>44314.602106481485</v>
      </c>
      <c r="K1180">
        <f>AVERAGE(H1177:H1181)</f>
        <v>123.6638275</v>
      </c>
      <c r="L1180">
        <f>STDEV(H1177:H1181)</f>
        <v>80.65125065</v>
      </c>
      <c r="M1180" s="70">
        <v>150.811998178904</v>
      </c>
      <c r="N1180" s="70">
        <v>150.811998178904</v>
      </c>
      <c r="O1180" s="70">
        <v>4.59785461564349</v>
      </c>
      <c r="P1180" s="70">
        <v>4.59785461564349</v>
      </c>
    </row>
    <row r="1181" hidden="1">
      <c r="A1181" s="67" t="s">
        <v>1941</v>
      </c>
      <c r="B1181" s="67" t="s">
        <v>17</v>
      </c>
      <c r="C1181" s="68">
        <v>0.1</v>
      </c>
      <c r="D1181" s="68">
        <v>0.1</v>
      </c>
      <c r="E1181" s="68">
        <v>3.0</v>
      </c>
      <c r="F1181" s="68">
        <v>4.0</v>
      </c>
      <c r="G1181" s="68">
        <v>3.47072936641227</v>
      </c>
      <c r="H1181" s="68">
        <v>168.949654064424</v>
      </c>
      <c r="I1181" s="69">
        <v>44314.60282407407</v>
      </c>
      <c r="J1181" s="69">
        <v>44314.64371527778</v>
      </c>
      <c r="K1181">
        <f>AVERAGE(H1177:H1181)</f>
        <v>123.6638275</v>
      </c>
      <c r="L1181">
        <f>STDEV(H1177:H1181)</f>
        <v>80.65125065</v>
      </c>
      <c r="M1181" s="70">
        <v>168.949654064424</v>
      </c>
      <c r="N1181" s="70">
        <v>168.949654064424</v>
      </c>
      <c r="O1181" s="70">
        <v>3.47072936641227</v>
      </c>
      <c r="P1181" s="70">
        <v>3.47072936641227</v>
      </c>
    </row>
    <row r="1182" hidden="1">
      <c r="A1182" s="67" t="s">
        <v>1942</v>
      </c>
      <c r="B1182" s="67" t="s">
        <v>17</v>
      </c>
      <c r="C1182" s="68">
        <v>0.1</v>
      </c>
      <c r="D1182" s="68">
        <v>0.25</v>
      </c>
      <c r="E1182" s="68">
        <v>3.0</v>
      </c>
      <c r="F1182" s="68">
        <v>0.0</v>
      </c>
      <c r="G1182" s="68">
        <v>0.712647031637279</v>
      </c>
      <c r="H1182" s="68">
        <v>0.949268918176112</v>
      </c>
      <c r="I1182" s="69">
        <v>44314.64443287037</v>
      </c>
      <c r="J1182" s="69">
        <v>44314.644641203704</v>
      </c>
      <c r="K1182">
        <f>AVERAGE(H1182:H1186)</f>
        <v>74.40687157</v>
      </c>
      <c r="L1182">
        <f>STDEV(H1182:H1186)</f>
        <v>91.21371357</v>
      </c>
      <c r="M1182" s="70">
        <v>0.949268918176112</v>
      </c>
      <c r="N1182" s="70">
        <v>0.949268918176112</v>
      </c>
      <c r="O1182" s="70">
        <v>0.712647031637279</v>
      </c>
      <c r="P1182" s="70">
        <v>0.712647031637279</v>
      </c>
    </row>
    <row r="1183" hidden="1">
      <c r="A1183" s="67" t="s">
        <v>1943</v>
      </c>
      <c r="B1183" s="67" t="s">
        <v>17</v>
      </c>
      <c r="C1183" s="68">
        <v>0.1</v>
      </c>
      <c r="D1183" s="68">
        <v>0.25</v>
      </c>
      <c r="E1183" s="68">
        <v>3.0</v>
      </c>
      <c r="F1183" s="68">
        <v>1.0</v>
      </c>
      <c r="G1183" s="68">
        <v>0.317145370870006</v>
      </c>
      <c r="H1183" s="68">
        <v>0.406115963760371</v>
      </c>
      <c r="I1183" s="69">
        <v>44314.6453587963</v>
      </c>
      <c r="J1183" s="69">
        <v>44314.645416666666</v>
      </c>
      <c r="K1183">
        <f>AVERAGE(H1182:H1186)</f>
        <v>74.40687157</v>
      </c>
      <c r="L1183">
        <f>STDEV(H1182:H1186)</f>
        <v>91.21371357</v>
      </c>
      <c r="M1183" s="70">
        <v>0.406115963760371</v>
      </c>
      <c r="N1183" s="70">
        <v>0.406115963760371</v>
      </c>
      <c r="O1183" s="70">
        <v>0.317145370870006</v>
      </c>
      <c r="P1183" s="70">
        <v>0.317145370870006</v>
      </c>
    </row>
    <row r="1184" hidden="1">
      <c r="A1184" s="67" t="s">
        <v>1944</v>
      </c>
      <c r="B1184" s="67" t="s">
        <v>17</v>
      </c>
      <c r="C1184" s="68">
        <v>0.1</v>
      </c>
      <c r="D1184" s="68">
        <v>0.25</v>
      </c>
      <c r="E1184" s="68">
        <v>3.0</v>
      </c>
      <c r="F1184" s="68">
        <v>2.0</v>
      </c>
      <c r="G1184" s="68">
        <v>3.28061918013691</v>
      </c>
      <c r="H1184" s="68">
        <v>145.951870303818</v>
      </c>
      <c r="I1184" s="69">
        <v>44314.64612268518</v>
      </c>
      <c r="J1184" s="69">
        <v>44314.67912037037</v>
      </c>
      <c r="K1184">
        <f>AVERAGE(H1182:H1186)</f>
        <v>74.40687157</v>
      </c>
      <c r="L1184">
        <f>STDEV(H1182:H1186)</f>
        <v>91.21371357</v>
      </c>
      <c r="M1184" s="70">
        <v>145.951870303818</v>
      </c>
      <c r="N1184" s="70">
        <v>145.951870303818</v>
      </c>
      <c r="O1184" s="70">
        <v>3.28061918013691</v>
      </c>
      <c r="P1184" s="70">
        <v>3.28061918013691</v>
      </c>
    </row>
    <row r="1185" hidden="1">
      <c r="A1185" s="67" t="s">
        <v>1945</v>
      </c>
      <c r="B1185" s="67" t="s">
        <v>17</v>
      </c>
      <c r="C1185" s="68">
        <v>0.1</v>
      </c>
      <c r="D1185" s="68">
        <v>0.25</v>
      </c>
      <c r="E1185" s="68">
        <v>3.0</v>
      </c>
      <c r="F1185" s="68">
        <v>3.0</v>
      </c>
      <c r="G1185" s="68">
        <v>1.65362643154949</v>
      </c>
      <c r="H1185" s="68">
        <v>27.4885578437974</v>
      </c>
      <c r="I1185" s="69">
        <v>44314.67982638889</v>
      </c>
      <c r="J1185" s="69">
        <v>44314.68027777778</v>
      </c>
      <c r="K1185">
        <f>AVERAGE(H1182:H1186)</f>
        <v>74.40687157</v>
      </c>
      <c r="L1185">
        <f>STDEV(H1182:H1186)</f>
        <v>91.21371357</v>
      </c>
      <c r="M1185" s="70">
        <v>27.4885578437974</v>
      </c>
      <c r="N1185" s="70">
        <v>27.4885578437974</v>
      </c>
      <c r="O1185" s="70">
        <v>1.65362643154949</v>
      </c>
      <c r="P1185" s="70">
        <v>1.65362643154949</v>
      </c>
    </row>
    <row r="1186" hidden="1">
      <c r="A1186" s="67" t="s">
        <v>1946</v>
      </c>
      <c r="B1186" s="67" t="s">
        <v>17</v>
      </c>
      <c r="C1186" s="68">
        <v>0.1</v>
      </c>
      <c r="D1186" s="68">
        <v>0.25</v>
      </c>
      <c r="E1186" s="68">
        <v>3.0</v>
      </c>
      <c r="F1186" s="68">
        <v>4.0</v>
      </c>
      <c r="G1186" s="68">
        <v>4.38219082537173</v>
      </c>
      <c r="H1186" s="68">
        <v>197.238544814611</v>
      </c>
      <c r="I1186" s="69">
        <v>44314.680983796294</v>
      </c>
      <c r="J1186" s="69">
        <v>44314.69440972222</v>
      </c>
      <c r="K1186">
        <f>AVERAGE(H1182:H1186)</f>
        <v>74.40687157</v>
      </c>
      <c r="L1186">
        <f>STDEV(H1182:H1186)</f>
        <v>91.21371357</v>
      </c>
      <c r="M1186" s="70">
        <v>197.238544814611</v>
      </c>
      <c r="N1186" s="70">
        <v>197.238544814611</v>
      </c>
      <c r="O1186" s="70">
        <v>4.38219082537173</v>
      </c>
      <c r="P1186" s="70">
        <v>4.38219082537173</v>
      </c>
    </row>
    <row r="1187" hidden="1">
      <c r="A1187" s="67" t="s">
        <v>1947</v>
      </c>
      <c r="B1187" s="67" t="s">
        <v>17</v>
      </c>
      <c r="C1187" s="68">
        <v>0.1</v>
      </c>
      <c r="D1187" s="68">
        <v>0.5</v>
      </c>
      <c r="E1187" s="68">
        <v>3.0</v>
      </c>
      <c r="F1187" s="68">
        <v>0.0</v>
      </c>
      <c r="G1187" s="68">
        <v>2.73690049034493</v>
      </c>
      <c r="H1187" s="68">
        <v>133.399777988809</v>
      </c>
      <c r="I1187" s="69">
        <v>44314.69511574074</v>
      </c>
      <c r="J1187" s="69">
        <v>44314.73967592593</v>
      </c>
      <c r="K1187">
        <f>AVERAGE(H1187:H1191)</f>
        <v>116.8223953</v>
      </c>
      <c r="L1187">
        <f>STDEV(H1187:H1191)</f>
        <v>97.353718</v>
      </c>
      <c r="M1187" s="70">
        <v>133.399777988809</v>
      </c>
      <c r="N1187" s="70">
        <v>133.399777988809</v>
      </c>
      <c r="O1187" s="70">
        <v>2.73690049034493</v>
      </c>
      <c r="P1187" s="70">
        <v>2.73690049034493</v>
      </c>
    </row>
    <row r="1188" hidden="1">
      <c r="A1188" s="67" t="s">
        <v>1948</v>
      </c>
      <c r="B1188" s="67" t="s">
        <v>17</v>
      </c>
      <c r="C1188" s="68">
        <v>0.1</v>
      </c>
      <c r="D1188" s="68">
        <v>0.5</v>
      </c>
      <c r="E1188" s="68">
        <v>3.0</v>
      </c>
      <c r="F1188" s="68">
        <v>1.0</v>
      </c>
      <c r="G1188" s="68">
        <v>4.98840612116933</v>
      </c>
      <c r="H1188" s="68">
        <v>214.565446017619</v>
      </c>
      <c r="I1188" s="69">
        <v>44314.740381944444</v>
      </c>
      <c r="J1188" s="69">
        <v>44314.74762731481</v>
      </c>
      <c r="K1188">
        <f>AVERAGE(H1187:H1191)</f>
        <v>116.8223953</v>
      </c>
      <c r="L1188">
        <f>STDEV(H1187:H1191)</f>
        <v>97.353718</v>
      </c>
      <c r="M1188" s="70">
        <v>214.565446017619</v>
      </c>
      <c r="N1188" s="70">
        <v>214.565446017619</v>
      </c>
      <c r="O1188" s="70">
        <v>4.98840612116933</v>
      </c>
      <c r="P1188" s="70">
        <v>4.98840612116933</v>
      </c>
    </row>
    <row r="1189" hidden="1">
      <c r="A1189" s="67" t="s">
        <v>1949</v>
      </c>
      <c r="B1189" s="67" t="s">
        <v>17</v>
      </c>
      <c r="C1189" s="68">
        <v>0.1</v>
      </c>
      <c r="D1189" s="68">
        <v>0.5</v>
      </c>
      <c r="E1189" s="68">
        <v>3.0</v>
      </c>
      <c r="F1189" s="68">
        <v>2.0</v>
      </c>
      <c r="G1189" s="68">
        <v>2.64397974277779</v>
      </c>
      <c r="H1189" s="68">
        <v>4.14308284676004</v>
      </c>
      <c r="I1189" s="69">
        <v>44314.74833333334</v>
      </c>
      <c r="J1189" s="69">
        <v>44314.74842592593</v>
      </c>
      <c r="K1189">
        <f>AVERAGE(H1187:H1191)</f>
        <v>116.8223953</v>
      </c>
      <c r="L1189">
        <f>STDEV(H1187:H1191)</f>
        <v>97.353718</v>
      </c>
      <c r="M1189" s="70">
        <v>4.14308284676004</v>
      </c>
      <c r="N1189" s="70">
        <v>4.14308284676004</v>
      </c>
      <c r="O1189" s="70">
        <v>2.64397974277779</v>
      </c>
      <c r="P1189" s="70">
        <v>2.64397974277779</v>
      </c>
    </row>
    <row r="1190" hidden="1">
      <c r="A1190" s="67" t="s">
        <v>1950</v>
      </c>
      <c r="B1190" s="67" t="s">
        <v>17</v>
      </c>
      <c r="C1190" s="68">
        <v>0.1</v>
      </c>
      <c r="D1190" s="68">
        <v>0.5</v>
      </c>
      <c r="E1190" s="68">
        <v>3.0</v>
      </c>
      <c r="F1190" s="68">
        <v>3.0</v>
      </c>
      <c r="G1190" s="68">
        <v>1.66151465209122</v>
      </c>
      <c r="H1190" s="68">
        <v>28.2963677373546</v>
      </c>
      <c r="I1190" s="69">
        <v>44314.749131944445</v>
      </c>
      <c r="J1190" s="69">
        <v>44314.74953703704</v>
      </c>
      <c r="K1190">
        <f>AVERAGE(H1187:H1191)</f>
        <v>116.8223953</v>
      </c>
      <c r="L1190">
        <f>STDEV(H1187:H1191)</f>
        <v>97.353718</v>
      </c>
      <c r="M1190" s="70">
        <v>28.2963677373546</v>
      </c>
      <c r="N1190" s="70">
        <v>28.2963677373546</v>
      </c>
      <c r="O1190" s="70">
        <v>1.66151465209122</v>
      </c>
      <c r="P1190" s="70">
        <v>1.66151465209122</v>
      </c>
    </row>
    <row r="1191" hidden="1">
      <c r="A1191" s="67" t="s">
        <v>1951</v>
      </c>
      <c r="B1191" s="67" t="s">
        <v>17</v>
      </c>
      <c r="C1191" s="68">
        <v>0.1</v>
      </c>
      <c r="D1191" s="68">
        <v>0.5</v>
      </c>
      <c r="E1191" s="68">
        <v>3.0</v>
      </c>
      <c r="F1191" s="68">
        <v>4.0</v>
      </c>
      <c r="G1191" s="68">
        <v>7.01265567474776</v>
      </c>
      <c r="H1191" s="68">
        <v>203.707302157304</v>
      </c>
      <c r="I1191" s="69">
        <v>44314.75025462963</v>
      </c>
      <c r="J1191" s="69">
        <v>44314.7503125</v>
      </c>
      <c r="K1191">
        <f>AVERAGE(H1187:H1191)</f>
        <v>116.8223953</v>
      </c>
      <c r="L1191">
        <f>STDEV(H1187:H1191)</f>
        <v>97.353718</v>
      </c>
      <c r="M1191" s="70">
        <v>203.707302157304</v>
      </c>
      <c r="N1191" s="70">
        <v>203.707302157304</v>
      </c>
      <c r="O1191" s="70">
        <v>7.01265567474776</v>
      </c>
      <c r="P1191" s="70">
        <v>7.01265567474776</v>
      </c>
    </row>
    <row r="1192" hidden="1">
      <c r="A1192" s="67" t="s">
        <v>1952</v>
      </c>
      <c r="B1192" s="67" t="s">
        <v>17</v>
      </c>
      <c r="C1192" s="68">
        <v>0.1</v>
      </c>
      <c r="D1192" s="68">
        <v>0.75</v>
      </c>
      <c r="E1192" s="68">
        <v>3.0</v>
      </c>
      <c r="F1192" s="68">
        <v>0.0</v>
      </c>
      <c r="G1192" s="68">
        <v>2.60894321875741</v>
      </c>
      <c r="H1192" s="68">
        <v>122.328364942981</v>
      </c>
      <c r="I1192" s="69">
        <v>44314.75101851852</v>
      </c>
      <c r="J1192" s="69">
        <v>44314.793217592596</v>
      </c>
      <c r="K1192">
        <f>AVERAGE(H1192:H1196)</f>
        <v>195.4632809</v>
      </c>
      <c r="L1192">
        <f>STDEV(H1192:H1196)</f>
        <v>54.18924888</v>
      </c>
      <c r="M1192" s="70">
        <v>122.328364942981</v>
      </c>
      <c r="N1192" s="70">
        <v>122.328364942981</v>
      </c>
      <c r="O1192" s="70">
        <v>2.60894321875741</v>
      </c>
      <c r="P1192" s="70">
        <v>2.60894321875741</v>
      </c>
    </row>
    <row r="1193" hidden="1">
      <c r="A1193" s="67" t="s">
        <v>1953</v>
      </c>
      <c r="B1193" s="67" t="s">
        <v>17</v>
      </c>
      <c r="C1193" s="68">
        <v>0.1</v>
      </c>
      <c r="D1193" s="68">
        <v>0.75</v>
      </c>
      <c r="E1193" s="68">
        <v>3.0</v>
      </c>
      <c r="F1193" s="68">
        <v>1.0</v>
      </c>
      <c r="G1193" s="68">
        <v>4.83453534610406</v>
      </c>
      <c r="H1193" s="68">
        <v>177.526951566142</v>
      </c>
      <c r="I1193" s="69">
        <v>44314.79392361111</v>
      </c>
      <c r="J1193" s="69">
        <v>44314.79399305556</v>
      </c>
      <c r="K1193">
        <f>AVERAGE(H1192:H1196)</f>
        <v>195.4632809</v>
      </c>
      <c r="L1193">
        <f>STDEV(H1192:H1196)</f>
        <v>54.18924888</v>
      </c>
      <c r="M1193" s="70">
        <v>177.526951566142</v>
      </c>
      <c r="N1193" s="70">
        <v>177.526951566142</v>
      </c>
      <c r="O1193" s="70">
        <v>4.83453534610406</v>
      </c>
      <c r="P1193" s="70">
        <v>4.83453534610406</v>
      </c>
    </row>
    <row r="1194" hidden="1">
      <c r="A1194" s="67" t="s">
        <v>1954</v>
      </c>
      <c r="B1194" s="67" t="s">
        <v>17</v>
      </c>
      <c r="C1194" s="68">
        <v>0.1</v>
      </c>
      <c r="D1194" s="68">
        <v>0.75</v>
      </c>
      <c r="E1194" s="68">
        <v>3.0</v>
      </c>
      <c r="F1194" s="68">
        <v>2.0</v>
      </c>
      <c r="G1194" s="68">
        <v>4.265259448797</v>
      </c>
      <c r="H1194" s="68">
        <v>197.54769795163</v>
      </c>
      <c r="I1194" s="69">
        <v>44314.794699074075</v>
      </c>
      <c r="J1194" s="69">
        <v>44314.79864583333</v>
      </c>
      <c r="K1194">
        <f>AVERAGE(H1192:H1196)</f>
        <v>195.4632809</v>
      </c>
      <c r="L1194">
        <f>STDEV(H1192:H1196)</f>
        <v>54.18924888</v>
      </c>
      <c r="M1194" s="70">
        <v>197.54769795163</v>
      </c>
      <c r="N1194" s="70">
        <v>197.54769795163</v>
      </c>
      <c r="O1194" s="70">
        <v>4.265259448797</v>
      </c>
      <c r="P1194" s="70">
        <v>4.265259448797</v>
      </c>
    </row>
    <row r="1195" hidden="1">
      <c r="A1195" s="67" t="s">
        <v>1955</v>
      </c>
      <c r="B1195" s="67" t="s">
        <v>17</v>
      </c>
      <c r="C1195" s="68">
        <v>0.1</v>
      </c>
      <c r="D1195" s="68">
        <v>0.75</v>
      </c>
      <c r="E1195" s="68">
        <v>3.0</v>
      </c>
      <c r="F1195" s="68">
        <v>3.0</v>
      </c>
      <c r="G1195" s="68">
        <v>7.42280243454266</v>
      </c>
      <c r="H1195" s="68">
        <v>272.451297202523</v>
      </c>
      <c r="I1195" s="69">
        <v>44314.79935185185</v>
      </c>
      <c r="J1195" s="69">
        <v>44314.79960648148</v>
      </c>
      <c r="K1195">
        <f>AVERAGE(H1192:H1196)</f>
        <v>195.4632809</v>
      </c>
      <c r="L1195">
        <f>STDEV(H1192:H1196)</f>
        <v>54.18924888</v>
      </c>
      <c r="M1195" s="70">
        <v>272.451297202523</v>
      </c>
      <c r="N1195" s="70">
        <v>272.451297202523</v>
      </c>
      <c r="O1195" s="70">
        <v>7.42280243454266</v>
      </c>
      <c r="P1195" s="70">
        <v>7.42280243454266</v>
      </c>
    </row>
    <row r="1196" hidden="1">
      <c r="A1196" s="67" t="s">
        <v>1956</v>
      </c>
      <c r="B1196" s="67" t="s">
        <v>17</v>
      </c>
      <c r="C1196" s="68">
        <v>0.1</v>
      </c>
      <c r="D1196" s="68">
        <v>0.75</v>
      </c>
      <c r="E1196" s="68">
        <v>3.0</v>
      </c>
      <c r="F1196" s="68">
        <v>4.0</v>
      </c>
      <c r="G1196" s="68">
        <v>7.26647579215228</v>
      </c>
      <c r="H1196" s="68">
        <v>207.462092740164</v>
      </c>
      <c r="I1196" s="69">
        <v>44314.80032407407</v>
      </c>
      <c r="J1196" s="69">
        <v>44314.80038194444</v>
      </c>
      <c r="K1196">
        <f>AVERAGE(H1192:H1196)</f>
        <v>195.4632809</v>
      </c>
      <c r="L1196">
        <f>STDEV(H1192:H1196)</f>
        <v>54.18924888</v>
      </c>
      <c r="M1196" s="70">
        <v>207.462092740164</v>
      </c>
      <c r="N1196" s="70">
        <v>207.462092740164</v>
      </c>
      <c r="O1196" s="70">
        <v>7.26647579215228</v>
      </c>
      <c r="P1196" s="70">
        <v>7.26647579215228</v>
      </c>
    </row>
    <row r="1197" hidden="1">
      <c r="A1197" s="67" t="s">
        <v>1957</v>
      </c>
      <c r="B1197" s="67" t="s">
        <v>17</v>
      </c>
      <c r="C1197" s="68">
        <v>0.1</v>
      </c>
      <c r="D1197" s="68">
        <v>1.0</v>
      </c>
      <c r="E1197" s="68">
        <v>3.0</v>
      </c>
      <c r="F1197" s="68">
        <v>0.0</v>
      </c>
      <c r="G1197" s="68">
        <v>11.6936870834338</v>
      </c>
      <c r="H1197" s="68">
        <v>348.105875144898</v>
      </c>
      <c r="I1197" s="69">
        <v>44314.801087962966</v>
      </c>
      <c r="J1197" s="69">
        <v>44314.80118055556</v>
      </c>
      <c r="K1197">
        <f>AVERAGE(H1197:H1201)</f>
        <v>190.7761761</v>
      </c>
      <c r="L1197">
        <f>STDEV(H1197:H1201)</f>
        <v>93.42147256</v>
      </c>
      <c r="M1197" s="70">
        <v>348.105875144898</v>
      </c>
      <c r="N1197" s="70">
        <v>348.105875144898</v>
      </c>
      <c r="O1197" s="70">
        <v>11.6936870834338</v>
      </c>
      <c r="P1197" s="70">
        <v>11.6936870834338</v>
      </c>
    </row>
    <row r="1198" hidden="1">
      <c r="A1198" s="67" t="s">
        <v>1958</v>
      </c>
      <c r="B1198" s="67" t="s">
        <v>17</v>
      </c>
      <c r="C1198" s="68">
        <v>0.1</v>
      </c>
      <c r="D1198" s="68">
        <v>1.0</v>
      </c>
      <c r="E1198" s="68">
        <v>3.0</v>
      </c>
      <c r="F1198" s="68">
        <v>1.0</v>
      </c>
      <c r="G1198" s="68">
        <v>3.62681366101033</v>
      </c>
      <c r="H1198" s="68">
        <v>171.5300993663</v>
      </c>
      <c r="I1198" s="69">
        <v>44314.801886574074</v>
      </c>
      <c r="J1198" s="69">
        <v>44314.82671296296</v>
      </c>
      <c r="K1198">
        <f>AVERAGE(H1197:H1201)</f>
        <v>190.7761761</v>
      </c>
      <c r="L1198">
        <f>STDEV(H1197:H1201)</f>
        <v>93.42147256</v>
      </c>
      <c r="M1198" s="70">
        <v>171.5300993663</v>
      </c>
      <c r="N1198" s="70">
        <v>171.5300993663</v>
      </c>
      <c r="O1198" s="70">
        <v>3.62681366101033</v>
      </c>
      <c r="P1198" s="70">
        <v>3.62681366101033</v>
      </c>
    </row>
    <row r="1199" hidden="1">
      <c r="A1199" s="67" t="s">
        <v>1959</v>
      </c>
      <c r="B1199" s="67" t="s">
        <v>17</v>
      </c>
      <c r="C1199" s="68">
        <v>0.1</v>
      </c>
      <c r="D1199" s="68">
        <v>1.0</v>
      </c>
      <c r="E1199" s="68">
        <v>3.0</v>
      </c>
      <c r="F1199" s="68">
        <v>2.0</v>
      </c>
      <c r="G1199" s="68">
        <v>2.48565400655238</v>
      </c>
      <c r="H1199" s="68">
        <v>131.715245821776</v>
      </c>
      <c r="I1199" s="69">
        <v>44314.827418981484</v>
      </c>
      <c r="J1199" s="69">
        <v>44314.82765046296</v>
      </c>
      <c r="K1199">
        <f>AVERAGE(H1197:H1201)</f>
        <v>190.7761761</v>
      </c>
      <c r="L1199">
        <f>STDEV(H1197:H1201)</f>
        <v>93.42147256</v>
      </c>
      <c r="M1199" s="70">
        <v>131.715245821776</v>
      </c>
      <c r="N1199" s="70">
        <v>131.715245821776</v>
      </c>
      <c r="O1199" s="70">
        <v>2.48565400655238</v>
      </c>
      <c r="P1199" s="70">
        <v>2.48565400655238</v>
      </c>
    </row>
    <row r="1200" hidden="1">
      <c r="A1200" s="67" t="s">
        <v>1960</v>
      </c>
      <c r="B1200" s="67" t="s">
        <v>17</v>
      </c>
      <c r="C1200" s="68">
        <v>0.1</v>
      </c>
      <c r="D1200" s="68">
        <v>1.0</v>
      </c>
      <c r="E1200" s="68">
        <v>3.0</v>
      </c>
      <c r="F1200" s="68">
        <v>3.0</v>
      </c>
      <c r="G1200" s="68">
        <v>2.48517370983979</v>
      </c>
      <c r="H1200" s="68">
        <v>111.410382051783</v>
      </c>
      <c r="I1200" s="69">
        <v>44314.828356481485</v>
      </c>
      <c r="J1200" s="69">
        <v>44314.84491898148</v>
      </c>
      <c r="K1200">
        <f>AVERAGE(H1197:H1201)</f>
        <v>190.7761761</v>
      </c>
      <c r="L1200">
        <f>STDEV(H1197:H1201)</f>
        <v>93.42147256</v>
      </c>
      <c r="M1200" s="70">
        <v>111.410382051783</v>
      </c>
      <c r="N1200" s="70">
        <v>111.410382051783</v>
      </c>
      <c r="O1200" s="70">
        <v>2.48517370983979</v>
      </c>
      <c r="P1200" s="70">
        <v>2.48517370983979</v>
      </c>
    </row>
    <row r="1201" hidden="1">
      <c r="A1201" s="67" t="s">
        <v>1961</v>
      </c>
      <c r="B1201" s="67" t="s">
        <v>17</v>
      </c>
      <c r="C1201" s="68">
        <v>0.1</v>
      </c>
      <c r="D1201" s="68">
        <v>1.0</v>
      </c>
      <c r="E1201" s="68">
        <v>3.0</v>
      </c>
      <c r="F1201" s="68">
        <v>4.0</v>
      </c>
      <c r="G1201" s="68">
        <v>7.82938305144576</v>
      </c>
      <c r="H1201" s="68">
        <v>191.11927822042</v>
      </c>
      <c r="I1201" s="69">
        <v>44314.845625</v>
      </c>
      <c r="J1201" s="69">
        <v>44314.845671296294</v>
      </c>
      <c r="K1201">
        <f>AVERAGE(H1197:H1201)</f>
        <v>190.7761761</v>
      </c>
      <c r="L1201">
        <f>STDEV(H1197:H1201)</f>
        <v>93.42147256</v>
      </c>
      <c r="M1201" s="70">
        <v>191.11927822042</v>
      </c>
      <c r="N1201" s="70">
        <v>191.11927822042</v>
      </c>
      <c r="O1201" s="70">
        <v>7.82938305144576</v>
      </c>
      <c r="P1201" s="70">
        <v>7.82938305144576</v>
      </c>
    </row>
    <row r="1202" hidden="1">
      <c r="A1202" s="67" t="s">
        <v>1962</v>
      </c>
      <c r="B1202" s="67" t="s">
        <v>17</v>
      </c>
      <c r="C1202" s="68">
        <v>0.25</v>
      </c>
      <c r="D1202" s="68">
        <v>0.1</v>
      </c>
      <c r="E1202" s="68">
        <v>3.0</v>
      </c>
      <c r="F1202" s="68">
        <v>0.0</v>
      </c>
      <c r="G1202" s="68">
        <v>0.71205655889852</v>
      </c>
      <c r="H1202" s="68">
        <v>0.948977832482219</v>
      </c>
      <c r="I1202" s="69">
        <v>44314.84637731482</v>
      </c>
      <c r="J1202" s="69">
        <v>44314.846608796295</v>
      </c>
      <c r="K1202">
        <f>AVERAGE(H1202:H1206)</f>
        <v>121.7923505</v>
      </c>
      <c r="L1202">
        <f>STDEV(H1202:H1206)</f>
        <v>119.7407398</v>
      </c>
      <c r="M1202" s="70">
        <v>0.948977832482219</v>
      </c>
      <c r="N1202" s="70">
        <v>0.948977832482219</v>
      </c>
      <c r="O1202" s="70">
        <v>0.71205655889852</v>
      </c>
      <c r="P1202" s="70">
        <v>0.71205655889852</v>
      </c>
    </row>
    <row r="1203" hidden="1">
      <c r="A1203" s="67" t="s">
        <v>1963</v>
      </c>
      <c r="B1203" s="67" t="s">
        <v>17</v>
      </c>
      <c r="C1203" s="68">
        <v>0.25</v>
      </c>
      <c r="D1203" s="68">
        <v>0.1</v>
      </c>
      <c r="E1203" s="68">
        <v>3.0</v>
      </c>
      <c r="F1203" s="68">
        <v>1.0</v>
      </c>
      <c r="G1203" s="68">
        <v>5.3237503391409</v>
      </c>
      <c r="H1203" s="68">
        <v>179.456672089829</v>
      </c>
      <c r="I1203" s="69">
        <v>44314.84731481481</v>
      </c>
      <c r="J1203" s="69">
        <v>44314.84782407407</v>
      </c>
      <c r="K1203">
        <f>AVERAGE(H1202:H1206)</f>
        <v>121.7923505</v>
      </c>
      <c r="L1203">
        <f>STDEV(H1202:H1206)</f>
        <v>119.7407398</v>
      </c>
      <c r="M1203" s="70">
        <v>179.456672089829</v>
      </c>
      <c r="N1203" s="70">
        <v>179.456672089829</v>
      </c>
      <c r="O1203" s="70">
        <v>5.3237503391409</v>
      </c>
      <c r="P1203" s="70">
        <v>5.3237503391409</v>
      </c>
    </row>
    <row r="1204" hidden="1">
      <c r="A1204" s="67" t="s">
        <v>1964</v>
      </c>
      <c r="B1204" s="67" t="s">
        <v>17</v>
      </c>
      <c r="C1204" s="68">
        <v>0.25</v>
      </c>
      <c r="D1204" s="68">
        <v>0.1</v>
      </c>
      <c r="E1204" s="68">
        <v>3.0</v>
      </c>
      <c r="F1204" s="68">
        <v>2.0</v>
      </c>
      <c r="G1204" s="68">
        <v>0.985277115507751</v>
      </c>
      <c r="H1204" s="68">
        <v>14.2136494052417</v>
      </c>
      <c r="I1204" s="69">
        <v>44314.848541666666</v>
      </c>
      <c r="J1204" s="69">
        <v>44314.848657407405</v>
      </c>
      <c r="K1204">
        <f>AVERAGE(H1202:H1206)</f>
        <v>121.7923505</v>
      </c>
      <c r="L1204">
        <f>STDEV(H1202:H1206)</f>
        <v>119.7407398</v>
      </c>
      <c r="M1204" s="70">
        <v>14.2136494052417</v>
      </c>
      <c r="N1204" s="70">
        <v>14.2136494052417</v>
      </c>
      <c r="O1204" s="70">
        <v>0.985277115507751</v>
      </c>
      <c r="P1204" s="70">
        <v>0.985277115507751</v>
      </c>
    </row>
    <row r="1205" hidden="1">
      <c r="A1205" s="67" t="s">
        <v>1965</v>
      </c>
      <c r="B1205" s="67" t="s">
        <v>17</v>
      </c>
      <c r="C1205" s="68">
        <v>0.25</v>
      </c>
      <c r="D1205" s="68">
        <v>0.1</v>
      </c>
      <c r="E1205" s="68">
        <v>3.0</v>
      </c>
      <c r="F1205" s="68">
        <v>3.0</v>
      </c>
      <c r="G1205" s="68">
        <v>9.09427148298434</v>
      </c>
      <c r="H1205" s="68">
        <v>288.629198832168</v>
      </c>
      <c r="I1205" s="69">
        <v>44314.84936342593</v>
      </c>
      <c r="J1205" s="69">
        <v>44314.85010416667</v>
      </c>
      <c r="K1205">
        <f>AVERAGE(H1202:H1206)</f>
        <v>121.7923505</v>
      </c>
      <c r="L1205">
        <f>STDEV(H1202:H1206)</f>
        <v>119.7407398</v>
      </c>
      <c r="M1205" s="70">
        <v>288.629198832168</v>
      </c>
      <c r="N1205" s="70">
        <v>288.629198832168</v>
      </c>
      <c r="O1205" s="70">
        <v>9.09427148298434</v>
      </c>
      <c r="P1205" s="70">
        <v>9.09427148298434</v>
      </c>
    </row>
    <row r="1206" hidden="1">
      <c r="A1206" s="67" t="s">
        <v>1966</v>
      </c>
      <c r="B1206" s="67" t="s">
        <v>17</v>
      </c>
      <c r="C1206" s="68">
        <v>0.25</v>
      </c>
      <c r="D1206" s="68">
        <v>0.1</v>
      </c>
      <c r="E1206" s="68">
        <v>3.0</v>
      </c>
      <c r="F1206" s="68">
        <v>4.0</v>
      </c>
      <c r="G1206" s="68">
        <v>2.46031625927266</v>
      </c>
      <c r="H1206" s="68">
        <v>125.713254172612</v>
      </c>
      <c r="I1206" s="69">
        <v>44314.85082175926</v>
      </c>
      <c r="J1206" s="69">
        <v>44314.89467592593</v>
      </c>
      <c r="K1206">
        <f>AVERAGE(H1202:H1206)</f>
        <v>121.7923505</v>
      </c>
      <c r="L1206">
        <f>STDEV(H1202:H1206)</f>
        <v>119.7407398</v>
      </c>
      <c r="M1206" s="70">
        <v>125.713254172612</v>
      </c>
      <c r="N1206" s="70">
        <v>125.713254172612</v>
      </c>
      <c r="O1206" s="70">
        <v>2.46031625927266</v>
      </c>
      <c r="P1206" s="70">
        <v>2.46031625927266</v>
      </c>
    </row>
    <row r="1207" hidden="1">
      <c r="A1207" s="67" t="s">
        <v>1967</v>
      </c>
      <c r="B1207" s="67" t="s">
        <v>17</v>
      </c>
      <c r="C1207" s="68">
        <v>0.25</v>
      </c>
      <c r="D1207" s="68">
        <v>0.25</v>
      </c>
      <c r="E1207" s="68">
        <v>3.0</v>
      </c>
      <c r="F1207" s="68">
        <v>0.0</v>
      </c>
      <c r="G1207" s="68">
        <v>4.92729017611216</v>
      </c>
      <c r="H1207" s="68">
        <v>206.153436851828</v>
      </c>
      <c r="I1207" s="69">
        <v>44314.89538194444</v>
      </c>
      <c r="J1207" s="69">
        <v>44314.89747685185</v>
      </c>
      <c r="K1207">
        <f>AVERAGE(H1207:H1211)</f>
        <v>118.5279888</v>
      </c>
      <c r="L1207">
        <f>STDEV(H1207:H1211)</f>
        <v>80.73381527</v>
      </c>
      <c r="M1207" s="70">
        <v>206.153436851828</v>
      </c>
      <c r="N1207" s="70">
        <v>206.153436851828</v>
      </c>
      <c r="O1207" s="70">
        <v>4.92729017611216</v>
      </c>
      <c r="P1207" s="70">
        <v>4.92729017611216</v>
      </c>
    </row>
    <row r="1208" hidden="1">
      <c r="A1208" s="67" t="s">
        <v>1968</v>
      </c>
      <c r="B1208" s="67" t="s">
        <v>17</v>
      </c>
      <c r="C1208" s="68">
        <v>0.25</v>
      </c>
      <c r="D1208" s="68">
        <v>0.25</v>
      </c>
      <c r="E1208" s="68">
        <v>3.0</v>
      </c>
      <c r="F1208" s="68">
        <v>1.0</v>
      </c>
      <c r="G1208" s="68">
        <v>4.733236936856</v>
      </c>
      <c r="H1208" s="68">
        <v>164.412209057449</v>
      </c>
      <c r="I1208" s="69">
        <v>44314.89818287037</v>
      </c>
      <c r="J1208" s="69">
        <v>44314.89834490741</v>
      </c>
      <c r="K1208">
        <f>AVERAGE(H1207:H1211)</f>
        <v>118.5279888</v>
      </c>
      <c r="L1208">
        <f>STDEV(H1207:H1211)</f>
        <v>80.73381527</v>
      </c>
      <c r="M1208" s="70">
        <v>164.412209057449</v>
      </c>
      <c r="N1208" s="70">
        <v>164.412209057449</v>
      </c>
      <c r="O1208" s="70">
        <v>4.733236936856</v>
      </c>
      <c r="P1208" s="70">
        <v>4.733236936856</v>
      </c>
    </row>
    <row r="1209" hidden="1">
      <c r="A1209" s="67" t="s">
        <v>1969</v>
      </c>
      <c r="B1209" s="67" t="s">
        <v>17</v>
      </c>
      <c r="C1209" s="68">
        <v>0.25</v>
      </c>
      <c r="D1209" s="68">
        <v>0.25</v>
      </c>
      <c r="E1209" s="68">
        <v>3.0</v>
      </c>
      <c r="F1209" s="68">
        <v>2.0</v>
      </c>
      <c r="G1209" s="68">
        <v>1.368038583475</v>
      </c>
      <c r="H1209" s="68">
        <v>70.0976907196092</v>
      </c>
      <c r="I1209" s="69">
        <v>44314.899050925924</v>
      </c>
      <c r="J1209" s="69">
        <v>44314.90012731482</v>
      </c>
      <c r="K1209">
        <f>AVERAGE(H1207:H1211)</f>
        <v>118.5279888</v>
      </c>
      <c r="L1209">
        <f>STDEV(H1207:H1211)</f>
        <v>80.73381527</v>
      </c>
      <c r="M1209" s="70">
        <v>70.0976907196092</v>
      </c>
      <c r="N1209" s="70">
        <v>70.0976907196092</v>
      </c>
      <c r="O1209" s="70">
        <v>1.368038583475</v>
      </c>
      <c r="P1209" s="70">
        <v>1.368038583475</v>
      </c>
    </row>
    <row r="1210" hidden="1">
      <c r="A1210" s="67" t="s">
        <v>1970</v>
      </c>
      <c r="B1210" s="67" t="s">
        <v>17</v>
      </c>
      <c r="C1210" s="68">
        <v>0.25</v>
      </c>
      <c r="D1210" s="68">
        <v>0.25</v>
      </c>
      <c r="E1210" s="68">
        <v>3.0</v>
      </c>
      <c r="F1210" s="68">
        <v>3.0</v>
      </c>
      <c r="G1210" s="68">
        <v>3.00856953472523</v>
      </c>
      <c r="H1210" s="68">
        <v>147.833524320086</v>
      </c>
      <c r="I1210" s="69">
        <v>44314.90083333333</v>
      </c>
      <c r="J1210" s="69">
        <v>44314.931909722225</v>
      </c>
      <c r="K1210">
        <f>AVERAGE(H1207:H1211)</f>
        <v>118.5279888</v>
      </c>
      <c r="L1210">
        <f>STDEV(H1207:H1211)</f>
        <v>80.73381527</v>
      </c>
      <c r="M1210" s="70">
        <v>147.833524320086</v>
      </c>
      <c r="N1210" s="70">
        <v>147.833524320086</v>
      </c>
      <c r="O1210" s="70">
        <v>3.00856953472523</v>
      </c>
      <c r="P1210" s="70">
        <v>3.00856953472523</v>
      </c>
    </row>
    <row r="1211" hidden="1">
      <c r="A1211" s="67" t="s">
        <v>1971</v>
      </c>
      <c r="B1211" s="67" t="s">
        <v>17</v>
      </c>
      <c r="C1211" s="68">
        <v>0.25</v>
      </c>
      <c r="D1211" s="68">
        <v>0.25</v>
      </c>
      <c r="E1211" s="68">
        <v>3.0</v>
      </c>
      <c r="F1211" s="68">
        <v>4.0</v>
      </c>
      <c r="G1211" s="68">
        <v>2.64397974277779</v>
      </c>
      <c r="H1211" s="68">
        <v>4.14308284676004</v>
      </c>
      <c r="I1211" s="69">
        <v>44314.93262731482</v>
      </c>
      <c r="J1211" s="69">
        <v>44314.932708333334</v>
      </c>
      <c r="K1211">
        <f>AVERAGE(H1207:H1211)</f>
        <v>118.5279888</v>
      </c>
      <c r="L1211">
        <f>STDEV(H1207:H1211)</f>
        <v>80.73381527</v>
      </c>
      <c r="M1211" s="70">
        <v>4.14308284676004</v>
      </c>
      <c r="N1211" s="70">
        <v>4.14308284676004</v>
      </c>
      <c r="O1211" s="70">
        <v>2.64397974277779</v>
      </c>
      <c r="P1211" s="70">
        <v>2.64397974277779</v>
      </c>
    </row>
    <row r="1212" hidden="1">
      <c r="A1212" s="67" t="s">
        <v>1972</v>
      </c>
      <c r="B1212" s="67" t="s">
        <v>17</v>
      </c>
      <c r="C1212" s="68">
        <v>0.25</v>
      </c>
      <c r="D1212" s="68">
        <v>0.5</v>
      </c>
      <c r="E1212" s="68">
        <v>3.0</v>
      </c>
      <c r="F1212" s="68">
        <v>0.0</v>
      </c>
      <c r="G1212" s="68">
        <v>0.529816624564597</v>
      </c>
      <c r="H1212" s="68">
        <v>0.649030460645908</v>
      </c>
      <c r="I1212" s="69">
        <v>44314.93342592593</v>
      </c>
      <c r="J1212" s="69">
        <v>44314.933912037035</v>
      </c>
      <c r="K1212">
        <f>AVERAGE(H1212:H1216)</f>
        <v>75.41856486</v>
      </c>
      <c r="L1212">
        <f>STDEV(H1212:H1216)</f>
        <v>79.63159466</v>
      </c>
      <c r="M1212" s="70">
        <v>0.649030460645908</v>
      </c>
      <c r="N1212" s="70">
        <v>0.649030460645908</v>
      </c>
      <c r="O1212" s="70">
        <v>0.529816624564597</v>
      </c>
      <c r="P1212" s="70">
        <v>0.529816624564597</v>
      </c>
    </row>
    <row r="1213" hidden="1">
      <c r="A1213" s="67" t="s">
        <v>1973</v>
      </c>
      <c r="B1213" s="67" t="s">
        <v>17</v>
      </c>
      <c r="C1213" s="68">
        <v>0.25</v>
      </c>
      <c r="D1213" s="68">
        <v>0.5</v>
      </c>
      <c r="E1213" s="68">
        <v>3.0</v>
      </c>
      <c r="F1213" s="68">
        <v>1.0</v>
      </c>
      <c r="G1213" s="68">
        <v>1.35140666837742</v>
      </c>
      <c r="H1213" s="68">
        <v>69.4609543879282</v>
      </c>
      <c r="I1213" s="69">
        <v>44314.93462962963</v>
      </c>
      <c r="J1213" s="69">
        <v>44314.93568287037</v>
      </c>
      <c r="K1213">
        <f>AVERAGE(H1212:H1216)</f>
        <v>75.41856486</v>
      </c>
      <c r="L1213">
        <f>STDEV(H1212:H1216)</f>
        <v>79.63159466</v>
      </c>
      <c r="M1213" s="70">
        <v>69.4609543879282</v>
      </c>
      <c r="N1213" s="70">
        <v>69.4609543879282</v>
      </c>
      <c r="O1213" s="70">
        <v>1.35140666837742</v>
      </c>
      <c r="P1213" s="70">
        <v>1.35140666837742</v>
      </c>
    </row>
    <row r="1214" hidden="1">
      <c r="A1214" s="67" t="s">
        <v>1974</v>
      </c>
      <c r="B1214" s="67" t="s">
        <v>17</v>
      </c>
      <c r="C1214" s="68">
        <v>0.25</v>
      </c>
      <c r="D1214" s="68">
        <v>0.5</v>
      </c>
      <c r="E1214" s="68">
        <v>3.0</v>
      </c>
      <c r="F1214" s="68">
        <v>2.0</v>
      </c>
      <c r="G1214" s="68">
        <v>0.532324452594406</v>
      </c>
      <c r="H1214" s="68">
        <v>0.653873596479704</v>
      </c>
      <c r="I1214" s="69">
        <v>44314.93638888889</v>
      </c>
      <c r="J1214" s="69">
        <v>44314.93653935185</v>
      </c>
      <c r="K1214">
        <f>AVERAGE(H1212:H1216)</f>
        <v>75.41856486</v>
      </c>
      <c r="L1214">
        <f>STDEV(H1212:H1216)</f>
        <v>79.63159466</v>
      </c>
      <c r="M1214" s="70">
        <v>0.653873596479704</v>
      </c>
      <c r="N1214" s="70">
        <v>0.653873596479704</v>
      </c>
      <c r="O1214" s="70">
        <v>0.532324452594406</v>
      </c>
      <c r="P1214" s="70">
        <v>0.532324452594406</v>
      </c>
    </row>
    <row r="1215" hidden="1">
      <c r="A1215" s="67" t="s">
        <v>1975</v>
      </c>
      <c r="B1215" s="67" t="s">
        <v>17</v>
      </c>
      <c r="C1215" s="68">
        <v>0.25</v>
      </c>
      <c r="D1215" s="68">
        <v>0.5</v>
      </c>
      <c r="E1215" s="68">
        <v>3.0</v>
      </c>
      <c r="F1215" s="68">
        <v>3.0</v>
      </c>
      <c r="G1215" s="68">
        <v>4.41789046748211</v>
      </c>
      <c r="H1215" s="68">
        <v>185.259439419808</v>
      </c>
      <c r="I1215" s="69">
        <v>44314.937256944446</v>
      </c>
      <c r="J1215" s="69">
        <v>44314.978541666664</v>
      </c>
      <c r="K1215">
        <f>AVERAGE(H1212:H1216)</f>
        <v>75.41856486</v>
      </c>
      <c r="L1215">
        <f>STDEV(H1212:H1216)</f>
        <v>79.63159466</v>
      </c>
      <c r="M1215" s="70">
        <v>185.259439419808</v>
      </c>
      <c r="N1215" s="70">
        <v>185.259439419808</v>
      </c>
      <c r="O1215" s="70">
        <v>4.41789046748211</v>
      </c>
      <c r="P1215" s="70">
        <v>4.41789046748211</v>
      </c>
    </row>
    <row r="1216" hidden="1">
      <c r="A1216" s="67" t="s">
        <v>1976</v>
      </c>
      <c r="B1216" s="67" t="s">
        <v>17</v>
      </c>
      <c r="C1216" s="68">
        <v>0.25</v>
      </c>
      <c r="D1216" s="68">
        <v>0.5</v>
      </c>
      <c r="E1216" s="68">
        <v>3.0</v>
      </c>
      <c r="F1216" s="68">
        <v>4.0</v>
      </c>
      <c r="G1216" s="68">
        <v>2.52384487679426</v>
      </c>
      <c r="H1216" s="68">
        <v>121.069526418536</v>
      </c>
      <c r="I1216" s="69">
        <v>44314.97925925926</v>
      </c>
      <c r="J1216" s="69">
        <v>44314.981458333335</v>
      </c>
      <c r="K1216">
        <f>AVERAGE(H1212:H1216)</f>
        <v>75.41856486</v>
      </c>
      <c r="L1216">
        <f>STDEV(H1212:H1216)</f>
        <v>79.63159466</v>
      </c>
      <c r="M1216" s="70">
        <v>121.069526418536</v>
      </c>
      <c r="N1216" s="70">
        <v>121.069526418536</v>
      </c>
      <c r="O1216" s="70">
        <v>2.52384487679426</v>
      </c>
      <c r="P1216" s="70">
        <v>2.52384487679426</v>
      </c>
    </row>
    <row r="1217" hidden="1">
      <c r="A1217" s="67" t="s">
        <v>1977</v>
      </c>
      <c r="B1217" s="67" t="s">
        <v>17</v>
      </c>
      <c r="C1217" s="68">
        <v>0.25</v>
      </c>
      <c r="D1217" s="68">
        <v>0.75</v>
      </c>
      <c r="E1217" s="68">
        <v>3.0</v>
      </c>
      <c r="F1217" s="68">
        <v>0.0</v>
      </c>
      <c r="G1217" s="68">
        <v>0.505236666087411</v>
      </c>
      <c r="H1217" s="68">
        <v>0.612555208219525</v>
      </c>
      <c r="I1217" s="69">
        <v>44314.98216435185</v>
      </c>
      <c r="J1217" s="69">
        <v>44314.98260416667</v>
      </c>
      <c r="K1217">
        <f>AVERAGE(H1217:H1221)</f>
        <v>92.25019538</v>
      </c>
      <c r="L1217">
        <f>STDEV(H1217:H1221)</f>
        <v>96.85085932</v>
      </c>
      <c r="M1217" s="70">
        <v>0.612555208219525</v>
      </c>
      <c r="N1217" s="70">
        <v>0.612555208219525</v>
      </c>
      <c r="O1217" s="70">
        <v>0.505236666087411</v>
      </c>
      <c r="P1217" s="70">
        <v>0.505236666087411</v>
      </c>
    </row>
    <row r="1218" hidden="1">
      <c r="A1218" s="67" t="s">
        <v>1978</v>
      </c>
      <c r="B1218" s="67" t="s">
        <v>17</v>
      </c>
      <c r="C1218" s="68">
        <v>0.25</v>
      </c>
      <c r="D1218" s="68">
        <v>0.75</v>
      </c>
      <c r="E1218" s="68">
        <v>3.0</v>
      </c>
      <c r="F1218" s="68">
        <v>1.0</v>
      </c>
      <c r="G1218" s="68">
        <v>1.35628347761762</v>
      </c>
      <c r="H1218" s="68">
        <v>69.6788644527873</v>
      </c>
      <c r="I1218" s="69">
        <v>44314.98332175926</v>
      </c>
      <c r="J1218" s="69">
        <v>44314.98436342592</v>
      </c>
      <c r="K1218">
        <f>AVERAGE(H1217:H1221)</f>
        <v>92.25019538</v>
      </c>
      <c r="L1218">
        <f>STDEV(H1217:H1221)</f>
        <v>96.85085932</v>
      </c>
      <c r="M1218" s="70">
        <v>69.6788644527873</v>
      </c>
      <c r="N1218" s="70">
        <v>69.6788644527873</v>
      </c>
      <c r="O1218" s="70">
        <v>1.35628347761762</v>
      </c>
      <c r="P1218" s="70">
        <v>1.35628347761762</v>
      </c>
    </row>
    <row r="1219" hidden="1">
      <c r="A1219" s="67" t="s">
        <v>1979</v>
      </c>
      <c r="B1219" s="67" t="s">
        <v>17</v>
      </c>
      <c r="C1219" s="68">
        <v>0.25</v>
      </c>
      <c r="D1219" s="68">
        <v>0.75</v>
      </c>
      <c r="E1219" s="68">
        <v>3.0</v>
      </c>
      <c r="F1219" s="68">
        <v>2.0</v>
      </c>
      <c r="G1219" s="68">
        <v>0.720233141370455</v>
      </c>
      <c r="H1219" s="68">
        <v>5.24498115612109</v>
      </c>
      <c r="I1219" s="69">
        <v>44314.985081018516</v>
      </c>
      <c r="J1219" s="69">
        <v>44314.985127314816</v>
      </c>
      <c r="K1219">
        <f>AVERAGE(H1217:H1221)</f>
        <v>92.25019538</v>
      </c>
      <c r="L1219">
        <f>STDEV(H1217:H1221)</f>
        <v>96.85085932</v>
      </c>
      <c r="M1219" s="70">
        <v>5.24498115612109</v>
      </c>
      <c r="N1219" s="70">
        <v>5.24498115612109</v>
      </c>
      <c r="O1219" s="70">
        <v>0.720233141370455</v>
      </c>
      <c r="P1219" s="70">
        <v>0.720233141370455</v>
      </c>
    </row>
    <row r="1220" hidden="1">
      <c r="A1220" s="67" t="s">
        <v>1980</v>
      </c>
      <c r="B1220" s="67" t="s">
        <v>17</v>
      </c>
      <c r="C1220" s="68">
        <v>0.25</v>
      </c>
      <c r="D1220" s="68">
        <v>0.75</v>
      </c>
      <c r="E1220" s="68">
        <v>3.0</v>
      </c>
      <c r="F1220" s="68">
        <v>3.0</v>
      </c>
      <c r="G1220" s="68">
        <v>8.10217238437446</v>
      </c>
      <c r="H1220" s="68">
        <v>212.85669101854</v>
      </c>
      <c r="I1220" s="69">
        <v>44314.98584490741</v>
      </c>
      <c r="J1220" s="69">
        <v>44314.9858912037</v>
      </c>
      <c r="K1220">
        <f>AVERAGE(H1217:H1221)</f>
        <v>92.25019538</v>
      </c>
      <c r="L1220">
        <f>STDEV(H1217:H1221)</f>
        <v>96.85085932</v>
      </c>
      <c r="M1220" s="70">
        <v>212.85669101854</v>
      </c>
      <c r="N1220" s="70">
        <v>212.85669101854</v>
      </c>
      <c r="O1220" s="70">
        <v>8.10217238437446</v>
      </c>
      <c r="P1220" s="70">
        <v>8.10217238437446</v>
      </c>
    </row>
    <row r="1221" hidden="1">
      <c r="A1221" s="67" t="s">
        <v>1981</v>
      </c>
      <c r="B1221" s="67" t="s">
        <v>17</v>
      </c>
      <c r="C1221" s="68">
        <v>0.25</v>
      </c>
      <c r="D1221" s="68">
        <v>0.75</v>
      </c>
      <c r="E1221" s="68">
        <v>3.0</v>
      </c>
      <c r="F1221" s="68">
        <v>4.0</v>
      </c>
      <c r="G1221" s="68">
        <v>3.82805769031845</v>
      </c>
      <c r="H1221" s="68">
        <v>172.857885073312</v>
      </c>
      <c r="I1221" s="69">
        <v>44314.986597222225</v>
      </c>
      <c r="J1221" s="69">
        <v>44315.05238425926</v>
      </c>
      <c r="K1221">
        <f>AVERAGE(H1217:H1221)</f>
        <v>92.25019538</v>
      </c>
      <c r="L1221">
        <f>STDEV(H1217:H1221)</f>
        <v>96.85085932</v>
      </c>
      <c r="M1221" s="70">
        <v>172.857885073312</v>
      </c>
      <c r="N1221" s="70">
        <v>172.857885073312</v>
      </c>
      <c r="O1221" s="70">
        <v>3.82805769031845</v>
      </c>
      <c r="P1221" s="70">
        <v>3.82805769031845</v>
      </c>
    </row>
    <row r="1222" hidden="1">
      <c r="A1222" s="67" t="s">
        <v>1982</v>
      </c>
      <c r="B1222" s="67" t="s">
        <v>17</v>
      </c>
      <c r="C1222" s="68">
        <v>0.25</v>
      </c>
      <c r="D1222" s="68">
        <v>1.0</v>
      </c>
      <c r="E1222" s="68">
        <v>3.0</v>
      </c>
      <c r="F1222" s="68">
        <v>0.0</v>
      </c>
      <c r="G1222" s="68">
        <v>3.96364695827111</v>
      </c>
      <c r="H1222" s="68">
        <v>177.418561739194</v>
      </c>
      <c r="I1222" s="69">
        <v>44315.05310185185</v>
      </c>
      <c r="J1222" s="69">
        <v>44315.145104166666</v>
      </c>
      <c r="K1222">
        <f>AVERAGE(H1222:H1226)</f>
        <v>91.68493425</v>
      </c>
      <c r="L1222">
        <f>STDEV(H1222:H1226)</f>
        <v>96.23766216</v>
      </c>
      <c r="M1222" s="70">
        <v>177.418561739194</v>
      </c>
      <c r="N1222" s="70">
        <v>177.418561739194</v>
      </c>
      <c r="O1222" s="70">
        <v>3.96364695827111</v>
      </c>
      <c r="P1222" s="70">
        <v>3.96364695827111</v>
      </c>
    </row>
    <row r="1223" hidden="1">
      <c r="A1223" s="67" t="s">
        <v>1983</v>
      </c>
      <c r="B1223" s="67" t="s">
        <v>17</v>
      </c>
      <c r="C1223" s="68">
        <v>0.25</v>
      </c>
      <c r="D1223" s="68">
        <v>1.0</v>
      </c>
      <c r="E1223" s="68">
        <v>3.0</v>
      </c>
      <c r="F1223" s="68">
        <v>1.0</v>
      </c>
      <c r="G1223" s="68">
        <v>2.64397974277779</v>
      </c>
      <c r="H1223" s="68">
        <v>4.14308284676004</v>
      </c>
      <c r="I1223" s="69">
        <v>44315.14581018518</v>
      </c>
      <c r="J1223" s="69">
        <v>44315.145902777775</v>
      </c>
      <c r="K1223">
        <f>AVERAGE(H1222:H1226)</f>
        <v>91.68493425</v>
      </c>
      <c r="L1223">
        <f>STDEV(H1222:H1226)</f>
        <v>96.23766216</v>
      </c>
      <c r="M1223" s="70">
        <v>4.14308284676004</v>
      </c>
      <c r="N1223" s="70">
        <v>4.14308284676004</v>
      </c>
      <c r="O1223" s="70">
        <v>2.64397974277779</v>
      </c>
      <c r="P1223" s="70">
        <v>2.64397974277779</v>
      </c>
    </row>
    <row r="1224" hidden="1">
      <c r="A1224" s="67" t="s">
        <v>1984</v>
      </c>
      <c r="B1224" s="67" t="s">
        <v>17</v>
      </c>
      <c r="C1224" s="68">
        <v>0.25</v>
      </c>
      <c r="D1224" s="68">
        <v>1.0</v>
      </c>
      <c r="E1224" s="68">
        <v>3.0</v>
      </c>
      <c r="F1224" s="68">
        <v>2.0</v>
      </c>
      <c r="G1224" s="68">
        <v>0.500996391751762</v>
      </c>
      <c r="H1224" s="68">
        <v>0.605331363070168</v>
      </c>
      <c r="I1224" s="69">
        <v>44315.14662037037</v>
      </c>
      <c r="J1224" s="69">
        <v>44315.14702546296</v>
      </c>
      <c r="K1224">
        <f>AVERAGE(H1222:H1226)</f>
        <v>91.68493425</v>
      </c>
      <c r="L1224">
        <f>STDEV(H1222:H1226)</f>
        <v>96.23766216</v>
      </c>
      <c r="M1224" s="70">
        <v>0.605331363070168</v>
      </c>
      <c r="N1224" s="70">
        <v>0.605331363070168</v>
      </c>
      <c r="O1224" s="70">
        <v>0.500996391751762</v>
      </c>
      <c r="P1224" s="70">
        <v>0.500996391751762</v>
      </c>
    </row>
    <row r="1225" hidden="1">
      <c r="A1225" s="67" t="s">
        <v>1985</v>
      </c>
      <c r="B1225" s="67" t="s">
        <v>17</v>
      </c>
      <c r="C1225" s="68">
        <v>0.25</v>
      </c>
      <c r="D1225" s="68">
        <v>1.0</v>
      </c>
      <c r="E1225" s="68">
        <v>3.0</v>
      </c>
      <c r="F1225" s="68">
        <v>3.0</v>
      </c>
      <c r="G1225" s="68">
        <v>7.20416159768538</v>
      </c>
      <c r="H1225" s="68">
        <v>206.770495332357</v>
      </c>
      <c r="I1225" s="69">
        <v>44315.147731481484</v>
      </c>
      <c r="J1225" s="69">
        <v>44315.14778935185</v>
      </c>
      <c r="K1225">
        <f>AVERAGE(H1222:H1226)</f>
        <v>91.68493425</v>
      </c>
      <c r="L1225">
        <f>STDEV(H1222:H1226)</f>
        <v>96.23766216</v>
      </c>
      <c r="M1225" s="70">
        <v>206.770495332357</v>
      </c>
      <c r="N1225" s="70">
        <v>206.770495332357</v>
      </c>
      <c r="O1225" s="70">
        <v>7.20416159768538</v>
      </c>
      <c r="P1225" s="70">
        <v>7.20416159768538</v>
      </c>
    </row>
    <row r="1226" hidden="1">
      <c r="A1226" s="67" t="s">
        <v>1986</v>
      </c>
      <c r="B1226" s="67" t="s">
        <v>17</v>
      </c>
      <c r="C1226" s="68">
        <v>0.25</v>
      </c>
      <c r="D1226" s="68">
        <v>1.0</v>
      </c>
      <c r="E1226" s="68">
        <v>3.0</v>
      </c>
      <c r="F1226" s="68">
        <v>4.0</v>
      </c>
      <c r="G1226" s="68">
        <v>1.35169134501324</v>
      </c>
      <c r="H1226" s="68">
        <v>69.4871999436822</v>
      </c>
      <c r="I1226" s="69">
        <v>44315.14849537037</v>
      </c>
      <c r="J1226" s="69">
        <v>44315.14952546296</v>
      </c>
      <c r="K1226">
        <f>AVERAGE(H1222:H1226)</f>
        <v>91.68493425</v>
      </c>
      <c r="L1226">
        <f>STDEV(H1222:H1226)</f>
        <v>96.23766216</v>
      </c>
      <c r="M1226" s="70">
        <v>69.4871999436822</v>
      </c>
      <c r="N1226" s="70">
        <v>69.4871999436822</v>
      </c>
      <c r="O1226" s="70">
        <v>1.35169134501324</v>
      </c>
      <c r="P1226" s="70">
        <v>1.35169134501324</v>
      </c>
    </row>
    <row r="1227" hidden="1">
      <c r="A1227" s="67" t="s">
        <v>1987</v>
      </c>
      <c r="B1227" s="67" t="s">
        <v>17</v>
      </c>
      <c r="C1227" s="68">
        <v>0.5</v>
      </c>
      <c r="D1227" s="68">
        <v>0.1</v>
      </c>
      <c r="E1227" s="68">
        <v>3.0</v>
      </c>
      <c r="F1227" s="68">
        <v>0.0</v>
      </c>
      <c r="G1227" s="68">
        <v>4.3127491977451</v>
      </c>
      <c r="H1227" s="68">
        <v>183.622398963345</v>
      </c>
      <c r="I1227" s="69">
        <v>44315.150243055556</v>
      </c>
      <c r="J1227" s="69">
        <v>44315.199907407405</v>
      </c>
      <c r="K1227">
        <f>AVERAGE(H1227:H1231)</f>
        <v>77.90786792</v>
      </c>
      <c r="L1227">
        <f>STDEV(H1227:H1231)</f>
        <v>80.6220601</v>
      </c>
      <c r="M1227" s="70">
        <v>183.622398963345</v>
      </c>
      <c r="N1227" s="70">
        <v>183.622398963345</v>
      </c>
      <c r="O1227" s="70">
        <v>4.3127491977451</v>
      </c>
      <c r="P1227" s="70">
        <v>4.3127491977451</v>
      </c>
    </row>
    <row r="1228" hidden="1">
      <c r="A1228" s="67" t="s">
        <v>1988</v>
      </c>
      <c r="B1228" s="67" t="s">
        <v>17</v>
      </c>
      <c r="C1228" s="68">
        <v>0.5</v>
      </c>
      <c r="D1228" s="68">
        <v>0.1</v>
      </c>
      <c r="E1228" s="68">
        <v>3.0</v>
      </c>
      <c r="F1228" s="68">
        <v>1.0</v>
      </c>
      <c r="G1228" s="68">
        <v>0.536927609580296</v>
      </c>
      <c r="H1228" s="68">
        <v>0.656651593075257</v>
      </c>
      <c r="I1228" s="69">
        <v>44315.20061342593</v>
      </c>
      <c r="J1228" s="69">
        <v>44315.20113425926</v>
      </c>
      <c r="K1228">
        <f>AVERAGE(H1227:H1231)</f>
        <v>77.90786792</v>
      </c>
      <c r="L1228">
        <f>STDEV(H1227:H1231)</f>
        <v>80.6220601</v>
      </c>
      <c r="M1228" s="70">
        <v>0.656651593075257</v>
      </c>
      <c r="N1228" s="70">
        <v>0.656651593075257</v>
      </c>
      <c r="O1228" s="70">
        <v>0.536927609580296</v>
      </c>
      <c r="P1228" s="70">
        <v>0.536927609580296</v>
      </c>
    </row>
    <row r="1229" hidden="1">
      <c r="A1229" s="67" t="s">
        <v>1989</v>
      </c>
      <c r="B1229" s="67" t="s">
        <v>17</v>
      </c>
      <c r="C1229" s="68">
        <v>0.5</v>
      </c>
      <c r="D1229" s="68">
        <v>0.1</v>
      </c>
      <c r="E1229" s="68">
        <v>3.0</v>
      </c>
      <c r="F1229" s="68">
        <v>2.0</v>
      </c>
      <c r="G1229" s="68">
        <v>0.712997756536142</v>
      </c>
      <c r="H1229" s="68">
        <v>0.950093966860787</v>
      </c>
      <c r="I1229" s="69">
        <v>44315.201840277776</v>
      </c>
      <c r="J1229" s="69">
        <v>44315.202060185184</v>
      </c>
      <c r="K1229">
        <f>AVERAGE(H1227:H1231)</f>
        <v>77.90786792</v>
      </c>
      <c r="L1229">
        <f>STDEV(H1227:H1231)</f>
        <v>80.6220601</v>
      </c>
      <c r="M1229" s="70">
        <v>0.950093966860787</v>
      </c>
      <c r="N1229" s="70">
        <v>0.950093966860787</v>
      </c>
      <c r="O1229" s="70">
        <v>0.712997756536142</v>
      </c>
      <c r="P1229" s="70">
        <v>0.712997756536142</v>
      </c>
    </row>
    <row r="1230" hidden="1">
      <c r="A1230" s="67" t="s">
        <v>1990</v>
      </c>
      <c r="B1230" s="67" t="s">
        <v>17</v>
      </c>
      <c r="C1230" s="68">
        <v>0.5</v>
      </c>
      <c r="D1230" s="68">
        <v>0.1</v>
      </c>
      <c r="E1230" s="68">
        <v>3.0</v>
      </c>
      <c r="F1230" s="68">
        <v>3.0</v>
      </c>
      <c r="G1230" s="68">
        <v>2.48827350719733</v>
      </c>
      <c r="H1230" s="68">
        <v>131.803019410388</v>
      </c>
      <c r="I1230" s="69">
        <v>44315.20276620371</v>
      </c>
      <c r="J1230" s="69">
        <v>44315.202997685185</v>
      </c>
      <c r="K1230">
        <f>AVERAGE(H1227:H1231)</f>
        <v>77.90786792</v>
      </c>
      <c r="L1230">
        <f>STDEV(H1227:H1231)</f>
        <v>80.6220601</v>
      </c>
      <c r="M1230" s="70">
        <v>131.803019410388</v>
      </c>
      <c r="N1230" s="70">
        <v>131.803019410388</v>
      </c>
      <c r="O1230" s="70">
        <v>2.48827350719733</v>
      </c>
      <c r="P1230" s="70">
        <v>2.48827350719733</v>
      </c>
    </row>
    <row r="1231" hidden="1">
      <c r="A1231" s="67" t="s">
        <v>1991</v>
      </c>
      <c r="B1231" s="67" t="s">
        <v>17</v>
      </c>
      <c r="C1231" s="68">
        <v>0.5</v>
      </c>
      <c r="D1231" s="68">
        <v>0.1</v>
      </c>
      <c r="E1231" s="68">
        <v>3.0</v>
      </c>
      <c r="F1231" s="68">
        <v>4.0</v>
      </c>
      <c r="G1231" s="68">
        <v>1.44351056958622</v>
      </c>
      <c r="H1231" s="68">
        <v>72.5071756557747</v>
      </c>
      <c r="I1231" s="69">
        <v>44315.2037037037</v>
      </c>
      <c r="J1231" s="69">
        <v>44315.204560185186</v>
      </c>
      <c r="K1231">
        <f>AVERAGE(H1227:H1231)</f>
        <v>77.90786792</v>
      </c>
      <c r="L1231">
        <f>STDEV(H1227:H1231)</f>
        <v>80.6220601</v>
      </c>
      <c r="M1231" s="70">
        <v>72.5071756557747</v>
      </c>
      <c r="N1231" s="70">
        <v>72.5071756557747</v>
      </c>
      <c r="O1231" s="70">
        <v>1.44351056958622</v>
      </c>
      <c r="P1231" s="70">
        <v>1.44351056958622</v>
      </c>
    </row>
    <row r="1232" hidden="1">
      <c r="A1232" s="67" t="s">
        <v>1992</v>
      </c>
      <c r="B1232" s="67" t="s">
        <v>17</v>
      </c>
      <c r="C1232" s="68">
        <v>0.5</v>
      </c>
      <c r="D1232" s="68">
        <v>0.25</v>
      </c>
      <c r="E1232" s="68">
        <v>3.0</v>
      </c>
      <c r="F1232" s="68">
        <v>0.0</v>
      </c>
      <c r="G1232" s="68">
        <v>0.236581835685098</v>
      </c>
      <c r="H1232" s="68">
        <v>0.315139244430359</v>
      </c>
      <c r="I1232" s="69">
        <v>44315.20527777778</v>
      </c>
      <c r="J1232" s="69">
        <v>44315.20532407407</v>
      </c>
      <c r="K1232">
        <f>AVERAGE(H1232:H1236)</f>
        <v>99.26099173</v>
      </c>
      <c r="L1232">
        <f>STDEV(H1232:H1236)</f>
        <v>120.513671</v>
      </c>
      <c r="M1232" s="70">
        <v>0.315139244430359</v>
      </c>
      <c r="N1232" s="70">
        <v>0.315139244430359</v>
      </c>
      <c r="O1232" s="70">
        <v>0.236581835685098</v>
      </c>
      <c r="P1232" s="70">
        <v>0.236581835685098</v>
      </c>
    </row>
    <row r="1233" hidden="1">
      <c r="A1233" s="67" t="s">
        <v>1993</v>
      </c>
      <c r="B1233" s="67" t="s">
        <v>17</v>
      </c>
      <c r="C1233" s="68">
        <v>0.5</v>
      </c>
      <c r="D1233" s="68">
        <v>0.25</v>
      </c>
      <c r="E1233" s="68">
        <v>3.0</v>
      </c>
      <c r="F1233" s="68">
        <v>1.0</v>
      </c>
      <c r="G1233" s="68">
        <v>9.2761654814081</v>
      </c>
      <c r="H1233" s="68">
        <v>291.125512377607</v>
      </c>
      <c r="I1233" s="69">
        <v>44315.206030092595</v>
      </c>
      <c r="J1233" s="69">
        <v>44315.207407407404</v>
      </c>
      <c r="K1233">
        <f>AVERAGE(H1232:H1236)</f>
        <v>99.26099173</v>
      </c>
      <c r="L1233">
        <f>STDEV(H1232:H1236)</f>
        <v>120.513671</v>
      </c>
      <c r="M1233" s="70">
        <v>291.125512377607</v>
      </c>
      <c r="N1233" s="70">
        <v>291.125512377607</v>
      </c>
      <c r="O1233" s="70">
        <v>9.2761654814081</v>
      </c>
      <c r="P1233" s="70">
        <v>9.2761654814081</v>
      </c>
    </row>
    <row r="1234" hidden="1">
      <c r="A1234" s="67" t="s">
        <v>1994</v>
      </c>
      <c r="B1234" s="67" t="s">
        <v>17</v>
      </c>
      <c r="C1234" s="68">
        <v>0.5</v>
      </c>
      <c r="D1234" s="68">
        <v>0.25</v>
      </c>
      <c r="E1234" s="68">
        <v>3.0</v>
      </c>
      <c r="F1234" s="68">
        <v>2.0</v>
      </c>
      <c r="G1234" s="68">
        <v>1.4469599582603</v>
      </c>
      <c r="H1234" s="68">
        <v>72.5534871589747</v>
      </c>
      <c r="I1234" s="69">
        <v>44315.208125</v>
      </c>
      <c r="J1234" s="69">
        <v>44315.20898148148</v>
      </c>
      <c r="K1234">
        <f>AVERAGE(H1232:H1236)</f>
        <v>99.26099173</v>
      </c>
      <c r="L1234">
        <f>STDEV(H1232:H1236)</f>
        <v>120.513671</v>
      </c>
      <c r="M1234" s="70">
        <v>72.5534871589747</v>
      </c>
      <c r="N1234" s="70">
        <v>72.5534871589747</v>
      </c>
      <c r="O1234" s="70">
        <v>1.4469599582603</v>
      </c>
      <c r="P1234" s="70">
        <v>1.4469599582603</v>
      </c>
    </row>
    <row r="1235" hidden="1">
      <c r="A1235" s="67" t="s">
        <v>1995</v>
      </c>
      <c r="B1235" s="67" t="s">
        <v>17</v>
      </c>
      <c r="C1235" s="68">
        <v>0.5</v>
      </c>
      <c r="D1235" s="68">
        <v>0.25</v>
      </c>
      <c r="E1235" s="68">
        <v>3.0</v>
      </c>
      <c r="F1235" s="68">
        <v>3.0</v>
      </c>
      <c r="G1235" s="68">
        <v>2.8875895294161</v>
      </c>
      <c r="H1235" s="68">
        <v>131.678893000287</v>
      </c>
      <c r="I1235" s="69">
        <v>44315.2096875</v>
      </c>
      <c r="J1235" s="69">
        <v>44315.25929398148</v>
      </c>
      <c r="K1235">
        <f>AVERAGE(H1232:H1236)</f>
        <v>99.26099173</v>
      </c>
      <c r="L1235">
        <f>STDEV(H1232:H1236)</f>
        <v>120.513671</v>
      </c>
      <c r="M1235" s="70">
        <v>131.678893000287</v>
      </c>
      <c r="N1235" s="70">
        <v>131.678893000287</v>
      </c>
      <c r="O1235" s="70">
        <v>2.8875895294161</v>
      </c>
      <c r="P1235" s="70">
        <v>2.8875895294161</v>
      </c>
    </row>
    <row r="1236" hidden="1">
      <c r="A1236" s="67" t="s">
        <v>1996</v>
      </c>
      <c r="B1236" s="67" t="s">
        <v>17</v>
      </c>
      <c r="C1236" s="68">
        <v>0.5</v>
      </c>
      <c r="D1236" s="68">
        <v>0.25</v>
      </c>
      <c r="E1236" s="68">
        <v>3.0</v>
      </c>
      <c r="F1236" s="68">
        <v>4.0</v>
      </c>
      <c r="G1236" s="68">
        <v>0.53102523604549</v>
      </c>
      <c r="H1236" s="68">
        <v>0.631926857180458</v>
      </c>
      <c r="I1236" s="69">
        <v>44315.26001157407</v>
      </c>
      <c r="J1236" s="69">
        <v>44315.26052083333</v>
      </c>
      <c r="K1236">
        <f>AVERAGE(H1232:H1236)</f>
        <v>99.26099173</v>
      </c>
      <c r="L1236">
        <f>STDEV(H1232:H1236)</f>
        <v>120.513671</v>
      </c>
      <c r="M1236" s="70">
        <v>0.631926857180458</v>
      </c>
      <c r="N1236" s="70">
        <v>0.631926857180458</v>
      </c>
      <c r="O1236" s="70">
        <v>0.53102523604549</v>
      </c>
      <c r="P1236" s="70">
        <v>0.53102523604549</v>
      </c>
    </row>
    <row r="1237" hidden="1">
      <c r="A1237" s="67" t="s">
        <v>1997</v>
      </c>
      <c r="B1237" s="67" t="s">
        <v>17</v>
      </c>
      <c r="C1237" s="68">
        <v>0.5</v>
      </c>
      <c r="D1237" s="68">
        <v>0.5</v>
      </c>
      <c r="E1237" s="68">
        <v>3.0</v>
      </c>
      <c r="F1237" s="68">
        <v>0.0</v>
      </c>
      <c r="G1237" s="68">
        <v>9.45600952384722</v>
      </c>
      <c r="H1237" s="68">
        <v>295.008743804196</v>
      </c>
      <c r="I1237" s="69">
        <v>44315.26122685185</v>
      </c>
      <c r="J1237" s="69">
        <v>44315.26142361111</v>
      </c>
      <c r="K1237">
        <f>AVERAGE(H1237:H1241)</f>
        <v>169.8956499</v>
      </c>
      <c r="L1237">
        <f>STDEV(H1237:H1241)</f>
        <v>81.74352758</v>
      </c>
      <c r="M1237" s="70">
        <v>295.008743804196</v>
      </c>
      <c r="N1237" s="70">
        <v>295.008743804196</v>
      </c>
      <c r="O1237" s="70">
        <v>9.45600952384722</v>
      </c>
      <c r="P1237" s="70">
        <v>9.45600952384722</v>
      </c>
    </row>
    <row r="1238" hidden="1">
      <c r="A1238" s="67" t="s">
        <v>1998</v>
      </c>
      <c r="B1238" s="67" t="s">
        <v>17</v>
      </c>
      <c r="C1238" s="68">
        <v>0.5</v>
      </c>
      <c r="D1238" s="68">
        <v>0.5</v>
      </c>
      <c r="E1238" s="68">
        <v>3.0</v>
      </c>
      <c r="F1238" s="68">
        <v>1.0</v>
      </c>
      <c r="G1238" s="68">
        <v>5.37249476031839</v>
      </c>
      <c r="H1238" s="68">
        <v>189.341955677569</v>
      </c>
      <c r="I1238" s="69">
        <v>44315.26212962963</v>
      </c>
      <c r="J1238" s="69">
        <v>44315.2621875</v>
      </c>
      <c r="K1238">
        <f>AVERAGE(H1237:H1241)</f>
        <v>169.8956499</v>
      </c>
      <c r="L1238">
        <f>STDEV(H1237:H1241)</f>
        <v>81.74352758</v>
      </c>
      <c r="M1238" s="70">
        <v>189.341955677569</v>
      </c>
      <c r="N1238" s="70">
        <v>189.341955677569</v>
      </c>
      <c r="O1238" s="70">
        <v>5.37249476031839</v>
      </c>
      <c r="P1238" s="70">
        <v>5.37249476031839</v>
      </c>
    </row>
    <row r="1239" hidden="1">
      <c r="A1239" s="67" t="s">
        <v>1999</v>
      </c>
      <c r="B1239" s="67" t="s">
        <v>17</v>
      </c>
      <c r="C1239" s="68">
        <v>0.5</v>
      </c>
      <c r="D1239" s="68">
        <v>0.5</v>
      </c>
      <c r="E1239" s="68">
        <v>3.0</v>
      </c>
      <c r="F1239" s="68">
        <v>2.0</v>
      </c>
      <c r="G1239" s="68">
        <v>2.60967740084812</v>
      </c>
      <c r="H1239" s="68">
        <v>135.794675614719</v>
      </c>
      <c r="I1239" s="69">
        <v>44315.26290509259</v>
      </c>
      <c r="J1239" s="69">
        <v>44315.26311342593</v>
      </c>
      <c r="K1239">
        <f>AVERAGE(H1237:H1241)</f>
        <v>169.8956499</v>
      </c>
      <c r="L1239">
        <f>STDEV(H1237:H1241)</f>
        <v>81.74352758</v>
      </c>
      <c r="M1239" s="70">
        <v>135.794675614719</v>
      </c>
      <c r="N1239" s="70">
        <v>135.794675614719</v>
      </c>
      <c r="O1239" s="70">
        <v>2.60967740084812</v>
      </c>
      <c r="P1239" s="70">
        <v>2.60967740084812</v>
      </c>
    </row>
    <row r="1240" hidden="1">
      <c r="A1240" s="67" t="s">
        <v>2000</v>
      </c>
      <c r="B1240" s="67" t="s">
        <v>17</v>
      </c>
      <c r="C1240" s="68">
        <v>0.5</v>
      </c>
      <c r="D1240" s="68">
        <v>0.5</v>
      </c>
      <c r="E1240" s="68">
        <v>3.0</v>
      </c>
      <c r="F1240" s="68">
        <v>3.0</v>
      </c>
      <c r="G1240" s="68">
        <v>1.46664911751602</v>
      </c>
      <c r="H1240" s="68">
        <v>73.2347837646976</v>
      </c>
      <c r="I1240" s="69">
        <v>44315.263819444444</v>
      </c>
      <c r="J1240" s="69">
        <v>44315.2646875</v>
      </c>
      <c r="K1240">
        <f>AVERAGE(H1237:H1241)</f>
        <v>169.8956499</v>
      </c>
      <c r="L1240">
        <f>STDEV(H1237:H1241)</f>
        <v>81.74352758</v>
      </c>
      <c r="M1240" s="70">
        <v>73.2347837646976</v>
      </c>
      <c r="N1240" s="70">
        <v>73.2347837646976</v>
      </c>
      <c r="O1240" s="70">
        <v>1.46664911751602</v>
      </c>
      <c r="P1240" s="70">
        <v>1.46664911751602</v>
      </c>
    </row>
    <row r="1241" hidden="1">
      <c r="A1241" s="67" t="s">
        <v>2001</v>
      </c>
      <c r="B1241" s="67" t="s">
        <v>17</v>
      </c>
      <c r="C1241" s="68">
        <v>0.5</v>
      </c>
      <c r="D1241" s="68">
        <v>0.5</v>
      </c>
      <c r="E1241" s="68">
        <v>3.0</v>
      </c>
      <c r="F1241" s="68">
        <v>4.0</v>
      </c>
      <c r="G1241" s="68">
        <v>3.35018832226453</v>
      </c>
      <c r="H1241" s="68">
        <v>156.098090643277</v>
      </c>
      <c r="I1241" s="69">
        <v>44315.265393518515</v>
      </c>
      <c r="J1241" s="69">
        <v>44315.32650462963</v>
      </c>
      <c r="K1241">
        <f>AVERAGE(H1237:H1241)</f>
        <v>169.8956499</v>
      </c>
      <c r="L1241">
        <f>STDEV(H1237:H1241)</f>
        <v>81.74352758</v>
      </c>
      <c r="M1241" s="70">
        <v>156.098090643277</v>
      </c>
      <c r="N1241" s="70">
        <v>156.098090643277</v>
      </c>
      <c r="O1241" s="70">
        <v>3.35018832226453</v>
      </c>
      <c r="P1241" s="70">
        <v>3.35018832226453</v>
      </c>
    </row>
    <row r="1242" hidden="1">
      <c r="A1242" s="67" t="s">
        <v>2002</v>
      </c>
      <c r="B1242" s="67" t="s">
        <v>17</v>
      </c>
      <c r="C1242" s="68">
        <v>0.5</v>
      </c>
      <c r="D1242" s="68">
        <v>0.75</v>
      </c>
      <c r="E1242" s="68">
        <v>3.0</v>
      </c>
      <c r="F1242" s="68">
        <v>0.0</v>
      </c>
      <c r="G1242" s="68">
        <v>4.92464877927238</v>
      </c>
      <c r="H1242" s="68">
        <v>197.011294234133</v>
      </c>
      <c r="I1242" s="69">
        <v>44315.327210648145</v>
      </c>
      <c r="J1242" s="69">
        <v>44315.329675925925</v>
      </c>
      <c r="K1242">
        <f>AVERAGE(H1242:H1246)</f>
        <v>151.4795964</v>
      </c>
      <c r="L1242">
        <f>STDEV(H1242:H1246)</f>
        <v>110.5928499</v>
      </c>
      <c r="M1242" s="70">
        <v>197.011294234133</v>
      </c>
      <c r="N1242" s="70">
        <v>197.011294234133</v>
      </c>
      <c r="O1242" s="70">
        <v>4.92464877927238</v>
      </c>
      <c r="P1242" s="70">
        <v>4.92464877927238</v>
      </c>
    </row>
    <row r="1243" hidden="1">
      <c r="A1243" s="67" t="s">
        <v>2003</v>
      </c>
      <c r="B1243" s="67" t="s">
        <v>17</v>
      </c>
      <c r="C1243" s="68">
        <v>0.5</v>
      </c>
      <c r="D1243" s="68">
        <v>0.75</v>
      </c>
      <c r="E1243" s="68">
        <v>3.0</v>
      </c>
      <c r="F1243" s="68">
        <v>1.0</v>
      </c>
      <c r="G1243" s="68">
        <v>0.712647031637279</v>
      </c>
      <c r="H1243" s="68">
        <v>0.949268918176112</v>
      </c>
      <c r="I1243" s="69">
        <v>44315.33039351852</v>
      </c>
      <c r="J1243" s="69">
        <v>44315.330613425926</v>
      </c>
      <c r="K1243">
        <f>AVERAGE(H1242:H1246)</f>
        <v>151.4795964</v>
      </c>
      <c r="L1243">
        <f>STDEV(H1242:H1246)</f>
        <v>110.5928499</v>
      </c>
      <c r="M1243" s="70">
        <v>0.949268918176112</v>
      </c>
      <c r="N1243" s="70">
        <v>0.949268918176112</v>
      </c>
      <c r="O1243" s="70">
        <v>0.712647031637279</v>
      </c>
      <c r="P1243" s="70">
        <v>0.712647031637279</v>
      </c>
    </row>
    <row r="1244" hidden="1">
      <c r="A1244" s="67" t="s">
        <v>2004</v>
      </c>
      <c r="B1244" s="67" t="s">
        <v>17</v>
      </c>
      <c r="C1244" s="68">
        <v>0.5</v>
      </c>
      <c r="D1244" s="68">
        <v>0.75</v>
      </c>
      <c r="E1244" s="68">
        <v>3.0</v>
      </c>
      <c r="F1244" s="68">
        <v>2.0</v>
      </c>
      <c r="G1244" s="68">
        <v>2.48827350719733</v>
      </c>
      <c r="H1244" s="68">
        <v>131.803019410388</v>
      </c>
      <c r="I1244" s="69">
        <v>44315.33133101852</v>
      </c>
      <c r="J1244" s="69">
        <v>44315.33155092593</v>
      </c>
      <c r="K1244">
        <f>AVERAGE(H1242:H1246)</f>
        <v>151.4795964</v>
      </c>
      <c r="L1244">
        <f>STDEV(H1242:H1246)</f>
        <v>110.5928499</v>
      </c>
      <c r="M1244" s="70">
        <v>131.803019410388</v>
      </c>
      <c r="N1244" s="70">
        <v>131.803019410388</v>
      </c>
      <c r="O1244" s="70">
        <v>2.48827350719733</v>
      </c>
      <c r="P1244" s="70">
        <v>2.48827350719733</v>
      </c>
    </row>
    <row r="1245" hidden="1">
      <c r="A1245" s="67" t="s">
        <v>2005</v>
      </c>
      <c r="B1245" s="67" t="s">
        <v>17</v>
      </c>
      <c r="C1245" s="68">
        <v>0.5</v>
      </c>
      <c r="D1245" s="68">
        <v>0.75</v>
      </c>
      <c r="E1245" s="68">
        <v>3.0</v>
      </c>
      <c r="F1245" s="68">
        <v>3.0</v>
      </c>
      <c r="G1245" s="68">
        <v>9.96487963524262</v>
      </c>
      <c r="H1245" s="68">
        <v>303.34785785373</v>
      </c>
      <c r="I1245" s="69">
        <v>44315.33225694444</v>
      </c>
      <c r="J1245" s="69">
        <v>44315.33244212963</v>
      </c>
      <c r="K1245">
        <f>AVERAGE(H1242:H1246)</f>
        <v>151.4795964</v>
      </c>
      <c r="L1245">
        <f>STDEV(H1242:H1246)</f>
        <v>110.5928499</v>
      </c>
      <c r="M1245" s="70">
        <v>303.34785785373</v>
      </c>
      <c r="N1245" s="70">
        <v>303.34785785373</v>
      </c>
      <c r="O1245" s="70">
        <v>9.96487963524262</v>
      </c>
      <c r="P1245" s="70">
        <v>9.96487963524262</v>
      </c>
    </row>
    <row r="1246" hidden="1">
      <c r="A1246" s="67" t="s">
        <v>2006</v>
      </c>
      <c r="B1246" s="67" t="s">
        <v>17</v>
      </c>
      <c r="C1246" s="68">
        <v>0.5</v>
      </c>
      <c r="D1246" s="68">
        <v>0.75</v>
      </c>
      <c r="E1246" s="68">
        <v>3.0</v>
      </c>
      <c r="F1246" s="68">
        <v>4.0</v>
      </c>
      <c r="G1246" s="68">
        <v>2.69893769381947</v>
      </c>
      <c r="H1246" s="68">
        <v>124.286541435153</v>
      </c>
      <c r="I1246" s="69">
        <v>44315.33314814815</v>
      </c>
      <c r="J1246" s="69">
        <v>44315.367893518516</v>
      </c>
      <c r="K1246">
        <f>AVERAGE(H1242:H1246)</f>
        <v>151.4795964</v>
      </c>
      <c r="L1246">
        <f>STDEV(H1242:H1246)</f>
        <v>110.5928499</v>
      </c>
      <c r="M1246" s="70">
        <v>124.286541435153</v>
      </c>
      <c r="N1246" s="70">
        <v>124.286541435153</v>
      </c>
      <c r="O1246" s="70">
        <v>2.69893769381947</v>
      </c>
      <c r="P1246" s="70">
        <v>2.69893769381947</v>
      </c>
    </row>
    <row r="1247" hidden="1">
      <c r="A1247" s="67" t="s">
        <v>2007</v>
      </c>
      <c r="B1247" s="67" t="s">
        <v>17</v>
      </c>
      <c r="C1247" s="68">
        <v>0.5</v>
      </c>
      <c r="D1247" s="68">
        <v>1.0</v>
      </c>
      <c r="E1247" s="68">
        <v>3.0</v>
      </c>
      <c r="F1247" s="68">
        <v>0.0</v>
      </c>
      <c r="G1247" s="68">
        <v>3.81913654339984</v>
      </c>
      <c r="H1247" s="68">
        <v>174.272971662591</v>
      </c>
      <c r="I1247" s="69">
        <v>44315.36859953704</v>
      </c>
      <c r="J1247" s="69">
        <v>44315.42581018519</v>
      </c>
      <c r="K1247">
        <f>AVERAGE(H1247:H1251)</f>
        <v>97.87256719</v>
      </c>
      <c r="L1247">
        <f>STDEV(H1247:H1251)</f>
        <v>89.602895</v>
      </c>
      <c r="M1247" s="70">
        <v>174.272971662591</v>
      </c>
      <c r="N1247" s="70">
        <v>174.272971662591</v>
      </c>
      <c r="O1247" s="70">
        <v>3.81913654339984</v>
      </c>
      <c r="P1247" s="70">
        <v>3.81913654339984</v>
      </c>
    </row>
    <row r="1248" hidden="1">
      <c r="A1248" s="67" t="s">
        <v>2008</v>
      </c>
      <c r="B1248" s="67" t="s">
        <v>17</v>
      </c>
      <c r="C1248" s="68">
        <v>0.5</v>
      </c>
      <c r="D1248" s="68">
        <v>1.0</v>
      </c>
      <c r="E1248" s="68">
        <v>3.0</v>
      </c>
      <c r="F1248" s="68">
        <v>1.0</v>
      </c>
      <c r="G1248" s="68">
        <v>1.87749589689008</v>
      </c>
      <c r="H1248" s="68">
        <v>31.8621684928767</v>
      </c>
      <c r="I1248" s="69">
        <v>44315.426516203705</v>
      </c>
      <c r="J1248" s="69">
        <v>44315.42679398148</v>
      </c>
      <c r="K1248">
        <f>AVERAGE(H1247:H1251)</f>
        <v>97.87256719</v>
      </c>
      <c r="L1248">
        <f>STDEV(H1247:H1251)</f>
        <v>89.602895</v>
      </c>
      <c r="M1248" s="70">
        <v>31.8621684928767</v>
      </c>
      <c r="N1248" s="70">
        <v>31.8621684928767</v>
      </c>
      <c r="O1248" s="70">
        <v>1.87749589689008</v>
      </c>
      <c r="P1248" s="70">
        <v>1.87749589689008</v>
      </c>
    </row>
    <row r="1249" hidden="1">
      <c r="A1249" s="67" t="s">
        <v>2009</v>
      </c>
      <c r="B1249" s="67" t="s">
        <v>17</v>
      </c>
      <c r="C1249" s="68">
        <v>0.5</v>
      </c>
      <c r="D1249" s="68">
        <v>1.0</v>
      </c>
      <c r="E1249" s="68">
        <v>3.0</v>
      </c>
      <c r="F1249" s="68">
        <v>2.0</v>
      </c>
      <c r="G1249" s="68">
        <v>0.71205655889852</v>
      </c>
      <c r="H1249" s="68">
        <v>0.948977832482219</v>
      </c>
      <c r="I1249" s="69">
        <v>44315.4275</v>
      </c>
      <c r="J1249" s="69">
        <v>44315.427719907406</v>
      </c>
      <c r="K1249">
        <f>AVERAGE(H1247:H1251)</f>
        <v>97.87256719</v>
      </c>
      <c r="L1249">
        <f>STDEV(H1247:H1251)</f>
        <v>89.602895</v>
      </c>
      <c r="M1249" s="70">
        <v>0.948977832482219</v>
      </c>
      <c r="N1249" s="70">
        <v>0.948977832482219</v>
      </c>
      <c r="O1249" s="70">
        <v>0.71205655889852</v>
      </c>
      <c r="P1249" s="70">
        <v>0.71205655889852</v>
      </c>
    </row>
    <row r="1250" hidden="1">
      <c r="A1250" s="67" t="s">
        <v>2010</v>
      </c>
      <c r="B1250" s="67" t="s">
        <v>17</v>
      </c>
      <c r="C1250" s="68">
        <v>0.5</v>
      </c>
      <c r="D1250" s="68">
        <v>1.0</v>
      </c>
      <c r="E1250" s="68">
        <v>3.0</v>
      </c>
      <c r="F1250" s="68">
        <v>3.0</v>
      </c>
      <c r="G1250" s="68">
        <v>7.24667555157295</v>
      </c>
      <c r="H1250" s="68">
        <v>207.404387128802</v>
      </c>
      <c r="I1250" s="69">
        <v>44315.42842592593</v>
      </c>
      <c r="J1250" s="69">
        <v>44315.4284837963</v>
      </c>
      <c r="K1250">
        <f>AVERAGE(H1247:H1251)</f>
        <v>97.87256719</v>
      </c>
      <c r="L1250">
        <f>STDEV(H1247:H1251)</f>
        <v>89.602895</v>
      </c>
      <c r="M1250" s="70">
        <v>207.404387128802</v>
      </c>
      <c r="N1250" s="70">
        <v>207.404387128802</v>
      </c>
      <c r="O1250" s="70">
        <v>7.24667555157295</v>
      </c>
      <c r="P1250" s="70">
        <v>7.24667555157295</v>
      </c>
    </row>
    <row r="1251" hidden="1">
      <c r="A1251" s="67" t="s">
        <v>2011</v>
      </c>
      <c r="B1251" s="67" t="s">
        <v>17</v>
      </c>
      <c r="C1251" s="68">
        <v>0.5</v>
      </c>
      <c r="D1251" s="68">
        <v>1.0</v>
      </c>
      <c r="E1251" s="68">
        <v>3.0</v>
      </c>
      <c r="F1251" s="68">
        <v>4.0</v>
      </c>
      <c r="G1251" s="68">
        <v>1.52012000965669</v>
      </c>
      <c r="H1251" s="68">
        <v>74.8743308274535</v>
      </c>
      <c r="I1251" s="69">
        <v>44315.429189814815</v>
      </c>
      <c r="J1251" s="69">
        <v>44315.429976851854</v>
      </c>
      <c r="K1251">
        <f>AVERAGE(H1247:H1251)</f>
        <v>97.87256719</v>
      </c>
      <c r="L1251">
        <f>STDEV(H1247:H1251)</f>
        <v>89.602895</v>
      </c>
      <c r="M1251" s="70">
        <v>74.8743308274535</v>
      </c>
      <c r="N1251" s="70">
        <v>74.8743308274535</v>
      </c>
      <c r="O1251" s="70">
        <v>1.52012000965669</v>
      </c>
      <c r="P1251" s="70">
        <v>1.52012000965669</v>
      </c>
    </row>
    <row r="1252" hidden="1">
      <c r="A1252" s="67" t="s">
        <v>2012</v>
      </c>
      <c r="B1252" s="67" t="s">
        <v>17</v>
      </c>
      <c r="C1252" s="68">
        <v>0.75</v>
      </c>
      <c r="D1252" s="68">
        <v>0.1</v>
      </c>
      <c r="E1252" s="68">
        <v>3.0</v>
      </c>
      <c r="F1252" s="68">
        <v>0.0</v>
      </c>
      <c r="G1252" s="68">
        <v>4.94925383235268</v>
      </c>
      <c r="H1252" s="68">
        <v>202.315674205948</v>
      </c>
      <c r="I1252" s="69">
        <v>44315.43068287037</v>
      </c>
      <c r="J1252" s="69">
        <v>44315.43361111111</v>
      </c>
      <c r="K1252">
        <f>AVERAGE(H1252:H1256)</f>
        <v>87.97076593</v>
      </c>
      <c r="L1252">
        <f>STDEV(H1252:H1256)</f>
        <v>96.18815296</v>
      </c>
      <c r="M1252" s="70">
        <v>202.315674205948</v>
      </c>
      <c r="N1252" s="70">
        <v>202.315674205948</v>
      </c>
      <c r="O1252" s="70">
        <v>4.94925383235268</v>
      </c>
      <c r="P1252" s="70">
        <v>4.94925383235268</v>
      </c>
    </row>
    <row r="1253" hidden="1">
      <c r="A1253" s="67" t="s">
        <v>2013</v>
      </c>
      <c r="B1253" s="67" t="s">
        <v>17</v>
      </c>
      <c r="C1253" s="68">
        <v>0.75</v>
      </c>
      <c r="D1253" s="68">
        <v>0.1</v>
      </c>
      <c r="E1253" s="68">
        <v>3.0</v>
      </c>
      <c r="F1253" s="68">
        <v>1.0</v>
      </c>
      <c r="G1253" s="68">
        <v>4.23807948106316</v>
      </c>
      <c r="H1253" s="68">
        <v>176.637665323079</v>
      </c>
      <c r="I1253" s="69">
        <v>44315.434328703705</v>
      </c>
      <c r="J1253" s="69">
        <v>44315.45217592592</v>
      </c>
      <c r="K1253">
        <f>AVERAGE(H1252:H1256)</f>
        <v>87.97076593</v>
      </c>
      <c r="L1253">
        <f>STDEV(H1252:H1256)</f>
        <v>96.18815296</v>
      </c>
      <c r="M1253" s="70">
        <v>176.637665323079</v>
      </c>
      <c r="N1253" s="70">
        <v>176.637665323079</v>
      </c>
      <c r="O1253" s="70">
        <v>4.23807948106316</v>
      </c>
      <c r="P1253" s="70">
        <v>4.23807948106316</v>
      </c>
    </row>
    <row r="1254" hidden="1">
      <c r="A1254" s="67" t="s">
        <v>2014</v>
      </c>
      <c r="B1254" s="67" t="s">
        <v>17</v>
      </c>
      <c r="C1254" s="68">
        <v>0.75</v>
      </c>
      <c r="D1254" s="68">
        <v>0.1</v>
      </c>
      <c r="E1254" s="68">
        <v>3.0</v>
      </c>
      <c r="F1254" s="68">
        <v>2.0</v>
      </c>
      <c r="G1254" s="68">
        <v>0.363019849262359</v>
      </c>
      <c r="H1254" s="68">
        <v>0.48003042968109</v>
      </c>
      <c r="I1254" s="69">
        <v>44315.452893518515</v>
      </c>
      <c r="J1254" s="69">
        <v>44315.45290509259</v>
      </c>
      <c r="K1254">
        <f>AVERAGE(H1252:H1256)</f>
        <v>87.97076593</v>
      </c>
      <c r="L1254">
        <f>STDEV(H1252:H1256)</f>
        <v>96.18815296</v>
      </c>
      <c r="M1254" s="70">
        <v>0.48003042968109</v>
      </c>
      <c r="N1254" s="70">
        <v>0.48003042968109</v>
      </c>
      <c r="O1254" s="70">
        <v>0.363019849262359</v>
      </c>
      <c r="P1254" s="70">
        <v>0.363019849262359</v>
      </c>
    </row>
    <row r="1255" hidden="1">
      <c r="A1255" s="67" t="s">
        <v>2015</v>
      </c>
      <c r="B1255" s="67" t="s">
        <v>17</v>
      </c>
      <c r="C1255" s="68">
        <v>0.75</v>
      </c>
      <c r="D1255" s="68">
        <v>0.1</v>
      </c>
      <c r="E1255" s="68">
        <v>3.0</v>
      </c>
      <c r="F1255" s="68">
        <v>3.0</v>
      </c>
      <c r="G1255" s="68">
        <v>1.17604344226899</v>
      </c>
      <c r="H1255" s="68">
        <v>59.7473093135254</v>
      </c>
      <c r="I1255" s="69">
        <v>44315.45361111111</v>
      </c>
      <c r="J1255" s="69">
        <v>44315.46034722222</v>
      </c>
      <c r="K1255">
        <f>AVERAGE(H1252:H1256)</f>
        <v>87.97076593</v>
      </c>
      <c r="L1255">
        <f>STDEV(H1252:H1256)</f>
        <v>96.18815296</v>
      </c>
      <c r="M1255" s="70">
        <v>59.7473093135254</v>
      </c>
      <c r="N1255" s="70">
        <v>59.7473093135254</v>
      </c>
      <c r="O1255" s="70">
        <v>1.17604344226899</v>
      </c>
      <c r="P1255" s="70">
        <v>1.17604344226899</v>
      </c>
    </row>
    <row r="1256" hidden="1">
      <c r="A1256" s="67" t="s">
        <v>2016</v>
      </c>
      <c r="B1256" s="67" t="s">
        <v>17</v>
      </c>
      <c r="C1256" s="68">
        <v>0.75</v>
      </c>
      <c r="D1256" s="68">
        <v>0.1</v>
      </c>
      <c r="E1256" s="68">
        <v>3.0</v>
      </c>
      <c r="F1256" s="68">
        <v>4.0</v>
      </c>
      <c r="G1256" s="68">
        <v>0.548256113233087</v>
      </c>
      <c r="H1256" s="68">
        <v>0.673150388241619</v>
      </c>
      <c r="I1256" s="69">
        <v>44315.46105324074</v>
      </c>
      <c r="J1256" s="69">
        <v>44315.46119212963</v>
      </c>
      <c r="K1256">
        <f>AVERAGE(H1252:H1256)</f>
        <v>87.97076593</v>
      </c>
      <c r="L1256">
        <f>STDEV(H1252:H1256)</f>
        <v>96.18815296</v>
      </c>
      <c r="M1256" s="70">
        <v>0.673150388241619</v>
      </c>
      <c r="N1256" s="70">
        <v>0.673150388241619</v>
      </c>
      <c r="O1256" s="70">
        <v>0.548256113233087</v>
      </c>
      <c r="P1256" s="70">
        <v>0.548256113233087</v>
      </c>
    </row>
    <row r="1257" hidden="1">
      <c r="A1257" s="67" t="s">
        <v>2017</v>
      </c>
      <c r="B1257" s="67" t="s">
        <v>17</v>
      </c>
      <c r="C1257" s="68">
        <v>0.75</v>
      </c>
      <c r="D1257" s="68">
        <v>0.25</v>
      </c>
      <c r="E1257" s="68">
        <v>3.0</v>
      </c>
      <c r="F1257" s="68">
        <v>0.0</v>
      </c>
      <c r="G1257" s="68">
        <v>5.6014365983733</v>
      </c>
      <c r="H1257" s="68">
        <v>218.329130549665</v>
      </c>
      <c r="I1257" s="69">
        <v>44315.461909722224</v>
      </c>
      <c r="J1257" s="69">
        <v>44315.46377314815</v>
      </c>
      <c r="K1257">
        <f>AVERAGE(H1257:H1261)</f>
        <v>143.769218</v>
      </c>
      <c r="L1257">
        <f>STDEV(H1257:H1261)</f>
        <v>114.7910062</v>
      </c>
      <c r="M1257" s="70">
        <v>218.329130549665</v>
      </c>
      <c r="N1257" s="70">
        <v>218.329130549665</v>
      </c>
      <c r="O1257" s="70">
        <v>5.6014365983733</v>
      </c>
      <c r="P1257" s="70">
        <v>5.6014365983733</v>
      </c>
    </row>
    <row r="1258" hidden="1">
      <c r="A1258" s="67" t="s">
        <v>2018</v>
      </c>
      <c r="B1258" s="67" t="s">
        <v>17</v>
      </c>
      <c r="C1258" s="68">
        <v>0.75</v>
      </c>
      <c r="D1258" s="68">
        <v>0.25</v>
      </c>
      <c r="E1258" s="68">
        <v>3.0</v>
      </c>
      <c r="F1258" s="68">
        <v>1.0</v>
      </c>
      <c r="G1258" s="68">
        <v>9.20641789748459</v>
      </c>
      <c r="H1258" s="68">
        <v>290.831873478251</v>
      </c>
      <c r="I1258" s="69">
        <v>44315.464479166665</v>
      </c>
      <c r="J1258" s="69">
        <v>44315.46467592593</v>
      </c>
      <c r="K1258">
        <f>AVERAGE(H1257:H1261)</f>
        <v>143.769218</v>
      </c>
      <c r="L1258">
        <f>STDEV(H1257:H1261)</f>
        <v>114.7910062</v>
      </c>
      <c r="M1258" s="70">
        <v>290.831873478251</v>
      </c>
      <c r="N1258" s="70">
        <v>290.831873478251</v>
      </c>
      <c r="O1258" s="70">
        <v>9.20641789748459</v>
      </c>
      <c r="P1258" s="70">
        <v>9.20641789748459</v>
      </c>
    </row>
    <row r="1259" hidden="1">
      <c r="A1259" s="67" t="s">
        <v>2019</v>
      </c>
      <c r="B1259" s="67" t="s">
        <v>17</v>
      </c>
      <c r="C1259" s="68">
        <v>0.75</v>
      </c>
      <c r="D1259" s="68">
        <v>0.25</v>
      </c>
      <c r="E1259" s="68">
        <v>3.0</v>
      </c>
      <c r="F1259" s="68">
        <v>2.0</v>
      </c>
      <c r="G1259" s="68">
        <v>2.99261181668575</v>
      </c>
      <c r="H1259" s="68">
        <v>135.776903454735</v>
      </c>
      <c r="I1259" s="69">
        <v>44315.46538194444</v>
      </c>
      <c r="J1259" s="69">
        <v>44315.508368055554</v>
      </c>
      <c r="K1259">
        <f>AVERAGE(H1257:H1261)</f>
        <v>143.769218</v>
      </c>
      <c r="L1259">
        <f>STDEV(H1257:H1261)</f>
        <v>114.7910062</v>
      </c>
      <c r="M1259" s="70">
        <v>135.776903454735</v>
      </c>
      <c r="N1259" s="70">
        <v>135.776903454735</v>
      </c>
      <c r="O1259" s="70">
        <v>2.99261181668575</v>
      </c>
      <c r="P1259" s="70">
        <v>2.99261181668575</v>
      </c>
    </row>
    <row r="1260" hidden="1">
      <c r="A1260" s="67" t="s">
        <v>2020</v>
      </c>
      <c r="B1260" s="67" t="s">
        <v>17</v>
      </c>
      <c r="C1260" s="68">
        <v>0.75</v>
      </c>
      <c r="D1260" s="68">
        <v>0.25</v>
      </c>
      <c r="E1260" s="68">
        <v>3.0</v>
      </c>
      <c r="F1260" s="68">
        <v>3.0</v>
      </c>
      <c r="G1260" s="68">
        <v>0.531715108534094</v>
      </c>
      <c r="H1260" s="68">
        <v>0.632778555554264</v>
      </c>
      <c r="I1260" s="69">
        <v>44315.50907407407</v>
      </c>
      <c r="J1260" s="69">
        <v>44315.509618055556</v>
      </c>
      <c r="K1260">
        <f>AVERAGE(H1257:H1261)</f>
        <v>143.769218</v>
      </c>
      <c r="L1260">
        <f>STDEV(H1257:H1261)</f>
        <v>114.7910062</v>
      </c>
      <c r="M1260" s="70">
        <v>0.632778555554264</v>
      </c>
      <c r="N1260" s="70">
        <v>0.632778555554264</v>
      </c>
      <c r="O1260" s="70">
        <v>0.531715108534094</v>
      </c>
      <c r="P1260" s="70">
        <v>0.531715108534094</v>
      </c>
    </row>
    <row r="1261" hidden="1">
      <c r="A1261" s="67" t="s">
        <v>2021</v>
      </c>
      <c r="B1261" s="67" t="s">
        <v>17</v>
      </c>
      <c r="C1261" s="68">
        <v>0.75</v>
      </c>
      <c r="D1261" s="68">
        <v>0.25</v>
      </c>
      <c r="E1261" s="68">
        <v>3.0</v>
      </c>
      <c r="F1261" s="68">
        <v>4.0</v>
      </c>
      <c r="G1261" s="68">
        <v>1.49729294263027</v>
      </c>
      <c r="H1261" s="68">
        <v>73.275403924325</v>
      </c>
      <c r="I1261" s="69">
        <v>44315.51032407407</v>
      </c>
      <c r="J1261" s="69">
        <v>44315.511087962965</v>
      </c>
      <c r="K1261">
        <f>AVERAGE(H1257:H1261)</f>
        <v>143.769218</v>
      </c>
      <c r="L1261">
        <f>STDEV(H1257:H1261)</f>
        <v>114.7910062</v>
      </c>
      <c r="M1261" s="70">
        <v>73.275403924325</v>
      </c>
      <c r="N1261" s="70">
        <v>73.275403924325</v>
      </c>
      <c r="O1261" s="70">
        <v>1.49729294263027</v>
      </c>
      <c r="P1261" s="70">
        <v>1.49729294263027</v>
      </c>
    </row>
    <row r="1262" hidden="1">
      <c r="A1262" s="67" t="s">
        <v>2022</v>
      </c>
      <c r="B1262" s="67" t="s">
        <v>17</v>
      </c>
      <c r="C1262" s="68">
        <v>0.75</v>
      </c>
      <c r="D1262" s="68">
        <v>0.5</v>
      </c>
      <c r="E1262" s="68">
        <v>3.0</v>
      </c>
      <c r="F1262" s="68">
        <v>0.0</v>
      </c>
      <c r="G1262" s="68">
        <v>1.55314998722197</v>
      </c>
      <c r="H1262" s="68">
        <v>74.8696202675257</v>
      </c>
      <c r="I1262" s="69">
        <v>44315.51179398148</v>
      </c>
      <c r="J1262" s="69">
        <v>44315.51252314815</v>
      </c>
      <c r="K1262">
        <f>AVERAGE(H1262:H1266)</f>
        <v>106.6199658</v>
      </c>
      <c r="L1262">
        <f>STDEV(H1262:H1266)</f>
        <v>124.3667276</v>
      </c>
      <c r="M1262" s="70">
        <v>74.8696202675257</v>
      </c>
      <c r="N1262" s="70">
        <v>74.8696202675257</v>
      </c>
      <c r="O1262" s="70">
        <v>1.55314998722197</v>
      </c>
      <c r="P1262" s="70">
        <v>1.55314998722197</v>
      </c>
    </row>
    <row r="1263" hidden="1">
      <c r="A1263" s="67" t="s">
        <v>2023</v>
      </c>
      <c r="B1263" s="67" t="s">
        <v>17</v>
      </c>
      <c r="C1263" s="68">
        <v>0.75</v>
      </c>
      <c r="D1263" s="68">
        <v>0.5</v>
      </c>
      <c r="E1263" s="68">
        <v>3.0</v>
      </c>
      <c r="F1263" s="68">
        <v>1.0</v>
      </c>
      <c r="G1263" s="68">
        <v>9.42648445901744</v>
      </c>
      <c r="H1263" s="68">
        <v>294.6922898257</v>
      </c>
      <c r="I1263" s="69">
        <v>44315.51322916667</v>
      </c>
      <c r="J1263" s="69">
        <v>44315.51342592593</v>
      </c>
      <c r="K1263">
        <f>AVERAGE(H1262:H1266)</f>
        <v>106.6199658</v>
      </c>
      <c r="L1263">
        <f>STDEV(H1262:H1266)</f>
        <v>124.3667276</v>
      </c>
      <c r="M1263" s="70">
        <v>294.6922898257</v>
      </c>
      <c r="N1263" s="70">
        <v>294.6922898257</v>
      </c>
      <c r="O1263" s="70">
        <v>9.42648445901744</v>
      </c>
      <c r="P1263" s="70">
        <v>9.42648445901744</v>
      </c>
    </row>
    <row r="1264" hidden="1">
      <c r="A1264" s="67" t="s">
        <v>2024</v>
      </c>
      <c r="B1264" s="67" t="s">
        <v>17</v>
      </c>
      <c r="C1264" s="68">
        <v>0.75</v>
      </c>
      <c r="D1264" s="68">
        <v>0.5</v>
      </c>
      <c r="E1264" s="68">
        <v>3.0</v>
      </c>
      <c r="F1264" s="68">
        <v>2.0</v>
      </c>
      <c r="G1264" s="68">
        <v>3.59207880479328</v>
      </c>
      <c r="H1264" s="68">
        <v>162.040768046731</v>
      </c>
      <c r="I1264" s="69">
        <v>44315.51414351852</v>
      </c>
      <c r="J1264" s="69">
        <v>44315.57071759259</v>
      </c>
      <c r="K1264">
        <f>AVERAGE(H1262:H1266)</f>
        <v>106.6199658</v>
      </c>
      <c r="L1264">
        <f>STDEV(H1262:H1266)</f>
        <v>124.3667276</v>
      </c>
      <c r="M1264" s="70">
        <v>162.040768046731</v>
      </c>
      <c r="N1264" s="70">
        <v>162.040768046731</v>
      </c>
      <c r="O1264" s="70">
        <v>3.59207880479328</v>
      </c>
      <c r="P1264" s="70">
        <v>3.59207880479328</v>
      </c>
    </row>
    <row r="1265" hidden="1">
      <c r="A1265" s="67" t="s">
        <v>2025</v>
      </c>
      <c r="B1265" s="67" t="s">
        <v>17</v>
      </c>
      <c r="C1265" s="68">
        <v>0.75</v>
      </c>
      <c r="D1265" s="68">
        <v>0.5</v>
      </c>
      <c r="E1265" s="68">
        <v>3.0</v>
      </c>
      <c r="F1265" s="68">
        <v>3.0</v>
      </c>
      <c r="G1265" s="68">
        <v>0.45804006466034</v>
      </c>
      <c r="H1265" s="68">
        <v>0.548173195268089</v>
      </c>
      <c r="I1265" s="69">
        <v>44315.57142361111</v>
      </c>
      <c r="J1265" s="69">
        <v>44315.57158564815</v>
      </c>
      <c r="K1265">
        <f>AVERAGE(H1262:H1266)</f>
        <v>106.6199658</v>
      </c>
      <c r="L1265">
        <f>STDEV(H1262:H1266)</f>
        <v>124.3667276</v>
      </c>
      <c r="M1265" s="70">
        <v>0.548173195268089</v>
      </c>
      <c r="N1265" s="70">
        <v>0.548173195268089</v>
      </c>
      <c r="O1265" s="70">
        <v>0.45804006466034</v>
      </c>
      <c r="P1265" s="70">
        <v>0.45804006466034</v>
      </c>
    </row>
    <row r="1266" hidden="1">
      <c r="A1266" s="67" t="s">
        <v>2026</v>
      </c>
      <c r="B1266" s="67" t="s">
        <v>17</v>
      </c>
      <c r="C1266" s="68">
        <v>0.75</v>
      </c>
      <c r="D1266" s="68">
        <v>0.5</v>
      </c>
      <c r="E1266" s="68">
        <v>3.0</v>
      </c>
      <c r="F1266" s="68">
        <v>4.0</v>
      </c>
      <c r="G1266" s="68">
        <v>0.71205655889852</v>
      </c>
      <c r="H1266" s="68">
        <v>0.948977832482219</v>
      </c>
      <c r="I1266" s="69">
        <v>44315.572291666664</v>
      </c>
      <c r="J1266" s="69">
        <v>44315.57251157407</v>
      </c>
      <c r="K1266">
        <f>AVERAGE(H1262:H1266)</f>
        <v>106.6199658</v>
      </c>
      <c r="L1266">
        <f>STDEV(H1262:H1266)</f>
        <v>124.3667276</v>
      </c>
      <c r="M1266" s="70">
        <v>0.948977832482219</v>
      </c>
      <c r="N1266" s="70">
        <v>0.948977832482219</v>
      </c>
      <c r="O1266" s="70">
        <v>0.71205655889852</v>
      </c>
      <c r="P1266" s="70">
        <v>0.71205655889852</v>
      </c>
    </row>
    <row r="1267" hidden="1">
      <c r="A1267" s="67" t="s">
        <v>2027</v>
      </c>
      <c r="B1267" s="67" t="s">
        <v>17</v>
      </c>
      <c r="C1267" s="68">
        <v>0.75</v>
      </c>
      <c r="D1267" s="68">
        <v>0.75</v>
      </c>
      <c r="E1267" s="68">
        <v>3.0</v>
      </c>
      <c r="F1267" s="68">
        <v>0.0</v>
      </c>
      <c r="G1267" s="68">
        <v>5.44017262861959</v>
      </c>
      <c r="H1267" s="68">
        <v>208.380157932481</v>
      </c>
      <c r="I1267" s="69">
        <v>44315.573229166665</v>
      </c>
      <c r="J1267" s="69">
        <v>44315.57554398148</v>
      </c>
      <c r="K1267">
        <f>AVERAGE(H1267:H1271)</f>
        <v>108.8094929</v>
      </c>
      <c r="L1267">
        <f>STDEV(H1267:H1271)</f>
        <v>97.03037526</v>
      </c>
      <c r="M1267" s="70">
        <v>208.380157932481</v>
      </c>
      <c r="N1267" s="70">
        <v>208.380157932481</v>
      </c>
      <c r="O1267" s="70">
        <v>5.44017262861959</v>
      </c>
      <c r="P1267" s="70">
        <v>5.44017262861959</v>
      </c>
    </row>
    <row r="1268" hidden="1">
      <c r="A1268" s="67" t="s">
        <v>2028</v>
      </c>
      <c r="B1268" s="67" t="s">
        <v>17</v>
      </c>
      <c r="C1268" s="68">
        <v>0.75</v>
      </c>
      <c r="D1268" s="68">
        <v>0.75</v>
      </c>
      <c r="E1268" s="68">
        <v>3.0</v>
      </c>
      <c r="F1268" s="68">
        <v>1.0</v>
      </c>
      <c r="G1268" s="68">
        <v>5.31252169196271</v>
      </c>
      <c r="H1268" s="68">
        <v>207.500347463256</v>
      </c>
      <c r="I1268" s="69">
        <v>44315.576261574075</v>
      </c>
      <c r="J1268" s="69">
        <v>44315.57898148148</v>
      </c>
      <c r="K1268">
        <f>AVERAGE(H1267:H1271)</f>
        <v>108.8094929</v>
      </c>
      <c r="L1268">
        <f>STDEV(H1267:H1271)</f>
        <v>97.03037526</v>
      </c>
      <c r="M1268" s="70">
        <v>207.500347463256</v>
      </c>
      <c r="N1268" s="70">
        <v>207.500347463256</v>
      </c>
      <c r="O1268" s="70">
        <v>5.31252169196271</v>
      </c>
      <c r="P1268" s="70">
        <v>5.31252169196271</v>
      </c>
    </row>
    <row r="1269" hidden="1">
      <c r="A1269" s="67" t="s">
        <v>2029</v>
      </c>
      <c r="B1269" s="67" t="s">
        <v>17</v>
      </c>
      <c r="C1269" s="68">
        <v>0.75</v>
      </c>
      <c r="D1269" s="68">
        <v>0.75</v>
      </c>
      <c r="E1269" s="68">
        <v>3.0</v>
      </c>
      <c r="F1269" s="68">
        <v>2.0</v>
      </c>
      <c r="G1269" s="68">
        <v>0.207414646087391</v>
      </c>
      <c r="H1269" s="68">
        <v>0.289791750987311</v>
      </c>
      <c r="I1269" s="69">
        <v>44315.57969907407</v>
      </c>
      <c r="J1269" s="69">
        <v>44315.57974537037</v>
      </c>
      <c r="K1269">
        <f>AVERAGE(H1267:H1271)</f>
        <v>108.8094929</v>
      </c>
      <c r="L1269">
        <f>STDEV(H1267:H1271)</f>
        <v>97.03037526</v>
      </c>
      <c r="M1269" s="70">
        <v>0.289791750987311</v>
      </c>
      <c r="N1269" s="70">
        <v>0.289791750987311</v>
      </c>
      <c r="O1269" s="70">
        <v>0.207414646087391</v>
      </c>
      <c r="P1269" s="70">
        <v>0.207414646087391</v>
      </c>
    </row>
    <row r="1270" hidden="1">
      <c r="A1270" s="67" t="s">
        <v>2030</v>
      </c>
      <c r="B1270" s="67" t="s">
        <v>17</v>
      </c>
      <c r="C1270" s="68">
        <v>0.75</v>
      </c>
      <c r="D1270" s="68">
        <v>0.75</v>
      </c>
      <c r="E1270" s="68">
        <v>3.0</v>
      </c>
      <c r="F1270" s="68">
        <v>3.0</v>
      </c>
      <c r="G1270" s="68">
        <v>1.79137464965803</v>
      </c>
      <c r="H1270" s="68">
        <v>30.7568849920726</v>
      </c>
      <c r="I1270" s="69">
        <v>44315.58045138889</v>
      </c>
      <c r="J1270" s="69">
        <v>44315.58076388889</v>
      </c>
      <c r="K1270">
        <f>AVERAGE(H1267:H1271)</f>
        <v>108.8094929</v>
      </c>
      <c r="L1270">
        <f>STDEV(H1267:H1271)</f>
        <v>97.03037526</v>
      </c>
      <c r="M1270" s="70">
        <v>30.7568849920726</v>
      </c>
      <c r="N1270" s="70">
        <v>30.7568849920726</v>
      </c>
      <c r="O1270" s="70">
        <v>1.79137464965803</v>
      </c>
      <c r="P1270" s="70">
        <v>1.79137464965803</v>
      </c>
    </row>
    <row r="1271" hidden="1">
      <c r="A1271" s="67" t="s">
        <v>2031</v>
      </c>
      <c r="B1271" s="67" t="s">
        <v>17</v>
      </c>
      <c r="C1271" s="68">
        <v>0.75</v>
      </c>
      <c r="D1271" s="68">
        <v>0.75</v>
      </c>
      <c r="E1271" s="68">
        <v>3.0</v>
      </c>
      <c r="F1271" s="68">
        <v>4.0</v>
      </c>
      <c r="G1271" s="68">
        <v>1.77502661701069</v>
      </c>
      <c r="H1271" s="68">
        <v>97.1202821686554</v>
      </c>
      <c r="I1271" s="69">
        <v>44315.58146990741</v>
      </c>
      <c r="J1271" s="69">
        <v>44315.6103125</v>
      </c>
      <c r="K1271">
        <f>AVERAGE(H1267:H1271)</f>
        <v>108.8094929</v>
      </c>
      <c r="L1271">
        <f>STDEV(H1267:H1271)</f>
        <v>97.03037526</v>
      </c>
      <c r="M1271" s="70">
        <v>97.1202821686554</v>
      </c>
      <c r="N1271" s="70">
        <v>97.1202821686554</v>
      </c>
      <c r="O1271" s="70">
        <v>1.77502661701069</v>
      </c>
      <c r="P1271" s="70">
        <v>1.77502661701069</v>
      </c>
    </row>
    <row r="1272" hidden="1">
      <c r="A1272" s="67" t="s">
        <v>2032</v>
      </c>
      <c r="B1272" s="67" t="s">
        <v>17</v>
      </c>
      <c r="C1272" s="68">
        <v>0.75</v>
      </c>
      <c r="D1272" s="68">
        <v>1.0</v>
      </c>
      <c r="E1272" s="68">
        <v>3.0</v>
      </c>
      <c r="F1272" s="68">
        <v>0.0</v>
      </c>
      <c r="G1272" s="68">
        <v>3.21665709221766</v>
      </c>
      <c r="H1272" s="68">
        <v>144.075427339268</v>
      </c>
      <c r="I1272" s="69">
        <v>44315.611030092594</v>
      </c>
      <c r="J1272" s="69">
        <v>44315.61119212963</v>
      </c>
      <c r="K1272">
        <f>AVERAGE(H1272:H1276)</f>
        <v>142.3059584</v>
      </c>
      <c r="L1272">
        <f>STDEV(H1272:H1276)</f>
        <v>90.67926697</v>
      </c>
      <c r="M1272" s="70">
        <v>144.075427339268</v>
      </c>
      <c r="N1272" s="70">
        <v>144.075427339268</v>
      </c>
      <c r="O1272" s="70">
        <v>3.21665709221766</v>
      </c>
      <c r="P1272" s="70">
        <v>3.21665709221766</v>
      </c>
    </row>
    <row r="1273" hidden="1">
      <c r="A1273" s="67" t="s">
        <v>2033</v>
      </c>
      <c r="B1273" s="67" t="s">
        <v>17</v>
      </c>
      <c r="C1273" s="68">
        <v>0.75</v>
      </c>
      <c r="D1273" s="68">
        <v>1.0</v>
      </c>
      <c r="E1273" s="68">
        <v>3.0</v>
      </c>
      <c r="F1273" s="68">
        <v>1.0</v>
      </c>
      <c r="G1273" s="68">
        <v>6.1056824206943</v>
      </c>
      <c r="H1273" s="68">
        <v>225.419432109294</v>
      </c>
      <c r="I1273" s="69">
        <v>44385.43</v>
      </c>
      <c r="J1273" s="69">
        <v>44385.45636574074</v>
      </c>
      <c r="K1273">
        <f>AVERAGE(H1272:H1276)</f>
        <v>142.3059584</v>
      </c>
      <c r="L1273">
        <f>STDEV(H1272:H1276)</f>
        <v>90.67926697</v>
      </c>
      <c r="M1273" s="70">
        <v>225.419432109294</v>
      </c>
      <c r="N1273" s="70">
        <v>225.419432109294</v>
      </c>
      <c r="O1273" s="70">
        <v>6.1056824206943</v>
      </c>
      <c r="P1273" s="70">
        <v>6.1056824206943</v>
      </c>
    </row>
    <row r="1274" hidden="1">
      <c r="A1274" s="67" t="s">
        <v>2034</v>
      </c>
      <c r="B1274" s="67" t="s">
        <v>17</v>
      </c>
      <c r="C1274" s="68">
        <v>0.75</v>
      </c>
      <c r="D1274" s="68">
        <v>1.0</v>
      </c>
      <c r="E1274" s="68">
        <v>3.0</v>
      </c>
      <c r="F1274" s="68">
        <v>2.0</v>
      </c>
      <c r="G1274" s="68">
        <v>2.60478078615097</v>
      </c>
      <c r="H1274" s="68">
        <v>123.950989806678</v>
      </c>
      <c r="I1274" s="69">
        <v>44315.61744212963</v>
      </c>
      <c r="J1274" s="69">
        <v>44315.66608796296</v>
      </c>
      <c r="K1274">
        <f>AVERAGE(H1272:H1276)</f>
        <v>142.3059584</v>
      </c>
      <c r="L1274">
        <f>STDEV(H1272:H1276)</f>
        <v>90.67926697</v>
      </c>
      <c r="M1274" s="70">
        <v>123.950989806678</v>
      </c>
      <c r="N1274" s="70">
        <v>123.950989806678</v>
      </c>
      <c r="O1274" s="70">
        <v>2.60478078615097</v>
      </c>
      <c r="P1274" s="70">
        <v>2.60478078615097</v>
      </c>
    </row>
    <row r="1275" hidden="1">
      <c r="A1275" s="67" t="s">
        <v>2035</v>
      </c>
      <c r="B1275" s="67" t="s">
        <v>17</v>
      </c>
      <c r="C1275" s="68">
        <v>0.75</v>
      </c>
      <c r="D1275" s="68">
        <v>1.0</v>
      </c>
      <c r="E1275" s="68">
        <v>3.0</v>
      </c>
      <c r="F1275" s="68">
        <v>3.0</v>
      </c>
      <c r="G1275" s="68">
        <v>0.61093860225426</v>
      </c>
      <c r="H1275" s="68">
        <v>0.80600978754604</v>
      </c>
      <c r="I1275" s="69">
        <v>44315.66679398148</v>
      </c>
      <c r="J1275" s="69">
        <v>44315.66737268519</v>
      </c>
      <c r="K1275">
        <f>AVERAGE(H1272:H1276)</f>
        <v>142.3059584</v>
      </c>
      <c r="L1275">
        <f>STDEV(H1272:H1276)</f>
        <v>90.67926697</v>
      </c>
      <c r="M1275" s="70">
        <v>0.80600978754604</v>
      </c>
      <c r="N1275" s="70">
        <v>0.80600978754604</v>
      </c>
      <c r="O1275" s="70">
        <v>0.61093860225426</v>
      </c>
      <c r="P1275" s="70">
        <v>0.61093860225426</v>
      </c>
    </row>
    <row r="1276" hidden="1">
      <c r="A1276" s="67" t="s">
        <v>2036</v>
      </c>
      <c r="B1276" s="67" t="s">
        <v>17</v>
      </c>
      <c r="C1276" s="68">
        <v>0.75</v>
      </c>
      <c r="D1276" s="68">
        <v>1.0</v>
      </c>
      <c r="E1276" s="68">
        <v>3.0</v>
      </c>
      <c r="F1276" s="68">
        <v>4.0</v>
      </c>
      <c r="G1276" s="68">
        <v>8.35391731996851</v>
      </c>
      <c r="H1276" s="68">
        <v>217.277932995345</v>
      </c>
      <c r="I1276" s="69">
        <v>44315.66809027778</v>
      </c>
      <c r="J1276" s="69">
        <v>44315.66813657407</v>
      </c>
      <c r="K1276">
        <f>AVERAGE(H1272:H1276)</f>
        <v>142.3059584</v>
      </c>
      <c r="L1276">
        <f>STDEV(H1272:H1276)</f>
        <v>90.67926697</v>
      </c>
      <c r="M1276" s="70">
        <v>217.277932995345</v>
      </c>
      <c r="N1276" s="70">
        <v>217.277932995345</v>
      </c>
      <c r="O1276" s="70">
        <v>8.35391731996851</v>
      </c>
      <c r="P1276" s="70">
        <v>8.35391731996851</v>
      </c>
    </row>
    <row r="1277" hidden="1">
      <c r="A1277" s="67" t="s">
        <v>2037</v>
      </c>
      <c r="B1277" s="67" t="s">
        <v>17</v>
      </c>
      <c r="C1277" s="68">
        <v>1.0</v>
      </c>
      <c r="D1277" s="68">
        <v>0.1</v>
      </c>
      <c r="E1277" s="68">
        <v>3.0</v>
      </c>
      <c r="F1277" s="68">
        <v>0.0</v>
      </c>
      <c r="G1277" s="68">
        <v>8.76714182888235</v>
      </c>
      <c r="H1277" s="68">
        <v>279.807189128529</v>
      </c>
      <c r="I1277" s="69">
        <v>44315.66884259259</v>
      </c>
      <c r="J1277" s="69">
        <v>44315.66966435185</v>
      </c>
      <c r="K1277">
        <f>AVERAGE(H1277:H1281)</f>
        <v>172.2051218</v>
      </c>
      <c r="L1277">
        <f>STDEV(H1277:H1281)</f>
        <v>106.8852793</v>
      </c>
      <c r="M1277" s="70">
        <v>279.807189128529</v>
      </c>
      <c r="N1277" s="70">
        <v>279.807189128529</v>
      </c>
      <c r="O1277" s="70">
        <v>8.76714182888235</v>
      </c>
      <c r="P1277" s="70">
        <v>8.76714182888235</v>
      </c>
    </row>
    <row r="1278" hidden="1">
      <c r="A1278" s="67" t="s">
        <v>2038</v>
      </c>
      <c r="B1278" s="67" t="s">
        <v>17</v>
      </c>
      <c r="C1278" s="68">
        <v>1.0</v>
      </c>
      <c r="D1278" s="68">
        <v>0.1</v>
      </c>
      <c r="E1278" s="68">
        <v>3.0</v>
      </c>
      <c r="F1278" s="68">
        <v>1.0</v>
      </c>
      <c r="G1278" s="68">
        <v>2.88938335924885</v>
      </c>
      <c r="H1278" s="68">
        <v>133.779533812856</v>
      </c>
      <c r="I1278" s="69">
        <v>44315.67037037037</v>
      </c>
      <c r="J1278" s="69">
        <v>44315.70581018519</v>
      </c>
      <c r="K1278">
        <f>AVERAGE(H1277:H1281)</f>
        <v>172.2051218</v>
      </c>
      <c r="L1278">
        <f>STDEV(H1277:H1281)</f>
        <v>106.8852793</v>
      </c>
      <c r="M1278" s="70">
        <v>133.779533812856</v>
      </c>
      <c r="N1278" s="70">
        <v>133.779533812856</v>
      </c>
      <c r="O1278" s="70">
        <v>2.88938335924885</v>
      </c>
      <c r="P1278" s="70">
        <v>2.88938335924885</v>
      </c>
    </row>
    <row r="1279" hidden="1">
      <c r="A1279" s="67" t="s">
        <v>2039</v>
      </c>
      <c r="B1279" s="67" t="s">
        <v>17</v>
      </c>
      <c r="C1279" s="68">
        <v>1.0</v>
      </c>
      <c r="D1279" s="68">
        <v>0.1</v>
      </c>
      <c r="E1279" s="68">
        <v>3.0</v>
      </c>
      <c r="F1279" s="68">
        <v>2.0</v>
      </c>
      <c r="G1279" s="68">
        <v>1.05723712926983</v>
      </c>
      <c r="H1279" s="68">
        <v>54.2266664753921</v>
      </c>
      <c r="I1279" s="69">
        <v>44315.70652777778</v>
      </c>
      <c r="J1279" s="69">
        <v>44315.7091087963</v>
      </c>
      <c r="K1279">
        <f>AVERAGE(H1277:H1281)</f>
        <v>172.2051218</v>
      </c>
      <c r="L1279">
        <f>STDEV(H1277:H1281)</f>
        <v>106.8852793</v>
      </c>
      <c r="M1279" s="70">
        <v>54.2266664753921</v>
      </c>
      <c r="N1279" s="70">
        <v>54.2266664753921</v>
      </c>
      <c r="O1279" s="70">
        <v>1.05723712926983</v>
      </c>
      <c r="P1279" s="70">
        <v>1.05723712926983</v>
      </c>
    </row>
    <row r="1280" hidden="1">
      <c r="A1280" s="67" t="s">
        <v>2040</v>
      </c>
      <c r="B1280" s="67" t="s">
        <v>17</v>
      </c>
      <c r="C1280" s="68">
        <v>1.0</v>
      </c>
      <c r="D1280" s="68">
        <v>0.1</v>
      </c>
      <c r="E1280" s="68">
        <v>3.0</v>
      </c>
      <c r="F1280" s="68">
        <v>3.0</v>
      </c>
      <c r="G1280" s="68">
        <v>2.28948199444536</v>
      </c>
      <c r="H1280" s="68">
        <v>102.975482657162</v>
      </c>
      <c r="I1280" s="69">
        <v>44315.709814814814</v>
      </c>
      <c r="J1280" s="69">
        <v>44315.710648148146</v>
      </c>
      <c r="K1280">
        <f>AVERAGE(H1277:H1281)</f>
        <v>172.2051218</v>
      </c>
      <c r="L1280">
        <f>STDEV(H1277:H1281)</f>
        <v>106.8852793</v>
      </c>
      <c r="M1280" s="70">
        <v>102.975482657162</v>
      </c>
      <c r="N1280" s="70">
        <v>102.975482657162</v>
      </c>
      <c r="O1280" s="70">
        <v>2.28948199444536</v>
      </c>
      <c r="P1280" s="70">
        <v>2.28948199444536</v>
      </c>
    </row>
    <row r="1281" hidden="1">
      <c r="A1281" s="67" t="s">
        <v>2041</v>
      </c>
      <c r="B1281" s="67" t="s">
        <v>17</v>
      </c>
      <c r="C1281" s="68">
        <v>1.0</v>
      </c>
      <c r="D1281" s="68">
        <v>0.1</v>
      </c>
      <c r="E1281" s="68">
        <v>3.0</v>
      </c>
      <c r="F1281" s="68">
        <v>4.0</v>
      </c>
      <c r="G1281" s="68">
        <v>9.14965494474381</v>
      </c>
      <c r="H1281" s="68">
        <v>290.236736977829</v>
      </c>
      <c r="I1281" s="69">
        <v>44315.71135416667</v>
      </c>
      <c r="J1281" s="69">
        <v>44315.71157407408</v>
      </c>
      <c r="K1281">
        <f>AVERAGE(H1277:H1281)</f>
        <v>172.2051218</v>
      </c>
      <c r="L1281">
        <f>STDEV(H1277:H1281)</f>
        <v>106.8852793</v>
      </c>
      <c r="M1281" s="70">
        <v>290.236736977829</v>
      </c>
      <c r="N1281" s="70">
        <v>290.236736977829</v>
      </c>
      <c r="O1281" s="70">
        <v>9.14965494474381</v>
      </c>
      <c r="P1281" s="70">
        <v>9.14965494474381</v>
      </c>
    </row>
    <row r="1282" hidden="1">
      <c r="A1282" s="67" t="s">
        <v>2042</v>
      </c>
      <c r="B1282" s="67" t="s">
        <v>17</v>
      </c>
      <c r="C1282" s="68">
        <v>1.0</v>
      </c>
      <c r="D1282" s="68">
        <v>0.25</v>
      </c>
      <c r="E1282" s="68">
        <v>3.0</v>
      </c>
      <c r="F1282" s="68">
        <v>0.0</v>
      </c>
      <c r="G1282" s="68">
        <v>0.521348183140656</v>
      </c>
      <c r="H1282" s="68">
        <v>0.618268577201765</v>
      </c>
      <c r="I1282" s="69">
        <v>44315.71228009259</v>
      </c>
      <c r="J1282" s="69">
        <v>44315.71289351852</v>
      </c>
      <c r="K1282">
        <f>AVERAGE(H1282:H1286)</f>
        <v>121.2580709</v>
      </c>
      <c r="L1282">
        <f>STDEV(H1282:H1286)</f>
        <v>123.5592409</v>
      </c>
      <c r="M1282" s="70">
        <v>0.618268577201765</v>
      </c>
      <c r="N1282" s="70">
        <v>0.618268577201765</v>
      </c>
      <c r="O1282" s="70">
        <v>0.521348183140656</v>
      </c>
      <c r="P1282" s="70">
        <v>0.521348183140656</v>
      </c>
    </row>
    <row r="1283" hidden="1">
      <c r="A1283" s="67" t="s">
        <v>2043</v>
      </c>
      <c r="B1283" s="67" t="s">
        <v>17</v>
      </c>
      <c r="C1283" s="68">
        <v>1.0</v>
      </c>
      <c r="D1283" s="68">
        <v>0.25</v>
      </c>
      <c r="E1283" s="68">
        <v>3.0</v>
      </c>
      <c r="F1283" s="68">
        <v>1.0</v>
      </c>
      <c r="G1283" s="68">
        <v>9.2054032962029</v>
      </c>
      <c r="H1283" s="68">
        <v>290.671476773975</v>
      </c>
      <c r="I1283" s="69">
        <v>44315.71359953703</v>
      </c>
      <c r="J1283" s="69">
        <v>44315.71381944444</v>
      </c>
      <c r="K1283">
        <f>AVERAGE(H1282:H1286)</f>
        <v>121.2580709</v>
      </c>
      <c r="L1283">
        <f>STDEV(H1282:H1286)</f>
        <v>123.5592409</v>
      </c>
      <c r="M1283" s="70">
        <v>290.671476773975</v>
      </c>
      <c r="N1283" s="70">
        <v>290.671476773975</v>
      </c>
      <c r="O1283" s="70">
        <v>9.2054032962029</v>
      </c>
      <c r="P1283" s="70">
        <v>9.2054032962029</v>
      </c>
    </row>
    <row r="1284" hidden="1">
      <c r="A1284" s="67" t="s">
        <v>2044</v>
      </c>
      <c r="B1284" s="67" t="s">
        <v>17</v>
      </c>
      <c r="C1284" s="68">
        <v>1.0</v>
      </c>
      <c r="D1284" s="68">
        <v>0.25</v>
      </c>
      <c r="E1284" s="68">
        <v>3.0</v>
      </c>
      <c r="F1284" s="68">
        <v>2.0</v>
      </c>
      <c r="G1284" s="68">
        <v>3.10107823561431</v>
      </c>
      <c r="H1284" s="68">
        <v>138.520558578166</v>
      </c>
      <c r="I1284" s="69">
        <v>44315.714525462965</v>
      </c>
      <c r="J1284" s="69">
        <v>44315.752858796295</v>
      </c>
      <c r="K1284">
        <f>AVERAGE(H1282:H1286)</f>
        <v>121.2580709</v>
      </c>
      <c r="L1284">
        <f>STDEV(H1282:H1286)</f>
        <v>123.5592409</v>
      </c>
      <c r="M1284" s="70">
        <v>138.520558578166</v>
      </c>
      <c r="N1284" s="70">
        <v>138.520558578166</v>
      </c>
      <c r="O1284" s="70">
        <v>3.10107823561431</v>
      </c>
      <c r="P1284" s="70">
        <v>3.10107823561431</v>
      </c>
    </row>
    <row r="1285" hidden="1">
      <c r="A1285" s="67" t="s">
        <v>2045</v>
      </c>
      <c r="B1285" s="67" t="s">
        <v>17</v>
      </c>
      <c r="C1285" s="68">
        <v>1.0</v>
      </c>
      <c r="D1285" s="68">
        <v>0.25</v>
      </c>
      <c r="E1285" s="68">
        <v>3.0</v>
      </c>
      <c r="F1285" s="68">
        <v>3.0</v>
      </c>
      <c r="G1285" s="68">
        <v>3.98385262405428</v>
      </c>
      <c r="H1285" s="68">
        <v>175.802300038641</v>
      </c>
      <c r="I1285" s="69">
        <v>44315.75356481481</v>
      </c>
      <c r="J1285" s="69">
        <v>44315.758680555555</v>
      </c>
      <c r="K1285">
        <f>AVERAGE(H1282:H1286)</f>
        <v>121.2580709</v>
      </c>
      <c r="L1285">
        <f>STDEV(H1282:H1286)</f>
        <v>123.5592409</v>
      </c>
      <c r="M1285" s="70">
        <v>175.802300038641</v>
      </c>
      <c r="N1285" s="70">
        <v>175.802300038641</v>
      </c>
      <c r="O1285" s="70">
        <v>3.98385262405428</v>
      </c>
      <c r="P1285" s="70">
        <v>3.98385262405428</v>
      </c>
    </row>
    <row r="1286" hidden="1">
      <c r="A1286" s="67" t="s">
        <v>2046</v>
      </c>
      <c r="B1286" s="67" t="s">
        <v>17</v>
      </c>
      <c r="C1286" s="68">
        <v>1.0</v>
      </c>
      <c r="D1286" s="68">
        <v>0.25</v>
      </c>
      <c r="E1286" s="68">
        <v>3.0</v>
      </c>
      <c r="F1286" s="68">
        <v>4.0</v>
      </c>
      <c r="G1286" s="68">
        <v>0.551805323457836</v>
      </c>
      <c r="H1286" s="68">
        <v>0.677750563171364</v>
      </c>
      <c r="I1286" s="69">
        <v>44315.75938657407</v>
      </c>
      <c r="J1286" s="69">
        <v>44315.75953703704</v>
      </c>
      <c r="K1286">
        <f>AVERAGE(H1282:H1286)</f>
        <v>121.2580709</v>
      </c>
      <c r="L1286">
        <f>STDEV(H1282:H1286)</f>
        <v>123.5592409</v>
      </c>
      <c r="M1286" s="70">
        <v>0.677750563171364</v>
      </c>
      <c r="N1286" s="70">
        <v>0.677750563171364</v>
      </c>
      <c r="O1286" s="70">
        <v>0.551805323457836</v>
      </c>
      <c r="P1286" s="70">
        <v>0.551805323457836</v>
      </c>
    </row>
    <row r="1287" hidden="1">
      <c r="A1287" s="67" t="s">
        <v>2047</v>
      </c>
      <c r="B1287" s="67" t="s">
        <v>17</v>
      </c>
      <c r="C1287" s="68">
        <v>1.0</v>
      </c>
      <c r="D1287" s="68">
        <v>0.5</v>
      </c>
      <c r="E1287" s="68">
        <v>3.0</v>
      </c>
      <c r="F1287" s="68">
        <v>0.0</v>
      </c>
      <c r="G1287" s="68">
        <v>1.09394677999619</v>
      </c>
      <c r="H1287" s="68">
        <v>55.7677409095109</v>
      </c>
      <c r="I1287" s="69">
        <v>44315.760243055556</v>
      </c>
      <c r="J1287" s="69">
        <v>44315.76258101852</v>
      </c>
      <c r="K1287">
        <f>AVERAGE(H1287:H1291)</f>
        <v>157.3674521</v>
      </c>
      <c r="L1287">
        <f>STDEV(H1287:H1291)</f>
        <v>123.7108579</v>
      </c>
      <c r="M1287" s="70">
        <v>55.7677409095109</v>
      </c>
      <c r="N1287" s="70">
        <v>55.7677409095109</v>
      </c>
      <c r="O1287" s="70">
        <v>1.09394677999619</v>
      </c>
      <c r="P1287" s="70">
        <v>1.09394677999619</v>
      </c>
    </row>
    <row r="1288" hidden="1">
      <c r="A1288" s="67" t="s">
        <v>2048</v>
      </c>
      <c r="B1288" s="67" t="s">
        <v>17</v>
      </c>
      <c r="C1288" s="68">
        <v>1.0</v>
      </c>
      <c r="D1288" s="68">
        <v>0.5</v>
      </c>
      <c r="E1288" s="68">
        <v>3.0</v>
      </c>
      <c r="F1288" s="68">
        <v>1.0</v>
      </c>
      <c r="G1288" s="68">
        <v>9.42216455728112</v>
      </c>
      <c r="H1288" s="68">
        <v>293.905818152552</v>
      </c>
      <c r="I1288" s="69">
        <v>44315.763287037036</v>
      </c>
      <c r="J1288" s="69">
        <v>44315.76349537037</v>
      </c>
      <c r="K1288">
        <f>AVERAGE(H1287:H1291)</f>
        <v>157.3674521</v>
      </c>
      <c r="L1288">
        <f>STDEV(H1287:H1291)</f>
        <v>123.7108579</v>
      </c>
      <c r="M1288" s="70">
        <v>293.905818152552</v>
      </c>
      <c r="N1288" s="70">
        <v>293.905818152552</v>
      </c>
      <c r="O1288" s="70">
        <v>9.42216455728112</v>
      </c>
      <c r="P1288" s="70">
        <v>9.42216455728112</v>
      </c>
    </row>
    <row r="1289" hidden="1">
      <c r="A1289" s="67" t="s">
        <v>2049</v>
      </c>
      <c r="B1289" s="67" t="s">
        <v>17</v>
      </c>
      <c r="C1289" s="68">
        <v>1.0</v>
      </c>
      <c r="D1289" s="68">
        <v>0.5</v>
      </c>
      <c r="E1289" s="68">
        <v>3.0</v>
      </c>
      <c r="F1289" s="68">
        <v>2.0</v>
      </c>
      <c r="G1289" s="68">
        <v>1.63374701075549</v>
      </c>
      <c r="H1289" s="68">
        <v>26.2448148802352</v>
      </c>
      <c r="I1289" s="69">
        <v>44315.76420138889</v>
      </c>
      <c r="J1289" s="69">
        <v>44315.76459490741</v>
      </c>
      <c r="K1289">
        <f>AVERAGE(H1287:H1291)</f>
        <v>157.3674521</v>
      </c>
      <c r="L1289">
        <f>STDEV(H1287:H1291)</f>
        <v>123.7108579</v>
      </c>
      <c r="M1289" s="70">
        <v>26.2448148802352</v>
      </c>
      <c r="N1289" s="70">
        <v>26.2448148802352</v>
      </c>
      <c r="O1289" s="70">
        <v>1.63374701075549</v>
      </c>
      <c r="P1289" s="70">
        <v>1.63374701075549</v>
      </c>
    </row>
    <row r="1290" hidden="1">
      <c r="A1290" s="67" t="s">
        <v>2050</v>
      </c>
      <c r="B1290" s="67" t="s">
        <v>17</v>
      </c>
      <c r="C1290" s="68">
        <v>1.0</v>
      </c>
      <c r="D1290" s="68">
        <v>0.5</v>
      </c>
      <c r="E1290" s="68">
        <v>3.0</v>
      </c>
      <c r="F1290" s="68">
        <v>3.0</v>
      </c>
      <c r="G1290" s="68">
        <v>8.86208297688237</v>
      </c>
      <c r="H1290" s="68">
        <v>277.686354929981</v>
      </c>
      <c r="I1290" s="69">
        <v>44315.7653125</v>
      </c>
      <c r="J1290" s="69">
        <v>44315.766122685185</v>
      </c>
      <c r="K1290">
        <f>AVERAGE(H1287:H1291)</f>
        <v>157.3674521</v>
      </c>
      <c r="L1290">
        <f>STDEV(H1287:H1291)</f>
        <v>123.7108579</v>
      </c>
      <c r="M1290" s="70">
        <v>277.686354929981</v>
      </c>
      <c r="N1290" s="70">
        <v>277.686354929981</v>
      </c>
      <c r="O1290" s="70">
        <v>8.86208297688237</v>
      </c>
      <c r="P1290" s="70">
        <v>8.86208297688237</v>
      </c>
    </row>
    <row r="1291" hidden="1">
      <c r="A1291" s="67" t="s">
        <v>2051</v>
      </c>
      <c r="B1291" s="67" t="s">
        <v>17</v>
      </c>
      <c r="C1291" s="68">
        <v>1.0</v>
      </c>
      <c r="D1291" s="68">
        <v>0.5</v>
      </c>
      <c r="E1291" s="68">
        <v>3.0</v>
      </c>
      <c r="F1291" s="68">
        <v>4.0</v>
      </c>
      <c r="G1291" s="68">
        <v>2.83327572471856</v>
      </c>
      <c r="H1291" s="68">
        <v>133.232531840006</v>
      </c>
      <c r="I1291" s="69">
        <v>44315.7668287037</v>
      </c>
      <c r="J1291" s="69">
        <v>44315.81657407407</v>
      </c>
      <c r="K1291">
        <f>AVERAGE(H1287:H1291)</f>
        <v>157.3674521</v>
      </c>
      <c r="L1291">
        <f>STDEV(H1287:H1291)</f>
        <v>123.7108579</v>
      </c>
      <c r="M1291" s="70">
        <v>133.232531840006</v>
      </c>
      <c r="N1291" s="70">
        <v>133.232531840006</v>
      </c>
      <c r="O1291" s="70">
        <v>2.83327572471856</v>
      </c>
      <c r="P1291" s="70">
        <v>2.83327572471856</v>
      </c>
    </row>
    <row r="1292" hidden="1">
      <c r="A1292" s="67" t="s">
        <v>2052</v>
      </c>
      <c r="B1292" s="67" t="s">
        <v>17</v>
      </c>
      <c r="C1292" s="68">
        <v>1.0</v>
      </c>
      <c r="D1292" s="68">
        <v>0.75</v>
      </c>
      <c r="E1292" s="68">
        <v>3.0</v>
      </c>
      <c r="F1292" s="68">
        <v>0.0</v>
      </c>
      <c r="G1292" s="68">
        <v>5.45247035133092</v>
      </c>
      <c r="H1292" s="68">
        <v>208.194175517161</v>
      </c>
      <c r="I1292" s="69">
        <v>44315.817291666666</v>
      </c>
      <c r="J1292" s="69">
        <v>44315.819756944446</v>
      </c>
      <c r="K1292">
        <f>AVERAGE(H1292:H1296)</f>
        <v>128.3529437</v>
      </c>
      <c r="L1292">
        <f>STDEV(H1292:H1296)</f>
        <v>132.0834077</v>
      </c>
      <c r="M1292" s="70">
        <v>208.194175517161</v>
      </c>
      <c r="N1292" s="70">
        <v>208.194175517161</v>
      </c>
      <c r="O1292" s="70">
        <v>5.45247035133092</v>
      </c>
      <c r="P1292" s="70">
        <v>5.45247035133092</v>
      </c>
    </row>
    <row r="1293" hidden="1">
      <c r="A1293" s="67" t="s">
        <v>2053</v>
      </c>
      <c r="B1293" s="67" t="s">
        <v>17</v>
      </c>
      <c r="C1293" s="68">
        <v>1.0</v>
      </c>
      <c r="D1293" s="68">
        <v>0.75</v>
      </c>
      <c r="E1293" s="68">
        <v>3.0</v>
      </c>
      <c r="F1293" s="68">
        <v>1.0</v>
      </c>
      <c r="G1293" s="68">
        <v>0.485788066076325</v>
      </c>
      <c r="H1293" s="68">
        <v>0.564584335067203</v>
      </c>
      <c r="I1293" s="69">
        <v>44315.82047453704</v>
      </c>
      <c r="J1293" s="69">
        <v>44315.82094907408</v>
      </c>
      <c r="K1293">
        <f>AVERAGE(H1292:H1296)</f>
        <v>128.3529437</v>
      </c>
      <c r="L1293">
        <f>STDEV(H1292:H1296)</f>
        <v>132.0834077</v>
      </c>
      <c r="M1293" s="70">
        <v>0.564584335067203</v>
      </c>
      <c r="N1293" s="70">
        <v>0.564584335067203</v>
      </c>
      <c r="O1293" s="70">
        <v>0.485788066076325</v>
      </c>
      <c r="P1293" s="70">
        <v>0.485788066076325</v>
      </c>
    </row>
    <row r="1294" hidden="1">
      <c r="A1294" s="67" t="s">
        <v>2054</v>
      </c>
      <c r="B1294" s="67" t="s">
        <v>17</v>
      </c>
      <c r="C1294" s="68">
        <v>1.0</v>
      </c>
      <c r="D1294" s="68">
        <v>0.75</v>
      </c>
      <c r="E1294" s="68">
        <v>3.0</v>
      </c>
      <c r="F1294" s="68">
        <v>2.0</v>
      </c>
      <c r="G1294" s="68">
        <v>9.98196953715978</v>
      </c>
      <c r="H1294" s="68">
        <v>303.835127869617</v>
      </c>
      <c r="I1294" s="69">
        <v>44315.82165509259</v>
      </c>
      <c r="J1294" s="69">
        <v>44315.821851851855</v>
      </c>
      <c r="K1294">
        <f>AVERAGE(H1292:H1296)</f>
        <v>128.3529437</v>
      </c>
      <c r="L1294">
        <f>STDEV(H1292:H1296)</f>
        <v>132.0834077</v>
      </c>
      <c r="M1294" s="70">
        <v>303.835127869617</v>
      </c>
      <c r="N1294" s="70">
        <v>303.835127869617</v>
      </c>
      <c r="O1294" s="70">
        <v>9.98196953715978</v>
      </c>
      <c r="P1294" s="70">
        <v>9.98196953715978</v>
      </c>
    </row>
    <row r="1295" hidden="1">
      <c r="A1295" s="67" t="s">
        <v>2055</v>
      </c>
      <c r="B1295" s="67" t="s">
        <v>17</v>
      </c>
      <c r="C1295" s="68">
        <v>1.0</v>
      </c>
      <c r="D1295" s="68">
        <v>0.75</v>
      </c>
      <c r="E1295" s="68">
        <v>3.0</v>
      </c>
      <c r="F1295" s="68">
        <v>3.0</v>
      </c>
      <c r="G1295" s="68">
        <v>0.579661119235711</v>
      </c>
      <c r="H1295" s="68">
        <v>0.737835381439335</v>
      </c>
      <c r="I1295" s="69">
        <v>44315.82256944444</v>
      </c>
      <c r="J1295" s="69">
        <v>44315.822696759256</v>
      </c>
      <c r="K1295">
        <f>AVERAGE(H1292:H1296)</f>
        <v>128.3529437</v>
      </c>
      <c r="L1295">
        <f>STDEV(H1292:H1296)</f>
        <v>132.0834077</v>
      </c>
      <c r="M1295" s="70">
        <v>0.737835381439335</v>
      </c>
      <c r="N1295" s="70">
        <v>0.737835381439335</v>
      </c>
      <c r="O1295" s="70">
        <v>0.579661119235711</v>
      </c>
      <c r="P1295" s="70">
        <v>0.579661119235711</v>
      </c>
    </row>
    <row r="1296" hidden="1">
      <c r="A1296" s="67" t="s">
        <v>2056</v>
      </c>
      <c r="B1296" s="67" t="s">
        <v>17</v>
      </c>
      <c r="C1296" s="68">
        <v>1.0</v>
      </c>
      <c r="D1296" s="68">
        <v>0.75</v>
      </c>
      <c r="E1296" s="68">
        <v>3.0</v>
      </c>
      <c r="F1296" s="68">
        <v>4.0</v>
      </c>
      <c r="G1296" s="68">
        <v>2.77749838918704</v>
      </c>
      <c r="H1296" s="68">
        <v>128.432995489871</v>
      </c>
      <c r="I1296" s="69">
        <v>44315.82340277778</v>
      </c>
      <c r="J1296" s="69">
        <v>44315.87976851852</v>
      </c>
      <c r="K1296">
        <f>AVERAGE(H1292:H1296)</f>
        <v>128.3529437</v>
      </c>
      <c r="L1296">
        <f>STDEV(H1292:H1296)</f>
        <v>132.0834077</v>
      </c>
      <c r="M1296" s="70">
        <v>128.432995489871</v>
      </c>
      <c r="N1296" s="70">
        <v>128.432995489871</v>
      </c>
      <c r="O1296" s="70">
        <v>2.77749838918704</v>
      </c>
      <c r="P1296" s="70">
        <v>2.77749838918704</v>
      </c>
    </row>
    <row r="1297" hidden="1">
      <c r="A1297" s="67" t="s">
        <v>2057</v>
      </c>
      <c r="B1297" s="67" t="s">
        <v>17</v>
      </c>
      <c r="C1297" s="68">
        <v>1.0</v>
      </c>
      <c r="D1297" s="68">
        <v>1.0</v>
      </c>
      <c r="E1297" s="68">
        <v>3.0</v>
      </c>
      <c r="F1297" s="68">
        <v>0.0</v>
      </c>
      <c r="G1297" s="68">
        <v>1.73279972324326</v>
      </c>
      <c r="H1297" s="68">
        <v>80.0909403372912</v>
      </c>
      <c r="I1297" s="69">
        <v>44384.51232638889</v>
      </c>
      <c r="J1297" s="69">
        <v>44384.514074074075</v>
      </c>
      <c r="K1297">
        <f>AVERAGE(H1297:H1301)</f>
        <v>147.3042997</v>
      </c>
      <c r="L1297">
        <f>STDEV(H1297:H1301)</f>
        <v>116.3612714</v>
      </c>
      <c r="M1297" s="70">
        <v>80.0909403372912</v>
      </c>
      <c r="N1297" s="70">
        <v>80.0909403372912</v>
      </c>
      <c r="O1297" s="70">
        <v>1.73279972324326</v>
      </c>
      <c r="P1297" s="70">
        <v>1.73279972324326</v>
      </c>
    </row>
    <row r="1298" hidden="1">
      <c r="A1298" s="67" t="s">
        <v>2058</v>
      </c>
      <c r="B1298" s="67" t="s">
        <v>17</v>
      </c>
      <c r="C1298" s="68">
        <v>1.0</v>
      </c>
      <c r="D1298" s="68">
        <v>1.0</v>
      </c>
      <c r="E1298" s="68">
        <v>3.0</v>
      </c>
      <c r="F1298" s="68">
        <v>1.0</v>
      </c>
      <c r="G1298" s="68">
        <v>8.39025998177273</v>
      </c>
      <c r="H1298" s="68">
        <v>267.679983769275</v>
      </c>
      <c r="I1298" s="69">
        <v>44384.51476851852</v>
      </c>
      <c r="J1298" s="69">
        <v>44384.517222222225</v>
      </c>
      <c r="K1298">
        <f>AVERAGE(H1297:H1301)</f>
        <v>147.3042997</v>
      </c>
      <c r="L1298">
        <f>STDEV(H1297:H1301)</f>
        <v>116.3612714</v>
      </c>
      <c r="M1298" s="70">
        <v>267.679983769275</v>
      </c>
      <c r="N1298" s="70">
        <v>267.679983769275</v>
      </c>
      <c r="O1298" s="70">
        <v>8.39025998177273</v>
      </c>
      <c r="P1298" s="70">
        <v>8.39025998177273</v>
      </c>
    </row>
    <row r="1299" hidden="1">
      <c r="A1299" s="67" t="s">
        <v>2059</v>
      </c>
      <c r="B1299" s="67" t="s">
        <v>17</v>
      </c>
      <c r="C1299" s="68">
        <v>1.0</v>
      </c>
      <c r="D1299" s="68">
        <v>1.0</v>
      </c>
      <c r="E1299" s="68">
        <v>3.0</v>
      </c>
      <c r="F1299" s="68">
        <v>2.0</v>
      </c>
      <c r="G1299" s="68">
        <v>7.71154032901986</v>
      </c>
      <c r="H1299" s="68">
        <v>262.057128876243</v>
      </c>
      <c r="I1299" s="69">
        <v>44384.517916666664</v>
      </c>
      <c r="J1299" s="69">
        <v>44384.51902777778</v>
      </c>
      <c r="K1299">
        <f>AVERAGE(H1297:H1301)</f>
        <v>147.3042997</v>
      </c>
      <c r="L1299">
        <f>STDEV(H1297:H1301)</f>
        <v>116.3612714</v>
      </c>
      <c r="M1299" s="70">
        <v>262.057128876243</v>
      </c>
      <c r="N1299" s="70">
        <v>262.057128876243</v>
      </c>
      <c r="O1299" s="70">
        <v>7.71154032901986</v>
      </c>
      <c r="P1299" s="70">
        <v>7.71154032901986</v>
      </c>
    </row>
    <row r="1300" hidden="1">
      <c r="A1300" s="67" t="s">
        <v>2060</v>
      </c>
      <c r="B1300" s="67" t="s">
        <v>17</v>
      </c>
      <c r="C1300" s="68">
        <v>1.0</v>
      </c>
      <c r="D1300" s="68">
        <v>1.0</v>
      </c>
      <c r="E1300" s="68">
        <v>3.0</v>
      </c>
      <c r="F1300" s="68">
        <v>3.0</v>
      </c>
      <c r="G1300" s="68">
        <v>0.480508922820292</v>
      </c>
      <c r="H1300" s="68">
        <v>0.553890011348854</v>
      </c>
      <c r="I1300" s="69">
        <v>44384.51972222222</v>
      </c>
      <c r="J1300" s="69">
        <v>44384.521145833336</v>
      </c>
      <c r="K1300">
        <f>AVERAGE(H1297:H1301)</f>
        <v>147.3042997</v>
      </c>
      <c r="L1300">
        <f>STDEV(H1297:H1301)</f>
        <v>116.3612714</v>
      </c>
      <c r="M1300" s="70">
        <v>0.553890011348854</v>
      </c>
      <c r="N1300" s="70">
        <v>0.553890011348854</v>
      </c>
      <c r="O1300" s="70">
        <v>0.480508922820292</v>
      </c>
      <c r="P1300" s="70">
        <v>0.480508922820292</v>
      </c>
    </row>
    <row r="1301" hidden="1">
      <c r="A1301" s="67" t="s">
        <v>2061</v>
      </c>
      <c r="B1301" s="67" t="s">
        <v>17</v>
      </c>
      <c r="C1301" s="68">
        <v>1.0</v>
      </c>
      <c r="D1301" s="68">
        <v>1.0</v>
      </c>
      <c r="E1301" s="68">
        <v>3.0</v>
      </c>
      <c r="F1301" s="68">
        <v>4.0</v>
      </c>
      <c r="G1301" s="68">
        <v>2.70517675332222</v>
      </c>
      <c r="H1301" s="68">
        <v>126.139555665905</v>
      </c>
      <c r="I1301" s="69">
        <v>44384.521840277775</v>
      </c>
      <c r="J1301" s="69">
        <v>44384.61935185185</v>
      </c>
      <c r="K1301">
        <f>AVERAGE(H1297:H1301)</f>
        <v>147.3042997</v>
      </c>
      <c r="L1301">
        <f>STDEV(H1297:H1301)</f>
        <v>116.3612714</v>
      </c>
      <c r="M1301" s="70">
        <v>126.139555665905</v>
      </c>
      <c r="N1301" s="70">
        <v>126.139555665905</v>
      </c>
      <c r="O1301" s="70">
        <v>2.70517675332222</v>
      </c>
      <c r="P1301" s="70">
        <v>2.70517675332222</v>
      </c>
    </row>
    <row r="1302" hidden="1">
      <c r="A1302" s="67" t="s">
        <v>2062</v>
      </c>
      <c r="B1302" s="67" t="s">
        <v>268</v>
      </c>
      <c r="C1302" s="68">
        <v>0.1</v>
      </c>
      <c r="D1302" s="68">
        <v>0.1</v>
      </c>
      <c r="E1302" s="68">
        <v>3.0</v>
      </c>
      <c r="F1302" s="68">
        <v>0.0</v>
      </c>
      <c r="G1302" s="68">
        <v>0.712135447246169</v>
      </c>
      <c r="H1302" s="68">
        <v>0.949181473275599</v>
      </c>
      <c r="I1302" s="69">
        <v>44315.880474537036</v>
      </c>
      <c r="J1302" s="69">
        <v>44315.88071759259</v>
      </c>
      <c r="K1302">
        <f>AVERAGE(H1302:H1306)</f>
        <v>136.656746</v>
      </c>
      <c r="L1302">
        <f>STDEV(H1302:H1306)</f>
        <v>95.13378959</v>
      </c>
      <c r="M1302" s="70">
        <v>0.949181473275599</v>
      </c>
      <c r="N1302" s="70">
        <v>0.949181473275599</v>
      </c>
      <c r="O1302" s="70">
        <v>0.712135447246169</v>
      </c>
      <c r="P1302" s="70">
        <v>0.712135447246169</v>
      </c>
    </row>
    <row r="1303" hidden="1">
      <c r="A1303" s="67" t="s">
        <v>2063</v>
      </c>
      <c r="B1303" s="67" t="s">
        <v>268</v>
      </c>
      <c r="C1303" s="68">
        <v>0.1</v>
      </c>
      <c r="D1303" s="68">
        <v>0.1</v>
      </c>
      <c r="E1303" s="68">
        <v>3.0</v>
      </c>
      <c r="F1303" s="68">
        <v>1.0</v>
      </c>
      <c r="G1303" s="68">
        <v>3.09084397598135</v>
      </c>
      <c r="H1303" s="68">
        <v>151.357719000035</v>
      </c>
      <c r="I1303" s="69">
        <v>44315.881423611114</v>
      </c>
      <c r="J1303" s="69">
        <v>44315.93840277778</v>
      </c>
      <c r="K1303">
        <f>AVERAGE(H1302:H1306)</f>
        <v>136.656746</v>
      </c>
      <c r="L1303">
        <f>STDEV(H1302:H1306)</f>
        <v>95.13378959</v>
      </c>
      <c r="M1303" s="70">
        <v>151.357719000035</v>
      </c>
      <c r="N1303" s="70">
        <v>151.357719000035</v>
      </c>
      <c r="O1303" s="70">
        <v>3.09084397598135</v>
      </c>
      <c r="P1303" s="70">
        <v>3.09084397598135</v>
      </c>
    </row>
    <row r="1304" hidden="1">
      <c r="A1304" s="67" t="s">
        <v>2064</v>
      </c>
      <c r="B1304" s="67" t="s">
        <v>268</v>
      </c>
      <c r="C1304" s="68">
        <v>0.1</v>
      </c>
      <c r="D1304" s="68">
        <v>0.1</v>
      </c>
      <c r="E1304" s="68">
        <v>3.0</v>
      </c>
      <c r="F1304" s="68">
        <v>2.0</v>
      </c>
      <c r="G1304" s="68">
        <v>2.53089610518087</v>
      </c>
      <c r="H1304" s="68">
        <v>106.64982658235</v>
      </c>
      <c r="I1304" s="69">
        <v>44315.939108796294</v>
      </c>
      <c r="J1304" s="69">
        <v>44315.93954861111</v>
      </c>
      <c r="K1304">
        <f>AVERAGE(H1302:H1306)</f>
        <v>136.656746</v>
      </c>
      <c r="L1304">
        <f>STDEV(H1302:H1306)</f>
        <v>95.13378959</v>
      </c>
      <c r="M1304" s="70">
        <v>106.64982658235</v>
      </c>
      <c r="N1304" s="70">
        <v>106.64982658235</v>
      </c>
      <c r="O1304" s="70">
        <v>2.53089610518087</v>
      </c>
      <c r="P1304" s="70">
        <v>2.53089610518087</v>
      </c>
    </row>
    <row r="1305" hidden="1">
      <c r="A1305" s="67" t="s">
        <v>2065</v>
      </c>
      <c r="B1305" s="67" t="s">
        <v>268</v>
      </c>
      <c r="C1305" s="68">
        <v>0.1</v>
      </c>
      <c r="D1305" s="68">
        <v>0.1</v>
      </c>
      <c r="E1305" s="68">
        <v>3.0</v>
      </c>
      <c r="F1305" s="68">
        <v>3.0</v>
      </c>
      <c r="G1305" s="68">
        <v>4.76125358818174</v>
      </c>
      <c r="H1305" s="68">
        <v>160.850079361802</v>
      </c>
      <c r="I1305" s="69">
        <v>44315.940254629626</v>
      </c>
      <c r="J1305" s="69">
        <v>44315.94049768519</v>
      </c>
      <c r="K1305">
        <f>AVERAGE(H1302:H1306)</f>
        <v>136.656746</v>
      </c>
      <c r="L1305">
        <f>STDEV(H1302:H1306)</f>
        <v>95.13378959</v>
      </c>
      <c r="M1305" s="70">
        <v>160.850079361802</v>
      </c>
      <c r="N1305" s="70">
        <v>160.850079361802</v>
      </c>
      <c r="O1305" s="70">
        <v>4.76125358818174</v>
      </c>
      <c r="P1305" s="70">
        <v>4.76125358818174</v>
      </c>
    </row>
    <row r="1306" hidden="1">
      <c r="A1306" s="67" t="s">
        <v>2066</v>
      </c>
      <c r="B1306" s="67" t="s">
        <v>268</v>
      </c>
      <c r="C1306" s="68">
        <v>0.1</v>
      </c>
      <c r="D1306" s="68">
        <v>0.1</v>
      </c>
      <c r="E1306" s="68">
        <v>3.0</v>
      </c>
      <c r="F1306" s="68">
        <v>4.0</v>
      </c>
      <c r="G1306" s="68">
        <v>7.85898262468938</v>
      </c>
      <c r="H1306" s="68">
        <v>263.476923501069</v>
      </c>
      <c r="I1306" s="69">
        <v>44315.941203703704</v>
      </c>
      <c r="J1306" s="69">
        <v>44315.94152777778</v>
      </c>
      <c r="K1306">
        <f>AVERAGE(H1302:H1306)</f>
        <v>136.656746</v>
      </c>
      <c r="L1306">
        <f>STDEV(H1302:H1306)</f>
        <v>95.13378959</v>
      </c>
      <c r="M1306" s="70">
        <v>263.476923501069</v>
      </c>
      <c r="N1306" s="70">
        <v>263.476923501069</v>
      </c>
      <c r="O1306" s="70">
        <v>7.85898262468938</v>
      </c>
      <c r="P1306" s="70">
        <v>7.85898262468938</v>
      </c>
    </row>
    <row r="1307" hidden="1">
      <c r="A1307" s="67" t="s">
        <v>2067</v>
      </c>
      <c r="B1307" s="67" t="s">
        <v>268</v>
      </c>
      <c r="C1307" s="68">
        <v>0.1</v>
      </c>
      <c r="D1307" s="68">
        <v>0.25</v>
      </c>
      <c r="E1307" s="68">
        <v>3.0</v>
      </c>
      <c r="F1307" s="68">
        <v>0.0</v>
      </c>
      <c r="G1307" s="68">
        <v>2.51140981220521</v>
      </c>
      <c r="H1307" s="68">
        <v>132.927897084307</v>
      </c>
      <c r="I1307" s="69">
        <v>44315.9422337963</v>
      </c>
      <c r="J1307" s="69">
        <v>44315.94247685185</v>
      </c>
      <c r="K1307">
        <f>AVERAGE(H1307:H1311)</f>
        <v>138.3901976</v>
      </c>
      <c r="L1307">
        <f>STDEV(H1307:H1311)</f>
        <v>84.56575376</v>
      </c>
      <c r="M1307" s="70">
        <v>132.927897084307</v>
      </c>
      <c r="N1307" s="70">
        <v>132.927897084307</v>
      </c>
      <c r="O1307" s="70">
        <v>2.51140981220521</v>
      </c>
      <c r="P1307" s="70">
        <v>2.51140981220521</v>
      </c>
    </row>
    <row r="1308" hidden="1">
      <c r="A1308" s="67" t="s">
        <v>2068</v>
      </c>
      <c r="B1308" s="67" t="s">
        <v>268</v>
      </c>
      <c r="C1308" s="68">
        <v>0.1</v>
      </c>
      <c r="D1308" s="68">
        <v>0.25</v>
      </c>
      <c r="E1308" s="68">
        <v>3.0</v>
      </c>
      <c r="F1308" s="68">
        <v>1.0</v>
      </c>
      <c r="G1308" s="68">
        <v>4.50656454082017</v>
      </c>
      <c r="H1308" s="68">
        <v>201.15739983215</v>
      </c>
      <c r="I1308" s="69">
        <v>44315.94318287037</v>
      </c>
      <c r="J1308" s="69">
        <v>44315.94880787037</v>
      </c>
      <c r="K1308">
        <f>AVERAGE(H1307:H1311)</f>
        <v>138.3901976</v>
      </c>
      <c r="L1308">
        <f>STDEV(H1307:H1311)</f>
        <v>84.56575376</v>
      </c>
      <c r="M1308" s="70">
        <v>201.15739983215</v>
      </c>
      <c r="N1308" s="70">
        <v>201.15739983215</v>
      </c>
      <c r="O1308" s="70">
        <v>4.50656454082017</v>
      </c>
      <c r="P1308" s="70">
        <v>4.50656454082017</v>
      </c>
    </row>
    <row r="1309" hidden="1">
      <c r="A1309" s="67" t="s">
        <v>2069</v>
      </c>
      <c r="B1309" s="67" t="s">
        <v>268</v>
      </c>
      <c r="C1309" s="68">
        <v>0.1</v>
      </c>
      <c r="D1309" s="68">
        <v>0.25</v>
      </c>
      <c r="E1309" s="68">
        <v>3.0</v>
      </c>
      <c r="F1309" s="68">
        <v>2.0</v>
      </c>
      <c r="G1309" s="68">
        <v>1.10452447479589</v>
      </c>
      <c r="H1309" s="68">
        <v>1.88885776657802</v>
      </c>
      <c r="I1309" s="69">
        <v>44315.94951388889</v>
      </c>
      <c r="J1309" s="69">
        <v>44315.94954861111</v>
      </c>
      <c r="K1309">
        <f>AVERAGE(H1307:H1311)</f>
        <v>138.3901976</v>
      </c>
      <c r="L1309">
        <f>STDEV(H1307:H1311)</f>
        <v>84.56575376</v>
      </c>
      <c r="M1309" s="70">
        <v>1.88885776657802</v>
      </c>
      <c r="N1309" s="70">
        <v>1.88885776657802</v>
      </c>
      <c r="O1309" s="70">
        <v>1.10452447479589</v>
      </c>
      <c r="P1309" s="70">
        <v>1.10452447479589</v>
      </c>
    </row>
    <row r="1310" hidden="1">
      <c r="A1310" s="67" t="s">
        <v>2070</v>
      </c>
      <c r="B1310" s="67" t="s">
        <v>268</v>
      </c>
      <c r="C1310" s="68">
        <v>0.1</v>
      </c>
      <c r="D1310" s="68">
        <v>0.25</v>
      </c>
      <c r="E1310" s="68">
        <v>3.0</v>
      </c>
      <c r="F1310" s="68">
        <v>3.0</v>
      </c>
      <c r="G1310" s="68">
        <v>6.90627872063648</v>
      </c>
      <c r="H1310" s="68">
        <v>215.85168877003</v>
      </c>
      <c r="I1310" s="69">
        <v>44315.95025462963</v>
      </c>
      <c r="J1310" s="69">
        <v>44315.950370370374</v>
      </c>
      <c r="K1310">
        <f>AVERAGE(H1307:H1311)</f>
        <v>138.3901976</v>
      </c>
      <c r="L1310">
        <f>STDEV(H1307:H1311)</f>
        <v>84.56575376</v>
      </c>
      <c r="M1310" s="70">
        <v>215.85168877003</v>
      </c>
      <c r="N1310" s="70">
        <v>215.85168877003</v>
      </c>
      <c r="O1310" s="70">
        <v>6.90627872063648</v>
      </c>
      <c r="P1310" s="70">
        <v>6.90627872063648</v>
      </c>
    </row>
    <row r="1311" hidden="1">
      <c r="A1311" s="67" t="s">
        <v>2071</v>
      </c>
      <c r="B1311" s="67" t="s">
        <v>268</v>
      </c>
      <c r="C1311" s="68">
        <v>0.1</v>
      </c>
      <c r="D1311" s="68">
        <v>0.25</v>
      </c>
      <c r="E1311" s="68">
        <v>3.0</v>
      </c>
      <c r="F1311" s="68">
        <v>4.0</v>
      </c>
      <c r="G1311" s="68">
        <v>2.95529793922824</v>
      </c>
      <c r="H1311" s="68">
        <v>140.125144609904</v>
      </c>
      <c r="I1311" s="69">
        <v>44315.95108796296</v>
      </c>
      <c r="J1311" s="69">
        <v>44315.99622685185</v>
      </c>
      <c r="K1311">
        <f>AVERAGE(H1307:H1311)</f>
        <v>138.3901976</v>
      </c>
      <c r="L1311">
        <f>STDEV(H1307:H1311)</f>
        <v>84.56575376</v>
      </c>
      <c r="M1311" s="70">
        <v>140.125144609904</v>
      </c>
      <c r="N1311" s="70">
        <v>140.125144609904</v>
      </c>
      <c r="O1311" s="70">
        <v>2.95529793922824</v>
      </c>
      <c r="P1311" s="70">
        <v>2.95529793922824</v>
      </c>
    </row>
    <row r="1312" hidden="1">
      <c r="A1312" s="67" t="s">
        <v>2072</v>
      </c>
      <c r="B1312" s="67" t="s">
        <v>268</v>
      </c>
      <c r="C1312" s="68">
        <v>0.1</v>
      </c>
      <c r="D1312" s="68">
        <v>0.5</v>
      </c>
      <c r="E1312" s="68">
        <v>3.0</v>
      </c>
      <c r="F1312" s="68">
        <v>0.0</v>
      </c>
      <c r="G1312" s="68">
        <v>8.34683723880808</v>
      </c>
      <c r="H1312" s="68">
        <v>289.856509607486</v>
      </c>
      <c r="I1312" s="69">
        <v>44315.996932870374</v>
      </c>
      <c r="J1312" s="69">
        <v>44315.99797453704</v>
      </c>
      <c r="K1312">
        <f>AVERAGE(H1312:H1316)</f>
        <v>96.59209418</v>
      </c>
      <c r="L1312">
        <f>STDEV(H1312:H1316)</f>
        <v>123.0448859</v>
      </c>
      <c r="M1312" s="70">
        <v>289.856509607486</v>
      </c>
      <c r="N1312" s="70">
        <v>289.856509607486</v>
      </c>
      <c r="O1312" s="70">
        <v>8.34683723880808</v>
      </c>
      <c r="P1312" s="70">
        <v>8.34683723880808</v>
      </c>
    </row>
    <row r="1313" hidden="1">
      <c r="A1313" s="67" t="s">
        <v>2073</v>
      </c>
      <c r="B1313" s="67" t="s">
        <v>268</v>
      </c>
      <c r="C1313" s="68">
        <v>0.1</v>
      </c>
      <c r="D1313" s="68">
        <v>0.5</v>
      </c>
      <c r="E1313" s="68">
        <v>3.0</v>
      </c>
      <c r="F1313" s="68">
        <v>1.0</v>
      </c>
      <c r="G1313" s="68">
        <v>1.20107682946137</v>
      </c>
      <c r="H1313" s="68">
        <v>15.7636587304111</v>
      </c>
      <c r="I1313" s="69">
        <v>44315.99868055555</v>
      </c>
      <c r="J1313" s="69">
        <v>44315.99883101852</v>
      </c>
      <c r="K1313">
        <f>AVERAGE(H1312:H1316)</f>
        <v>96.59209418</v>
      </c>
      <c r="L1313">
        <f>STDEV(H1312:H1316)</f>
        <v>123.0448859</v>
      </c>
      <c r="M1313" s="70">
        <v>15.7636587304111</v>
      </c>
      <c r="N1313" s="70">
        <v>15.7636587304111</v>
      </c>
      <c r="O1313" s="70">
        <v>1.20107682946137</v>
      </c>
      <c r="P1313" s="70">
        <v>1.20107682946137</v>
      </c>
    </row>
    <row r="1314" hidden="1">
      <c r="A1314" s="67" t="s">
        <v>2074</v>
      </c>
      <c r="B1314" s="67" t="s">
        <v>268</v>
      </c>
      <c r="C1314" s="68">
        <v>0.1</v>
      </c>
      <c r="D1314" s="68">
        <v>0.5</v>
      </c>
      <c r="E1314" s="68">
        <v>3.0</v>
      </c>
      <c r="F1314" s="68">
        <v>2.0</v>
      </c>
      <c r="G1314" s="68">
        <v>1.71733579872552</v>
      </c>
      <c r="H1314" s="68">
        <v>27.8976518516246</v>
      </c>
      <c r="I1314" s="69">
        <v>44315.99953703704</v>
      </c>
      <c r="J1314" s="69">
        <v>44316.00020833333</v>
      </c>
      <c r="K1314">
        <f>AVERAGE(H1312:H1316)</f>
        <v>96.59209418</v>
      </c>
      <c r="L1314">
        <f>STDEV(H1312:H1316)</f>
        <v>123.0448859</v>
      </c>
      <c r="M1314" s="70">
        <v>27.8976518516246</v>
      </c>
      <c r="N1314" s="70">
        <v>27.8976518516246</v>
      </c>
      <c r="O1314" s="70">
        <v>1.71733579872552</v>
      </c>
      <c r="P1314" s="70">
        <v>1.71733579872552</v>
      </c>
    </row>
    <row r="1315" hidden="1">
      <c r="A1315" s="67" t="s">
        <v>2075</v>
      </c>
      <c r="B1315" s="67" t="s">
        <v>268</v>
      </c>
      <c r="C1315" s="68">
        <v>0.1</v>
      </c>
      <c r="D1315" s="68">
        <v>0.5</v>
      </c>
      <c r="E1315" s="68">
        <v>3.0</v>
      </c>
      <c r="F1315" s="68">
        <v>3.0</v>
      </c>
      <c r="G1315" s="68">
        <v>0.466302059947925</v>
      </c>
      <c r="H1315" s="68">
        <v>0.558605536113522</v>
      </c>
      <c r="I1315" s="69">
        <v>44316.000914351855</v>
      </c>
      <c r="J1315" s="69">
        <v>44316.00111111111</v>
      </c>
      <c r="K1315">
        <f>AVERAGE(H1312:H1316)</f>
        <v>96.59209418</v>
      </c>
      <c r="L1315">
        <f>STDEV(H1312:H1316)</f>
        <v>123.0448859</v>
      </c>
      <c r="M1315" s="70">
        <v>0.558605536113522</v>
      </c>
      <c r="N1315" s="70">
        <v>0.558605536113522</v>
      </c>
      <c r="O1315" s="70">
        <v>0.466302059947925</v>
      </c>
      <c r="P1315" s="70">
        <v>0.466302059947925</v>
      </c>
    </row>
    <row r="1316" hidden="1">
      <c r="A1316" s="67" t="s">
        <v>2076</v>
      </c>
      <c r="B1316" s="67" t="s">
        <v>268</v>
      </c>
      <c r="C1316" s="68">
        <v>0.1</v>
      </c>
      <c r="D1316" s="68">
        <v>0.5</v>
      </c>
      <c r="E1316" s="68">
        <v>3.0</v>
      </c>
      <c r="F1316" s="68">
        <v>4.0</v>
      </c>
      <c r="G1316" s="68">
        <v>3.17925792891711</v>
      </c>
      <c r="H1316" s="68">
        <v>148.884045186252</v>
      </c>
      <c r="I1316" s="69">
        <v>44316.00181712963</v>
      </c>
      <c r="J1316" s="69">
        <v>44316.06384259259</v>
      </c>
      <c r="K1316">
        <f>AVERAGE(H1312:H1316)</f>
        <v>96.59209418</v>
      </c>
      <c r="L1316">
        <f>STDEV(H1312:H1316)</f>
        <v>123.0448859</v>
      </c>
      <c r="M1316" s="70">
        <v>148.884045186252</v>
      </c>
      <c r="N1316" s="70">
        <v>148.884045186252</v>
      </c>
      <c r="O1316" s="70">
        <v>3.17925792891711</v>
      </c>
      <c r="P1316" s="70">
        <v>3.17925792891711</v>
      </c>
    </row>
    <row r="1317" hidden="1">
      <c r="A1317" s="67" t="s">
        <v>2077</v>
      </c>
      <c r="B1317" s="67" t="s">
        <v>268</v>
      </c>
      <c r="C1317" s="68">
        <v>0.1</v>
      </c>
      <c r="D1317" s="68">
        <v>0.75</v>
      </c>
      <c r="E1317" s="68">
        <v>3.0</v>
      </c>
      <c r="F1317" s="68">
        <v>0.0</v>
      </c>
      <c r="G1317" s="68">
        <v>2.48827350719733</v>
      </c>
      <c r="H1317" s="68">
        <v>131.803019410388</v>
      </c>
      <c r="I1317" s="69">
        <v>44384.620046296295</v>
      </c>
      <c r="J1317" s="69">
        <v>44384.62042824074</v>
      </c>
      <c r="K1317">
        <f>AVERAGE(H1317:H1321)</f>
        <v>75.94004744</v>
      </c>
      <c r="L1317">
        <f>STDEV(H1317:H1321)</f>
        <v>78.6265202</v>
      </c>
      <c r="M1317" s="70">
        <v>131.803019410388</v>
      </c>
      <c r="N1317" s="70">
        <v>131.803019410388</v>
      </c>
      <c r="O1317" s="70">
        <v>2.48827350719733</v>
      </c>
      <c r="P1317" s="70">
        <v>2.48827350719733</v>
      </c>
    </row>
    <row r="1318" hidden="1">
      <c r="A1318" s="67" t="s">
        <v>2078</v>
      </c>
      <c r="B1318" s="67" t="s">
        <v>268</v>
      </c>
      <c r="C1318" s="68">
        <v>0.1</v>
      </c>
      <c r="D1318" s="68">
        <v>0.75</v>
      </c>
      <c r="E1318" s="68">
        <v>3.0</v>
      </c>
      <c r="F1318" s="68">
        <v>1.0</v>
      </c>
      <c r="G1318" s="68">
        <v>0.71205655889852</v>
      </c>
      <c r="H1318" s="68">
        <v>0.948977832482219</v>
      </c>
      <c r="I1318" s="69">
        <v>44384.62112268519</v>
      </c>
      <c r="J1318" s="69">
        <v>44384.62149305556</v>
      </c>
      <c r="K1318">
        <f>AVERAGE(H1317:H1321)</f>
        <v>75.94004744</v>
      </c>
      <c r="L1318">
        <f>STDEV(H1317:H1321)</f>
        <v>78.6265202</v>
      </c>
      <c r="M1318" s="70">
        <v>0.948977832482219</v>
      </c>
      <c r="N1318" s="70">
        <v>0.948977832482219</v>
      </c>
      <c r="O1318" s="70">
        <v>0.71205655889852</v>
      </c>
      <c r="P1318" s="70">
        <v>0.71205655889852</v>
      </c>
    </row>
    <row r="1319" hidden="1">
      <c r="A1319" s="67" t="s">
        <v>2079</v>
      </c>
      <c r="B1319" s="67" t="s">
        <v>268</v>
      </c>
      <c r="C1319" s="68">
        <v>0.1</v>
      </c>
      <c r="D1319" s="68">
        <v>0.75</v>
      </c>
      <c r="E1319" s="68">
        <v>3.0</v>
      </c>
      <c r="F1319" s="68">
        <v>2.0</v>
      </c>
      <c r="G1319" s="68">
        <v>0.319096105615425</v>
      </c>
      <c r="H1319" s="68">
        <v>0.408517979006142</v>
      </c>
      <c r="I1319" s="69">
        <v>44384.6221875</v>
      </c>
      <c r="J1319" s="69">
        <v>44384.62225694444</v>
      </c>
      <c r="K1319">
        <f>AVERAGE(H1317:H1321)</f>
        <v>75.94004744</v>
      </c>
      <c r="L1319">
        <f>STDEV(H1317:H1321)</f>
        <v>78.6265202</v>
      </c>
      <c r="M1319" s="70">
        <v>0.408517979006142</v>
      </c>
      <c r="N1319" s="70">
        <v>0.408517979006142</v>
      </c>
      <c r="O1319" s="70">
        <v>0.319096105615425</v>
      </c>
      <c r="P1319" s="70">
        <v>0.319096105615425</v>
      </c>
    </row>
    <row r="1320" hidden="1">
      <c r="A1320" s="67" t="s">
        <v>2080</v>
      </c>
      <c r="B1320" s="67" t="s">
        <v>268</v>
      </c>
      <c r="C1320" s="68">
        <v>0.1</v>
      </c>
      <c r="D1320" s="68">
        <v>0.75</v>
      </c>
      <c r="E1320" s="68">
        <v>3.0</v>
      </c>
      <c r="F1320" s="68">
        <v>3.0</v>
      </c>
      <c r="G1320" s="68">
        <v>4.07144649263407</v>
      </c>
      <c r="H1320" s="68">
        <v>177.116644133074</v>
      </c>
      <c r="I1320" s="69">
        <v>44384.73872685185</v>
      </c>
      <c r="J1320" s="69">
        <v>44384.873078703706</v>
      </c>
      <c r="K1320">
        <f>AVERAGE(H1317:H1321)</f>
        <v>75.94004744</v>
      </c>
      <c r="L1320">
        <f>STDEV(H1317:H1321)</f>
        <v>78.6265202</v>
      </c>
      <c r="M1320" s="70">
        <v>177.116644133074</v>
      </c>
      <c r="N1320" s="70">
        <v>177.116644133074</v>
      </c>
      <c r="O1320" s="70">
        <v>4.07144649263407</v>
      </c>
      <c r="P1320" s="70">
        <v>4.07144649263407</v>
      </c>
    </row>
    <row r="1321" hidden="1">
      <c r="A1321" s="67" t="s">
        <v>2081</v>
      </c>
      <c r="B1321" s="67" t="s">
        <v>268</v>
      </c>
      <c r="C1321" s="68">
        <v>0.1</v>
      </c>
      <c r="D1321" s="68">
        <v>0.75</v>
      </c>
      <c r="E1321" s="68">
        <v>3.0</v>
      </c>
      <c r="F1321" s="68">
        <v>4.0</v>
      </c>
      <c r="G1321" s="68">
        <v>1.3507722819561</v>
      </c>
      <c r="H1321" s="68">
        <v>69.4230778280268</v>
      </c>
      <c r="I1321" s="69">
        <v>44384.873773148145</v>
      </c>
      <c r="J1321" s="69">
        <v>44384.87634259259</v>
      </c>
      <c r="K1321">
        <f>AVERAGE(H1317:H1321)</f>
        <v>75.94004744</v>
      </c>
      <c r="L1321">
        <f>STDEV(H1317:H1321)</f>
        <v>78.6265202</v>
      </c>
      <c r="M1321" s="70">
        <v>69.4230778280268</v>
      </c>
      <c r="N1321" s="70">
        <v>69.4230778280268</v>
      </c>
      <c r="O1321" s="70">
        <v>1.3507722819561</v>
      </c>
      <c r="P1321" s="70">
        <v>1.3507722819561</v>
      </c>
    </row>
    <row r="1322" hidden="1">
      <c r="A1322" s="67" t="s">
        <v>2082</v>
      </c>
      <c r="B1322" s="67" t="s">
        <v>268</v>
      </c>
      <c r="C1322" s="68">
        <v>0.1</v>
      </c>
      <c r="D1322" s="68">
        <v>1.0</v>
      </c>
      <c r="E1322" s="68">
        <v>3.0</v>
      </c>
      <c r="F1322" s="68">
        <v>0.0</v>
      </c>
      <c r="G1322" s="68">
        <v>0.71205655889852</v>
      </c>
      <c r="H1322" s="68">
        <v>0.948977832482219</v>
      </c>
      <c r="I1322" s="69">
        <v>44316.06454861111</v>
      </c>
      <c r="J1322" s="69">
        <v>44316.064780092594</v>
      </c>
      <c r="K1322">
        <f>AVERAGE(H1322:H1326)</f>
        <v>107.385015</v>
      </c>
      <c r="L1322">
        <f>STDEV(H1322:H1326)</f>
        <v>91.81376474</v>
      </c>
      <c r="M1322" s="70">
        <v>0.948977832482219</v>
      </c>
      <c r="N1322" s="70">
        <v>0.948977832482219</v>
      </c>
      <c r="O1322" s="70">
        <v>0.71205655889852</v>
      </c>
      <c r="P1322" s="70">
        <v>0.71205655889852</v>
      </c>
    </row>
    <row r="1323" hidden="1">
      <c r="A1323" s="67" t="s">
        <v>2083</v>
      </c>
      <c r="B1323" s="67" t="s">
        <v>268</v>
      </c>
      <c r="C1323" s="68">
        <v>0.1</v>
      </c>
      <c r="D1323" s="68">
        <v>1.0</v>
      </c>
      <c r="E1323" s="68">
        <v>3.0</v>
      </c>
      <c r="F1323" s="68">
        <v>1.0</v>
      </c>
      <c r="G1323" s="68">
        <v>6.38252242059358</v>
      </c>
      <c r="H1323" s="68">
        <v>198.831807556615</v>
      </c>
      <c r="I1323" s="69">
        <v>44316.06549768519</v>
      </c>
      <c r="J1323" s="69">
        <v>44316.065671296295</v>
      </c>
      <c r="K1323">
        <f>AVERAGE(H1322:H1326)</f>
        <v>107.385015</v>
      </c>
      <c r="L1323">
        <f>STDEV(H1322:H1326)</f>
        <v>91.81376474</v>
      </c>
      <c r="M1323" s="70">
        <v>198.831807556615</v>
      </c>
      <c r="N1323" s="70">
        <v>198.831807556615</v>
      </c>
      <c r="O1323" s="70">
        <v>6.38252242059358</v>
      </c>
      <c r="P1323" s="70">
        <v>6.38252242059358</v>
      </c>
    </row>
    <row r="1324" hidden="1">
      <c r="A1324" s="67" t="s">
        <v>2084</v>
      </c>
      <c r="B1324" s="67" t="s">
        <v>268</v>
      </c>
      <c r="C1324" s="68">
        <v>0.1</v>
      </c>
      <c r="D1324" s="68">
        <v>1.0</v>
      </c>
      <c r="E1324" s="68">
        <v>3.0</v>
      </c>
      <c r="F1324" s="68">
        <v>2.0</v>
      </c>
      <c r="G1324" s="68">
        <v>3.31902576640577</v>
      </c>
      <c r="H1324" s="68">
        <v>160.359348805046</v>
      </c>
      <c r="I1324" s="69">
        <v>44316.06638888889</v>
      </c>
      <c r="J1324" s="69">
        <v>44316.149201388886</v>
      </c>
      <c r="K1324">
        <f>AVERAGE(H1322:H1326)</f>
        <v>107.385015</v>
      </c>
      <c r="L1324">
        <f>STDEV(H1322:H1326)</f>
        <v>91.81376474</v>
      </c>
      <c r="M1324" s="70">
        <v>160.359348805046</v>
      </c>
      <c r="N1324" s="70">
        <v>160.359348805046</v>
      </c>
      <c r="O1324" s="70">
        <v>3.31902576640577</v>
      </c>
      <c r="P1324" s="70">
        <v>3.31902576640577</v>
      </c>
    </row>
    <row r="1325" hidden="1">
      <c r="A1325" s="67" t="s">
        <v>2085</v>
      </c>
      <c r="B1325" s="67" t="s">
        <v>268</v>
      </c>
      <c r="C1325" s="68">
        <v>0.1</v>
      </c>
      <c r="D1325" s="68">
        <v>1.0</v>
      </c>
      <c r="E1325" s="68">
        <v>3.0</v>
      </c>
      <c r="F1325" s="68">
        <v>3.0</v>
      </c>
      <c r="G1325" s="68">
        <v>4.76125358818174</v>
      </c>
      <c r="H1325" s="68">
        <v>160.850079361802</v>
      </c>
      <c r="I1325" s="69">
        <v>44316.14990740741</v>
      </c>
      <c r="J1325" s="69">
        <v>44316.15013888889</v>
      </c>
      <c r="K1325">
        <f>AVERAGE(H1322:H1326)</f>
        <v>107.385015</v>
      </c>
      <c r="L1325">
        <f>STDEV(H1322:H1326)</f>
        <v>91.81376474</v>
      </c>
      <c r="M1325" s="70">
        <v>160.850079361802</v>
      </c>
      <c r="N1325" s="70">
        <v>160.850079361802</v>
      </c>
      <c r="O1325" s="70">
        <v>4.76125358818174</v>
      </c>
      <c r="P1325" s="70">
        <v>4.76125358818174</v>
      </c>
    </row>
    <row r="1326" hidden="1">
      <c r="A1326" s="67" t="s">
        <v>2086</v>
      </c>
      <c r="B1326" s="67" t="s">
        <v>268</v>
      </c>
      <c r="C1326" s="68">
        <v>0.1</v>
      </c>
      <c r="D1326" s="68">
        <v>1.0</v>
      </c>
      <c r="E1326" s="68">
        <v>3.0</v>
      </c>
      <c r="F1326" s="68">
        <v>4.0</v>
      </c>
      <c r="G1326" s="68">
        <v>1.8264746717274</v>
      </c>
      <c r="H1326" s="68">
        <v>15.9348615968195</v>
      </c>
      <c r="I1326" s="69">
        <v>44316.15084490741</v>
      </c>
      <c r="J1326" s="69">
        <v>44316.150868055556</v>
      </c>
      <c r="K1326">
        <f>AVERAGE(H1322:H1326)</f>
        <v>107.385015</v>
      </c>
      <c r="L1326">
        <f>STDEV(H1322:H1326)</f>
        <v>91.81376474</v>
      </c>
      <c r="M1326" s="70">
        <v>15.9348615968195</v>
      </c>
      <c r="N1326" s="70">
        <v>15.9348615968195</v>
      </c>
      <c r="O1326" s="70">
        <v>1.8264746717274</v>
      </c>
      <c r="P1326" s="70">
        <v>1.8264746717274</v>
      </c>
    </row>
    <row r="1327" hidden="1">
      <c r="A1327" s="67" t="s">
        <v>2087</v>
      </c>
      <c r="B1327" s="67" t="s">
        <v>268</v>
      </c>
      <c r="C1327" s="68">
        <v>0.25</v>
      </c>
      <c r="D1327" s="68">
        <v>0.1</v>
      </c>
      <c r="E1327" s="68">
        <v>3.0</v>
      </c>
      <c r="F1327" s="68">
        <v>0.0</v>
      </c>
      <c r="G1327" s="68">
        <v>2.79234223861558</v>
      </c>
      <c r="H1327" s="68">
        <v>135.419920863208</v>
      </c>
      <c r="I1327" s="69">
        <v>44316.15157407407</v>
      </c>
      <c r="J1327" s="69">
        <v>44316.23694444444</v>
      </c>
      <c r="K1327">
        <f>AVERAGE(H1327:H1331)</f>
        <v>150.2091785</v>
      </c>
      <c r="L1327">
        <f>STDEV(H1327:H1331)</f>
        <v>102.357578</v>
      </c>
      <c r="M1327" s="70">
        <v>135.419920863208</v>
      </c>
      <c r="N1327" s="70">
        <v>135.419920863208</v>
      </c>
      <c r="O1327" s="70">
        <v>2.79234223861558</v>
      </c>
      <c r="P1327" s="70">
        <v>2.79234223861558</v>
      </c>
    </row>
    <row r="1328" hidden="1">
      <c r="A1328" s="67" t="s">
        <v>2088</v>
      </c>
      <c r="B1328" s="67" t="s">
        <v>268</v>
      </c>
      <c r="C1328" s="68">
        <v>0.25</v>
      </c>
      <c r="D1328" s="68">
        <v>0.1</v>
      </c>
      <c r="E1328" s="68">
        <v>3.0</v>
      </c>
      <c r="F1328" s="68">
        <v>1.0</v>
      </c>
      <c r="G1328" s="68">
        <v>4.96910126788719</v>
      </c>
      <c r="H1328" s="68">
        <v>155.376812731412</v>
      </c>
      <c r="I1328" s="69">
        <v>44316.237650462965</v>
      </c>
      <c r="J1328" s="69">
        <v>44316.23775462963</v>
      </c>
      <c r="K1328">
        <f>AVERAGE(H1327:H1331)</f>
        <v>150.2091785</v>
      </c>
      <c r="L1328">
        <f>STDEV(H1327:H1331)</f>
        <v>102.357578</v>
      </c>
      <c r="M1328" s="70">
        <v>155.376812731412</v>
      </c>
      <c r="N1328" s="70">
        <v>155.376812731412</v>
      </c>
      <c r="O1328" s="70">
        <v>4.96910126788719</v>
      </c>
      <c r="P1328" s="70">
        <v>4.96910126788719</v>
      </c>
    </row>
    <row r="1329" hidden="1">
      <c r="A1329" s="67" t="s">
        <v>2089</v>
      </c>
      <c r="B1329" s="67" t="s">
        <v>268</v>
      </c>
      <c r="C1329" s="68">
        <v>0.25</v>
      </c>
      <c r="D1329" s="68">
        <v>0.1</v>
      </c>
      <c r="E1329" s="68">
        <v>3.0</v>
      </c>
      <c r="F1329" s="68">
        <v>2.0</v>
      </c>
      <c r="G1329" s="68">
        <v>1.07991001504809</v>
      </c>
      <c r="H1329" s="68">
        <v>1.4504242499467</v>
      </c>
      <c r="I1329" s="69">
        <v>44316.23846064815</v>
      </c>
      <c r="J1329" s="69">
        <v>44316.23857638889</v>
      </c>
      <c r="K1329">
        <f>AVERAGE(H1327:H1331)</f>
        <v>150.2091785</v>
      </c>
      <c r="L1329">
        <f>STDEV(H1327:H1331)</f>
        <v>102.357578</v>
      </c>
      <c r="M1329" s="70">
        <v>1.4504242499467</v>
      </c>
      <c r="N1329" s="70">
        <v>1.4504242499467</v>
      </c>
      <c r="O1329" s="70">
        <v>1.07991001504809</v>
      </c>
      <c r="P1329" s="70">
        <v>1.07991001504809</v>
      </c>
    </row>
    <row r="1330" hidden="1">
      <c r="A1330" s="67" t="s">
        <v>2090</v>
      </c>
      <c r="B1330" s="67" t="s">
        <v>268</v>
      </c>
      <c r="C1330" s="68">
        <v>0.25</v>
      </c>
      <c r="D1330" s="68">
        <v>0.1</v>
      </c>
      <c r="E1330" s="68">
        <v>3.0</v>
      </c>
      <c r="F1330" s="68">
        <v>3.0</v>
      </c>
      <c r="G1330" s="68">
        <v>4.4695799596726</v>
      </c>
      <c r="H1330" s="68">
        <v>170.274374725911</v>
      </c>
      <c r="I1330" s="69">
        <v>44316.239282407405</v>
      </c>
      <c r="J1330" s="69">
        <v>44316.23935185185</v>
      </c>
      <c r="K1330">
        <f>AVERAGE(H1327:H1331)</f>
        <v>150.2091785</v>
      </c>
      <c r="L1330">
        <f>STDEV(H1327:H1331)</f>
        <v>102.357578</v>
      </c>
      <c r="M1330" s="70">
        <v>170.274374725911</v>
      </c>
      <c r="N1330" s="70">
        <v>170.274374725911</v>
      </c>
      <c r="O1330" s="70">
        <v>4.4695799596726</v>
      </c>
      <c r="P1330" s="70">
        <v>4.4695799596726</v>
      </c>
    </row>
    <row r="1331" hidden="1">
      <c r="A1331" s="67" t="s">
        <v>2091</v>
      </c>
      <c r="B1331" s="67" t="s">
        <v>268</v>
      </c>
      <c r="C1331" s="68">
        <v>0.25</v>
      </c>
      <c r="D1331" s="68">
        <v>0.1</v>
      </c>
      <c r="E1331" s="68">
        <v>3.0</v>
      </c>
      <c r="F1331" s="68">
        <v>4.0</v>
      </c>
      <c r="G1331" s="68">
        <v>8.27739036940874</v>
      </c>
      <c r="H1331" s="68">
        <v>288.524360061304</v>
      </c>
      <c r="I1331" s="69">
        <v>44316.24005787037</v>
      </c>
      <c r="J1331" s="69">
        <v>44316.24107638889</v>
      </c>
      <c r="K1331">
        <f>AVERAGE(H1327:H1331)</f>
        <v>150.2091785</v>
      </c>
      <c r="L1331">
        <f>STDEV(H1327:H1331)</f>
        <v>102.357578</v>
      </c>
      <c r="M1331" s="70">
        <v>288.524360061304</v>
      </c>
      <c r="N1331" s="70">
        <v>288.524360061304</v>
      </c>
      <c r="O1331" s="70">
        <v>8.27739036940874</v>
      </c>
      <c r="P1331" s="70">
        <v>8.27739036940874</v>
      </c>
    </row>
    <row r="1332" hidden="1">
      <c r="A1332" s="67" t="s">
        <v>2092</v>
      </c>
      <c r="B1332" s="67" t="s">
        <v>268</v>
      </c>
      <c r="C1332" s="68">
        <v>0.25</v>
      </c>
      <c r="D1332" s="68">
        <v>0.25</v>
      </c>
      <c r="E1332" s="68">
        <v>3.0</v>
      </c>
      <c r="F1332" s="68">
        <v>0.0</v>
      </c>
      <c r="G1332" s="68">
        <v>3.53651012977616</v>
      </c>
      <c r="H1332" s="68">
        <v>172.281614424355</v>
      </c>
      <c r="I1332" s="69">
        <v>44316.24178240741</v>
      </c>
      <c r="J1332" s="69">
        <v>44316.25030092592</v>
      </c>
      <c r="K1332">
        <f>AVERAGE(H1332:H1336)</f>
        <v>144.1672551</v>
      </c>
      <c r="L1332">
        <f>STDEV(H1332:H1336)</f>
        <v>90.63356641</v>
      </c>
      <c r="M1332" s="70">
        <v>172.281614424355</v>
      </c>
      <c r="N1332" s="70">
        <v>172.281614424355</v>
      </c>
      <c r="O1332" s="70">
        <v>3.53651012977616</v>
      </c>
      <c r="P1332" s="70">
        <v>3.53651012977616</v>
      </c>
    </row>
    <row r="1333" hidden="1">
      <c r="A1333" s="67" t="s">
        <v>2093</v>
      </c>
      <c r="B1333" s="67" t="s">
        <v>268</v>
      </c>
      <c r="C1333" s="68">
        <v>0.25</v>
      </c>
      <c r="D1333" s="68">
        <v>0.25</v>
      </c>
      <c r="E1333" s="68">
        <v>3.0</v>
      </c>
      <c r="F1333" s="68">
        <v>1.0</v>
      </c>
      <c r="G1333" s="68">
        <v>6.1703116578955</v>
      </c>
      <c r="H1333" s="68">
        <v>245.602579219839</v>
      </c>
      <c r="I1333" s="69">
        <v>44316.25101851852</v>
      </c>
      <c r="J1333" s="69">
        <v>44316.25202546296</v>
      </c>
      <c r="K1333">
        <f>AVERAGE(H1332:H1336)</f>
        <v>144.1672551</v>
      </c>
      <c r="L1333">
        <f>STDEV(H1332:H1336)</f>
        <v>90.63356641</v>
      </c>
      <c r="M1333" s="70">
        <v>245.602579219839</v>
      </c>
      <c r="N1333" s="70">
        <v>245.602579219839</v>
      </c>
      <c r="O1333" s="70">
        <v>6.1703116578955</v>
      </c>
      <c r="P1333" s="70">
        <v>6.1703116578955</v>
      </c>
    </row>
    <row r="1334" hidden="1">
      <c r="A1334" s="67" t="s">
        <v>2094</v>
      </c>
      <c r="B1334" s="67" t="s">
        <v>268</v>
      </c>
      <c r="C1334" s="68">
        <v>0.25</v>
      </c>
      <c r="D1334" s="68">
        <v>0.25</v>
      </c>
      <c r="E1334" s="68">
        <v>3.0</v>
      </c>
      <c r="F1334" s="68">
        <v>2.0</v>
      </c>
      <c r="G1334" s="68">
        <v>6.73472698738451</v>
      </c>
      <c r="H1334" s="68">
        <v>174.182786290202</v>
      </c>
      <c r="I1334" s="69">
        <v>44316.25274305556</v>
      </c>
      <c r="J1334" s="69">
        <v>44316.252800925926</v>
      </c>
      <c r="K1334">
        <f>AVERAGE(H1332:H1336)</f>
        <v>144.1672551</v>
      </c>
      <c r="L1334">
        <f>STDEV(H1332:H1336)</f>
        <v>90.63356641</v>
      </c>
      <c r="M1334" s="70">
        <v>174.182786290202</v>
      </c>
      <c r="N1334" s="70">
        <v>174.182786290202</v>
      </c>
      <c r="O1334" s="70">
        <v>6.73472698738451</v>
      </c>
      <c r="P1334" s="70">
        <v>6.73472698738451</v>
      </c>
    </row>
    <row r="1335" hidden="1">
      <c r="A1335" s="67" t="s">
        <v>2095</v>
      </c>
      <c r="B1335" s="67" t="s">
        <v>268</v>
      </c>
      <c r="C1335" s="68">
        <v>0.25</v>
      </c>
      <c r="D1335" s="68">
        <v>0.25</v>
      </c>
      <c r="E1335" s="68">
        <v>3.0</v>
      </c>
      <c r="F1335" s="68">
        <v>3.0</v>
      </c>
      <c r="G1335" s="68">
        <v>0.468913246808133</v>
      </c>
      <c r="H1335" s="68">
        <v>0.56157089035203</v>
      </c>
      <c r="I1335" s="69">
        <v>44316.25351851852</v>
      </c>
      <c r="J1335" s="69">
        <v>44316.253703703704</v>
      </c>
      <c r="K1335">
        <f>AVERAGE(H1332:H1336)</f>
        <v>144.1672551</v>
      </c>
      <c r="L1335">
        <f>STDEV(H1332:H1336)</f>
        <v>90.63356641</v>
      </c>
      <c r="M1335" s="70">
        <v>0.56157089035203</v>
      </c>
      <c r="N1335" s="70">
        <v>0.56157089035203</v>
      </c>
      <c r="O1335" s="70">
        <v>0.468913246808133</v>
      </c>
      <c r="P1335" s="70">
        <v>0.468913246808133</v>
      </c>
    </row>
    <row r="1336" hidden="1">
      <c r="A1336" s="67" t="s">
        <v>2096</v>
      </c>
      <c r="B1336" s="67" t="s">
        <v>268</v>
      </c>
      <c r="C1336" s="68">
        <v>0.25</v>
      </c>
      <c r="D1336" s="68">
        <v>0.25</v>
      </c>
      <c r="E1336" s="68">
        <v>3.0</v>
      </c>
      <c r="F1336" s="68">
        <v>4.0</v>
      </c>
      <c r="G1336" s="68">
        <v>2.73640394527777</v>
      </c>
      <c r="H1336" s="68">
        <v>128.207724568965</v>
      </c>
      <c r="I1336" s="69">
        <v>44316.25440972222</v>
      </c>
      <c r="J1336" s="69">
        <v>44316.28482638889</v>
      </c>
      <c r="K1336">
        <f>AVERAGE(H1332:H1336)</f>
        <v>144.1672551</v>
      </c>
      <c r="L1336">
        <f>STDEV(H1332:H1336)</f>
        <v>90.63356641</v>
      </c>
      <c r="M1336" s="70">
        <v>128.207724568965</v>
      </c>
      <c r="N1336" s="70">
        <v>128.207724568965</v>
      </c>
      <c r="O1336" s="70">
        <v>2.73640394527777</v>
      </c>
      <c r="P1336" s="70">
        <v>2.73640394527777</v>
      </c>
    </row>
    <row r="1337" hidden="1">
      <c r="A1337" s="67" t="s">
        <v>2097</v>
      </c>
      <c r="B1337" s="67" t="s">
        <v>268</v>
      </c>
      <c r="C1337" s="68">
        <v>0.25</v>
      </c>
      <c r="D1337" s="68">
        <v>0.5</v>
      </c>
      <c r="E1337" s="68">
        <v>3.0</v>
      </c>
      <c r="F1337" s="68">
        <v>0.0</v>
      </c>
      <c r="G1337" s="68">
        <v>0.71205655889852</v>
      </c>
      <c r="H1337" s="68">
        <v>0.948977832482219</v>
      </c>
      <c r="I1337" s="69">
        <v>44316.285532407404</v>
      </c>
      <c r="J1337" s="69">
        <v>44316.285775462966</v>
      </c>
      <c r="K1337">
        <f>AVERAGE(H1337:H1341)</f>
        <v>116.3926513</v>
      </c>
      <c r="L1337">
        <f>STDEV(H1337:H1341)</f>
        <v>125.1711224</v>
      </c>
      <c r="M1337" s="70">
        <v>0.948977832482219</v>
      </c>
      <c r="N1337" s="70">
        <v>0.948977832482219</v>
      </c>
      <c r="O1337" s="70">
        <v>0.71205655889852</v>
      </c>
      <c r="P1337" s="70">
        <v>0.71205655889852</v>
      </c>
    </row>
    <row r="1338" hidden="1">
      <c r="A1338" s="67" t="s">
        <v>2098</v>
      </c>
      <c r="B1338" s="67" t="s">
        <v>268</v>
      </c>
      <c r="C1338" s="68">
        <v>0.25</v>
      </c>
      <c r="D1338" s="68">
        <v>0.5</v>
      </c>
      <c r="E1338" s="68">
        <v>3.0</v>
      </c>
      <c r="F1338" s="68">
        <v>1.0</v>
      </c>
      <c r="G1338" s="68">
        <v>3.19142122597605</v>
      </c>
      <c r="H1338" s="68">
        <v>145.644365048801</v>
      </c>
      <c r="I1338" s="69">
        <v>44316.28648148148</v>
      </c>
      <c r="J1338" s="69">
        <v>44316.34987268518</v>
      </c>
      <c r="K1338">
        <f>AVERAGE(H1337:H1341)</f>
        <v>116.3926513</v>
      </c>
      <c r="L1338">
        <f>STDEV(H1337:H1341)</f>
        <v>125.1711224</v>
      </c>
      <c r="M1338" s="70">
        <v>145.644365048801</v>
      </c>
      <c r="N1338" s="70">
        <v>145.644365048801</v>
      </c>
      <c r="O1338" s="70">
        <v>3.19142122597605</v>
      </c>
      <c r="P1338" s="70">
        <v>3.19142122597605</v>
      </c>
    </row>
    <row r="1339" hidden="1">
      <c r="A1339" s="67" t="s">
        <v>2099</v>
      </c>
      <c r="B1339" s="67" t="s">
        <v>268</v>
      </c>
      <c r="C1339" s="68">
        <v>0.25</v>
      </c>
      <c r="D1339" s="68">
        <v>0.5</v>
      </c>
      <c r="E1339" s="68">
        <v>3.0</v>
      </c>
      <c r="F1339" s="68">
        <v>2.0</v>
      </c>
      <c r="G1339" s="68">
        <v>2.48808650494595</v>
      </c>
      <c r="H1339" s="68">
        <v>131.779428321631</v>
      </c>
      <c r="I1339" s="69">
        <v>44316.350590277776</v>
      </c>
      <c r="J1339" s="69">
        <v>44316.350810185184</v>
      </c>
      <c r="K1339">
        <f>AVERAGE(H1337:H1341)</f>
        <v>116.3926513</v>
      </c>
      <c r="L1339">
        <f>STDEV(H1337:H1341)</f>
        <v>125.1711224</v>
      </c>
      <c r="M1339" s="70">
        <v>131.779428321631</v>
      </c>
      <c r="N1339" s="70">
        <v>131.779428321631</v>
      </c>
      <c r="O1339" s="70">
        <v>2.48808650494595</v>
      </c>
      <c r="P1339" s="70">
        <v>2.48808650494595</v>
      </c>
    </row>
    <row r="1340" hidden="1">
      <c r="A1340" s="67" t="s">
        <v>2100</v>
      </c>
      <c r="B1340" s="67" t="s">
        <v>268</v>
      </c>
      <c r="C1340" s="68">
        <v>0.25</v>
      </c>
      <c r="D1340" s="68">
        <v>0.5</v>
      </c>
      <c r="E1340" s="68">
        <v>3.0</v>
      </c>
      <c r="F1340" s="68">
        <v>3.0</v>
      </c>
      <c r="G1340" s="68">
        <v>8.98720271611667</v>
      </c>
      <c r="H1340" s="68">
        <v>303.031639158006</v>
      </c>
      <c r="I1340" s="69">
        <v>44316.35152777778</v>
      </c>
      <c r="J1340" s="69">
        <v>44316.35202546296</v>
      </c>
      <c r="K1340">
        <f>AVERAGE(H1337:H1341)</f>
        <v>116.3926513</v>
      </c>
      <c r="L1340">
        <f>STDEV(H1337:H1341)</f>
        <v>125.1711224</v>
      </c>
      <c r="M1340" s="70">
        <v>303.031639158006</v>
      </c>
      <c r="N1340" s="70">
        <v>303.031639158006</v>
      </c>
      <c r="O1340" s="70">
        <v>8.98720271611667</v>
      </c>
      <c r="P1340" s="70">
        <v>8.98720271611667</v>
      </c>
    </row>
    <row r="1341" hidden="1">
      <c r="A1341" s="67" t="s">
        <v>2101</v>
      </c>
      <c r="B1341" s="67" t="s">
        <v>268</v>
      </c>
      <c r="C1341" s="68">
        <v>0.25</v>
      </c>
      <c r="D1341" s="68">
        <v>0.5</v>
      </c>
      <c r="E1341" s="68">
        <v>3.0</v>
      </c>
      <c r="F1341" s="68">
        <v>4.0</v>
      </c>
      <c r="G1341" s="68">
        <v>0.466491018990041</v>
      </c>
      <c r="H1341" s="68">
        <v>0.558846337991739</v>
      </c>
      <c r="I1341" s="69">
        <v>44316.352743055555</v>
      </c>
      <c r="J1341" s="69">
        <v>44316.35292824074</v>
      </c>
      <c r="K1341">
        <f>AVERAGE(H1337:H1341)</f>
        <v>116.3926513</v>
      </c>
      <c r="L1341">
        <f>STDEV(H1337:H1341)</f>
        <v>125.1711224</v>
      </c>
      <c r="M1341" s="70">
        <v>0.558846337991739</v>
      </c>
      <c r="N1341" s="70">
        <v>0.558846337991739</v>
      </c>
      <c r="O1341" s="70">
        <v>0.466491018990041</v>
      </c>
      <c r="P1341" s="70">
        <v>0.466491018990041</v>
      </c>
    </row>
    <row r="1342" hidden="1">
      <c r="A1342" s="67" t="s">
        <v>2102</v>
      </c>
      <c r="B1342" s="67" t="s">
        <v>268</v>
      </c>
      <c r="C1342" s="68">
        <v>0.25</v>
      </c>
      <c r="D1342" s="68">
        <v>0.75</v>
      </c>
      <c r="E1342" s="68">
        <v>3.0</v>
      </c>
      <c r="F1342" s="68">
        <v>0.0</v>
      </c>
      <c r="G1342" s="68">
        <v>5.80050690034784</v>
      </c>
      <c r="H1342" s="68">
        <v>229.761921733237</v>
      </c>
      <c r="I1342" s="69">
        <v>44316.353634259256</v>
      </c>
      <c r="J1342" s="69">
        <v>44316.3684375</v>
      </c>
      <c r="K1342">
        <f>AVERAGE(H1342:H1346)</f>
        <v>75.66729809</v>
      </c>
      <c r="L1342">
        <f>STDEV(H1342:H1346)</f>
        <v>97.99003927</v>
      </c>
      <c r="M1342" s="70">
        <v>229.761921733237</v>
      </c>
      <c r="N1342" s="70">
        <v>229.761921733237</v>
      </c>
      <c r="O1342" s="70">
        <v>5.80050690034784</v>
      </c>
      <c r="P1342" s="70">
        <v>5.80050690034784</v>
      </c>
    </row>
    <row r="1343" hidden="1">
      <c r="A1343" s="67" t="s">
        <v>2103</v>
      </c>
      <c r="B1343" s="67" t="s">
        <v>268</v>
      </c>
      <c r="C1343" s="68">
        <v>0.25</v>
      </c>
      <c r="D1343" s="68">
        <v>0.75</v>
      </c>
      <c r="E1343" s="68">
        <v>3.0</v>
      </c>
      <c r="F1343" s="68">
        <v>1.0</v>
      </c>
      <c r="G1343" s="68">
        <v>2.64804552822738</v>
      </c>
      <c r="H1343" s="68">
        <v>4.14886586724848</v>
      </c>
      <c r="I1343" s="69">
        <v>44316.36914351852</v>
      </c>
      <c r="J1343" s="69">
        <v>44316.36924768519</v>
      </c>
      <c r="K1343">
        <f>AVERAGE(H1342:H1346)</f>
        <v>75.66729809</v>
      </c>
      <c r="L1343">
        <f>STDEV(H1342:H1346)</f>
        <v>97.99003927</v>
      </c>
      <c r="M1343" s="70">
        <v>4.14886586724848</v>
      </c>
      <c r="N1343" s="70">
        <v>4.14886586724848</v>
      </c>
      <c r="O1343" s="70">
        <v>2.64804552822738</v>
      </c>
      <c r="P1343" s="70">
        <v>2.64804552822738</v>
      </c>
    </row>
    <row r="1344" hidden="1">
      <c r="A1344" s="67" t="s">
        <v>2104</v>
      </c>
      <c r="B1344" s="67" t="s">
        <v>268</v>
      </c>
      <c r="C1344" s="68">
        <v>0.25</v>
      </c>
      <c r="D1344" s="68">
        <v>0.75</v>
      </c>
      <c r="E1344" s="68">
        <v>3.0</v>
      </c>
      <c r="F1344" s="68">
        <v>2.0</v>
      </c>
      <c r="G1344" s="68">
        <v>0.466614602029364</v>
      </c>
      <c r="H1344" s="68">
        <v>0.559135754178431</v>
      </c>
      <c r="I1344" s="69">
        <v>44316.3699537037</v>
      </c>
      <c r="J1344" s="69">
        <v>44316.370150462964</v>
      </c>
      <c r="K1344">
        <f>AVERAGE(H1342:H1346)</f>
        <v>75.66729809</v>
      </c>
      <c r="L1344">
        <f>STDEV(H1342:H1346)</f>
        <v>97.99003927</v>
      </c>
      <c r="M1344" s="70">
        <v>0.559135754178431</v>
      </c>
      <c r="N1344" s="70">
        <v>0.559135754178431</v>
      </c>
      <c r="O1344" s="70">
        <v>0.466614602029364</v>
      </c>
      <c r="P1344" s="70">
        <v>0.466614602029364</v>
      </c>
    </row>
    <row r="1345" hidden="1">
      <c r="A1345" s="67" t="s">
        <v>2105</v>
      </c>
      <c r="B1345" s="67" t="s">
        <v>268</v>
      </c>
      <c r="C1345" s="68">
        <v>0.25</v>
      </c>
      <c r="D1345" s="68">
        <v>0.75</v>
      </c>
      <c r="E1345" s="68">
        <v>3.0</v>
      </c>
      <c r="F1345" s="68">
        <v>3.0</v>
      </c>
      <c r="G1345" s="68">
        <v>1.71718791408655</v>
      </c>
      <c r="H1345" s="68">
        <v>27.893357207248</v>
      </c>
      <c r="I1345" s="69">
        <v>44316.37085648148</v>
      </c>
      <c r="J1345" s="69">
        <v>44316.37153935185</v>
      </c>
      <c r="K1345">
        <f>AVERAGE(H1342:H1346)</f>
        <v>75.66729809</v>
      </c>
      <c r="L1345">
        <f>STDEV(H1342:H1346)</f>
        <v>97.99003927</v>
      </c>
      <c r="M1345" s="70">
        <v>27.893357207248</v>
      </c>
      <c r="N1345" s="70">
        <v>27.893357207248</v>
      </c>
      <c r="O1345" s="70">
        <v>1.71718791408655</v>
      </c>
      <c r="P1345" s="70">
        <v>1.71718791408655</v>
      </c>
    </row>
    <row r="1346" hidden="1">
      <c r="A1346" s="67" t="s">
        <v>2106</v>
      </c>
      <c r="B1346" s="67" t="s">
        <v>268</v>
      </c>
      <c r="C1346" s="68">
        <v>0.25</v>
      </c>
      <c r="D1346" s="68">
        <v>0.75</v>
      </c>
      <c r="E1346" s="68">
        <v>3.0</v>
      </c>
      <c r="F1346" s="68">
        <v>4.0</v>
      </c>
      <c r="G1346" s="68">
        <v>2.33205333857102</v>
      </c>
      <c r="H1346" s="68">
        <v>115.9732099015</v>
      </c>
      <c r="I1346" s="69">
        <v>44316.37225694444</v>
      </c>
      <c r="J1346" s="69">
        <v>44316.41005787037</v>
      </c>
      <c r="K1346">
        <f>AVERAGE(H1342:H1346)</f>
        <v>75.66729809</v>
      </c>
      <c r="L1346">
        <f>STDEV(H1342:H1346)</f>
        <v>97.99003927</v>
      </c>
      <c r="M1346" s="70">
        <v>115.9732099015</v>
      </c>
      <c r="N1346" s="70">
        <v>115.9732099015</v>
      </c>
      <c r="O1346" s="70">
        <v>2.33205333857102</v>
      </c>
      <c r="P1346" s="70">
        <v>2.33205333857102</v>
      </c>
    </row>
    <row r="1347" hidden="1">
      <c r="A1347" s="67" t="s">
        <v>2107</v>
      </c>
      <c r="B1347" s="67" t="s">
        <v>268</v>
      </c>
      <c r="C1347" s="68">
        <v>0.25</v>
      </c>
      <c r="D1347" s="68">
        <v>1.0</v>
      </c>
      <c r="E1347" s="68">
        <v>3.0</v>
      </c>
      <c r="F1347" s="68">
        <v>0.0</v>
      </c>
      <c r="G1347" s="68">
        <v>4.49893784211615</v>
      </c>
      <c r="H1347" s="68">
        <v>170.84930599264</v>
      </c>
      <c r="I1347" s="69">
        <v>44316.410775462966</v>
      </c>
      <c r="J1347" s="69">
        <v>44316.410833333335</v>
      </c>
      <c r="K1347">
        <f>AVERAGE(H1347:H1351)</f>
        <v>94.6314085</v>
      </c>
      <c r="L1347">
        <f>STDEV(H1347:H1351)</f>
        <v>86.91288113</v>
      </c>
      <c r="M1347" s="70">
        <v>170.84930599264</v>
      </c>
      <c r="N1347" s="70">
        <v>170.84930599264</v>
      </c>
      <c r="O1347" s="70">
        <v>4.49893784211615</v>
      </c>
      <c r="P1347" s="70">
        <v>4.49893784211615</v>
      </c>
    </row>
    <row r="1348" hidden="1">
      <c r="A1348" s="67" t="s">
        <v>2108</v>
      </c>
      <c r="B1348" s="67" t="s">
        <v>268</v>
      </c>
      <c r="C1348" s="68">
        <v>0.25</v>
      </c>
      <c r="D1348" s="68">
        <v>1.0</v>
      </c>
      <c r="E1348" s="68">
        <v>3.0</v>
      </c>
      <c r="F1348" s="68">
        <v>1.0</v>
      </c>
      <c r="G1348" s="68">
        <v>2.48827350719733</v>
      </c>
      <c r="H1348" s="68">
        <v>131.803019410388</v>
      </c>
      <c r="I1348" s="69">
        <v>44316.41155092593</v>
      </c>
      <c r="J1348" s="69">
        <v>44316.41179398148</v>
      </c>
      <c r="K1348">
        <f>AVERAGE(H1347:H1351)</f>
        <v>94.6314085</v>
      </c>
      <c r="L1348">
        <f>STDEV(H1347:H1351)</f>
        <v>86.91288113</v>
      </c>
      <c r="M1348" s="70">
        <v>131.803019410388</v>
      </c>
      <c r="N1348" s="70">
        <v>131.803019410388</v>
      </c>
      <c r="O1348" s="70">
        <v>2.48827350719733</v>
      </c>
      <c r="P1348" s="70">
        <v>2.48827350719733</v>
      </c>
    </row>
    <row r="1349" hidden="1">
      <c r="A1349" s="67" t="s">
        <v>2109</v>
      </c>
      <c r="B1349" s="67" t="s">
        <v>268</v>
      </c>
      <c r="C1349" s="68">
        <v>0.25</v>
      </c>
      <c r="D1349" s="68">
        <v>1.0</v>
      </c>
      <c r="E1349" s="68">
        <v>3.0</v>
      </c>
      <c r="F1349" s="68">
        <v>2.0</v>
      </c>
      <c r="G1349" s="68">
        <v>0.712515710862965</v>
      </c>
      <c r="H1349" s="68">
        <v>0.94934804346618</v>
      </c>
      <c r="I1349" s="69">
        <v>44316.4125</v>
      </c>
      <c r="J1349" s="69">
        <v>44316.41275462963</v>
      </c>
      <c r="K1349">
        <f>AVERAGE(H1347:H1351)</f>
        <v>94.6314085</v>
      </c>
      <c r="L1349">
        <f>STDEV(H1347:H1351)</f>
        <v>86.91288113</v>
      </c>
      <c r="M1349" s="70">
        <v>0.94934804346618</v>
      </c>
      <c r="N1349" s="70">
        <v>0.94934804346618</v>
      </c>
      <c r="O1349" s="70">
        <v>0.712515710862965</v>
      </c>
      <c r="P1349" s="70">
        <v>0.712515710862965</v>
      </c>
    </row>
    <row r="1350" hidden="1">
      <c r="A1350" s="67" t="s">
        <v>2110</v>
      </c>
      <c r="B1350" s="67" t="s">
        <v>268</v>
      </c>
      <c r="C1350" s="68">
        <v>0.25</v>
      </c>
      <c r="D1350" s="68">
        <v>1.0</v>
      </c>
      <c r="E1350" s="68">
        <v>3.0</v>
      </c>
      <c r="F1350" s="68">
        <v>3.0</v>
      </c>
      <c r="G1350" s="68">
        <v>0.736192093514763</v>
      </c>
      <c r="H1350" s="68">
        <v>0.950544336758399</v>
      </c>
      <c r="I1350" s="69">
        <v>44316.413460648146</v>
      </c>
      <c r="J1350" s="69">
        <v>44316.41368055555</v>
      </c>
      <c r="K1350">
        <f>AVERAGE(H1347:H1351)</f>
        <v>94.6314085</v>
      </c>
      <c r="L1350">
        <f>STDEV(H1347:H1351)</f>
        <v>86.91288113</v>
      </c>
      <c r="M1350" s="70">
        <v>0.950544336758399</v>
      </c>
      <c r="N1350" s="70">
        <v>0.950544336758399</v>
      </c>
      <c r="O1350" s="70">
        <v>0.736192093514763</v>
      </c>
      <c r="P1350" s="70">
        <v>0.736192093514763</v>
      </c>
    </row>
    <row r="1351" hidden="1">
      <c r="A1351" s="67" t="s">
        <v>2111</v>
      </c>
      <c r="B1351" s="67" t="s">
        <v>268</v>
      </c>
      <c r="C1351" s="68">
        <v>0.25</v>
      </c>
      <c r="D1351" s="68">
        <v>1.0</v>
      </c>
      <c r="E1351" s="68">
        <v>3.0</v>
      </c>
      <c r="F1351" s="68">
        <v>4.0</v>
      </c>
      <c r="G1351" s="68">
        <v>3.75195471161019</v>
      </c>
      <c r="H1351" s="68">
        <v>168.604824739851</v>
      </c>
      <c r="I1351" s="69">
        <v>44316.41438657408</v>
      </c>
      <c r="J1351" s="69">
        <v>44316.542037037034</v>
      </c>
      <c r="K1351">
        <f>AVERAGE(H1347:H1351)</f>
        <v>94.6314085</v>
      </c>
      <c r="L1351">
        <f>STDEV(H1347:H1351)</f>
        <v>86.91288113</v>
      </c>
      <c r="M1351" s="70">
        <v>168.604824739851</v>
      </c>
      <c r="N1351" s="70">
        <v>168.604824739851</v>
      </c>
      <c r="O1351" s="70">
        <v>3.75195471161019</v>
      </c>
      <c r="P1351" s="70">
        <v>3.75195471161019</v>
      </c>
    </row>
    <row r="1352" hidden="1">
      <c r="A1352" s="67" t="s">
        <v>2112</v>
      </c>
      <c r="B1352" s="67" t="s">
        <v>268</v>
      </c>
      <c r="C1352" s="68">
        <v>0.5</v>
      </c>
      <c r="D1352" s="68">
        <v>0.1</v>
      </c>
      <c r="E1352" s="68">
        <v>3.0</v>
      </c>
      <c r="F1352" s="68">
        <v>0.0</v>
      </c>
      <c r="G1352" s="68">
        <v>4.54296140430342</v>
      </c>
      <c r="H1352" s="68">
        <v>159.583054511172</v>
      </c>
      <c r="I1352" s="69">
        <v>44316.54274305556</v>
      </c>
      <c r="J1352" s="69">
        <v>44316.54318287037</v>
      </c>
      <c r="K1352">
        <f>AVERAGE(H1352:H1356)</f>
        <v>112.8679025</v>
      </c>
      <c r="L1352">
        <f>STDEV(H1352:H1356)</f>
        <v>66.77120352</v>
      </c>
      <c r="M1352" s="70">
        <v>159.583054511172</v>
      </c>
      <c r="N1352" s="70">
        <v>159.583054511172</v>
      </c>
      <c r="O1352" s="70">
        <v>4.54296140430342</v>
      </c>
      <c r="P1352" s="70">
        <v>4.54296140430342</v>
      </c>
    </row>
    <row r="1353" hidden="1">
      <c r="A1353" s="67" t="s">
        <v>2113</v>
      </c>
      <c r="B1353" s="67" t="s">
        <v>268</v>
      </c>
      <c r="C1353" s="68">
        <v>0.5</v>
      </c>
      <c r="D1353" s="68">
        <v>0.1</v>
      </c>
      <c r="E1353" s="68">
        <v>3.0</v>
      </c>
      <c r="F1353" s="68">
        <v>1.0</v>
      </c>
      <c r="G1353" s="68">
        <v>1.5506472558568</v>
      </c>
      <c r="H1353" s="68">
        <v>85.9206618194085</v>
      </c>
      <c r="I1353" s="69">
        <v>44316.54388888889</v>
      </c>
      <c r="J1353" s="69">
        <v>44316.548946759256</v>
      </c>
      <c r="K1353">
        <f>AVERAGE(H1352:H1356)</f>
        <v>112.8679025</v>
      </c>
      <c r="L1353">
        <f>STDEV(H1352:H1356)</f>
        <v>66.77120352</v>
      </c>
      <c r="M1353" s="70">
        <v>85.9206618194085</v>
      </c>
      <c r="N1353" s="70">
        <v>85.9206618194085</v>
      </c>
      <c r="O1353" s="70">
        <v>1.5506472558568</v>
      </c>
      <c r="P1353" s="70">
        <v>1.5506472558568</v>
      </c>
    </row>
    <row r="1354" hidden="1">
      <c r="A1354" s="67" t="s">
        <v>2114</v>
      </c>
      <c r="B1354" s="67" t="s">
        <v>268</v>
      </c>
      <c r="C1354" s="68">
        <v>0.5</v>
      </c>
      <c r="D1354" s="68">
        <v>0.1</v>
      </c>
      <c r="E1354" s="68">
        <v>3.0</v>
      </c>
      <c r="F1354" s="68">
        <v>2.0</v>
      </c>
      <c r="G1354" s="68">
        <v>4.04134370130649</v>
      </c>
      <c r="H1354" s="68">
        <v>187.13397995837</v>
      </c>
      <c r="I1354" s="69">
        <v>44316.54966435185</v>
      </c>
      <c r="J1354" s="69">
        <v>44316.60309027778</v>
      </c>
      <c r="K1354">
        <f>AVERAGE(H1352:H1356)</f>
        <v>112.8679025</v>
      </c>
      <c r="L1354">
        <f>STDEV(H1352:H1356)</f>
        <v>66.77120352</v>
      </c>
      <c r="M1354" s="70">
        <v>187.13397995837</v>
      </c>
      <c r="N1354" s="70">
        <v>187.13397995837</v>
      </c>
      <c r="O1354" s="70">
        <v>4.04134370130649</v>
      </c>
      <c r="P1354" s="70">
        <v>4.04134370130649</v>
      </c>
    </row>
    <row r="1355" hidden="1">
      <c r="A1355" s="67" t="s">
        <v>2115</v>
      </c>
      <c r="B1355" s="67" t="s">
        <v>268</v>
      </c>
      <c r="C1355" s="68">
        <v>0.5</v>
      </c>
      <c r="D1355" s="68">
        <v>0.1</v>
      </c>
      <c r="E1355" s="68">
        <v>3.0</v>
      </c>
      <c r="F1355" s="68">
        <v>3.0</v>
      </c>
      <c r="G1355" s="68">
        <v>4.19513815267797</v>
      </c>
      <c r="H1355" s="68">
        <v>115.793222145536</v>
      </c>
      <c r="I1355" s="69">
        <v>44316.603796296295</v>
      </c>
      <c r="J1355" s="69">
        <v>44316.60387731482</v>
      </c>
      <c r="K1355">
        <f>AVERAGE(H1352:H1356)</f>
        <v>112.8679025</v>
      </c>
      <c r="L1355">
        <f>STDEV(H1352:H1356)</f>
        <v>66.77120352</v>
      </c>
      <c r="M1355" s="70">
        <v>115.793222145536</v>
      </c>
      <c r="N1355" s="70">
        <v>115.793222145536</v>
      </c>
      <c r="O1355" s="70">
        <v>4.19513815267797</v>
      </c>
      <c r="P1355" s="70">
        <v>4.19513815267797</v>
      </c>
    </row>
    <row r="1356" hidden="1">
      <c r="A1356" s="67" t="s">
        <v>2116</v>
      </c>
      <c r="B1356" s="67" t="s">
        <v>268</v>
      </c>
      <c r="C1356" s="68">
        <v>0.5</v>
      </c>
      <c r="D1356" s="68">
        <v>0.1</v>
      </c>
      <c r="E1356" s="68">
        <v>3.0</v>
      </c>
      <c r="F1356" s="68">
        <v>4.0</v>
      </c>
      <c r="G1356" s="68">
        <v>1.21437453905074</v>
      </c>
      <c r="H1356" s="68">
        <v>15.9085939614324</v>
      </c>
      <c r="I1356" s="69">
        <v>44316.604583333334</v>
      </c>
      <c r="J1356" s="69">
        <v>44316.60472222222</v>
      </c>
      <c r="K1356">
        <f>AVERAGE(H1352:H1356)</f>
        <v>112.8679025</v>
      </c>
      <c r="L1356">
        <f>STDEV(H1352:H1356)</f>
        <v>66.77120352</v>
      </c>
      <c r="M1356" s="70">
        <v>15.9085939614324</v>
      </c>
      <c r="N1356" s="70">
        <v>15.9085939614324</v>
      </c>
      <c r="O1356" s="70">
        <v>1.21437453905074</v>
      </c>
      <c r="P1356" s="70">
        <v>1.21437453905074</v>
      </c>
    </row>
    <row r="1357" hidden="1">
      <c r="A1357" s="67" t="s">
        <v>2117</v>
      </c>
      <c r="B1357" s="67" t="s">
        <v>268</v>
      </c>
      <c r="C1357" s="68">
        <v>0.5</v>
      </c>
      <c r="D1357" s="68">
        <v>0.25</v>
      </c>
      <c r="E1357" s="68">
        <v>3.0</v>
      </c>
      <c r="F1357" s="68">
        <v>0.0</v>
      </c>
      <c r="G1357" s="68">
        <v>2.09838266419671</v>
      </c>
      <c r="H1357" s="68">
        <v>100.871606248732</v>
      </c>
      <c r="I1357" s="69">
        <v>44316.60542824074</v>
      </c>
      <c r="J1357" s="69">
        <v>44316.60827546296</v>
      </c>
      <c r="K1357">
        <f>AVERAGE(H1357:H1361)</f>
        <v>86.51378471</v>
      </c>
      <c r="L1357">
        <f>STDEV(H1357:H1361)</f>
        <v>82.4037754</v>
      </c>
      <c r="M1357" s="70">
        <v>100.871606248732</v>
      </c>
      <c r="N1357" s="70">
        <v>100.871606248732</v>
      </c>
      <c r="O1357" s="70">
        <v>2.09838266419671</v>
      </c>
      <c r="P1357" s="70">
        <v>2.09838266419671</v>
      </c>
    </row>
    <row r="1358" hidden="1">
      <c r="A1358" s="67" t="s">
        <v>2118</v>
      </c>
      <c r="B1358" s="67" t="s">
        <v>268</v>
      </c>
      <c r="C1358" s="68">
        <v>0.5</v>
      </c>
      <c r="D1358" s="68">
        <v>0.25</v>
      </c>
      <c r="E1358" s="68">
        <v>3.0</v>
      </c>
      <c r="F1358" s="68">
        <v>1.0</v>
      </c>
      <c r="G1358" s="68">
        <v>1.11094246942807</v>
      </c>
      <c r="H1358" s="68">
        <v>1.89865717676291</v>
      </c>
      <c r="I1358" s="69">
        <v>44316.608981481484</v>
      </c>
      <c r="J1358" s="69">
        <v>44316.60901620371</v>
      </c>
      <c r="K1358">
        <f>AVERAGE(H1357:H1361)</f>
        <v>86.51378471</v>
      </c>
      <c r="L1358">
        <f>STDEV(H1357:H1361)</f>
        <v>82.4037754</v>
      </c>
      <c r="M1358" s="70">
        <v>1.89865717676291</v>
      </c>
      <c r="N1358" s="70">
        <v>1.89865717676291</v>
      </c>
      <c r="O1358" s="70">
        <v>1.11094246942807</v>
      </c>
      <c r="P1358" s="70">
        <v>1.11094246942807</v>
      </c>
    </row>
    <row r="1359" hidden="1">
      <c r="A1359" s="67" t="s">
        <v>2119</v>
      </c>
      <c r="B1359" s="67" t="s">
        <v>268</v>
      </c>
      <c r="C1359" s="68">
        <v>0.5</v>
      </c>
      <c r="D1359" s="68">
        <v>0.25</v>
      </c>
      <c r="E1359" s="68">
        <v>3.0</v>
      </c>
      <c r="F1359" s="68">
        <v>2.0</v>
      </c>
      <c r="G1359" s="68">
        <v>0.361009675615359</v>
      </c>
      <c r="H1359" s="68">
        <v>0.478551383400447</v>
      </c>
      <c r="I1359" s="69">
        <v>44316.60973379629</v>
      </c>
      <c r="J1359" s="69">
        <v>44316.60975694445</v>
      </c>
      <c r="K1359">
        <f>AVERAGE(H1357:H1361)</f>
        <v>86.51378471</v>
      </c>
      <c r="L1359">
        <f>STDEV(H1357:H1361)</f>
        <v>82.4037754</v>
      </c>
      <c r="M1359" s="70">
        <v>0.478551383400447</v>
      </c>
      <c r="N1359" s="70">
        <v>0.478551383400447</v>
      </c>
      <c r="O1359" s="70">
        <v>0.361009675615359</v>
      </c>
      <c r="P1359" s="70">
        <v>0.361009675615359</v>
      </c>
    </row>
    <row r="1360" hidden="1">
      <c r="A1360" s="67" t="s">
        <v>2120</v>
      </c>
      <c r="B1360" s="67" t="s">
        <v>268</v>
      </c>
      <c r="C1360" s="68">
        <v>0.5</v>
      </c>
      <c r="D1360" s="68">
        <v>0.25</v>
      </c>
      <c r="E1360" s="68">
        <v>3.0</v>
      </c>
      <c r="F1360" s="68">
        <v>3.0</v>
      </c>
      <c r="G1360" s="68">
        <v>3.82160473928716</v>
      </c>
      <c r="H1360" s="68">
        <v>174.144822591239</v>
      </c>
      <c r="I1360" s="69">
        <v>44316.61046296296</v>
      </c>
      <c r="J1360" s="69">
        <v>44316.70943287037</v>
      </c>
      <c r="K1360">
        <f>AVERAGE(H1357:H1361)</f>
        <v>86.51378471</v>
      </c>
      <c r="L1360">
        <f>STDEV(H1357:H1361)</f>
        <v>82.4037754</v>
      </c>
      <c r="M1360" s="70">
        <v>174.144822591239</v>
      </c>
      <c r="N1360" s="70">
        <v>174.144822591239</v>
      </c>
      <c r="O1360" s="70">
        <v>3.82160473928716</v>
      </c>
      <c r="P1360" s="70">
        <v>3.82160473928716</v>
      </c>
    </row>
    <row r="1361" hidden="1">
      <c r="A1361" s="67" t="s">
        <v>2121</v>
      </c>
      <c r="B1361" s="67" t="s">
        <v>268</v>
      </c>
      <c r="C1361" s="68">
        <v>0.5</v>
      </c>
      <c r="D1361" s="68">
        <v>0.25</v>
      </c>
      <c r="E1361" s="68">
        <v>3.0</v>
      </c>
      <c r="F1361" s="68">
        <v>4.0</v>
      </c>
      <c r="G1361" s="68">
        <v>4.95630131802665</v>
      </c>
      <c r="H1361" s="68">
        <v>155.175286144932</v>
      </c>
      <c r="I1361" s="69">
        <v>44316.71015046296</v>
      </c>
      <c r="J1361" s="69">
        <v>44316.71024305555</v>
      </c>
      <c r="K1361">
        <f>AVERAGE(H1357:H1361)</f>
        <v>86.51378471</v>
      </c>
      <c r="L1361">
        <f>STDEV(H1357:H1361)</f>
        <v>82.4037754</v>
      </c>
      <c r="M1361" s="70">
        <v>155.175286144932</v>
      </c>
      <c r="N1361" s="70">
        <v>155.175286144932</v>
      </c>
      <c r="O1361" s="70">
        <v>4.95630131802665</v>
      </c>
      <c r="P1361" s="70">
        <v>4.95630131802665</v>
      </c>
    </row>
    <row r="1362" hidden="1">
      <c r="A1362" s="67" t="s">
        <v>2122</v>
      </c>
      <c r="B1362" s="67" t="s">
        <v>268</v>
      </c>
      <c r="C1362" s="68">
        <v>0.5</v>
      </c>
      <c r="D1362" s="68">
        <v>0.5</v>
      </c>
      <c r="E1362" s="68">
        <v>3.0</v>
      </c>
      <c r="F1362" s="68">
        <v>0.0</v>
      </c>
      <c r="G1362" s="68">
        <v>3.0773947983565</v>
      </c>
      <c r="H1362" s="68">
        <v>124.598789128242</v>
      </c>
      <c r="I1362" s="69">
        <v>44316.71094907408</v>
      </c>
      <c r="J1362" s="69">
        <v>44316.71365740741</v>
      </c>
      <c r="K1362">
        <f>AVERAGE(H1362:H1366)</f>
        <v>170.9647366</v>
      </c>
      <c r="L1362">
        <f>STDEV(H1362:H1366)</f>
        <v>59.14103134</v>
      </c>
      <c r="M1362" s="70">
        <v>124.598789128242</v>
      </c>
      <c r="N1362" s="70">
        <v>124.598789128242</v>
      </c>
      <c r="O1362" s="70">
        <v>3.0773947983565</v>
      </c>
      <c r="P1362" s="70">
        <v>3.0773947983565</v>
      </c>
    </row>
    <row r="1363" hidden="1">
      <c r="A1363" s="67" t="s">
        <v>2123</v>
      </c>
      <c r="B1363" s="67" t="s">
        <v>268</v>
      </c>
      <c r="C1363" s="68">
        <v>0.5</v>
      </c>
      <c r="D1363" s="68">
        <v>0.5</v>
      </c>
      <c r="E1363" s="68">
        <v>3.0</v>
      </c>
      <c r="F1363" s="68">
        <v>1.0</v>
      </c>
      <c r="G1363" s="68">
        <v>2.48049655955741</v>
      </c>
      <c r="H1363" s="68">
        <v>131.526285883415</v>
      </c>
      <c r="I1363" s="69">
        <v>44316.71436342593</v>
      </c>
      <c r="J1363" s="69">
        <v>44316.71460648148</v>
      </c>
      <c r="K1363">
        <f>AVERAGE(H1362:H1366)</f>
        <v>170.9647366</v>
      </c>
      <c r="L1363">
        <f>STDEV(H1362:H1366)</f>
        <v>59.14103134</v>
      </c>
      <c r="M1363" s="70">
        <v>131.526285883415</v>
      </c>
      <c r="N1363" s="70">
        <v>131.526285883415</v>
      </c>
      <c r="O1363" s="70">
        <v>2.48049655955741</v>
      </c>
      <c r="P1363" s="70">
        <v>2.48049655955741</v>
      </c>
    </row>
    <row r="1364" hidden="1">
      <c r="A1364" s="67" t="s">
        <v>2124</v>
      </c>
      <c r="B1364" s="67" t="s">
        <v>268</v>
      </c>
      <c r="C1364" s="68">
        <v>0.5</v>
      </c>
      <c r="D1364" s="68">
        <v>0.5</v>
      </c>
      <c r="E1364" s="68">
        <v>3.0</v>
      </c>
      <c r="F1364" s="68">
        <v>2.0</v>
      </c>
      <c r="G1364" s="68">
        <v>2.80754358105244</v>
      </c>
      <c r="H1364" s="68">
        <v>140.563662441933</v>
      </c>
      <c r="I1364" s="69">
        <v>44316.7153125</v>
      </c>
      <c r="J1364" s="69">
        <v>44316.76707175926</v>
      </c>
      <c r="K1364">
        <f>AVERAGE(H1362:H1366)</f>
        <v>170.9647366</v>
      </c>
      <c r="L1364">
        <f>STDEV(H1362:H1366)</f>
        <v>59.14103134</v>
      </c>
      <c r="M1364" s="70">
        <v>140.563662441933</v>
      </c>
      <c r="N1364" s="70">
        <v>140.563662441933</v>
      </c>
      <c r="O1364" s="70">
        <v>2.80754358105244</v>
      </c>
      <c r="P1364" s="70">
        <v>2.80754358105244</v>
      </c>
    </row>
    <row r="1365" hidden="1">
      <c r="A1365" s="67" t="s">
        <v>2125</v>
      </c>
      <c r="B1365" s="67" t="s">
        <v>268</v>
      </c>
      <c r="C1365" s="68">
        <v>0.5</v>
      </c>
      <c r="D1365" s="68">
        <v>0.5</v>
      </c>
      <c r="E1365" s="68">
        <v>3.0</v>
      </c>
      <c r="F1365" s="68">
        <v>3.0</v>
      </c>
      <c r="G1365" s="68">
        <v>7.97961475160596</v>
      </c>
      <c r="H1365" s="68">
        <v>192.947030664856</v>
      </c>
      <c r="I1365" s="69">
        <v>44316.76777777778</v>
      </c>
      <c r="J1365" s="69">
        <v>44316.76782407407</v>
      </c>
      <c r="K1365">
        <f>AVERAGE(H1362:H1366)</f>
        <v>170.9647366</v>
      </c>
      <c r="L1365">
        <f>STDEV(H1362:H1366)</f>
        <v>59.14103134</v>
      </c>
      <c r="M1365" s="70">
        <v>192.947030664856</v>
      </c>
      <c r="N1365" s="70">
        <v>192.947030664856</v>
      </c>
      <c r="O1365" s="70">
        <v>7.97961475160596</v>
      </c>
      <c r="P1365" s="70">
        <v>7.97961475160596</v>
      </c>
    </row>
    <row r="1366" hidden="1">
      <c r="A1366" s="67" t="s">
        <v>2126</v>
      </c>
      <c r="B1366" s="67" t="s">
        <v>268</v>
      </c>
      <c r="C1366" s="68">
        <v>0.5</v>
      </c>
      <c r="D1366" s="68">
        <v>0.5</v>
      </c>
      <c r="E1366" s="68">
        <v>3.0</v>
      </c>
      <c r="F1366" s="68">
        <v>4.0</v>
      </c>
      <c r="G1366" s="68">
        <v>6.99053782152582</v>
      </c>
      <c r="H1366" s="68">
        <v>265.187914796469</v>
      </c>
      <c r="I1366" s="69">
        <v>44316.768530092595</v>
      </c>
      <c r="J1366" s="69">
        <v>44316.76925925926</v>
      </c>
      <c r="K1366">
        <f>AVERAGE(H1362:H1366)</f>
        <v>170.9647366</v>
      </c>
      <c r="L1366">
        <f>STDEV(H1362:H1366)</f>
        <v>59.14103134</v>
      </c>
      <c r="M1366" s="70">
        <v>265.187914796469</v>
      </c>
      <c r="N1366" s="70">
        <v>265.187914796469</v>
      </c>
      <c r="O1366" s="70">
        <v>6.99053782152582</v>
      </c>
      <c r="P1366" s="70">
        <v>6.99053782152582</v>
      </c>
    </row>
    <row r="1367" hidden="1">
      <c r="A1367" s="67" t="s">
        <v>2127</v>
      </c>
      <c r="B1367" s="67" t="s">
        <v>268</v>
      </c>
      <c r="C1367" s="68">
        <v>0.5</v>
      </c>
      <c r="D1367" s="68">
        <v>0.75</v>
      </c>
      <c r="E1367" s="68">
        <v>3.0</v>
      </c>
      <c r="F1367" s="68">
        <v>0.0</v>
      </c>
      <c r="G1367" s="68">
        <v>0.71205655889852</v>
      </c>
      <c r="H1367" s="68">
        <v>0.948977832482219</v>
      </c>
      <c r="I1367" s="69">
        <v>44316.76996527778</v>
      </c>
      <c r="J1367" s="69">
        <v>44316.770219907405</v>
      </c>
      <c r="K1367">
        <f>AVERAGE(H1367:H1371)</f>
        <v>104.441872</v>
      </c>
      <c r="L1367">
        <f>STDEV(H1367:H1371)</f>
        <v>89.32287657</v>
      </c>
      <c r="M1367" s="70">
        <v>0.948977832482219</v>
      </c>
      <c r="N1367" s="70">
        <v>0.948977832482219</v>
      </c>
      <c r="O1367" s="70">
        <v>0.71205655889852</v>
      </c>
      <c r="P1367" s="70">
        <v>0.71205655889852</v>
      </c>
    </row>
    <row r="1368" hidden="1">
      <c r="A1368" s="67" t="s">
        <v>2128</v>
      </c>
      <c r="B1368" s="67" t="s">
        <v>268</v>
      </c>
      <c r="C1368" s="68">
        <v>0.5</v>
      </c>
      <c r="D1368" s="68">
        <v>0.75</v>
      </c>
      <c r="E1368" s="68">
        <v>3.0</v>
      </c>
      <c r="F1368" s="68">
        <v>1.0</v>
      </c>
      <c r="G1368" s="68">
        <v>3.54008257201963</v>
      </c>
      <c r="H1368" s="68">
        <v>165.690072910719</v>
      </c>
      <c r="I1368" s="69">
        <v>44316.77092592593</v>
      </c>
      <c r="J1368" s="69">
        <v>44316.85350694445</v>
      </c>
      <c r="K1368">
        <f>AVERAGE(H1367:H1371)</f>
        <v>104.441872</v>
      </c>
      <c r="L1368">
        <f>STDEV(H1367:H1371)</f>
        <v>89.32287657</v>
      </c>
      <c r="M1368" s="70">
        <v>165.690072910719</v>
      </c>
      <c r="N1368" s="70">
        <v>165.690072910719</v>
      </c>
      <c r="O1368" s="70">
        <v>3.54008257201963</v>
      </c>
      <c r="P1368" s="70">
        <v>3.54008257201963</v>
      </c>
    </row>
    <row r="1369" hidden="1">
      <c r="A1369" s="67" t="s">
        <v>2129</v>
      </c>
      <c r="B1369" s="67" t="s">
        <v>268</v>
      </c>
      <c r="C1369" s="68">
        <v>0.5</v>
      </c>
      <c r="D1369" s="68">
        <v>0.75</v>
      </c>
      <c r="E1369" s="68">
        <v>3.0</v>
      </c>
      <c r="F1369" s="68">
        <v>2.0</v>
      </c>
      <c r="G1369" s="68">
        <v>7.97961475160596</v>
      </c>
      <c r="H1369" s="68">
        <v>192.947030664856</v>
      </c>
      <c r="I1369" s="69">
        <v>44316.854212962964</v>
      </c>
      <c r="J1369" s="69">
        <v>44316.85425925926</v>
      </c>
      <c r="K1369">
        <f>AVERAGE(H1367:H1371)</f>
        <v>104.441872</v>
      </c>
      <c r="L1369">
        <f>STDEV(H1367:H1371)</f>
        <v>89.32287657</v>
      </c>
      <c r="M1369" s="70">
        <v>192.947030664856</v>
      </c>
      <c r="N1369" s="70">
        <v>192.947030664856</v>
      </c>
      <c r="O1369" s="70">
        <v>7.97961475160596</v>
      </c>
      <c r="P1369" s="70">
        <v>7.97961475160596</v>
      </c>
    </row>
    <row r="1370" hidden="1">
      <c r="A1370" s="67" t="s">
        <v>2130</v>
      </c>
      <c r="B1370" s="67" t="s">
        <v>268</v>
      </c>
      <c r="C1370" s="68">
        <v>0.5</v>
      </c>
      <c r="D1370" s="68">
        <v>0.75</v>
      </c>
      <c r="E1370" s="68">
        <v>3.0</v>
      </c>
      <c r="F1370" s="68">
        <v>3.0</v>
      </c>
      <c r="G1370" s="68">
        <v>3.60477479567344</v>
      </c>
      <c r="H1370" s="68">
        <v>146.691320633039</v>
      </c>
      <c r="I1370" s="69">
        <v>44316.85496527778</v>
      </c>
      <c r="J1370" s="69">
        <v>44316.85568287037</v>
      </c>
      <c r="K1370">
        <f>AVERAGE(H1367:H1371)</f>
        <v>104.441872</v>
      </c>
      <c r="L1370">
        <f>STDEV(H1367:H1371)</f>
        <v>89.32287657</v>
      </c>
      <c r="M1370" s="70">
        <v>146.691320633039</v>
      </c>
      <c r="N1370" s="70">
        <v>146.691320633039</v>
      </c>
      <c r="O1370" s="70">
        <v>3.60477479567344</v>
      </c>
      <c r="P1370" s="70">
        <v>3.60477479567344</v>
      </c>
    </row>
    <row r="1371" hidden="1">
      <c r="A1371" s="67" t="s">
        <v>2131</v>
      </c>
      <c r="B1371" s="67" t="s">
        <v>268</v>
      </c>
      <c r="C1371" s="68">
        <v>0.5</v>
      </c>
      <c r="D1371" s="68">
        <v>0.75</v>
      </c>
      <c r="E1371" s="68">
        <v>3.0</v>
      </c>
      <c r="F1371" s="68">
        <v>4.0</v>
      </c>
      <c r="G1371" s="68">
        <v>1.21703352778983</v>
      </c>
      <c r="H1371" s="68">
        <v>15.9319582041984</v>
      </c>
      <c r="I1371" s="69">
        <v>44316.856400462966</v>
      </c>
      <c r="J1371" s="69">
        <v>44316.85655092593</v>
      </c>
      <c r="K1371">
        <f>AVERAGE(H1367:H1371)</f>
        <v>104.441872</v>
      </c>
      <c r="L1371">
        <f>STDEV(H1367:H1371)</f>
        <v>89.32287657</v>
      </c>
      <c r="M1371" s="70">
        <v>15.9319582041984</v>
      </c>
      <c r="N1371" s="70">
        <v>15.9319582041984</v>
      </c>
      <c r="O1371" s="70">
        <v>1.21703352778983</v>
      </c>
      <c r="P1371" s="70">
        <v>1.21703352778983</v>
      </c>
    </row>
    <row r="1372" hidden="1">
      <c r="A1372" s="67" t="s">
        <v>2132</v>
      </c>
      <c r="B1372" s="67" t="s">
        <v>268</v>
      </c>
      <c r="C1372" s="68">
        <v>0.5</v>
      </c>
      <c r="D1372" s="68">
        <v>1.0</v>
      </c>
      <c r="E1372" s="68">
        <v>3.0</v>
      </c>
      <c r="F1372" s="68">
        <v>0.0</v>
      </c>
      <c r="G1372" s="68">
        <v>1.51936562727533</v>
      </c>
      <c r="H1372" s="68">
        <v>75.7519343356098</v>
      </c>
      <c r="I1372" s="69">
        <v>44316.857256944444</v>
      </c>
      <c r="J1372" s="69">
        <v>44316.85818287037</v>
      </c>
      <c r="K1372">
        <f>AVERAGE(H1372:H1376)</f>
        <v>118.3146068</v>
      </c>
      <c r="L1372">
        <f>STDEV(H1372:H1376)</f>
        <v>94.79358778</v>
      </c>
      <c r="M1372" s="70">
        <v>75.7519343356098</v>
      </c>
      <c r="N1372" s="70">
        <v>75.7519343356098</v>
      </c>
      <c r="O1372" s="70">
        <v>1.51936562727533</v>
      </c>
      <c r="P1372" s="70">
        <v>1.51936562727533</v>
      </c>
    </row>
    <row r="1373" hidden="1">
      <c r="A1373" s="67" t="s">
        <v>2133</v>
      </c>
      <c r="B1373" s="67" t="s">
        <v>268</v>
      </c>
      <c r="C1373" s="68">
        <v>0.5</v>
      </c>
      <c r="D1373" s="68">
        <v>1.0</v>
      </c>
      <c r="E1373" s="68">
        <v>3.0</v>
      </c>
      <c r="F1373" s="68">
        <v>1.0</v>
      </c>
      <c r="G1373" s="68">
        <v>4.06804030339091</v>
      </c>
      <c r="H1373" s="68">
        <v>170.306628337547</v>
      </c>
      <c r="I1373" s="69">
        <v>44316.85888888889</v>
      </c>
      <c r="J1373" s="69">
        <v>44316.90084490741</v>
      </c>
      <c r="K1373">
        <f>AVERAGE(H1372:H1376)</f>
        <v>118.3146068</v>
      </c>
      <c r="L1373">
        <f>STDEV(H1372:H1376)</f>
        <v>94.79358778</v>
      </c>
      <c r="M1373" s="70">
        <v>170.306628337547</v>
      </c>
      <c r="N1373" s="70">
        <v>170.306628337547</v>
      </c>
      <c r="O1373" s="70">
        <v>4.06804030339091</v>
      </c>
      <c r="P1373" s="70">
        <v>4.06804030339091</v>
      </c>
    </row>
    <row r="1374" hidden="1">
      <c r="A1374" s="67" t="s">
        <v>2134</v>
      </c>
      <c r="B1374" s="67" t="s">
        <v>268</v>
      </c>
      <c r="C1374" s="68">
        <v>0.5</v>
      </c>
      <c r="D1374" s="68">
        <v>1.0</v>
      </c>
      <c r="E1374" s="68">
        <v>3.0</v>
      </c>
      <c r="F1374" s="68">
        <v>2.0</v>
      </c>
      <c r="G1374" s="68">
        <v>0.712997756536142</v>
      </c>
      <c r="H1374" s="68">
        <v>0.950093966860787</v>
      </c>
      <c r="I1374" s="69">
        <v>44316.9015625</v>
      </c>
      <c r="J1374" s="69">
        <v>44316.90180555556</v>
      </c>
      <c r="K1374">
        <f>AVERAGE(H1372:H1376)</f>
        <v>118.3146068</v>
      </c>
      <c r="L1374">
        <f>STDEV(H1372:H1376)</f>
        <v>94.79358778</v>
      </c>
      <c r="M1374" s="70">
        <v>0.950093966860787</v>
      </c>
      <c r="N1374" s="70">
        <v>0.950093966860787</v>
      </c>
      <c r="O1374" s="70">
        <v>0.712997756536142</v>
      </c>
      <c r="P1374" s="70">
        <v>0.712997756536142</v>
      </c>
    </row>
    <row r="1375" hidden="1">
      <c r="A1375" s="67" t="s">
        <v>2135</v>
      </c>
      <c r="B1375" s="67" t="s">
        <v>268</v>
      </c>
      <c r="C1375" s="68">
        <v>0.5</v>
      </c>
      <c r="D1375" s="68">
        <v>1.0</v>
      </c>
      <c r="E1375" s="68">
        <v>3.0</v>
      </c>
      <c r="F1375" s="68">
        <v>3.0</v>
      </c>
      <c r="G1375" s="68">
        <v>6.26383070620371</v>
      </c>
      <c r="H1375" s="68">
        <v>249.188355828893</v>
      </c>
      <c r="I1375" s="69">
        <v>44316.90251157407</v>
      </c>
      <c r="J1375" s="69">
        <v>44316.9034375</v>
      </c>
      <c r="K1375">
        <f>AVERAGE(H1372:H1376)</f>
        <v>118.3146068</v>
      </c>
      <c r="L1375">
        <f>STDEV(H1372:H1376)</f>
        <v>94.79358778</v>
      </c>
      <c r="M1375" s="70">
        <v>249.188355828893</v>
      </c>
      <c r="N1375" s="70">
        <v>249.188355828893</v>
      </c>
      <c r="O1375" s="70">
        <v>6.26383070620371</v>
      </c>
      <c r="P1375" s="70">
        <v>6.26383070620371</v>
      </c>
    </row>
    <row r="1376" hidden="1">
      <c r="A1376" s="67" t="s">
        <v>2136</v>
      </c>
      <c r="B1376" s="67" t="s">
        <v>268</v>
      </c>
      <c r="C1376" s="68">
        <v>0.5</v>
      </c>
      <c r="D1376" s="68">
        <v>1.0</v>
      </c>
      <c r="E1376" s="68">
        <v>3.0</v>
      </c>
      <c r="F1376" s="68">
        <v>4.0</v>
      </c>
      <c r="G1376" s="68">
        <v>1.92565088741507</v>
      </c>
      <c r="H1376" s="68">
        <v>95.3760216922522</v>
      </c>
      <c r="I1376" s="69">
        <v>44316.90414351852</v>
      </c>
      <c r="J1376" s="69">
        <v>44316.91162037037</v>
      </c>
      <c r="K1376">
        <f>AVERAGE(H1372:H1376)</f>
        <v>118.3146068</v>
      </c>
      <c r="L1376">
        <f>STDEV(H1372:H1376)</f>
        <v>94.79358778</v>
      </c>
      <c r="M1376" s="70">
        <v>95.3760216922522</v>
      </c>
      <c r="N1376" s="70">
        <v>95.3760216922522</v>
      </c>
      <c r="O1376" s="70">
        <v>1.92565088741507</v>
      </c>
      <c r="P1376" s="70">
        <v>1.92565088741507</v>
      </c>
    </row>
    <row r="1377" hidden="1">
      <c r="A1377" s="67" t="s">
        <v>2137</v>
      </c>
      <c r="B1377" s="67" t="s">
        <v>268</v>
      </c>
      <c r="C1377" s="68">
        <v>0.75</v>
      </c>
      <c r="D1377" s="68">
        <v>0.1</v>
      </c>
      <c r="E1377" s="68">
        <v>3.0</v>
      </c>
      <c r="F1377" s="68">
        <v>0.0</v>
      </c>
      <c r="G1377" s="68">
        <v>4.78591889192065</v>
      </c>
      <c r="H1377" s="68">
        <v>161.21000685405</v>
      </c>
      <c r="I1377" s="69">
        <v>44316.91232638889</v>
      </c>
      <c r="J1377" s="69">
        <v>44316.91258101852</v>
      </c>
      <c r="K1377">
        <f>AVERAGE(H1377:H1381)</f>
        <v>138.7124327</v>
      </c>
      <c r="L1377">
        <f>STDEV(H1377:H1381)</f>
        <v>80.79747354</v>
      </c>
      <c r="M1377" s="70">
        <v>161.21000685405</v>
      </c>
      <c r="N1377" s="70">
        <v>161.21000685405</v>
      </c>
      <c r="O1377" s="70">
        <v>4.78591889192065</v>
      </c>
      <c r="P1377" s="70">
        <v>4.78591889192065</v>
      </c>
    </row>
    <row r="1378" hidden="1">
      <c r="A1378" s="67" t="s">
        <v>2138</v>
      </c>
      <c r="B1378" s="67" t="s">
        <v>268</v>
      </c>
      <c r="C1378" s="68">
        <v>0.75</v>
      </c>
      <c r="D1378" s="68">
        <v>0.1</v>
      </c>
      <c r="E1378" s="68">
        <v>3.0</v>
      </c>
      <c r="F1378" s="68">
        <v>1.0</v>
      </c>
      <c r="G1378" s="68">
        <v>5.20694507662598</v>
      </c>
      <c r="H1378" s="68">
        <v>211.958964604819</v>
      </c>
      <c r="I1378" s="69">
        <v>44316.91328703704</v>
      </c>
      <c r="J1378" s="69">
        <v>44316.9174537037</v>
      </c>
      <c r="K1378">
        <f>AVERAGE(H1377:H1381)</f>
        <v>138.7124327</v>
      </c>
      <c r="L1378">
        <f>STDEV(H1377:H1381)</f>
        <v>80.79747354</v>
      </c>
      <c r="M1378" s="70">
        <v>211.958964604819</v>
      </c>
      <c r="N1378" s="70">
        <v>211.958964604819</v>
      </c>
      <c r="O1378" s="70">
        <v>5.20694507662598</v>
      </c>
      <c r="P1378" s="70">
        <v>5.20694507662598</v>
      </c>
    </row>
    <row r="1379" hidden="1">
      <c r="A1379" s="67" t="s">
        <v>2139</v>
      </c>
      <c r="B1379" s="67" t="s">
        <v>268</v>
      </c>
      <c r="C1379" s="68">
        <v>0.75</v>
      </c>
      <c r="D1379" s="68">
        <v>0.1</v>
      </c>
      <c r="E1379" s="68">
        <v>3.0</v>
      </c>
      <c r="F1379" s="68">
        <v>2.0</v>
      </c>
      <c r="G1379" s="68">
        <v>2.90312661150359</v>
      </c>
      <c r="H1379" s="68">
        <v>148.604480828895</v>
      </c>
      <c r="I1379" s="69">
        <v>44316.91815972222</v>
      </c>
      <c r="J1379" s="69">
        <v>44316.97892361111</v>
      </c>
      <c r="K1379">
        <f>AVERAGE(H1377:H1381)</f>
        <v>138.7124327</v>
      </c>
      <c r="L1379">
        <f>STDEV(H1377:H1381)</f>
        <v>80.79747354</v>
      </c>
      <c r="M1379" s="70">
        <v>148.604480828895</v>
      </c>
      <c r="N1379" s="70">
        <v>148.604480828895</v>
      </c>
      <c r="O1379" s="70">
        <v>2.90312661150359</v>
      </c>
      <c r="P1379" s="70">
        <v>2.90312661150359</v>
      </c>
    </row>
    <row r="1380" hidden="1">
      <c r="A1380" s="67" t="s">
        <v>2140</v>
      </c>
      <c r="B1380" s="67" t="s">
        <v>268</v>
      </c>
      <c r="C1380" s="68">
        <v>0.75</v>
      </c>
      <c r="D1380" s="68">
        <v>0.1</v>
      </c>
      <c r="E1380" s="68">
        <v>3.0</v>
      </c>
      <c r="F1380" s="68">
        <v>3.0</v>
      </c>
      <c r="G1380" s="68">
        <v>0.466302059947925</v>
      </c>
      <c r="H1380" s="68">
        <v>0.558605536113522</v>
      </c>
      <c r="I1380" s="69">
        <v>44316.979629629626</v>
      </c>
      <c r="J1380" s="69">
        <v>44316.97982638889</v>
      </c>
      <c r="K1380">
        <f>AVERAGE(H1377:H1381)</f>
        <v>138.7124327</v>
      </c>
      <c r="L1380">
        <f>STDEV(H1377:H1381)</f>
        <v>80.79747354</v>
      </c>
      <c r="M1380" s="70">
        <v>0.558605536113522</v>
      </c>
      <c r="N1380" s="70">
        <v>0.558605536113522</v>
      </c>
      <c r="O1380" s="70">
        <v>0.466302059947925</v>
      </c>
      <c r="P1380" s="70">
        <v>0.466302059947925</v>
      </c>
    </row>
    <row r="1381" hidden="1">
      <c r="A1381" s="67" t="s">
        <v>2141</v>
      </c>
      <c r="B1381" s="67" t="s">
        <v>268</v>
      </c>
      <c r="C1381" s="68">
        <v>0.75</v>
      </c>
      <c r="D1381" s="68">
        <v>0.1</v>
      </c>
      <c r="E1381" s="68">
        <v>3.0</v>
      </c>
      <c r="F1381" s="68">
        <v>4.0</v>
      </c>
      <c r="G1381" s="68">
        <v>4.67693383242662</v>
      </c>
      <c r="H1381" s="68">
        <v>171.230105795975</v>
      </c>
      <c r="I1381" s="69">
        <v>44316.980532407404</v>
      </c>
      <c r="J1381" s="69">
        <v>44316.98068287037</v>
      </c>
      <c r="K1381">
        <f>AVERAGE(H1377:H1381)</f>
        <v>138.7124327</v>
      </c>
      <c r="L1381">
        <f>STDEV(H1377:H1381)</f>
        <v>80.79747354</v>
      </c>
      <c r="M1381" s="70">
        <v>171.230105795975</v>
      </c>
      <c r="N1381" s="70">
        <v>171.230105795975</v>
      </c>
      <c r="O1381" s="70">
        <v>4.67693383242662</v>
      </c>
      <c r="P1381" s="70">
        <v>4.67693383242662</v>
      </c>
    </row>
    <row r="1382" hidden="1">
      <c r="A1382" s="67" t="s">
        <v>2142</v>
      </c>
      <c r="B1382" s="67" t="s">
        <v>268</v>
      </c>
      <c r="C1382" s="68">
        <v>0.75</v>
      </c>
      <c r="D1382" s="68">
        <v>0.25</v>
      </c>
      <c r="E1382" s="68">
        <v>3.0</v>
      </c>
      <c r="F1382" s="68">
        <v>0.0</v>
      </c>
      <c r="G1382" s="68">
        <v>7.99280228282153</v>
      </c>
      <c r="H1382" s="68">
        <v>193.075036417313</v>
      </c>
      <c r="I1382" s="69">
        <v>44316.981400462966</v>
      </c>
      <c r="J1382" s="69">
        <v>44316.98143518518</v>
      </c>
      <c r="K1382">
        <f>AVERAGE(H1382:H1386)</f>
        <v>138.0243742</v>
      </c>
      <c r="L1382">
        <f>STDEV(H1382:H1386)</f>
        <v>77.94993908</v>
      </c>
      <c r="M1382" s="70">
        <v>193.075036417313</v>
      </c>
      <c r="N1382" s="70">
        <v>193.075036417313</v>
      </c>
      <c r="O1382" s="70">
        <v>7.99280228282153</v>
      </c>
      <c r="P1382" s="70">
        <v>7.99280228282153</v>
      </c>
    </row>
    <row r="1383" hidden="1">
      <c r="A1383" s="67" t="s">
        <v>2143</v>
      </c>
      <c r="B1383" s="67" t="s">
        <v>268</v>
      </c>
      <c r="C1383" s="68">
        <v>0.75</v>
      </c>
      <c r="D1383" s="68">
        <v>0.25</v>
      </c>
      <c r="E1383" s="68">
        <v>3.0</v>
      </c>
      <c r="F1383" s="68">
        <v>1.0</v>
      </c>
      <c r="G1383" s="68">
        <v>0.319096105615425</v>
      </c>
      <c r="H1383" s="68">
        <v>0.408517979006142</v>
      </c>
      <c r="I1383" s="69">
        <v>44316.982152777775</v>
      </c>
      <c r="J1383" s="69">
        <v>44316.98221064815</v>
      </c>
      <c r="K1383">
        <f>AVERAGE(H1382:H1386)</f>
        <v>138.0243742</v>
      </c>
      <c r="L1383">
        <f>STDEV(H1382:H1386)</f>
        <v>77.94993908</v>
      </c>
      <c r="M1383" s="70">
        <v>0.408517979006142</v>
      </c>
      <c r="N1383" s="70">
        <v>0.408517979006142</v>
      </c>
      <c r="O1383" s="70">
        <v>0.319096105615425</v>
      </c>
      <c r="P1383" s="70">
        <v>0.319096105615425</v>
      </c>
    </row>
    <row r="1384" hidden="1">
      <c r="A1384" s="67" t="s">
        <v>2144</v>
      </c>
      <c r="B1384" s="67" t="s">
        <v>268</v>
      </c>
      <c r="C1384" s="68">
        <v>0.75</v>
      </c>
      <c r="D1384" s="68">
        <v>0.25</v>
      </c>
      <c r="E1384" s="68">
        <v>3.0</v>
      </c>
      <c r="F1384" s="68">
        <v>2.0</v>
      </c>
      <c r="G1384" s="68">
        <v>3.2321078491814</v>
      </c>
      <c r="H1384" s="68">
        <v>160.771447181307</v>
      </c>
      <c r="I1384" s="69">
        <v>44316.98291666667</v>
      </c>
      <c r="J1384" s="69">
        <v>44317.07215277778</v>
      </c>
      <c r="K1384">
        <f>AVERAGE(H1382:H1386)</f>
        <v>138.0243742</v>
      </c>
      <c r="L1384">
        <f>STDEV(H1382:H1386)</f>
        <v>77.94993908</v>
      </c>
      <c r="M1384" s="70">
        <v>160.771447181307</v>
      </c>
      <c r="N1384" s="70">
        <v>160.771447181307</v>
      </c>
      <c r="O1384" s="70">
        <v>3.2321078491814</v>
      </c>
      <c r="P1384" s="70">
        <v>3.2321078491814</v>
      </c>
    </row>
    <row r="1385" hidden="1">
      <c r="A1385" s="67" t="s">
        <v>2145</v>
      </c>
      <c r="B1385" s="67" t="s">
        <v>268</v>
      </c>
      <c r="C1385" s="68">
        <v>0.75</v>
      </c>
      <c r="D1385" s="68">
        <v>0.25</v>
      </c>
      <c r="E1385" s="68">
        <v>3.0</v>
      </c>
      <c r="F1385" s="68">
        <v>3.0</v>
      </c>
      <c r="G1385" s="68">
        <v>4.5436761869075</v>
      </c>
      <c r="H1385" s="68">
        <v>171.776583746669</v>
      </c>
      <c r="I1385" s="69">
        <v>44317.072858796295</v>
      </c>
      <c r="J1385" s="69">
        <v>44317.07292824074</v>
      </c>
      <c r="K1385">
        <f>AVERAGE(H1382:H1386)</f>
        <v>138.0243742</v>
      </c>
      <c r="L1385">
        <f>STDEV(H1382:H1386)</f>
        <v>77.94993908</v>
      </c>
      <c r="M1385" s="70">
        <v>171.776583746669</v>
      </c>
      <c r="N1385" s="70">
        <v>171.776583746669</v>
      </c>
      <c r="O1385" s="70">
        <v>4.5436761869075</v>
      </c>
      <c r="P1385" s="70">
        <v>4.5436761869075</v>
      </c>
    </row>
    <row r="1386" hidden="1">
      <c r="A1386" s="67" t="s">
        <v>2146</v>
      </c>
      <c r="B1386" s="67" t="s">
        <v>268</v>
      </c>
      <c r="C1386" s="68">
        <v>0.75</v>
      </c>
      <c r="D1386" s="68">
        <v>0.25</v>
      </c>
      <c r="E1386" s="68">
        <v>3.0</v>
      </c>
      <c r="F1386" s="68">
        <v>4.0</v>
      </c>
      <c r="G1386" s="68">
        <v>4.83467570435816</v>
      </c>
      <c r="H1386" s="68">
        <v>164.090285555014</v>
      </c>
      <c r="I1386" s="69">
        <v>44317.073645833334</v>
      </c>
      <c r="J1386" s="69">
        <v>44317.07413194444</v>
      </c>
      <c r="K1386">
        <f>AVERAGE(H1382:H1386)</f>
        <v>138.0243742</v>
      </c>
      <c r="L1386">
        <f>STDEV(H1382:H1386)</f>
        <v>77.94993908</v>
      </c>
      <c r="M1386" s="70">
        <v>164.090285555014</v>
      </c>
      <c r="N1386" s="70">
        <v>164.090285555014</v>
      </c>
      <c r="O1386" s="70">
        <v>4.83467570435816</v>
      </c>
      <c r="P1386" s="70">
        <v>4.83467570435816</v>
      </c>
    </row>
    <row r="1387" hidden="1">
      <c r="A1387" s="67" t="s">
        <v>2147</v>
      </c>
      <c r="B1387" s="67" t="s">
        <v>268</v>
      </c>
      <c r="C1387" s="68">
        <v>0.75</v>
      </c>
      <c r="D1387" s="68">
        <v>0.5</v>
      </c>
      <c r="E1387" s="68">
        <v>3.0</v>
      </c>
      <c r="F1387" s="68">
        <v>0.0</v>
      </c>
      <c r="G1387" s="68">
        <v>4.23880278573696</v>
      </c>
      <c r="H1387" s="68">
        <v>194.148158225343</v>
      </c>
      <c r="I1387" s="69">
        <v>44317.074837962966</v>
      </c>
      <c r="J1387" s="69">
        <v>44317.07782407408</v>
      </c>
      <c r="K1387">
        <f>AVERAGE(H1387:H1391)</f>
        <v>118.512054</v>
      </c>
      <c r="L1387">
        <f>STDEV(H1387:H1391)</f>
        <v>98.90274957</v>
      </c>
      <c r="M1387" s="70">
        <v>194.148158225343</v>
      </c>
      <c r="N1387" s="70">
        <v>194.148158225343</v>
      </c>
      <c r="O1387" s="70">
        <v>4.23880278573696</v>
      </c>
      <c r="P1387" s="70">
        <v>4.23880278573696</v>
      </c>
    </row>
    <row r="1388" hidden="1">
      <c r="A1388" s="67" t="s">
        <v>2148</v>
      </c>
      <c r="B1388" s="67" t="s">
        <v>268</v>
      </c>
      <c r="C1388" s="68">
        <v>0.75</v>
      </c>
      <c r="D1388" s="68">
        <v>0.5</v>
      </c>
      <c r="E1388" s="68">
        <v>3.0</v>
      </c>
      <c r="F1388" s="68">
        <v>1.0</v>
      </c>
      <c r="G1388" s="68">
        <v>0.548127286101913</v>
      </c>
      <c r="H1388" s="68">
        <v>0.869814367108413</v>
      </c>
      <c r="I1388" s="69">
        <v>44317.07853009259</v>
      </c>
      <c r="J1388" s="69">
        <v>44317.07855324074</v>
      </c>
      <c r="K1388">
        <f>AVERAGE(H1387:H1391)</f>
        <v>118.512054</v>
      </c>
      <c r="L1388">
        <f>STDEV(H1387:H1391)</f>
        <v>98.90274957</v>
      </c>
      <c r="M1388" s="70">
        <v>0.869814367108413</v>
      </c>
      <c r="N1388" s="70">
        <v>0.869814367108413</v>
      </c>
      <c r="O1388" s="70">
        <v>0.548127286101913</v>
      </c>
      <c r="P1388" s="70">
        <v>0.548127286101913</v>
      </c>
    </row>
    <row r="1389" hidden="1">
      <c r="A1389" s="67" t="s">
        <v>2149</v>
      </c>
      <c r="B1389" s="67" t="s">
        <v>268</v>
      </c>
      <c r="C1389" s="68">
        <v>0.75</v>
      </c>
      <c r="D1389" s="68">
        <v>0.5</v>
      </c>
      <c r="E1389" s="68">
        <v>3.0</v>
      </c>
      <c r="F1389" s="68">
        <v>2.0</v>
      </c>
      <c r="G1389" s="68">
        <v>3.14371316404629</v>
      </c>
      <c r="H1389" s="68">
        <v>148.65224845989</v>
      </c>
      <c r="I1389" s="69">
        <v>44317.07927083333</v>
      </c>
      <c r="J1389" s="69">
        <v>44317.12173611111</v>
      </c>
      <c r="K1389">
        <f>AVERAGE(H1387:H1391)</f>
        <v>118.512054</v>
      </c>
      <c r="L1389">
        <f>STDEV(H1387:H1391)</f>
        <v>98.90274957</v>
      </c>
      <c r="M1389" s="70">
        <v>148.65224845989</v>
      </c>
      <c r="N1389" s="70">
        <v>148.65224845989</v>
      </c>
      <c r="O1389" s="70">
        <v>3.14371316404629</v>
      </c>
      <c r="P1389" s="70">
        <v>3.14371316404629</v>
      </c>
    </row>
    <row r="1390" hidden="1">
      <c r="A1390" s="67" t="s">
        <v>2150</v>
      </c>
      <c r="B1390" s="67" t="s">
        <v>268</v>
      </c>
      <c r="C1390" s="68">
        <v>0.75</v>
      </c>
      <c r="D1390" s="68">
        <v>0.5</v>
      </c>
      <c r="E1390" s="68">
        <v>3.0</v>
      </c>
      <c r="F1390" s="68">
        <v>3.0</v>
      </c>
      <c r="G1390" s="68">
        <v>7.3355352699705</v>
      </c>
      <c r="H1390" s="68">
        <v>220.84955512821</v>
      </c>
      <c r="I1390" s="69">
        <v>44317.12244212963</v>
      </c>
      <c r="J1390" s="69">
        <v>44317.1225462963</v>
      </c>
      <c r="K1390">
        <f>AVERAGE(H1387:H1391)</f>
        <v>118.512054</v>
      </c>
      <c r="L1390">
        <f>STDEV(H1387:H1391)</f>
        <v>98.90274957</v>
      </c>
      <c r="M1390" s="70">
        <v>220.84955512821</v>
      </c>
      <c r="N1390" s="70">
        <v>220.84955512821</v>
      </c>
      <c r="O1390" s="70">
        <v>7.3355352699705</v>
      </c>
      <c r="P1390" s="70">
        <v>7.3355352699705</v>
      </c>
    </row>
    <row r="1391" hidden="1">
      <c r="A1391" s="67" t="s">
        <v>2151</v>
      </c>
      <c r="B1391" s="67" t="s">
        <v>268</v>
      </c>
      <c r="C1391" s="68">
        <v>0.75</v>
      </c>
      <c r="D1391" s="68">
        <v>0.5</v>
      </c>
      <c r="E1391" s="68">
        <v>3.0</v>
      </c>
      <c r="F1391" s="68">
        <v>4.0</v>
      </c>
      <c r="G1391" s="68">
        <v>1.72934322420855</v>
      </c>
      <c r="H1391" s="68">
        <v>28.0404936933128</v>
      </c>
      <c r="I1391" s="69">
        <v>44317.123252314814</v>
      </c>
      <c r="J1391" s="69">
        <v>44317.123923611114</v>
      </c>
      <c r="K1391">
        <f>AVERAGE(H1387:H1391)</f>
        <v>118.512054</v>
      </c>
      <c r="L1391">
        <f>STDEV(H1387:H1391)</f>
        <v>98.90274957</v>
      </c>
      <c r="M1391" s="70">
        <v>28.0404936933128</v>
      </c>
      <c r="N1391" s="70">
        <v>28.0404936933128</v>
      </c>
      <c r="O1391" s="70">
        <v>1.72934322420855</v>
      </c>
      <c r="P1391" s="70">
        <v>1.72934322420855</v>
      </c>
    </row>
    <row r="1392" hidden="1">
      <c r="A1392" s="67" t="s">
        <v>2152</v>
      </c>
      <c r="B1392" s="67" t="s">
        <v>268</v>
      </c>
      <c r="C1392" s="68">
        <v>0.75</v>
      </c>
      <c r="D1392" s="68">
        <v>0.75</v>
      </c>
      <c r="E1392" s="68">
        <v>3.0</v>
      </c>
      <c r="F1392" s="68">
        <v>0.0</v>
      </c>
      <c r="G1392" s="68">
        <v>4.01146178164289</v>
      </c>
      <c r="H1392" s="68">
        <v>171.070517761544</v>
      </c>
      <c r="I1392" s="69">
        <v>44317.12462962963</v>
      </c>
      <c r="J1392" s="69">
        <v>44317.156018518515</v>
      </c>
      <c r="K1392">
        <f>AVERAGE(H1392:H1396)</f>
        <v>95.72281609</v>
      </c>
      <c r="L1392">
        <f>STDEV(H1392:H1396)</f>
        <v>87.2618767</v>
      </c>
      <c r="M1392" s="70">
        <v>171.070517761544</v>
      </c>
      <c r="N1392" s="70">
        <v>171.070517761544</v>
      </c>
      <c r="O1392" s="70">
        <v>4.01146178164289</v>
      </c>
      <c r="P1392" s="70">
        <v>4.01146178164289</v>
      </c>
    </row>
    <row r="1393" hidden="1">
      <c r="A1393" s="67" t="s">
        <v>2153</v>
      </c>
      <c r="B1393" s="67" t="s">
        <v>268</v>
      </c>
      <c r="C1393" s="68">
        <v>0.75</v>
      </c>
      <c r="D1393" s="68">
        <v>0.75</v>
      </c>
      <c r="E1393" s="68">
        <v>3.0</v>
      </c>
      <c r="F1393" s="68">
        <v>1.0</v>
      </c>
      <c r="G1393" s="68">
        <v>0.712647031637279</v>
      </c>
      <c r="H1393" s="68">
        <v>0.949268918176112</v>
      </c>
      <c r="I1393" s="69">
        <v>44317.15672453704</v>
      </c>
      <c r="J1393" s="69">
        <v>44317.15696759259</v>
      </c>
      <c r="K1393">
        <f>AVERAGE(H1392:H1396)</f>
        <v>95.72281609</v>
      </c>
      <c r="L1393">
        <f>STDEV(H1392:H1396)</f>
        <v>87.2618767</v>
      </c>
      <c r="M1393" s="70">
        <v>0.949268918176112</v>
      </c>
      <c r="N1393" s="70">
        <v>0.949268918176112</v>
      </c>
      <c r="O1393" s="70">
        <v>0.712647031637279</v>
      </c>
      <c r="P1393" s="70">
        <v>0.712647031637279</v>
      </c>
    </row>
    <row r="1394" hidden="1">
      <c r="A1394" s="67" t="s">
        <v>2154</v>
      </c>
      <c r="B1394" s="67" t="s">
        <v>268</v>
      </c>
      <c r="C1394" s="68">
        <v>0.75</v>
      </c>
      <c r="D1394" s="68">
        <v>0.75</v>
      </c>
      <c r="E1394" s="68">
        <v>3.0</v>
      </c>
      <c r="F1394" s="68">
        <v>2.0</v>
      </c>
      <c r="G1394" s="68">
        <v>0.319096105615425</v>
      </c>
      <c r="H1394" s="68">
        <v>0.408517979006142</v>
      </c>
      <c r="I1394" s="69">
        <v>44317.15767361111</v>
      </c>
      <c r="J1394" s="69">
        <v>44317.15773148148</v>
      </c>
      <c r="K1394">
        <f>AVERAGE(H1392:H1396)</f>
        <v>95.72281609</v>
      </c>
      <c r="L1394">
        <f>STDEV(H1392:H1396)</f>
        <v>87.2618767</v>
      </c>
      <c r="M1394" s="70">
        <v>0.408517979006142</v>
      </c>
      <c r="N1394" s="70">
        <v>0.408517979006142</v>
      </c>
      <c r="O1394" s="70">
        <v>0.319096105615425</v>
      </c>
      <c r="P1394" s="70">
        <v>0.319096105615425</v>
      </c>
    </row>
    <row r="1395" hidden="1">
      <c r="A1395" s="67" t="s">
        <v>2155</v>
      </c>
      <c r="B1395" s="67" t="s">
        <v>268</v>
      </c>
      <c r="C1395" s="68">
        <v>0.75</v>
      </c>
      <c r="D1395" s="68">
        <v>0.75</v>
      </c>
      <c r="E1395" s="68">
        <v>3.0</v>
      </c>
      <c r="F1395" s="68">
        <v>3.0</v>
      </c>
      <c r="G1395" s="68">
        <v>4.78476389882209</v>
      </c>
      <c r="H1395" s="68">
        <v>161.209950426874</v>
      </c>
      <c r="I1395" s="69">
        <v>44317.1584375</v>
      </c>
      <c r="J1395" s="69">
        <v>44317.158680555556</v>
      </c>
      <c r="K1395">
        <f>AVERAGE(H1392:H1396)</f>
        <v>95.72281609</v>
      </c>
      <c r="L1395">
        <f>STDEV(H1392:H1396)</f>
        <v>87.2618767</v>
      </c>
      <c r="M1395" s="70">
        <v>161.209950426874</v>
      </c>
      <c r="N1395" s="70">
        <v>161.209950426874</v>
      </c>
      <c r="O1395" s="70">
        <v>4.78476389882209</v>
      </c>
      <c r="P1395" s="70">
        <v>4.78476389882209</v>
      </c>
    </row>
    <row r="1396" hidden="1">
      <c r="A1396" s="67" t="s">
        <v>2156</v>
      </c>
      <c r="B1396" s="67" t="s">
        <v>268</v>
      </c>
      <c r="C1396" s="68">
        <v>0.75</v>
      </c>
      <c r="D1396" s="68">
        <v>0.75</v>
      </c>
      <c r="E1396" s="68">
        <v>3.0</v>
      </c>
      <c r="F1396" s="68">
        <v>4.0</v>
      </c>
      <c r="G1396" s="68">
        <v>2.6951311264053</v>
      </c>
      <c r="H1396" s="68">
        <v>144.975825388418</v>
      </c>
      <c r="I1396" s="69">
        <v>44317.15938657407</v>
      </c>
      <c r="J1396" s="69">
        <v>44317.17804398148</v>
      </c>
      <c r="K1396">
        <f>AVERAGE(H1392:H1396)</f>
        <v>95.72281609</v>
      </c>
      <c r="L1396">
        <f>STDEV(H1392:H1396)</f>
        <v>87.2618767</v>
      </c>
      <c r="M1396" s="70">
        <v>144.975825388418</v>
      </c>
      <c r="N1396" s="70">
        <v>144.975825388418</v>
      </c>
      <c r="O1396" s="70">
        <v>2.6951311264053</v>
      </c>
      <c r="P1396" s="70">
        <v>2.6951311264053</v>
      </c>
    </row>
    <row r="1397" hidden="1">
      <c r="A1397" s="67" t="s">
        <v>2157</v>
      </c>
      <c r="B1397" s="67" t="s">
        <v>268</v>
      </c>
      <c r="C1397" s="68">
        <v>0.75</v>
      </c>
      <c r="D1397" s="68">
        <v>1.0</v>
      </c>
      <c r="E1397" s="68">
        <v>3.0</v>
      </c>
      <c r="F1397" s="68">
        <v>0.0</v>
      </c>
      <c r="G1397" s="68">
        <v>69.978864373413</v>
      </c>
      <c r="H1397" s="68">
        <v>855.01475064031</v>
      </c>
      <c r="I1397" s="69">
        <v>44317.17875</v>
      </c>
      <c r="J1397" s="69">
        <v>44317.178761574076</v>
      </c>
      <c r="K1397">
        <f>AVERAGE(H1397:H1401)</f>
        <v>286.046524</v>
      </c>
      <c r="L1397">
        <f>STDEV(H1397:H1401)</f>
        <v>331.6557736</v>
      </c>
      <c r="M1397" s="70">
        <v>855.01475064031</v>
      </c>
      <c r="N1397" s="70">
        <v>855.01475064031</v>
      </c>
      <c r="O1397" s="70">
        <v>69.978864373413</v>
      </c>
      <c r="P1397" s="70">
        <v>69.978864373413</v>
      </c>
    </row>
    <row r="1398" hidden="1">
      <c r="A1398" s="67" t="s">
        <v>2158</v>
      </c>
      <c r="B1398" s="67" t="s">
        <v>268</v>
      </c>
      <c r="C1398" s="68">
        <v>0.75</v>
      </c>
      <c r="D1398" s="68">
        <v>1.0</v>
      </c>
      <c r="E1398" s="68">
        <v>3.0</v>
      </c>
      <c r="F1398" s="68">
        <v>1.0</v>
      </c>
      <c r="G1398" s="68">
        <v>2.59196283911672</v>
      </c>
      <c r="H1398" s="68">
        <v>125.378511545942</v>
      </c>
      <c r="I1398" s="69">
        <v>44317.17946759259</v>
      </c>
      <c r="J1398" s="69">
        <v>44317.25201388889</v>
      </c>
      <c r="K1398">
        <f>AVERAGE(H1397:H1401)</f>
        <v>286.046524</v>
      </c>
      <c r="L1398">
        <f>STDEV(H1397:H1401)</f>
        <v>331.6557736</v>
      </c>
      <c r="M1398" s="70">
        <v>125.378511545942</v>
      </c>
      <c r="N1398" s="70">
        <v>125.378511545942</v>
      </c>
      <c r="O1398" s="70">
        <v>2.59196283911672</v>
      </c>
      <c r="P1398" s="70">
        <v>2.59196283911672</v>
      </c>
    </row>
    <row r="1399" hidden="1">
      <c r="A1399" s="67" t="s">
        <v>2159</v>
      </c>
      <c r="B1399" s="67" t="s">
        <v>268</v>
      </c>
      <c r="C1399" s="68">
        <v>0.75</v>
      </c>
      <c r="D1399" s="68">
        <v>1.0</v>
      </c>
      <c r="E1399" s="68">
        <v>3.0</v>
      </c>
      <c r="F1399" s="68">
        <v>2.0</v>
      </c>
      <c r="G1399" s="68">
        <v>1.7184333801405</v>
      </c>
      <c r="H1399" s="68">
        <v>27.9081182684827</v>
      </c>
      <c r="I1399" s="69">
        <v>44317.25271990741</v>
      </c>
      <c r="J1399" s="69">
        <v>44317.2533912037</v>
      </c>
      <c r="K1399">
        <f>AVERAGE(H1397:H1401)</f>
        <v>286.046524</v>
      </c>
      <c r="L1399">
        <f>STDEV(H1397:H1401)</f>
        <v>331.6557736</v>
      </c>
      <c r="M1399" s="70">
        <v>27.9081182684827</v>
      </c>
      <c r="N1399" s="70">
        <v>27.9081182684827</v>
      </c>
      <c r="O1399" s="70">
        <v>1.7184333801405</v>
      </c>
      <c r="P1399" s="70">
        <v>1.7184333801405</v>
      </c>
    </row>
    <row r="1400" hidden="1">
      <c r="A1400" s="67" t="s">
        <v>2160</v>
      </c>
      <c r="B1400" s="67" t="s">
        <v>268</v>
      </c>
      <c r="C1400" s="68">
        <v>0.75</v>
      </c>
      <c r="D1400" s="68">
        <v>1.0</v>
      </c>
      <c r="E1400" s="68">
        <v>3.0</v>
      </c>
      <c r="F1400" s="68">
        <v>3.0</v>
      </c>
      <c r="G1400" s="68">
        <v>2.48827350719733</v>
      </c>
      <c r="H1400" s="68">
        <v>131.803019410388</v>
      </c>
      <c r="I1400" s="69">
        <v>44317.25409722222</v>
      </c>
      <c r="J1400" s="69">
        <v>44317.25434027778</v>
      </c>
      <c r="K1400">
        <f>AVERAGE(H1397:H1401)</f>
        <v>286.046524</v>
      </c>
      <c r="L1400">
        <f>STDEV(H1397:H1401)</f>
        <v>331.6557736</v>
      </c>
      <c r="M1400" s="70">
        <v>131.803019410388</v>
      </c>
      <c r="N1400" s="70">
        <v>131.803019410388</v>
      </c>
      <c r="O1400" s="70">
        <v>2.48827350719733</v>
      </c>
      <c r="P1400" s="70">
        <v>2.48827350719733</v>
      </c>
    </row>
    <row r="1401" hidden="1">
      <c r="A1401" s="67" t="s">
        <v>2161</v>
      </c>
      <c r="B1401" s="67" t="s">
        <v>268</v>
      </c>
      <c r="C1401" s="68">
        <v>0.75</v>
      </c>
      <c r="D1401" s="68">
        <v>1.0</v>
      </c>
      <c r="E1401" s="68">
        <v>3.0</v>
      </c>
      <c r="F1401" s="68">
        <v>4.0</v>
      </c>
      <c r="G1401" s="68">
        <v>8.36255755953383</v>
      </c>
      <c r="H1401" s="68">
        <v>290.128220309349</v>
      </c>
      <c r="I1401" s="69">
        <v>44317.2550462963</v>
      </c>
      <c r="J1401" s="69">
        <v>44317.256064814814</v>
      </c>
      <c r="K1401">
        <f>AVERAGE(H1397:H1401)</f>
        <v>286.046524</v>
      </c>
      <c r="L1401">
        <f>STDEV(H1397:H1401)</f>
        <v>331.6557736</v>
      </c>
      <c r="M1401" s="70">
        <v>290.128220309349</v>
      </c>
      <c r="N1401" s="70">
        <v>290.128220309349</v>
      </c>
      <c r="O1401" s="70">
        <v>8.36255755953383</v>
      </c>
      <c r="P1401" s="70">
        <v>8.36255755953383</v>
      </c>
    </row>
    <row r="1402" hidden="1">
      <c r="A1402" s="67" t="s">
        <v>2162</v>
      </c>
      <c r="B1402" s="67" t="s">
        <v>268</v>
      </c>
      <c r="C1402" s="68">
        <v>1.0</v>
      </c>
      <c r="D1402" s="68">
        <v>0.1</v>
      </c>
      <c r="E1402" s="68">
        <v>3.0</v>
      </c>
      <c r="F1402" s="68">
        <v>0.0</v>
      </c>
      <c r="G1402" s="68">
        <v>0.655959201838111</v>
      </c>
      <c r="H1402" s="68">
        <v>1.21751365027734</v>
      </c>
      <c r="I1402" s="69">
        <v>44317.25677083333</v>
      </c>
      <c r="J1402" s="69">
        <v>44317.25759259259</v>
      </c>
      <c r="K1402">
        <f>AVERAGE(H1402:H1406)</f>
        <v>129.4204692</v>
      </c>
      <c r="L1402">
        <f>STDEV(H1402:H1406)</f>
        <v>74.90098461</v>
      </c>
      <c r="M1402" s="70">
        <v>1.21751365027734</v>
      </c>
      <c r="N1402" s="70">
        <v>1.21751365027734</v>
      </c>
      <c r="O1402" s="70">
        <v>0.655959201838111</v>
      </c>
      <c r="P1402" s="70">
        <v>0.655959201838111</v>
      </c>
    </row>
    <row r="1403" hidden="1">
      <c r="A1403" s="67" t="s">
        <v>2163</v>
      </c>
      <c r="B1403" s="67" t="s">
        <v>268</v>
      </c>
      <c r="C1403" s="68">
        <v>1.0</v>
      </c>
      <c r="D1403" s="68">
        <v>0.1</v>
      </c>
      <c r="E1403" s="68">
        <v>3.0</v>
      </c>
      <c r="F1403" s="68">
        <v>1.0</v>
      </c>
      <c r="G1403" s="68">
        <v>3.51039365262554</v>
      </c>
      <c r="H1403" s="68">
        <v>156.715878050325</v>
      </c>
      <c r="I1403" s="69">
        <v>44317.25829861111</v>
      </c>
      <c r="J1403" s="69">
        <v>44317.30940972222</v>
      </c>
      <c r="K1403">
        <f>AVERAGE(H1402:H1406)</f>
        <v>129.4204692</v>
      </c>
      <c r="L1403">
        <f>STDEV(H1402:H1406)</f>
        <v>74.90098461</v>
      </c>
      <c r="M1403" s="70">
        <v>156.715878050325</v>
      </c>
      <c r="N1403" s="70">
        <v>156.715878050325</v>
      </c>
      <c r="O1403" s="70">
        <v>3.51039365262554</v>
      </c>
      <c r="P1403" s="70">
        <v>3.51039365262554</v>
      </c>
    </row>
    <row r="1404" hidden="1">
      <c r="A1404" s="67" t="s">
        <v>2164</v>
      </c>
      <c r="B1404" s="67" t="s">
        <v>268</v>
      </c>
      <c r="C1404" s="68">
        <v>1.0</v>
      </c>
      <c r="D1404" s="68">
        <v>0.1</v>
      </c>
      <c r="E1404" s="68">
        <v>3.0</v>
      </c>
      <c r="F1404" s="68">
        <v>2.0</v>
      </c>
      <c r="G1404" s="68">
        <v>4.79051382898971</v>
      </c>
      <c r="H1404" s="68">
        <v>161.340164333754</v>
      </c>
      <c r="I1404" s="69">
        <v>44317.310115740744</v>
      </c>
      <c r="J1404" s="69">
        <v>44317.3103587963</v>
      </c>
      <c r="K1404">
        <f>AVERAGE(H1402:H1406)</f>
        <v>129.4204692</v>
      </c>
      <c r="L1404">
        <f>STDEV(H1402:H1406)</f>
        <v>74.90098461</v>
      </c>
      <c r="M1404" s="70">
        <v>161.340164333754</v>
      </c>
      <c r="N1404" s="70">
        <v>161.340164333754</v>
      </c>
      <c r="O1404" s="70">
        <v>4.79051382898971</v>
      </c>
      <c r="P1404" s="70">
        <v>4.79051382898971</v>
      </c>
    </row>
    <row r="1405" hidden="1">
      <c r="A1405" s="67" t="s">
        <v>2165</v>
      </c>
      <c r="B1405" s="67" t="s">
        <v>268</v>
      </c>
      <c r="C1405" s="68">
        <v>1.0</v>
      </c>
      <c r="D1405" s="68">
        <v>0.1</v>
      </c>
      <c r="E1405" s="68">
        <v>3.0</v>
      </c>
      <c r="F1405" s="68">
        <v>3.0</v>
      </c>
      <c r="G1405" s="68">
        <v>4.21704793599266</v>
      </c>
      <c r="H1405" s="68">
        <v>194.419018035304</v>
      </c>
      <c r="I1405" s="69">
        <v>44317.311064814814</v>
      </c>
      <c r="J1405" s="69">
        <v>44317.31427083333</v>
      </c>
      <c r="K1405">
        <f>AVERAGE(H1402:H1406)</f>
        <v>129.4204692</v>
      </c>
      <c r="L1405">
        <f>STDEV(H1402:H1406)</f>
        <v>74.90098461</v>
      </c>
      <c r="M1405" s="70">
        <v>194.419018035304</v>
      </c>
      <c r="N1405" s="70">
        <v>194.419018035304</v>
      </c>
      <c r="O1405" s="70">
        <v>4.21704793599266</v>
      </c>
      <c r="P1405" s="70">
        <v>4.21704793599266</v>
      </c>
    </row>
    <row r="1406" hidden="1">
      <c r="A1406" s="67" t="s">
        <v>2166</v>
      </c>
      <c r="B1406" s="67" t="s">
        <v>268</v>
      </c>
      <c r="C1406" s="68">
        <v>1.0</v>
      </c>
      <c r="D1406" s="68">
        <v>0.1</v>
      </c>
      <c r="E1406" s="68">
        <v>3.0</v>
      </c>
      <c r="F1406" s="68">
        <v>4.0</v>
      </c>
      <c r="G1406" s="68">
        <v>2.53887383804285</v>
      </c>
      <c r="H1406" s="68">
        <v>133.409771789197</v>
      </c>
      <c r="I1406" s="69">
        <v>44317.314988425926</v>
      </c>
      <c r="J1406" s="69">
        <v>44317.31521990741</v>
      </c>
      <c r="K1406">
        <f>AVERAGE(H1402:H1406)</f>
        <v>129.4204692</v>
      </c>
      <c r="L1406">
        <f>STDEV(H1402:H1406)</f>
        <v>74.90098461</v>
      </c>
      <c r="M1406" s="70">
        <v>133.409771789197</v>
      </c>
      <c r="N1406" s="70">
        <v>133.409771789197</v>
      </c>
      <c r="O1406" s="70">
        <v>2.53887383804285</v>
      </c>
      <c r="P1406" s="70">
        <v>2.53887383804285</v>
      </c>
    </row>
    <row r="1407" hidden="1">
      <c r="A1407" s="67" t="s">
        <v>2167</v>
      </c>
      <c r="B1407" s="67" t="s">
        <v>268</v>
      </c>
      <c r="C1407" s="68">
        <v>1.0</v>
      </c>
      <c r="D1407" s="68">
        <v>0.25</v>
      </c>
      <c r="E1407" s="68">
        <v>3.0</v>
      </c>
      <c r="F1407" s="68">
        <v>0.0</v>
      </c>
      <c r="G1407" s="68">
        <v>4.33851993441608</v>
      </c>
      <c r="H1407" s="68">
        <v>200.24044789732</v>
      </c>
      <c r="I1407" s="69">
        <v>44317.31592592593</v>
      </c>
      <c r="J1407" s="69">
        <v>44317.319710648146</v>
      </c>
      <c r="K1407">
        <f>AVERAGE(H1407:H1411)</f>
        <v>78.72108477</v>
      </c>
      <c r="L1407">
        <f>STDEV(H1407:H1411)</f>
        <v>95.71790824</v>
      </c>
      <c r="M1407" s="70">
        <v>200.24044789732</v>
      </c>
      <c r="N1407" s="70">
        <v>200.24044789732</v>
      </c>
      <c r="O1407" s="70">
        <v>4.33851993441608</v>
      </c>
      <c r="P1407" s="70">
        <v>4.33851993441608</v>
      </c>
    </row>
    <row r="1408" hidden="1">
      <c r="A1408" s="67" t="s">
        <v>2168</v>
      </c>
      <c r="B1408" s="67" t="s">
        <v>268</v>
      </c>
      <c r="C1408" s="68">
        <v>1.0</v>
      </c>
      <c r="D1408" s="68">
        <v>0.25</v>
      </c>
      <c r="E1408" s="68">
        <v>3.0</v>
      </c>
      <c r="F1408" s="68">
        <v>1.0</v>
      </c>
      <c r="G1408" s="68">
        <v>0.707613078750997</v>
      </c>
      <c r="H1408" s="68">
        <v>0.944262486179971</v>
      </c>
      <c r="I1408" s="69">
        <v>44317.32041666667</v>
      </c>
      <c r="J1408" s="69">
        <v>44317.32065972222</v>
      </c>
      <c r="K1408">
        <f>AVERAGE(H1407:H1411)</f>
        <v>78.72108477</v>
      </c>
      <c r="L1408">
        <f>STDEV(H1407:H1411)</f>
        <v>95.71790824</v>
      </c>
      <c r="M1408" s="70">
        <v>0.944262486179971</v>
      </c>
      <c r="N1408" s="70">
        <v>0.944262486179971</v>
      </c>
      <c r="O1408" s="70">
        <v>0.707613078750997</v>
      </c>
      <c r="P1408" s="70">
        <v>0.707613078750997</v>
      </c>
    </row>
    <row r="1409" hidden="1">
      <c r="A1409" s="67" t="s">
        <v>2169</v>
      </c>
      <c r="B1409" s="67" t="s">
        <v>268</v>
      </c>
      <c r="C1409" s="68">
        <v>1.0</v>
      </c>
      <c r="D1409" s="68">
        <v>0.25</v>
      </c>
      <c r="E1409" s="68">
        <v>3.0</v>
      </c>
      <c r="F1409" s="68">
        <v>2.0</v>
      </c>
      <c r="G1409" s="68">
        <v>3.71765965873926</v>
      </c>
      <c r="H1409" s="68">
        <v>163.574898693159</v>
      </c>
      <c r="I1409" s="69">
        <v>44317.32136574074</v>
      </c>
      <c r="J1409" s="69">
        <v>44317.35267361111</v>
      </c>
      <c r="K1409">
        <f>AVERAGE(H1407:H1411)</f>
        <v>78.72108477</v>
      </c>
      <c r="L1409">
        <f>STDEV(H1407:H1411)</f>
        <v>95.71790824</v>
      </c>
      <c r="M1409" s="70">
        <v>163.574898693159</v>
      </c>
      <c r="N1409" s="70">
        <v>163.574898693159</v>
      </c>
      <c r="O1409" s="70">
        <v>3.71765965873926</v>
      </c>
      <c r="P1409" s="70">
        <v>3.71765965873926</v>
      </c>
    </row>
    <row r="1410" hidden="1">
      <c r="A1410" s="67" t="s">
        <v>2170</v>
      </c>
      <c r="B1410" s="67" t="s">
        <v>268</v>
      </c>
      <c r="C1410" s="68">
        <v>1.0</v>
      </c>
      <c r="D1410" s="68">
        <v>0.25</v>
      </c>
      <c r="E1410" s="68">
        <v>3.0</v>
      </c>
      <c r="F1410" s="68">
        <v>3.0</v>
      </c>
      <c r="G1410" s="68">
        <v>0.738388919616822</v>
      </c>
      <c r="H1410" s="68">
        <v>0.954404004182583</v>
      </c>
      <c r="I1410" s="69">
        <v>44317.35337962963</v>
      </c>
      <c r="J1410" s="69">
        <v>44317.35359953704</v>
      </c>
      <c r="K1410">
        <f>AVERAGE(H1407:H1411)</f>
        <v>78.72108477</v>
      </c>
      <c r="L1410">
        <f>STDEV(H1407:H1411)</f>
        <v>95.71790824</v>
      </c>
      <c r="M1410" s="70">
        <v>0.954404004182583</v>
      </c>
      <c r="N1410" s="70">
        <v>0.954404004182583</v>
      </c>
      <c r="O1410" s="70">
        <v>0.738388919616822</v>
      </c>
      <c r="P1410" s="70">
        <v>0.738388919616822</v>
      </c>
    </row>
    <row r="1411" hidden="1">
      <c r="A1411" s="67" t="s">
        <v>2171</v>
      </c>
      <c r="B1411" s="67" t="s">
        <v>268</v>
      </c>
      <c r="C1411" s="68">
        <v>1.0</v>
      </c>
      <c r="D1411" s="68">
        <v>0.25</v>
      </c>
      <c r="E1411" s="68">
        <v>3.0</v>
      </c>
      <c r="F1411" s="68">
        <v>4.0</v>
      </c>
      <c r="G1411" s="68">
        <v>1.71894508153762</v>
      </c>
      <c r="H1411" s="68">
        <v>27.8914107858494</v>
      </c>
      <c r="I1411" s="69">
        <v>44317.35430555556</v>
      </c>
      <c r="J1411" s="69">
        <v>44317.35502314815</v>
      </c>
      <c r="K1411">
        <f>AVERAGE(H1407:H1411)</f>
        <v>78.72108477</v>
      </c>
      <c r="L1411">
        <f>STDEV(H1407:H1411)</f>
        <v>95.71790824</v>
      </c>
      <c r="M1411" s="70">
        <v>27.8914107858494</v>
      </c>
      <c r="N1411" s="70">
        <v>27.8914107858494</v>
      </c>
      <c r="O1411" s="70">
        <v>1.71894508153762</v>
      </c>
      <c r="P1411" s="70">
        <v>1.71894508153762</v>
      </c>
    </row>
    <row r="1412" hidden="1">
      <c r="A1412" s="67" t="s">
        <v>2172</v>
      </c>
      <c r="B1412" s="67" t="s">
        <v>268</v>
      </c>
      <c r="C1412" s="68">
        <v>1.0</v>
      </c>
      <c r="D1412" s="68">
        <v>0.5</v>
      </c>
      <c r="E1412" s="68">
        <v>3.0</v>
      </c>
      <c r="F1412" s="68">
        <v>0.0</v>
      </c>
      <c r="G1412" s="68">
        <v>0.464316051100371</v>
      </c>
      <c r="H1412" s="68">
        <v>0.556351663008357</v>
      </c>
      <c r="I1412" s="69">
        <v>44317.355729166666</v>
      </c>
      <c r="J1412" s="69">
        <v>44317.35591435185</v>
      </c>
      <c r="K1412">
        <f>AVERAGE(H1412:H1416)</f>
        <v>116.3357344</v>
      </c>
      <c r="L1412">
        <f>STDEV(H1412:H1416)</f>
        <v>122.7918689</v>
      </c>
      <c r="M1412" s="70">
        <v>0.556351663008357</v>
      </c>
      <c r="N1412" s="70">
        <v>0.556351663008357</v>
      </c>
      <c r="O1412" s="70">
        <v>0.464316051100371</v>
      </c>
      <c r="P1412" s="70">
        <v>0.464316051100371</v>
      </c>
    </row>
    <row r="1413" hidden="1">
      <c r="A1413" s="67" t="s">
        <v>2173</v>
      </c>
      <c r="B1413" s="67" t="s">
        <v>268</v>
      </c>
      <c r="C1413" s="68">
        <v>1.0</v>
      </c>
      <c r="D1413" s="68">
        <v>0.5</v>
      </c>
      <c r="E1413" s="68">
        <v>3.0</v>
      </c>
      <c r="F1413" s="68">
        <v>1.0</v>
      </c>
      <c r="G1413" s="68">
        <v>2.62371564546456</v>
      </c>
      <c r="H1413" s="68">
        <v>113.989969665328</v>
      </c>
      <c r="I1413" s="69">
        <v>44317.356620370374</v>
      </c>
      <c r="J1413" s="69">
        <v>44317.39530092593</v>
      </c>
      <c r="K1413">
        <f>AVERAGE(H1412:H1416)</f>
        <v>116.3357344</v>
      </c>
      <c r="L1413">
        <f>STDEV(H1412:H1416)</f>
        <v>122.7918689</v>
      </c>
      <c r="M1413" s="70">
        <v>113.989969665328</v>
      </c>
      <c r="N1413" s="70">
        <v>113.989969665328</v>
      </c>
      <c r="O1413" s="70">
        <v>2.62371564546456</v>
      </c>
      <c r="P1413" s="70">
        <v>2.62371564546456</v>
      </c>
    </row>
    <row r="1414" hidden="1">
      <c r="A1414" s="67" t="s">
        <v>2174</v>
      </c>
      <c r="B1414" s="67" t="s">
        <v>268</v>
      </c>
      <c r="C1414" s="68">
        <v>1.0</v>
      </c>
      <c r="D1414" s="68">
        <v>0.5</v>
      </c>
      <c r="E1414" s="68">
        <v>3.0</v>
      </c>
      <c r="F1414" s="68">
        <v>2.0</v>
      </c>
      <c r="G1414" s="68">
        <v>8.29504650970464</v>
      </c>
      <c r="H1414" s="68">
        <v>288.862007433106</v>
      </c>
      <c r="I1414" s="69">
        <v>44317.396006944444</v>
      </c>
      <c r="J1414" s="69">
        <v>44317.39703703704</v>
      </c>
      <c r="K1414">
        <f>AVERAGE(H1412:H1416)</f>
        <v>116.3357344</v>
      </c>
      <c r="L1414">
        <f>STDEV(H1412:H1416)</f>
        <v>122.7918689</v>
      </c>
      <c r="M1414" s="70">
        <v>288.862007433106</v>
      </c>
      <c r="N1414" s="70">
        <v>288.862007433106</v>
      </c>
      <c r="O1414" s="70">
        <v>8.29504650970464</v>
      </c>
      <c r="P1414" s="70">
        <v>8.29504650970464</v>
      </c>
    </row>
    <row r="1415" hidden="1">
      <c r="A1415" s="67" t="s">
        <v>2175</v>
      </c>
      <c r="B1415" s="67" t="s">
        <v>268</v>
      </c>
      <c r="C1415" s="68">
        <v>1.0</v>
      </c>
      <c r="D1415" s="68">
        <v>0.5</v>
      </c>
      <c r="E1415" s="68">
        <v>3.0</v>
      </c>
      <c r="F1415" s="68">
        <v>3.0</v>
      </c>
      <c r="G1415" s="68">
        <v>0.495431126628239</v>
      </c>
      <c r="H1415" s="68">
        <v>0.659333021532821</v>
      </c>
      <c r="I1415" s="69">
        <v>44317.39774305555</v>
      </c>
      <c r="J1415" s="69">
        <v>44317.39776620371</v>
      </c>
      <c r="K1415">
        <f>AVERAGE(H1412:H1416)</f>
        <v>116.3357344</v>
      </c>
      <c r="L1415">
        <f>STDEV(H1412:H1416)</f>
        <v>122.7918689</v>
      </c>
      <c r="M1415" s="70">
        <v>0.659333021532821</v>
      </c>
      <c r="N1415" s="70">
        <v>0.659333021532821</v>
      </c>
      <c r="O1415" s="70">
        <v>0.495431126628239</v>
      </c>
      <c r="P1415" s="70">
        <v>0.495431126628239</v>
      </c>
    </row>
    <row r="1416" hidden="1">
      <c r="A1416" s="67" t="s">
        <v>2176</v>
      </c>
      <c r="B1416" s="67" t="s">
        <v>268</v>
      </c>
      <c r="C1416" s="68">
        <v>1.0</v>
      </c>
      <c r="D1416" s="68">
        <v>0.5</v>
      </c>
      <c r="E1416" s="68">
        <v>3.0</v>
      </c>
      <c r="F1416" s="68">
        <v>4.0</v>
      </c>
      <c r="G1416" s="68">
        <v>3.62419322100732</v>
      </c>
      <c r="H1416" s="68">
        <v>177.611010423103</v>
      </c>
      <c r="I1416" s="69">
        <v>44317.39847222222</v>
      </c>
      <c r="J1416" s="69">
        <v>44317.40361111111</v>
      </c>
      <c r="K1416">
        <f>AVERAGE(H1412:H1416)</f>
        <v>116.3357344</v>
      </c>
      <c r="L1416">
        <f>STDEV(H1412:H1416)</f>
        <v>122.7918689</v>
      </c>
      <c r="M1416" s="70">
        <v>177.611010423103</v>
      </c>
      <c r="N1416" s="70">
        <v>177.611010423103</v>
      </c>
      <c r="O1416" s="70">
        <v>3.62419322100732</v>
      </c>
      <c r="P1416" s="70">
        <v>3.62419322100732</v>
      </c>
    </row>
    <row r="1417" hidden="1">
      <c r="A1417" s="67" t="s">
        <v>2177</v>
      </c>
      <c r="B1417" s="67" t="s">
        <v>268</v>
      </c>
      <c r="C1417" s="68">
        <v>1.0</v>
      </c>
      <c r="D1417" s="68">
        <v>0.75</v>
      </c>
      <c r="E1417" s="68">
        <v>3.0</v>
      </c>
      <c r="F1417" s="68">
        <v>0.0</v>
      </c>
      <c r="G1417" s="68">
        <v>3.78794718722747</v>
      </c>
      <c r="H1417" s="68">
        <v>169.273794564838</v>
      </c>
      <c r="I1417" s="69">
        <v>44317.40431712963</v>
      </c>
      <c r="J1417" s="69">
        <v>44317.47645833333</v>
      </c>
      <c r="K1417">
        <f>AVERAGE(H1417:H1421)</f>
        <v>60.98322193</v>
      </c>
      <c r="L1417">
        <f>STDEV(H1417:H1421)</f>
        <v>83.39609229</v>
      </c>
      <c r="M1417" s="70">
        <v>169.273794564838</v>
      </c>
      <c r="N1417" s="70">
        <v>169.273794564838</v>
      </c>
      <c r="O1417" s="70">
        <v>3.78794718722747</v>
      </c>
      <c r="P1417" s="70">
        <v>3.78794718722747</v>
      </c>
    </row>
    <row r="1418" hidden="1">
      <c r="A1418" s="67" t="s">
        <v>2178</v>
      </c>
      <c r="B1418" s="67" t="s">
        <v>268</v>
      </c>
      <c r="C1418" s="68">
        <v>1.0</v>
      </c>
      <c r="D1418" s="68">
        <v>0.75</v>
      </c>
      <c r="E1418" s="68">
        <v>3.0</v>
      </c>
      <c r="F1418" s="68">
        <v>1.0</v>
      </c>
      <c r="G1418" s="68">
        <v>0.736192093514763</v>
      </c>
      <c r="H1418" s="68">
        <v>0.950544336758399</v>
      </c>
      <c r="I1418" s="69">
        <v>44317.477164351854</v>
      </c>
      <c r="J1418" s="69">
        <v>44317.47736111111</v>
      </c>
      <c r="K1418">
        <f>AVERAGE(H1417:H1421)</f>
        <v>60.98322193</v>
      </c>
      <c r="L1418">
        <f>STDEV(H1417:H1421)</f>
        <v>83.39609229</v>
      </c>
      <c r="M1418" s="70">
        <v>0.950544336758399</v>
      </c>
      <c r="N1418" s="70">
        <v>0.950544336758399</v>
      </c>
      <c r="O1418" s="70">
        <v>0.736192093514763</v>
      </c>
      <c r="P1418" s="70">
        <v>0.736192093514763</v>
      </c>
    </row>
    <row r="1419" hidden="1">
      <c r="A1419" s="67" t="s">
        <v>2179</v>
      </c>
      <c r="B1419" s="67" t="s">
        <v>268</v>
      </c>
      <c r="C1419" s="68">
        <v>1.0</v>
      </c>
      <c r="D1419" s="68">
        <v>0.75</v>
      </c>
      <c r="E1419" s="68">
        <v>3.0</v>
      </c>
      <c r="F1419" s="68">
        <v>2.0</v>
      </c>
      <c r="G1419" s="68">
        <v>0.70773596316053</v>
      </c>
      <c r="H1419" s="68">
        <v>0.944520705738712</v>
      </c>
      <c r="I1419" s="69">
        <v>44317.47806712963</v>
      </c>
      <c r="J1419" s="69">
        <v>44317.478310185186</v>
      </c>
      <c r="K1419">
        <f>AVERAGE(H1417:H1421)</f>
        <v>60.98322193</v>
      </c>
      <c r="L1419">
        <f>STDEV(H1417:H1421)</f>
        <v>83.39609229</v>
      </c>
      <c r="M1419" s="70">
        <v>0.944520705738712</v>
      </c>
      <c r="N1419" s="70">
        <v>0.944520705738712</v>
      </c>
      <c r="O1419" s="70">
        <v>0.70773596316053</v>
      </c>
      <c r="P1419" s="70">
        <v>0.70773596316053</v>
      </c>
    </row>
    <row r="1420" hidden="1">
      <c r="A1420" s="67" t="s">
        <v>2180</v>
      </c>
      <c r="B1420" s="67" t="s">
        <v>268</v>
      </c>
      <c r="C1420" s="68">
        <v>1.0</v>
      </c>
      <c r="D1420" s="68">
        <v>0.75</v>
      </c>
      <c r="E1420" s="68">
        <v>3.0</v>
      </c>
      <c r="F1420" s="68">
        <v>3.0</v>
      </c>
      <c r="G1420" s="68">
        <v>2.53805350135836</v>
      </c>
      <c r="H1420" s="68">
        <v>133.261963587835</v>
      </c>
      <c r="I1420" s="69">
        <v>44317.4790162037</v>
      </c>
      <c r="J1420" s="69">
        <v>44317.47925925926</v>
      </c>
      <c r="K1420">
        <f>AVERAGE(H1417:H1421)</f>
        <v>60.98322193</v>
      </c>
      <c r="L1420">
        <f>STDEV(H1417:H1421)</f>
        <v>83.39609229</v>
      </c>
      <c r="M1420" s="70">
        <v>133.261963587835</v>
      </c>
      <c r="N1420" s="70">
        <v>133.261963587835</v>
      </c>
      <c r="O1420" s="70">
        <v>2.53805350135836</v>
      </c>
      <c r="P1420" s="70">
        <v>2.53805350135836</v>
      </c>
    </row>
    <row r="1421" hidden="1">
      <c r="A1421" s="67" t="s">
        <v>2181</v>
      </c>
      <c r="B1421" s="67" t="s">
        <v>268</v>
      </c>
      <c r="C1421" s="68">
        <v>1.0</v>
      </c>
      <c r="D1421" s="68">
        <v>0.75</v>
      </c>
      <c r="E1421" s="68">
        <v>3.0</v>
      </c>
      <c r="F1421" s="68">
        <v>4.0</v>
      </c>
      <c r="G1421" s="68">
        <v>0.367270729126863</v>
      </c>
      <c r="H1421" s="68">
        <v>0.485286452148195</v>
      </c>
      <c r="I1421" s="69">
        <v>44317.47996527778</v>
      </c>
      <c r="J1421" s="69">
        <v>44317.47998842593</v>
      </c>
      <c r="K1421">
        <f>AVERAGE(H1417:H1421)</f>
        <v>60.98322193</v>
      </c>
      <c r="L1421">
        <f>STDEV(H1417:H1421)</f>
        <v>83.39609229</v>
      </c>
      <c r="M1421" s="70">
        <v>0.485286452148195</v>
      </c>
      <c r="N1421" s="70">
        <v>0.485286452148195</v>
      </c>
      <c r="O1421" s="70">
        <v>0.367270729126863</v>
      </c>
      <c r="P1421" s="70">
        <v>0.367270729126863</v>
      </c>
    </row>
    <row r="1422" hidden="1">
      <c r="A1422" s="67" t="s">
        <v>2182</v>
      </c>
      <c r="B1422" s="67" t="s">
        <v>268</v>
      </c>
      <c r="C1422" s="68">
        <v>1.0</v>
      </c>
      <c r="D1422" s="68">
        <v>1.0</v>
      </c>
      <c r="E1422" s="68">
        <v>3.0</v>
      </c>
      <c r="F1422" s="68">
        <v>0.0</v>
      </c>
      <c r="G1422" s="68">
        <v>4.21702655993677</v>
      </c>
      <c r="H1422" s="68">
        <v>176.844909291369</v>
      </c>
      <c r="I1422" s="69">
        <v>44317.48069444444</v>
      </c>
      <c r="J1422" s="69">
        <v>44317.52722222222</v>
      </c>
      <c r="K1422">
        <f>AVERAGE(H1422:H1426)</f>
        <v>69.84866168</v>
      </c>
      <c r="L1422">
        <f>STDEV(H1422:H1426)</f>
        <v>86.69844102</v>
      </c>
      <c r="M1422" s="70">
        <v>176.844909291369</v>
      </c>
      <c r="N1422" s="70">
        <v>176.844909291369</v>
      </c>
      <c r="O1422" s="70">
        <v>4.21702655993677</v>
      </c>
      <c r="P1422" s="70">
        <v>4.21702655993677</v>
      </c>
    </row>
    <row r="1423" hidden="1">
      <c r="A1423" s="67" t="s">
        <v>2183</v>
      </c>
      <c r="B1423" s="67" t="s">
        <v>268</v>
      </c>
      <c r="C1423" s="68">
        <v>1.0</v>
      </c>
      <c r="D1423" s="68">
        <v>1.0</v>
      </c>
      <c r="E1423" s="68">
        <v>3.0</v>
      </c>
      <c r="F1423" s="68">
        <v>1.0</v>
      </c>
      <c r="G1423" s="68">
        <v>0.736192093514763</v>
      </c>
      <c r="H1423" s="68">
        <v>0.950544336758399</v>
      </c>
      <c r="I1423" s="69">
        <v>44317.52792824074</v>
      </c>
      <c r="J1423" s="69">
        <v>44317.52814814815</v>
      </c>
      <c r="K1423">
        <f>AVERAGE(H1422:H1426)</f>
        <v>69.84866168</v>
      </c>
      <c r="L1423">
        <f>STDEV(H1422:H1426)</f>
        <v>86.69844102</v>
      </c>
      <c r="M1423" s="70">
        <v>0.950544336758399</v>
      </c>
      <c r="N1423" s="70">
        <v>0.950544336758399</v>
      </c>
      <c r="O1423" s="70">
        <v>0.736192093514763</v>
      </c>
      <c r="P1423" s="70">
        <v>0.736192093514763</v>
      </c>
    </row>
    <row r="1424" hidden="1">
      <c r="A1424" s="67" t="s">
        <v>2184</v>
      </c>
      <c r="B1424" s="67" t="s">
        <v>268</v>
      </c>
      <c r="C1424" s="68">
        <v>1.0</v>
      </c>
      <c r="D1424" s="68">
        <v>1.0</v>
      </c>
      <c r="E1424" s="68">
        <v>3.0</v>
      </c>
      <c r="F1424" s="68">
        <v>2.0</v>
      </c>
      <c r="G1424" s="68">
        <v>2.86417161633114</v>
      </c>
      <c r="H1424" s="68">
        <v>151.376675065505</v>
      </c>
      <c r="I1424" s="69">
        <v>44317.52885416667</v>
      </c>
      <c r="J1424" s="69">
        <v>44317.55829861111</v>
      </c>
      <c r="K1424">
        <f>AVERAGE(H1422:H1426)</f>
        <v>69.84866168</v>
      </c>
      <c r="L1424">
        <f>STDEV(H1422:H1426)</f>
        <v>86.69844102</v>
      </c>
      <c r="M1424" s="70">
        <v>151.376675065505</v>
      </c>
      <c r="N1424" s="70">
        <v>151.376675065505</v>
      </c>
      <c r="O1424" s="70">
        <v>2.86417161633114</v>
      </c>
      <c r="P1424" s="70">
        <v>2.86417161633114</v>
      </c>
    </row>
    <row r="1425" hidden="1">
      <c r="A1425" s="67" t="s">
        <v>2185</v>
      </c>
      <c r="B1425" s="67" t="s">
        <v>268</v>
      </c>
      <c r="C1425" s="68">
        <v>1.0</v>
      </c>
      <c r="D1425" s="68">
        <v>1.0</v>
      </c>
      <c r="E1425" s="68">
        <v>3.0</v>
      </c>
      <c r="F1425" s="68">
        <v>3.0</v>
      </c>
      <c r="G1425" s="68">
        <v>1.21593702315599</v>
      </c>
      <c r="H1425" s="68">
        <v>15.9223138572581</v>
      </c>
      <c r="I1425" s="69">
        <v>44317.559016203704</v>
      </c>
      <c r="J1425" s="69">
        <v>44317.559166666666</v>
      </c>
      <c r="K1425">
        <f>AVERAGE(H1422:H1426)</f>
        <v>69.84866168</v>
      </c>
      <c r="L1425">
        <f>STDEV(H1422:H1426)</f>
        <v>86.69844102</v>
      </c>
      <c r="M1425" s="70">
        <v>15.9223138572581</v>
      </c>
      <c r="N1425" s="70">
        <v>15.9223138572581</v>
      </c>
      <c r="O1425" s="70">
        <v>1.21593702315599</v>
      </c>
      <c r="P1425" s="70">
        <v>1.21593702315599</v>
      </c>
    </row>
    <row r="1426" hidden="1">
      <c r="A1426" s="67" t="s">
        <v>2186</v>
      </c>
      <c r="B1426" s="67" t="s">
        <v>268</v>
      </c>
      <c r="C1426" s="68">
        <v>1.0</v>
      </c>
      <c r="D1426" s="68">
        <v>1.0</v>
      </c>
      <c r="E1426" s="68">
        <v>3.0</v>
      </c>
      <c r="F1426" s="68">
        <v>4.0</v>
      </c>
      <c r="G1426" s="68">
        <v>2.64804552822738</v>
      </c>
      <c r="H1426" s="68">
        <v>4.14886586724848</v>
      </c>
      <c r="I1426" s="69">
        <v>44317.55987268518</v>
      </c>
      <c r="J1426" s="69">
        <v>44317.559965277775</v>
      </c>
      <c r="K1426">
        <f>AVERAGE(H1422:H1426)</f>
        <v>69.84866168</v>
      </c>
      <c r="L1426">
        <f>STDEV(H1422:H1426)</f>
        <v>86.69844102</v>
      </c>
      <c r="M1426" s="70">
        <v>4.14886586724848</v>
      </c>
      <c r="N1426" s="70">
        <v>4.14886586724848</v>
      </c>
      <c r="O1426" s="70">
        <v>2.64804552822738</v>
      </c>
      <c r="P1426" s="70">
        <v>2.64804552822738</v>
      </c>
    </row>
    <row r="1427" hidden="1">
      <c r="A1427" s="67" t="s">
        <v>2187</v>
      </c>
      <c r="B1427" s="67" t="s">
        <v>519</v>
      </c>
      <c r="C1427" s="68">
        <v>0.1</v>
      </c>
      <c r="D1427" s="68">
        <v>0.1</v>
      </c>
      <c r="E1427" s="68">
        <v>3.0</v>
      </c>
      <c r="F1427" s="68">
        <v>0.0</v>
      </c>
      <c r="G1427" s="68">
        <v>1.32322002414332</v>
      </c>
      <c r="H1427" s="68">
        <v>2.33961542493421</v>
      </c>
      <c r="I1427" s="69">
        <v>44317.5606712963</v>
      </c>
      <c r="J1427" s="69">
        <v>44317.56146990741</v>
      </c>
      <c r="K1427">
        <f>AVERAGE(H1427:H1431)</f>
        <v>93.04778649</v>
      </c>
      <c r="L1427">
        <f>STDEV(H1427:H1431)</f>
        <v>97.90542182</v>
      </c>
      <c r="M1427" s="70">
        <v>2.33961542493421</v>
      </c>
      <c r="N1427" s="70">
        <v>2.33961542493421</v>
      </c>
      <c r="O1427" s="70">
        <v>1.32322002414332</v>
      </c>
      <c r="P1427" s="70">
        <v>1.32322002414332</v>
      </c>
    </row>
    <row r="1428" hidden="1">
      <c r="A1428" s="67" t="s">
        <v>2188</v>
      </c>
      <c r="B1428" s="67" t="s">
        <v>519</v>
      </c>
      <c r="C1428" s="68">
        <v>0.1</v>
      </c>
      <c r="D1428" s="68">
        <v>0.1</v>
      </c>
      <c r="E1428" s="68">
        <v>3.0</v>
      </c>
      <c r="F1428" s="68">
        <v>1.0</v>
      </c>
      <c r="G1428" s="68">
        <v>4.72046725021857</v>
      </c>
      <c r="H1428" s="68">
        <v>193.014499963644</v>
      </c>
      <c r="I1428" s="69">
        <v>44317.56217592592</v>
      </c>
      <c r="J1428" s="69">
        <v>44317.568506944444</v>
      </c>
      <c r="K1428">
        <f>AVERAGE(H1427:H1431)</f>
        <v>93.04778649</v>
      </c>
      <c r="L1428">
        <f>STDEV(H1427:H1431)</f>
        <v>97.90542182</v>
      </c>
      <c r="M1428" s="70">
        <v>193.014499963644</v>
      </c>
      <c r="N1428" s="70">
        <v>193.014499963644</v>
      </c>
      <c r="O1428" s="70">
        <v>4.72046725021857</v>
      </c>
      <c r="P1428" s="70">
        <v>4.72046725021857</v>
      </c>
    </row>
    <row r="1429" hidden="1">
      <c r="A1429" s="67" t="s">
        <v>2189</v>
      </c>
      <c r="B1429" s="67" t="s">
        <v>519</v>
      </c>
      <c r="C1429" s="68">
        <v>0.1</v>
      </c>
      <c r="D1429" s="68">
        <v>0.1</v>
      </c>
      <c r="E1429" s="68">
        <v>3.0</v>
      </c>
      <c r="F1429" s="68">
        <v>2.0</v>
      </c>
      <c r="G1429" s="68">
        <v>4.47843455086886</v>
      </c>
      <c r="H1429" s="68">
        <v>198.39464526208</v>
      </c>
      <c r="I1429" s="69">
        <v>44317.56922453704</v>
      </c>
      <c r="J1429" s="69">
        <v>44317.585694444446</v>
      </c>
      <c r="K1429">
        <f>AVERAGE(H1427:H1431)</f>
        <v>93.04778649</v>
      </c>
      <c r="L1429">
        <f>STDEV(H1427:H1431)</f>
        <v>97.90542182</v>
      </c>
      <c r="M1429" s="70">
        <v>198.39464526208</v>
      </c>
      <c r="N1429" s="70">
        <v>198.39464526208</v>
      </c>
      <c r="O1429" s="70">
        <v>4.47843455086886</v>
      </c>
      <c r="P1429" s="70">
        <v>4.47843455086886</v>
      </c>
    </row>
    <row r="1430" hidden="1">
      <c r="A1430" s="67" t="s">
        <v>2190</v>
      </c>
      <c r="B1430" s="67" t="s">
        <v>519</v>
      </c>
      <c r="C1430" s="68">
        <v>0.1</v>
      </c>
      <c r="D1430" s="68">
        <v>0.1</v>
      </c>
      <c r="E1430" s="68">
        <v>3.0</v>
      </c>
      <c r="F1430" s="68">
        <v>3.0</v>
      </c>
      <c r="G1430" s="68">
        <v>0.411081825205857</v>
      </c>
      <c r="H1430" s="68">
        <v>0.706459032505617</v>
      </c>
      <c r="I1430" s="69">
        <v>44317.58640046296</v>
      </c>
      <c r="J1430" s="69">
        <v>44317.58641203704</v>
      </c>
      <c r="K1430">
        <f>AVERAGE(H1427:H1431)</f>
        <v>93.04778649</v>
      </c>
      <c r="L1430">
        <f>STDEV(H1427:H1431)</f>
        <v>97.90542182</v>
      </c>
      <c r="M1430" s="70">
        <v>0.706459032505617</v>
      </c>
      <c r="N1430" s="70">
        <v>0.706459032505617</v>
      </c>
      <c r="O1430" s="70">
        <v>0.411081825205857</v>
      </c>
      <c r="P1430" s="70">
        <v>0.411081825205857</v>
      </c>
    </row>
    <row r="1431" hidden="1">
      <c r="A1431" s="67" t="s">
        <v>2191</v>
      </c>
      <c r="B1431" s="67" t="s">
        <v>519</v>
      </c>
      <c r="C1431" s="68">
        <v>0.1</v>
      </c>
      <c r="D1431" s="68">
        <v>0.1</v>
      </c>
      <c r="E1431" s="68">
        <v>3.0</v>
      </c>
      <c r="F1431" s="68">
        <v>4.0</v>
      </c>
      <c r="G1431" s="68">
        <v>1.69675307525555</v>
      </c>
      <c r="H1431" s="68">
        <v>70.7837127865194</v>
      </c>
      <c r="I1431" s="69">
        <v>44317.587118055555</v>
      </c>
      <c r="J1431" s="69">
        <v>44317.59521990741</v>
      </c>
      <c r="K1431">
        <f>AVERAGE(H1427:H1431)</f>
        <v>93.04778649</v>
      </c>
      <c r="L1431">
        <f>STDEV(H1427:H1431)</f>
        <v>97.90542182</v>
      </c>
      <c r="M1431" s="70">
        <v>70.7837127865194</v>
      </c>
      <c r="N1431" s="70">
        <v>70.7837127865194</v>
      </c>
      <c r="O1431" s="70">
        <v>1.69675307525555</v>
      </c>
      <c r="P1431" s="70">
        <v>1.69675307525555</v>
      </c>
    </row>
    <row r="1432" hidden="1">
      <c r="A1432" s="67" t="s">
        <v>2192</v>
      </c>
      <c r="B1432" s="67" t="s">
        <v>519</v>
      </c>
      <c r="C1432" s="68">
        <v>0.1</v>
      </c>
      <c r="D1432" s="68">
        <v>0.25</v>
      </c>
      <c r="E1432" s="68">
        <v>3.0</v>
      </c>
      <c r="F1432" s="68">
        <v>0.0</v>
      </c>
      <c r="G1432" s="68">
        <v>1.97576309518489</v>
      </c>
      <c r="H1432" s="68">
        <v>78.2347092683568</v>
      </c>
      <c r="I1432" s="69">
        <v>44317.595925925925</v>
      </c>
      <c r="J1432" s="69">
        <v>44317.60009259259</v>
      </c>
      <c r="K1432">
        <f>AVERAGE(H1432:H1436)</f>
        <v>93.7252652</v>
      </c>
      <c r="L1432">
        <f>STDEV(H1432:H1436)</f>
        <v>98.81545593</v>
      </c>
      <c r="M1432" s="70">
        <v>78.2347092683568</v>
      </c>
      <c r="N1432" s="70">
        <v>78.2347092683568</v>
      </c>
      <c r="O1432" s="70">
        <v>1.97576309518489</v>
      </c>
      <c r="P1432" s="70">
        <v>1.97576309518489</v>
      </c>
    </row>
    <row r="1433" hidden="1">
      <c r="A1433" s="67" t="s">
        <v>2193</v>
      </c>
      <c r="B1433" s="67" t="s">
        <v>519</v>
      </c>
      <c r="C1433" s="68">
        <v>0.1</v>
      </c>
      <c r="D1433" s="68">
        <v>0.25</v>
      </c>
      <c r="E1433" s="68">
        <v>3.0</v>
      </c>
      <c r="F1433" s="68">
        <v>1.0</v>
      </c>
      <c r="G1433" s="68">
        <v>1.07991001504809</v>
      </c>
      <c r="H1433" s="68">
        <v>1.4504242499467</v>
      </c>
      <c r="I1433" s="69">
        <v>44317.600810185184</v>
      </c>
      <c r="J1433" s="69">
        <v>44317.60092592592</v>
      </c>
      <c r="K1433">
        <f>AVERAGE(H1432:H1436)</f>
        <v>93.7252652</v>
      </c>
      <c r="L1433">
        <f>STDEV(H1432:H1436)</f>
        <v>98.81545593</v>
      </c>
      <c r="M1433" s="70">
        <v>1.4504242499467</v>
      </c>
      <c r="N1433" s="70">
        <v>1.4504242499467</v>
      </c>
      <c r="O1433" s="70">
        <v>1.07991001504809</v>
      </c>
      <c r="P1433" s="70">
        <v>1.07991001504809</v>
      </c>
    </row>
    <row r="1434" hidden="1">
      <c r="A1434" s="67" t="s">
        <v>2194</v>
      </c>
      <c r="B1434" s="67" t="s">
        <v>519</v>
      </c>
      <c r="C1434" s="68">
        <v>0.1</v>
      </c>
      <c r="D1434" s="68">
        <v>0.25</v>
      </c>
      <c r="E1434" s="68">
        <v>3.0</v>
      </c>
      <c r="F1434" s="68">
        <v>2.0</v>
      </c>
      <c r="G1434" s="68">
        <v>0.465453363047499</v>
      </c>
      <c r="H1434" s="68">
        <v>0.557779311585181</v>
      </c>
      <c r="I1434" s="69">
        <v>44317.601631944446</v>
      </c>
      <c r="J1434" s="69">
        <v>44317.6018287037</v>
      </c>
      <c r="K1434">
        <f>AVERAGE(H1432:H1436)</f>
        <v>93.7252652</v>
      </c>
      <c r="L1434">
        <f>STDEV(H1432:H1436)</f>
        <v>98.81545593</v>
      </c>
      <c r="M1434" s="70">
        <v>0.557779311585181</v>
      </c>
      <c r="N1434" s="70">
        <v>0.557779311585181</v>
      </c>
      <c r="O1434" s="70">
        <v>0.465453363047499</v>
      </c>
      <c r="P1434" s="70">
        <v>0.465453363047499</v>
      </c>
    </row>
    <row r="1435" hidden="1">
      <c r="A1435" s="67" t="s">
        <v>2195</v>
      </c>
      <c r="B1435" s="67" t="s">
        <v>519</v>
      </c>
      <c r="C1435" s="68">
        <v>0.1</v>
      </c>
      <c r="D1435" s="68">
        <v>0.25</v>
      </c>
      <c r="E1435" s="68">
        <v>3.0</v>
      </c>
      <c r="F1435" s="68">
        <v>3.0</v>
      </c>
      <c r="G1435" s="68">
        <v>3.71760242382837</v>
      </c>
      <c r="H1435" s="68">
        <v>167.394490181872</v>
      </c>
      <c r="I1435" s="69">
        <v>44317.602534722224</v>
      </c>
      <c r="J1435" s="69">
        <v>44317.638645833336</v>
      </c>
      <c r="K1435">
        <f>AVERAGE(H1432:H1436)</f>
        <v>93.7252652</v>
      </c>
      <c r="L1435">
        <f>STDEV(H1432:H1436)</f>
        <v>98.81545593</v>
      </c>
      <c r="M1435" s="70">
        <v>167.394490181872</v>
      </c>
      <c r="N1435" s="70">
        <v>167.394490181872</v>
      </c>
      <c r="O1435" s="70">
        <v>3.71760242382837</v>
      </c>
      <c r="P1435" s="70">
        <v>3.71760242382837</v>
      </c>
    </row>
    <row r="1436" hidden="1">
      <c r="A1436" s="67" t="s">
        <v>2196</v>
      </c>
      <c r="B1436" s="67" t="s">
        <v>519</v>
      </c>
      <c r="C1436" s="68">
        <v>0.1</v>
      </c>
      <c r="D1436" s="68">
        <v>0.25</v>
      </c>
      <c r="E1436" s="68">
        <v>3.0</v>
      </c>
      <c r="F1436" s="68">
        <v>4.0</v>
      </c>
      <c r="G1436" s="68">
        <v>5.31194467861246</v>
      </c>
      <c r="H1436" s="68">
        <v>220.988922989626</v>
      </c>
      <c r="I1436" s="69">
        <v>44317.63935185185</v>
      </c>
      <c r="J1436" s="69">
        <v>44317.641851851855</v>
      </c>
      <c r="K1436">
        <f>AVERAGE(H1432:H1436)</f>
        <v>93.7252652</v>
      </c>
      <c r="L1436">
        <f>STDEV(H1432:H1436)</f>
        <v>98.81545593</v>
      </c>
      <c r="M1436" s="70">
        <v>220.988922989626</v>
      </c>
      <c r="N1436" s="70">
        <v>220.988922989626</v>
      </c>
      <c r="O1436" s="70">
        <v>5.31194467861246</v>
      </c>
      <c r="P1436" s="70">
        <v>5.31194467861246</v>
      </c>
    </row>
    <row r="1437" hidden="1">
      <c r="A1437" s="67" t="s">
        <v>2197</v>
      </c>
      <c r="B1437" s="67" t="s">
        <v>519</v>
      </c>
      <c r="C1437" s="68">
        <v>0.1</v>
      </c>
      <c r="D1437" s="68">
        <v>0.5</v>
      </c>
      <c r="E1437" s="68">
        <v>3.0</v>
      </c>
      <c r="F1437" s="68">
        <v>0.0</v>
      </c>
      <c r="G1437" s="68">
        <v>4.90732272645275</v>
      </c>
      <c r="H1437" s="68">
        <v>207.332460289303</v>
      </c>
      <c r="I1437" s="69">
        <v>44295.18215277778</v>
      </c>
      <c r="J1437" s="69">
        <v>44295.209710648145</v>
      </c>
      <c r="K1437">
        <f>AVERAGE(H1437:H1441)</f>
        <v>87.88419188</v>
      </c>
      <c r="L1437">
        <f>STDEV(H1437:H1441)</f>
        <v>95.07874429</v>
      </c>
      <c r="M1437" s="70">
        <v>207.332460289303</v>
      </c>
      <c r="N1437" s="70">
        <v>207.332460289303</v>
      </c>
      <c r="O1437" s="70">
        <v>4.90732272645275</v>
      </c>
      <c r="P1437" s="70">
        <v>4.90732272645275</v>
      </c>
    </row>
    <row r="1438" hidden="1">
      <c r="A1438" s="67" t="s">
        <v>2198</v>
      </c>
      <c r="B1438" s="67" t="s">
        <v>519</v>
      </c>
      <c r="C1438" s="68">
        <v>0.1</v>
      </c>
      <c r="D1438" s="68">
        <v>0.5</v>
      </c>
      <c r="E1438" s="68">
        <v>3.0</v>
      </c>
      <c r="F1438" s="68">
        <v>1.0</v>
      </c>
      <c r="G1438" s="68">
        <v>3.74508107472048</v>
      </c>
      <c r="H1438" s="68">
        <v>168.33917032216</v>
      </c>
      <c r="I1438" s="69">
        <v>44295.21040509259</v>
      </c>
      <c r="J1438" s="69">
        <v>44295.252650462964</v>
      </c>
      <c r="K1438">
        <f>AVERAGE(H1437:H1441)</f>
        <v>87.88419188</v>
      </c>
      <c r="L1438">
        <f>STDEV(H1437:H1441)</f>
        <v>95.07874429</v>
      </c>
      <c r="M1438" s="70">
        <v>168.33917032216</v>
      </c>
      <c r="N1438" s="70">
        <v>168.33917032216</v>
      </c>
      <c r="O1438" s="70">
        <v>3.74508107472048</v>
      </c>
      <c r="P1438" s="70">
        <v>3.74508107472048</v>
      </c>
    </row>
    <row r="1439" hidden="1">
      <c r="A1439" s="67" t="s">
        <v>2199</v>
      </c>
      <c r="B1439" s="67" t="s">
        <v>519</v>
      </c>
      <c r="C1439" s="68">
        <v>0.1</v>
      </c>
      <c r="D1439" s="68">
        <v>0.5</v>
      </c>
      <c r="E1439" s="68">
        <v>3.0</v>
      </c>
      <c r="F1439" s="68">
        <v>2.0</v>
      </c>
      <c r="G1439" s="68">
        <v>2.64397974277779</v>
      </c>
      <c r="H1439" s="68">
        <v>4.14308284676004</v>
      </c>
      <c r="I1439" s="69">
        <v>44295.25334490741</v>
      </c>
      <c r="J1439" s="69">
        <v>44295.253530092596</v>
      </c>
      <c r="K1439">
        <f>AVERAGE(H1437:H1441)</f>
        <v>87.88419188</v>
      </c>
      <c r="L1439">
        <f>STDEV(H1437:H1441)</f>
        <v>95.07874429</v>
      </c>
      <c r="M1439" s="70">
        <v>4.14308284676004</v>
      </c>
      <c r="N1439" s="70">
        <v>4.14308284676004</v>
      </c>
      <c r="O1439" s="70">
        <v>2.64397974277779</v>
      </c>
      <c r="P1439" s="70">
        <v>2.64397974277779</v>
      </c>
    </row>
    <row r="1440" hidden="1">
      <c r="A1440" s="67" t="s">
        <v>2200</v>
      </c>
      <c r="B1440" s="67" t="s">
        <v>519</v>
      </c>
      <c r="C1440" s="68">
        <v>0.1</v>
      </c>
      <c r="D1440" s="68">
        <v>0.5</v>
      </c>
      <c r="E1440" s="68">
        <v>3.0</v>
      </c>
      <c r="F1440" s="68">
        <v>3.0</v>
      </c>
      <c r="G1440" s="68">
        <v>0.518878421450443</v>
      </c>
      <c r="H1440" s="68">
        <v>0.997015884864305</v>
      </c>
      <c r="I1440" s="69">
        <v>44295.254224537035</v>
      </c>
      <c r="J1440" s="69">
        <v>44295.254791666666</v>
      </c>
      <c r="K1440">
        <f>AVERAGE(H1437:H1441)</f>
        <v>87.88419188</v>
      </c>
      <c r="L1440">
        <f>STDEV(H1437:H1441)</f>
        <v>95.07874429</v>
      </c>
      <c r="M1440" s="70">
        <v>0.997015884864305</v>
      </c>
      <c r="N1440" s="70">
        <v>0.997015884864305</v>
      </c>
      <c r="O1440" s="70">
        <v>0.518878421450443</v>
      </c>
      <c r="P1440" s="70">
        <v>0.518878421450443</v>
      </c>
    </row>
    <row r="1441" hidden="1">
      <c r="A1441" s="67" t="s">
        <v>2201</v>
      </c>
      <c r="B1441" s="67" t="s">
        <v>519</v>
      </c>
      <c r="C1441" s="68">
        <v>0.1</v>
      </c>
      <c r="D1441" s="68">
        <v>0.5</v>
      </c>
      <c r="E1441" s="68">
        <v>3.0</v>
      </c>
      <c r="F1441" s="68">
        <v>4.0</v>
      </c>
      <c r="G1441" s="68">
        <v>1.5815878417486</v>
      </c>
      <c r="H1441" s="68">
        <v>58.6092300765473</v>
      </c>
      <c r="I1441" s="69">
        <v>44295.25548611111</v>
      </c>
      <c r="J1441" s="69">
        <v>44295.26991898148</v>
      </c>
      <c r="K1441">
        <f>AVERAGE(H1437:H1441)</f>
        <v>87.88419188</v>
      </c>
      <c r="L1441">
        <f>STDEV(H1437:H1441)</f>
        <v>95.07874429</v>
      </c>
      <c r="M1441" s="70">
        <v>58.6092300765473</v>
      </c>
      <c r="N1441" s="70">
        <v>58.6092300765473</v>
      </c>
      <c r="O1441" s="70">
        <v>1.5815878417486</v>
      </c>
      <c r="P1441" s="70">
        <v>1.5815878417486</v>
      </c>
    </row>
    <row r="1442" hidden="1">
      <c r="A1442" s="67" t="s">
        <v>2202</v>
      </c>
      <c r="B1442" s="67" t="s">
        <v>519</v>
      </c>
      <c r="C1442" s="68">
        <v>0.1</v>
      </c>
      <c r="D1442" s="68">
        <v>0.75</v>
      </c>
      <c r="E1442" s="68">
        <v>3.0</v>
      </c>
      <c r="F1442" s="68">
        <v>0.0</v>
      </c>
      <c r="G1442" s="68">
        <v>3.24559160399468</v>
      </c>
      <c r="H1442" s="68">
        <v>154.435994388528</v>
      </c>
      <c r="I1442" s="69">
        <v>44317.64255787037</v>
      </c>
      <c r="J1442" s="69">
        <v>44317.66780092593</v>
      </c>
      <c r="K1442">
        <f>AVERAGE(H1442:H1446)</f>
        <v>123.655827</v>
      </c>
      <c r="L1442">
        <f>STDEV(H1442:H1446)</f>
        <v>87.93791968</v>
      </c>
      <c r="M1442" s="70">
        <v>154.435994388528</v>
      </c>
      <c r="N1442" s="70">
        <v>154.435994388528</v>
      </c>
      <c r="O1442" s="70">
        <v>3.24559160399468</v>
      </c>
      <c r="P1442" s="70">
        <v>3.24559160399468</v>
      </c>
    </row>
    <row r="1443" hidden="1">
      <c r="A1443" s="67" t="s">
        <v>2203</v>
      </c>
      <c r="B1443" s="67" t="s">
        <v>519</v>
      </c>
      <c r="C1443" s="68">
        <v>0.1</v>
      </c>
      <c r="D1443" s="68">
        <v>0.75</v>
      </c>
      <c r="E1443" s="68">
        <v>3.0</v>
      </c>
      <c r="F1443" s="68">
        <v>1.0</v>
      </c>
      <c r="G1443" s="68">
        <v>4.85889174808223</v>
      </c>
      <c r="H1443" s="68">
        <v>221.006242768396</v>
      </c>
      <c r="I1443" s="69">
        <v>44317.66850694444</v>
      </c>
      <c r="J1443" s="69">
        <v>44317.668958333335</v>
      </c>
      <c r="K1443">
        <f>AVERAGE(H1442:H1446)</f>
        <v>123.655827</v>
      </c>
      <c r="L1443">
        <f>STDEV(H1442:H1446)</f>
        <v>87.93791968</v>
      </c>
      <c r="M1443" s="70">
        <v>221.006242768396</v>
      </c>
      <c r="N1443" s="70">
        <v>221.006242768396</v>
      </c>
      <c r="O1443" s="70">
        <v>4.85889174808223</v>
      </c>
      <c r="P1443" s="70">
        <v>4.85889174808223</v>
      </c>
    </row>
    <row r="1444" hidden="1">
      <c r="A1444" s="67" t="s">
        <v>2204</v>
      </c>
      <c r="B1444" s="67" t="s">
        <v>519</v>
      </c>
      <c r="C1444" s="68">
        <v>0.1</v>
      </c>
      <c r="D1444" s="68">
        <v>0.75</v>
      </c>
      <c r="E1444" s="68">
        <v>3.0</v>
      </c>
      <c r="F1444" s="68">
        <v>2.0</v>
      </c>
      <c r="G1444" s="68">
        <v>4.36977693608509</v>
      </c>
      <c r="H1444" s="68">
        <v>172.821970087941</v>
      </c>
      <c r="I1444" s="69">
        <v>44317.66966435185</v>
      </c>
      <c r="J1444" s="69">
        <v>44317.67555555556</v>
      </c>
      <c r="K1444">
        <f>AVERAGE(H1442:H1446)</f>
        <v>123.655827</v>
      </c>
      <c r="L1444">
        <f>STDEV(H1442:H1446)</f>
        <v>87.93791968</v>
      </c>
      <c r="M1444" s="70">
        <v>172.821970087941</v>
      </c>
      <c r="N1444" s="70">
        <v>172.821970087941</v>
      </c>
      <c r="O1444" s="70">
        <v>4.36977693608509</v>
      </c>
      <c r="P1444" s="70">
        <v>4.36977693608509</v>
      </c>
    </row>
    <row r="1445" hidden="1">
      <c r="A1445" s="67" t="s">
        <v>2205</v>
      </c>
      <c r="B1445" s="67" t="s">
        <v>519</v>
      </c>
      <c r="C1445" s="68">
        <v>0.1</v>
      </c>
      <c r="D1445" s="68">
        <v>0.75</v>
      </c>
      <c r="E1445" s="68">
        <v>3.0</v>
      </c>
      <c r="F1445" s="68">
        <v>3.0</v>
      </c>
      <c r="G1445" s="68">
        <v>0.466491018990041</v>
      </c>
      <c r="H1445" s="68">
        <v>0.558846337991739</v>
      </c>
      <c r="I1445" s="69">
        <v>44317.67626157407</v>
      </c>
      <c r="J1445" s="69">
        <v>44317.67644675926</v>
      </c>
      <c r="K1445">
        <f>AVERAGE(H1442:H1446)</f>
        <v>123.655827</v>
      </c>
      <c r="L1445">
        <f>STDEV(H1442:H1446)</f>
        <v>87.93791968</v>
      </c>
      <c r="M1445" s="70">
        <v>0.558846337991739</v>
      </c>
      <c r="N1445" s="70">
        <v>0.558846337991739</v>
      </c>
      <c r="O1445" s="70">
        <v>0.466491018990041</v>
      </c>
      <c r="P1445" s="70">
        <v>0.466491018990041</v>
      </c>
    </row>
    <row r="1446" hidden="1">
      <c r="A1446" s="67" t="s">
        <v>2206</v>
      </c>
      <c r="B1446" s="67" t="s">
        <v>519</v>
      </c>
      <c r="C1446" s="68">
        <v>0.1</v>
      </c>
      <c r="D1446" s="68">
        <v>0.75</v>
      </c>
      <c r="E1446" s="68">
        <v>3.0</v>
      </c>
      <c r="F1446" s="68">
        <v>4.0</v>
      </c>
      <c r="G1446" s="68">
        <v>1.35131645412261</v>
      </c>
      <c r="H1446" s="68">
        <v>69.4560812229902</v>
      </c>
      <c r="I1446" s="69">
        <v>44317.67716435185</v>
      </c>
      <c r="J1446" s="69">
        <v>44317.67834490741</v>
      </c>
      <c r="K1446">
        <f>AVERAGE(H1442:H1446)</f>
        <v>123.655827</v>
      </c>
      <c r="L1446">
        <f>STDEV(H1442:H1446)</f>
        <v>87.93791968</v>
      </c>
      <c r="M1446" s="70">
        <v>69.4560812229902</v>
      </c>
      <c r="N1446" s="70">
        <v>69.4560812229902</v>
      </c>
      <c r="O1446" s="70">
        <v>1.35131645412261</v>
      </c>
      <c r="P1446" s="70">
        <v>1.35131645412261</v>
      </c>
    </row>
    <row r="1447" hidden="1">
      <c r="A1447" s="67" t="s">
        <v>2207</v>
      </c>
      <c r="B1447" s="67" t="s">
        <v>519</v>
      </c>
      <c r="C1447" s="68">
        <v>0.1</v>
      </c>
      <c r="D1447" s="68">
        <v>1.0</v>
      </c>
      <c r="E1447" s="68">
        <v>3.0</v>
      </c>
      <c r="F1447" s="68">
        <v>0.0</v>
      </c>
      <c r="G1447" s="68">
        <v>0.467858173930302</v>
      </c>
      <c r="H1447" s="68">
        <v>0.559336050779412</v>
      </c>
      <c r="I1447" s="69">
        <v>44317.67905092592</v>
      </c>
      <c r="J1447" s="69">
        <v>44317.679236111115</v>
      </c>
      <c r="K1447">
        <f>AVERAGE(H1447:H1451)</f>
        <v>111.8008054</v>
      </c>
      <c r="L1447">
        <f>STDEV(H1447:H1451)</f>
        <v>102.3106994</v>
      </c>
      <c r="M1447" s="70">
        <v>0.559336050779412</v>
      </c>
      <c r="N1447" s="70">
        <v>0.559336050779412</v>
      </c>
      <c r="O1447" s="70">
        <v>0.467858173930302</v>
      </c>
      <c r="P1447" s="70">
        <v>0.467858173930302</v>
      </c>
    </row>
    <row r="1448" hidden="1">
      <c r="A1448" s="67" t="s">
        <v>2208</v>
      </c>
      <c r="B1448" s="67" t="s">
        <v>519</v>
      </c>
      <c r="C1448" s="68">
        <v>0.1</v>
      </c>
      <c r="D1448" s="68">
        <v>1.0</v>
      </c>
      <c r="E1448" s="68">
        <v>3.0</v>
      </c>
      <c r="F1448" s="68">
        <v>1.0</v>
      </c>
      <c r="G1448" s="68">
        <v>3.2398656917924</v>
      </c>
      <c r="H1448" s="68">
        <v>162.236803576</v>
      </c>
      <c r="I1448" s="69">
        <v>44317.67994212963</v>
      </c>
      <c r="J1448" s="69">
        <v>44317.80871527778</v>
      </c>
      <c r="K1448">
        <f>AVERAGE(H1447:H1451)</f>
        <v>111.8008054</v>
      </c>
      <c r="L1448">
        <f>STDEV(H1447:H1451)</f>
        <v>102.3106994</v>
      </c>
      <c r="M1448" s="70">
        <v>162.236803576</v>
      </c>
      <c r="N1448" s="70">
        <v>162.236803576</v>
      </c>
      <c r="O1448" s="70">
        <v>3.2398656917924</v>
      </c>
      <c r="P1448" s="70">
        <v>3.2398656917924</v>
      </c>
    </row>
    <row r="1449" hidden="1">
      <c r="A1449" s="67" t="s">
        <v>2209</v>
      </c>
      <c r="B1449" s="67" t="s">
        <v>519</v>
      </c>
      <c r="C1449" s="68">
        <v>0.1</v>
      </c>
      <c r="D1449" s="68">
        <v>1.0</v>
      </c>
      <c r="E1449" s="68">
        <v>3.0</v>
      </c>
      <c r="F1449" s="68">
        <v>2.0</v>
      </c>
      <c r="G1449" s="68">
        <v>5.54597081771853</v>
      </c>
      <c r="H1449" s="68">
        <v>171.845682182676</v>
      </c>
      <c r="I1449" s="69">
        <v>44317.809432870374</v>
      </c>
      <c r="J1449" s="69">
        <v>44317.809583333335</v>
      </c>
      <c r="K1449">
        <f>AVERAGE(H1447:H1451)</f>
        <v>111.8008054</v>
      </c>
      <c r="L1449">
        <f>STDEV(H1447:H1451)</f>
        <v>102.3106994</v>
      </c>
      <c r="M1449" s="70">
        <v>171.845682182676</v>
      </c>
      <c r="N1449" s="70">
        <v>171.845682182676</v>
      </c>
      <c r="O1449" s="70">
        <v>5.54597081771853</v>
      </c>
      <c r="P1449" s="70">
        <v>5.54597081771853</v>
      </c>
    </row>
    <row r="1450" hidden="1">
      <c r="A1450" s="67" t="s">
        <v>2210</v>
      </c>
      <c r="B1450" s="67" t="s">
        <v>519</v>
      </c>
      <c r="C1450" s="68">
        <v>0.1</v>
      </c>
      <c r="D1450" s="68">
        <v>1.0</v>
      </c>
      <c r="E1450" s="68">
        <v>3.0</v>
      </c>
      <c r="F1450" s="68">
        <v>3.0</v>
      </c>
      <c r="G1450" s="68">
        <v>9.27298828601337</v>
      </c>
      <c r="H1450" s="68">
        <v>220.222266014616</v>
      </c>
      <c r="I1450" s="69">
        <v>44317.81028935185</v>
      </c>
      <c r="J1450" s="69">
        <v>44317.81040509259</v>
      </c>
      <c r="K1450">
        <f>AVERAGE(H1447:H1451)</f>
        <v>111.8008054</v>
      </c>
      <c r="L1450">
        <f>STDEV(H1447:H1451)</f>
        <v>102.3106994</v>
      </c>
      <c r="M1450" s="70">
        <v>220.222266014616</v>
      </c>
      <c r="N1450" s="70">
        <v>220.222266014616</v>
      </c>
      <c r="O1450" s="70">
        <v>9.27298828601337</v>
      </c>
      <c r="P1450" s="70">
        <v>9.27298828601337</v>
      </c>
    </row>
    <row r="1451" hidden="1">
      <c r="A1451" s="67" t="s">
        <v>2211</v>
      </c>
      <c r="B1451" s="67" t="s">
        <v>519</v>
      </c>
      <c r="C1451" s="68">
        <v>0.1</v>
      </c>
      <c r="D1451" s="68">
        <v>1.0</v>
      </c>
      <c r="E1451" s="68">
        <v>3.0</v>
      </c>
      <c r="F1451" s="68">
        <v>4.0</v>
      </c>
      <c r="G1451" s="68">
        <v>2.64140171798701</v>
      </c>
      <c r="H1451" s="68">
        <v>4.13993917207762</v>
      </c>
      <c r="I1451" s="69">
        <v>44317.811111111114</v>
      </c>
      <c r="J1451" s="69">
        <v>44317.811203703706</v>
      </c>
      <c r="K1451">
        <f>AVERAGE(H1447:H1451)</f>
        <v>111.8008054</v>
      </c>
      <c r="L1451">
        <f>STDEV(H1447:H1451)</f>
        <v>102.3106994</v>
      </c>
      <c r="M1451" s="70">
        <v>4.13993917207762</v>
      </c>
      <c r="N1451" s="70">
        <v>4.13993917207762</v>
      </c>
      <c r="O1451" s="70">
        <v>2.64140171798701</v>
      </c>
      <c r="P1451" s="70">
        <v>2.64140171798701</v>
      </c>
    </row>
    <row r="1452" hidden="1">
      <c r="A1452" s="67" t="s">
        <v>2212</v>
      </c>
      <c r="B1452" s="67" t="s">
        <v>519</v>
      </c>
      <c r="C1452" s="68">
        <v>0.25</v>
      </c>
      <c r="D1452" s="68">
        <v>0.1</v>
      </c>
      <c r="E1452" s="68">
        <v>3.0</v>
      </c>
      <c r="F1452" s="68">
        <v>0.0</v>
      </c>
      <c r="G1452" s="68">
        <v>6.21689374027246</v>
      </c>
      <c r="H1452" s="68">
        <v>144.00625967178</v>
      </c>
      <c r="I1452" s="69">
        <v>44317.8119212963</v>
      </c>
      <c r="J1452" s="69">
        <v>44317.81203703704</v>
      </c>
      <c r="K1452">
        <f>AVERAGE(H1452:H1456)</f>
        <v>120.9461001</v>
      </c>
      <c r="L1452">
        <f>STDEV(H1452:H1456)</f>
        <v>60.4084608</v>
      </c>
      <c r="M1452" s="70">
        <v>144.00625967178</v>
      </c>
      <c r="N1452" s="70">
        <v>144.00625967178</v>
      </c>
      <c r="O1452" s="70">
        <v>6.21689374027246</v>
      </c>
      <c r="P1452" s="70">
        <v>6.21689374027246</v>
      </c>
    </row>
    <row r="1453" hidden="1">
      <c r="A1453" s="67" t="s">
        <v>2213</v>
      </c>
      <c r="B1453" s="67" t="s">
        <v>519</v>
      </c>
      <c r="C1453" s="68">
        <v>0.25</v>
      </c>
      <c r="D1453" s="68">
        <v>0.1</v>
      </c>
      <c r="E1453" s="68">
        <v>3.0</v>
      </c>
      <c r="F1453" s="68">
        <v>1.0</v>
      </c>
      <c r="G1453" s="68">
        <v>0.947146018536682</v>
      </c>
      <c r="H1453" s="68">
        <v>16.0815357053224</v>
      </c>
      <c r="I1453" s="69">
        <v>44317.812743055554</v>
      </c>
      <c r="J1453" s="69">
        <v>44317.81420138889</v>
      </c>
      <c r="K1453">
        <f>AVERAGE(H1452:H1456)</f>
        <v>120.9461001</v>
      </c>
      <c r="L1453">
        <f>STDEV(H1452:H1456)</f>
        <v>60.4084608</v>
      </c>
      <c r="M1453" s="70">
        <v>16.0815357053224</v>
      </c>
      <c r="N1453" s="70">
        <v>16.0815357053224</v>
      </c>
      <c r="O1453" s="70">
        <v>0.947146018536682</v>
      </c>
      <c r="P1453" s="70">
        <v>0.947146018536682</v>
      </c>
    </row>
    <row r="1454" hidden="1">
      <c r="A1454" s="67" t="s">
        <v>2214</v>
      </c>
      <c r="B1454" s="67" t="s">
        <v>519</v>
      </c>
      <c r="C1454" s="68">
        <v>0.25</v>
      </c>
      <c r="D1454" s="68">
        <v>0.1</v>
      </c>
      <c r="E1454" s="68">
        <v>3.0</v>
      </c>
      <c r="F1454" s="68">
        <v>2.0</v>
      </c>
      <c r="G1454" s="68">
        <v>3.79378162434355</v>
      </c>
      <c r="H1454" s="68">
        <v>171.407012213509</v>
      </c>
      <c r="I1454" s="69">
        <v>44317.81490740741</v>
      </c>
      <c r="J1454" s="69">
        <v>44317.843090277776</v>
      </c>
      <c r="K1454">
        <f>AVERAGE(H1452:H1456)</f>
        <v>120.9461001</v>
      </c>
      <c r="L1454">
        <f>STDEV(H1452:H1456)</f>
        <v>60.4084608</v>
      </c>
      <c r="M1454" s="70">
        <v>171.407012213509</v>
      </c>
      <c r="N1454" s="70">
        <v>171.407012213509</v>
      </c>
      <c r="O1454" s="70">
        <v>3.79378162434355</v>
      </c>
      <c r="P1454" s="70">
        <v>3.79378162434355</v>
      </c>
    </row>
    <row r="1455" hidden="1">
      <c r="A1455" s="67" t="s">
        <v>2215</v>
      </c>
      <c r="B1455" s="67" t="s">
        <v>519</v>
      </c>
      <c r="C1455" s="68">
        <v>0.25</v>
      </c>
      <c r="D1455" s="68">
        <v>0.1</v>
      </c>
      <c r="E1455" s="68">
        <v>3.0</v>
      </c>
      <c r="F1455" s="68">
        <v>3.0</v>
      </c>
      <c r="G1455" s="68">
        <v>2.98438892245707</v>
      </c>
      <c r="H1455" s="68">
        <v>140.546574344029</v>
      </c>
      <c r="I1455" s="69">
        <v>44317.8437962963</v>
      </c>
      <c r="J1455" s="69">
        <v>44317.86017361111</v>
      </c>
      <c r="K1455">
        <f>AVERAGE(H1452:H1456)</f>
        <v>120.9461001</v>
      </c>
      <c r="L1455">
        <f>STDEV(H1452:H1456)</f>
        <v>60.4084608</v>
      </c>
      <c r="M1455" s="70">
        <v>140.546574344029</v>
      </c>
      <c r="N1455" s="70">
        <v>140.546574344029</v>
      </c>
      <c r="O1455" s="70">
        <v>2.98438892245707</v>
      </c>
      <c r="P1455" s="70">
        <v>2.98438892245707</v>
      </c>
    </row>
    <row r="1456" hidden="1">
      <c r="A1456" s="67" t="s">
        <v>2216</v>
      </c>
      <c r="B1456" s="67" t="s">
        <v>519</v>
      </c>
      <c r="C1456" s="68">
        <v>0.25</v>
      </c>
      <c r="D1456" s="68">
        <v>0.1</v>
      </c>
      <c r="E1456" s="68">
        <v>3.0</v>
      </c>
      <c r="F1456" s="68">
        <v>4.0</v>
      </c>
      <c r="G1456" s="68">
        <v>5.63037801875538</v>
      </c>
      <c r="H1456" s="68">
        <v>132.689118342232</v>
      </c>
      <c r="I1456" s="69">
        <v>44317.86087962963</v>
      </c>
      <c r="J1456" s="69">
        <v>44317.860925925925</v>
      </c>
      <c r="K1456">
        <f>AVERAGE(H1452:H1456)</f>
        <v>120.9461001</v>
      </c>
      <c r="L1456">
        <f>STDEV(H1452:H1456)</f>
        <v>60.4084608</v>
      </c>
      <c r="M1456" s="70">
        <v>132.689118342232</v>
      </c>
      <c r="N1456" s="70">
        <v>132.689118342232</v>
      </c>
      <c r="O1456" s="70">
        <v>5.63037801875538</v>
      </c>
      <c r="P1456" s="70">
        <v>5.63037801875538</v>
      </c>
    </row>
    <row r="1457" hidden="1">
      <c r="A1457" s="67" t="s">
        <v>2217</v>
      </c>
      <c r="B1457" s="67" t="s">
        <v>519</v>
      </c>
      <c r="C1457" s="68">
        <v>0.25</v>
      </c>
      <c r="D1457" s="68">
        <v>0.25</v>
      </c>
      <c r="E1457" s="68">
        <v>3.0</v>
      </c>
      <c r="F1457" s="68">
        <v>0.0</v>
      </c>
      <c r="G1457" s="68">
        <v>3.89300487482774</v>
      </c>
      <c r="H1457" s="68">
        <v>160.258633262184</v>
      </c>
      <c r="I1457" s="69">
        <v>44317.86163194444</v>
      </c>
      <c r="J1457" s="69">
        <v>44317.86193287037</v>
      </c>
      <c r="K1457">
        <f>AVERAGE(H1457:H1461)</f>
        <v>170.2015076</v>
      </c>
      <c r="L1457">
        <f>STDEV(H1457:H1461)</f>
        <v>74.59181752</v>
      </c>
      <c r="M1457" s="70">
        <v>160.258633262184</v>
      </c>
      <c r="N1457" s="70">
        <v>160.258633262184</v>
      </c>
      <c r="O1457" s="70">
        <v>3.89300487482774</v>
      </c>
      <c r="P1457" s="70">
        <v>3.89300487482774</v>
      </c>
    </row>
    <row r="1458" hidden="1">
      <c r="A1458" s="67" t="s">
        <v>2218</v>
      </c>
      <c r="B1458" s="67" t="s">
        <v>519</v>
      </c>
      <c r="C1458" s="68">
        <v>0.25</v>
      </c>
      <c r="D1458" s="68">
        <v>0.25</v>
      </c>
      <c r="E1458" s="68">
        <v>3.0</v>
      </c>
      <c r="F1458" s="68">
        <v>1.0</v>
      </c>
      <c r="G1458" s="68">
        <v>2.91899912710236</v>
      </c>
      <c r="H1458" s="68">
        <v>146.295388226331</v>
      </c>
      <c r="I1458" s="69">
        <v>44317.86263888889</v>
      </c>
      <c r="J1458" s="69">
        <v>44317.90795138889</v>
      </c>
      <c r="K1458">
        <f>AVERAGE(H1457:H1461)</f>
        <v>170.2015076</v>
      </c>
      <c r="L1458">
        <f>STDEV(H1457:H1461)</f>
        <v>74.59181752</v>
      </c>
      <c r="M1458" s="70">
        <v>146.295388226331</v>
      </c>
      <c r="N1458" s="70">
        <v>146.295388226331</v>
      </c>
      <c r="O1458" s="70">
        <v>2.91899912710236</v>
      </c>
      <c r="P1458" s="70">
        <v>2.91899912710236</v>
      </c>
    </row>
    <row r="1459" hidden="1">
      <c r="A1459" s="67" t="s">
        <v>2219</v>
      </c>
      <c r="B1459" s="67" t="s">
        <v>519</v>
      </c>
      <c r="C1459" s="68">
        <v>0.25</v>
      </c>
      <c r="D1459" s="68">
        <v>0.25</v>
      </c>
      <c r="E1459" s="68">
        <v>3.0</v>
      </c>
      <c r="F1459" s="68">
        <v>2.0</v>
      </c>
      <c r="G1459" s="68">
        <v>5.48063357461151</v>
      </c>
      <c r="H1459" s="68">
        <v>203.037377072</v>
      </c>
      <c r="I1459" s="69">
        <v>44317.90865740741</v>
      </c>
      <c r="J1459" s="69">
        <v>44317.90980324074</v>
      </c>
      <c r="K1459">
        <f>AVERAGE(H1457:H1461)</f>
        <v>170.2015076</v>
      </c>
      <c r="L1459">
        <f>STDEV(H1457:H1461)</f>
        <v>74.59181752</v>
      </c>
      <c r="M1459" s="70">
        <v>203.037377072</v>
      </c>
      <c r="N1459" s="70">
        <v>203.037377072</v>
      </c>
      <c r="O1459" s="70">
        <v>5.48063357461151</v>
      </c>
      <c r="P1459" s="70">
        <v>5.48063357461151</v>
      </c>
    </row>
    <row r="1460" hidden="1">
      <c r="A1460" s="67" t="s">
        <v>2220</v>
      </c>
      <c r="B1460" s="67" t="s">
        <v>519</v>
      </c>
      <c r="C1460" s="68">
        <v>0.25</v>
      </c>
      <c r="D1460" s="68">
        <v>0.25</v>
      </c>
      <c r="E1460" s="68">
        <v>3.0</v>
      </c>
      <c r="F1460" s="68">
        <v>3.0</v>
      </c>
      <c r="G1460" s="68">
        <v>7.40402621077471</v>
      </c>
      <c r="H1460" s="68">
        <v>271.966862335856</v>
      </c>
      <c r="I1460" s="69">
        <v>44317.91050925926</v>
      </c>
      <c r="J1460" s="69">
        <v>44317.910787037035</v>
      </c>
      <c r="K1460">
        <f>AVERAGE(H1457:H1461)</f>
        <v>170.2015076</v>
      </c>
      <c r="L1460">
        <f>STDEV(H1457:H1461)</f>
        <v>74.59181752</v>
      </c>
      <c r="M1460" s="70">
        <v>271.966862335856</v>
      </c>
      <c r="N1460" s="70">
        <v>271.966862335856</v>
      </c>
      <c r="O1460" s="70">
        <v>7.40402621077471</v>
      </c>
      <c r="P1460" s="70">
        <v>7.40402621077471</v>
      </c>
    </row>
    <row r="1461" hidden="1">
      <c r="A1461" s="67" t="s">
        <v>2221</v>
      </c>
      <c r="B1461" s="67" t="s">
        <v>519</v>
      </c>
      <c r="C1461" s="68">
        <v>0.25</v>
      </c>
      <c r="D1461" s="68">
        <v>0.25</v>
      </c>
      <c r="E1461" s="68">
        <v>3.0</v>
      </c>
      <c r="F1461" s="68">
        <v>4.0</v>
      </c>
      <c r="G1461" s="68">
        <v>1.35105551055397</v>
      </c>
      <c r="H1461" s="68">
        <v>69.4492772349691</v>
      </c>
      <c r="I1461" s="69">
        <v>44317.91149305556</v>
      </c>
      <c r="J1461" s="69">
        <v>44317.912627314814</v>
      </c>
      <c r="K1461">
        <f>AVERAGE(H1457:H1461)</f>
        <v>170.2015076</v>
      </c>
      <c r="L1461">
        <f>STDEV(H1457:H1461)</f>
        <v>74.59181752</v>
      </c>
      <c r="M1461" s="70">
        <v>69.4492772349691</v>
      </c>
      <c r="N1461" s="70">
        <v>69.4492772349691</v>
      </c>
      <c r="O1461" s="70">
        <v>1.35105551055397</v>
      </c>
      <c r="P1461" s="70">
        <v>1.35105551055397</v>
      </c>
    </row>
    <row r="1462" hidden="1">
      <c r="A1462" s="67" t="s">
        <v>2222</v>
      </c>
      <c r="B1462" s="67" t="s">
        <v>519</v>
      </c>
      <c r="C1462" s="68">
        <v>0.25</v>
      </c>
      <c r="D1462" s="68">
        <v>0.5</v>
      </c>
      <c r="E1462" s="68">
        <v>3.0</v>
      </c>
      <c r="F1462" s="68">
        <v>0.0</v>
      </c>
      <c r="G1462" s="68">
        <v>1.08269881214681</v>
      </c>
      <c r="H1462" s="68">
        <v>1.45225338817616</v>
      </c>
      <c r="I1462" s="69">
        <v>44317.91333333333</v>
      </c>
      <c r="J1462" s="69">
        <v>44317.913449074076</v>
      </c>
      <c r="K1462">
        <f>AVERAGE(H1462:H1466)</f>
        <v>143.8496087</v>
      </c>
      <c r="L1462">
        <f>STDEV(H1462:H1466)</f>
        <v>96.39408488</v>
      </c>
      <c r="M1462" s="70">
        <v>1.45225338817616</v>
      </c>
      <c r="N1462" s="70">
        <v>1.45225338817616</v>
      </c>
      <c r="O1462" s="70">
        <v>1.08269881214681</v>
      </c>
      <c r="P1462" s="70">
        <v>1.08269881214681</v>
      </c>
    </row>
    <row r="1463" hidden="1">
      <c r="A1463" s="67" t="s">
        <v>2223</v>
      </c>
      <c r="B1463" s="67" t="s">
        <v>519</v>
      </c>
      <c r="C1463" s="68">
        <v>0.25</v>
      </c>
      <c r="D1463" s="68">
        <v>0.5</v>
      </c>
      <c r="E1463" s="68">
        <v>3.0</v>
      </c>
      <c r="F1463" s="68">
        <v>1.0</v>
      </c>
      <c r="G1463" s="68">
        <v>4.16951055383828</v>
      </c>
      <c r="H1463" s="68">
        <v>161.223322443343</v>
      </c>
      <c r="I1463" s="69">
        <v>44317.91415509259</v>
      </c>
      <c r="J1463" s="69">
        <v>44317.9184837963</v>
      </c>
      <c r="K1463">
        <f>AVERAGE(H1462:H1466)</f>
        <v>143.8496087</v>
      </c>
      <c r="L1463">
        <f>STDEV(H1462:H1466)</f>
        <v>96.39408488</v>
      </c>
      <c r="M1463" s="70">
        <v>161.223322443343</v>
      </c>
      <c r="N1463" s="70">
        <v>161.223322443343</v>
      </c>
      <c r="O1463" s="70">
        <v>4.16951055383828</v>
      </c>
      <c r="P1463" s="70">
        <v>4.16951055383828</v>
      </c>
    </row>
    <row r="1464" hidden="1">
      <c r="A1464" s="67" t="s">
        <v>2224</v>
      </c>
      <c r="B1464" s="67" t="s">
        <v>519</v>
      </c>
      <c r="C1464" s="68">
        <v>0.25</v>
      </c>
      <c r="D1464" s="68">
        <v>0.5</v>
      </c>
      <c r="E1464" s="68">
        <v>3.0</v>
      </c>
      <c r="F1464" s="68">
        <v>2.0</v>
      </c>
      <c r="G1464" s="68">
        <v>2.33973878844794</v>
      </c>
      <c r="H1464" s="68">
        <v>138.982284547396</v>
      </c>
      <c r="I1464" s="69">
        <v>44317.91920138889</v>
      </c>
      <c r="J1464" s="69">
        <v>44317.935844907406</v>
      </c>
      <c r="K1464">
        <f>AVERAGE(H1462:H1466)</f>
        <v>143.8496087</v>
      </c>
      <c r="L1464">
        <f>STDEV(H1462:H1466)</f>
        <v>96.39408488</v>
      </c>
      <c r="M1464" s="70">
        <v>138.982284547396</v>
      </c>
      <c r="N1464" s="70">
        <v>138.982284547396</v>
      </c>
      <c r="O1464" s="70">
        <v>2.33973878844794</v>
      </c>
      <c r="P1464" s="70">
        <v>2.33973878844794</v>
      </c>
    </row>
    <row r="1465" hidden="1">
      <c r="A1465" s="67" t="s">
        <v>2225</v>
      </c>
      <c r="B1465" s="67" t="s">
        <v>519</v>
      </c>
      <c r="C1465" s="68">
        <v>0.25</v>
      </c>
      <c r="D1465" s="68">
        <v>0.5</v>
      </c>
      <c r="E1465" s="68">
        <v>3.0</v>
      </c>
      <c r="F1465" s="68">
        <v>3.0</v>
      </c>
      <c r="G1465" s="68">
        <v>2.90425340973054</v>
      </c>
      <c r="H1465" s="68">
        <v>145.042039353976</v>
      </c>
      <c r="I1465" s="69">
        <v>44317.93655092592</v>
      </c>
      <c r="J1465" s="69">
        <v>44317.94342592593</v>
      </c>
      <c r="K1465">
        <f>AVERAGE(H1462:H1466)</f>
        <v>143.8496087</v>
      </c>
      <c r="L1465">
        <f>STDEV(H1462:H1466)</f>
        <v>96.39408488</v>
      </c>
      <c r="M1465" s="70">
        <v>145.042039353976</v>
      </c>
      <c r="N1465" s="70">
        <v>145.042039353976</v>
      </c>
      <c r="O1465" s="70">
        <v>2.90425340973054</v>
      </c>
      <c r="P1465" s="70">
        <v>2.90425340973054</v>
      </c>
    </row>
    <row r="1466" hidden="1">
      <c r="A1466" s="67" t="s">
        <v>2226</v>
      </c>
      <c r="B1466" s="67" t="s">
        <v>519</v>
      </c>
      <c r="C1466" s="68">
        <v>0.25</v>
      </c>
      <c r="D1466" s="68">
        <v>0.5</v>
      </c>
      <c r="E1466" s="68">
        <v>3.0</v>
      </c>
      <c r="F1466" s="68">
        <v>4.0</v>
      </c>
      <c r="G1466" s="68">
        <v>10.6687506618809</v>
      </c>
      <c r="H1466" s="68">
        <v>272.548143779467</v>
      </c>
      <c r="I1466" s="69">
        <v>44317.944131944445</v>
      </c>
      <c r="J1466" s="69">
        <v>44317.94440972222</v>
      </c>
      <c r="K1466">
        <f>AVERAGE(H1462:H1466)</f>
        <v>143.8496087</v>
      </c>
      <c r="L1466">
        <f>STDEV(H1462:H1466)</f>
        <v>96.39408488</v>
      </c>
      <c r="M1466" s="70">
        <v>272.548143779467</v>
      </c>
      <c r="N1466" s="70">
        <v>272.548143779467</v>
      </c>
      <c r="O1466" s="70">
        <v>10.6687506618809</v>
      </c>
      <c r="P1466" s="70">
        <v>10.6687506618809</v>
      </c>
    </row>
    <row r="1467" hidden="1">
      <c r="A1467" s="67" t="s">
        <v>2227</v>
      </c>
      <c r="B1467" s="67" t="s">
        <v>519</v>
      </c>
      <c r="C1467" s="68">
        <v>0.25</v>
      </c>
      <c r="D1467" s="68">
        <v>0.75</v>
      </c>
      <c r="E1467" s="68">
        <v>3.0</v>
      </c>
      <c r="F1467" s="68">
        <v>0.0</v>
      </c>
      <c r="G1467" s="68">
        <v>0.712828389333324</v>
      </c>
      <c r="H1467" s="68">
        <v>0.949621251469742</v>
      </c>
      <c r="I1467" s="69">
        <v>44317.94511574074</v>
      </c>
      <c r="J1467" s="69">
        <v>44317.945335648146</v>
      </c>
      <c r="K1467">
        <f>AVERAGE(H1467:H1471)</f>
        <v>95.56398348</v>
      </c>
      <c r="L1467">
        <f>STDEV(H1467:H1471)</f>
        <v>88.84713359</v>
      </c>
      <c r="M1467" s="70">
        <v>0.949621251469742</v>
      </c>
      <c r="N1467" s="70">
        <v>0.949621251469742</v>
      </c>
      <c r="O1467" s="70">
        <v>0.712828389333324</v>
      </c>
      <c r="P1467" s="70">
        <v>0.712828389333324</v>
      </c>
    </row>
    <row r="1468" hidden="1">
      <c r="A1468" s="67" t="s">
        <v>2228</v>
      </c>
      <c r="B1468" s="67" t="s">
        <v>519</v>
      </c>
      <c r="C1468" s="68">
        <v>0.25</v>
      </c>
      <c r="D1468" s="68">
        <v>0.75</v>
      </c>
      <c r="E1468" s="68">
        <v>3.0</v>
      </c>
      <c r="F1468" s="68">
        <v>1.0</v>
      </c>
      <c r="G1468" s="68">
        <v>0.84548789308218</v>
      </c>
      <c r="H1468" s="68">
        <v>1.14526909868345</v>
      </c>
      <c r="I1468" s="69">
        <v>44317.94604166667</v>
      </c>
      <c r="J1468" s="69">
        <v>44317.94625</v>
      </c>
      <c r="K1468">
        <f>AVERAGE(H1467:H1471)</f>
        <v>95.56398348</v>
      </c>
      <c r="L1468">
        <f>STDEV(H1467:H1471)</f>
        <v>88.84713359</v>
      </c>
      <c r="M1468" s="70">
        <v>1.14526909868345</v>
      </c>
      <c r="N1468" s="70">
        <v>1.14526909868345</v>
      </c>
      <c r="O1468" s="70">
        <v>0.84548789308218</v>
      </c>
      <c r="P1468" s="70">
        <v>0.84548789308218</v>
      </c>
    </row>
    <row r="1469" hidden="1">
      <c r="A1469" s="67" t="s">
        <v>2229</v>
      </c>
      <c r="B1469" s="67" t="s">
        <v>519</v>
      </c>
      <c r="C1469" s="68">
        <v>0.25</v>
      </c>
      <c r="D1469" s="68">
        <v>0.75</v>
      </c>
      <c r="E1469" s="68">
        <v>3.0</v>
      </c>
      <c r="F1469" s="68">
        <v>2.0</v>
      </c>
      <c r="G1469" s="68">
        <v>3.67798601393657</v>
      </c>
      <c r="H1469" s="68">
        <v>130.165820994545</v>
      </c>
      <c r="I1469" s="69">
        <v>44317.94695601852</v>
      </c>
      <c r="J1469" s="69">
        <v>44317.94712962963</v>
      </c>
      <c r="K1469">
        <f>AVERAGE(H1467:H1471)</f>
        <v>95.56398348</v>
      </c>
      <c r="L1469">
        <f>STDEV(H1467:H1471)</f>
        <v>88.84713359</v>
      </c>
      <c r="M1469" s="70">
        <v>130.165820994545</v>
      </c>
      <c r="N1469" s="70">
        <v>130.165820994545</v>
      </c>
      <c r="O1469" s="70">
        <v>3.67798601393657</v>
      </c>
      <c r="P1469" s="70">
        <v>3.67798601393657</v>
      </c>
    </row>
    <row r="1470" hidden="1">
      <c r="A1470" s="67" t="s">
        <v>2230</v>
      </c>
      <c r="B1470" s="67" t="s">
        <v>519</v>
      </c>
      <c r="C1470" s="68">
        <v>0.25</v>
      </c>
      <c r="D1470" s="68">
        <v>0.75</v>
      </c>
      <c r="E1470" s="68">
        <v>3.0</v>
      </c>
      <c r="F1470" s="68">
        <v>3.0</v>
      </c>
      <c r="G1470" s="68">
        <v>3.10375517321191</v>
      </c>
      <c r="H1470" s="68">
        <v>155.652279071332</v>
      </c>
      <c r="I1470" s="69">
        <v>44317.94783564815</v>
      </c>
      <c r="J1470" s="69">
        <v>44317.98479166667</v>
      </c>
      <c r="K1470">
        <f>AVERAGE(H1467:H1471)</f>
        <v>95.56398348</v>
      </c>
      <c r="L1470">
        <f>STDEV(H1467:H1471)</f>
        <v>88.84713359</v>
      </c>
      <c r="M1470" s="70">
        <v>155.652279071332</v>
      </c>
      <c r="N1470" s="70">
        <v>155.652279071332</v>
      </c>
      <c r="O1470" s="70">
        <v>3.10375517321191</v>
      </c>
      <c r="P1470" s="70">
        <v>3.10375517321191</v>
      </c>
    </row>
    <row r="1471" hidden="1">
      <c r="A1471" s="67" t="s">
        <v>2231</v>
      </c>
      <c r="B1471" s="67" t="s">
        <v>519</v>
      </c>
      <c r="C1471" s="68">
        <v>0.25</v>
      </c>
      <c r="D1471" s="68">
        <v>0.75</v>
      </c>
      <c r="E1471" s="68">
        <v>3.0</v>
      </c>
      <c r="F1471" s="68">
        <v>4.0</v>
      </c>
      <c r="G1471" s="68">
        <v>4.95942541430001</v>
      </c>
      <c r="H1471" s="68">
        <v>189.906927008322</v>
      </c>
      <c r="I1471" s="69">
        <v>44317.985497685186</v>
      </c>
      <c r="J1471" s="69">
        <v>44317.98855324074</v>
      </c>
      <c r="K1471">
        <f>AVERAGE(H1467:H1471)</f>
        <v>95.56398348</v>
      </c>
      <c r="L1471">
        <f>STDEV(H1467:H1471)</f>
        <v>88.84713359</v>
      </c>
      <c r="M1471" s="70">
        <v>189.906927008322</v>
      </c>
      <c r="N1471" s="70">
        <v>189.906927008322</v>
      </c>
      <c r="O1471" s="70">
        <v>4.95942541430001</v>
      </c>
      <c r="P1471" s="70">
        <v>4.95942541430001</v>
      </c>
    </row>
    <row r="1472" hidden="1">
      <c r="A1472" s="67" t="s">
        <v>2232</v>
      </c>
      <c r="B1472" s="67" t="s">
        <v>519</v>
      </c>
      <c r="C1472" s="68">
        <v>0.25</v>
      </c>
      <c r="D1472" s="68">
        <v>1.0</v>
      </c>
      <c r="E1472" s="68">
        <v>3.0</v>
      </c>
      <c r="F1472" s="68">
        <v>0.0</v>
      </c>
      <c r="G1472" s="68">
        <v>5.02187349799241</v>
      </c>
      <c r="H1472" s="68">
        <v>188.18629546351</v>
      </c>
      <c r="I1472" s="69">
        <v>44317.98925925926</v>
      </c>
      <c r="J1472" s="69">
        <v>44317.99212962963</v>
      </c>
      <c r="K1472">
        <f>AVERAGE(H1472:H1476)</f>
        <v>116.7537128</v>
      </c>
      <c r="L1472">
        <f>STDEV(H1472:H1476)</f>
        <v>72.94041143</v>
      </c>
      <c r="M1472" s="70">
        <v>188.18629546351</v>
      </c>
      <c r="N1472" s="70">
        <v>188.18629546351</v>
      </c>
      <c r="O1472" s="70">
        <v>5.02187349799241</v>
      </c>
      <c r="P1472" s="70">
        <v>5.02187349799241</v>
      </c>
    </row>
    <row r="1473" hidden="1">
      <c r="A1473" s="67" t="s">
        <v>2233</v>
      </c>
      <c r="B1473" s="67" t="s">
        <v>519</v>
      </c>
      <c r="C1473" s="68">
        <v>0.25</v>
      </c>
      <c r="D1473" s="68">
        <v>1.0</v>
      </c>
      <c r="E1473" s="68">
        <v>3.0</v>
      </c>
      <c r="F1473" s="68">
        <v>1.0</v>
      </c>
      <c r="G1473" s="68">
        <v>2.15136746754372</v>
      </c>
      <c r="H1473" s="68">
        <v>99.0211597837872</v>
      </c>
      <c r="I1473" s="69">
        <v>44317.99283564815</v>
      </c>
      <c r="J1473" s="69">
        <v>44317.993993055556</v>
      </c>
      <c r="K1473">
        <f>AVERAGE(H1472:H1476)</f>
        <v>116.7537128</v>
      </c>
      <c r="L1473">
        <f>STDEV(H1472:H1476)</f>
        <v>72.94041143</v>
      </c>
      <c r="M1473" s="70">
        <v>99.0211597837872</v>
      </c>
      <c r="N1473" s="70">
        <v>99.0211597837872</v>
      </c>
      <c r="O1473" s="70">
        <v>2.15136746754372</v>
      </c>
      <c r="P1473" s="70">
        <v>2.15136746754372</v>
      </c>
    </row>
    <row r="1474" hidden="1">
      <c r="A1474" s="67" t="s">
        <v>2234</v>
      </c>
      <c r="B1474" s="67" t="s">
        <v>519</v>
      </c>
      <c r="C1474" s="68">
        <v>0.25</v>
      </c>
      <c r="D1474" s="68">
        <v>1.0</v>
      </c>
      <c r="E1474" s="68">
        <v>3.0</v>
      </c>
      <c r="F1474" s="68">
        <v>2.0</v>
      </c>
      <c r="G1474" s="68">
        <v>3.33564103842902</v>
      </c>
      <c r="H1474" s="68">
        <v>164.00783450208</v>
      </c>
      <c r="I1474" s="69">
        <v>44317.99469907407</v>
      </c>
      <c r="J1474" s="69">
        <v>44318.03055555555</v>
      </c>
      <c r="K1474">
        <f>AVERAGE(H1472:H1476)</f>
        <v>116.7537128</v>
      </c>
      <c r="L1474">
        <f>STDEV(H1472:H1476)</f>
        <v>72.94041143</v>
      </c>
      <c r="M1474" s="70">
        <v>164.00783450208</v>
      </c>
      <c r="N1474" s="70">
        <v>164.00783450208</v>
      </c>
      <c r="O1474" s="70">
        <v>3.33564103842902</v>
      </c>
      <c r="P1474" s="70">
        <v>3.33564103842902</v>
      </c>
    </row>
    <row r="1475" hidden="1">
      <c r="A1475" s="67" t="s">
        <v>2235</v>
      </c>
      <c r="B1475" s="67" t="s">
        <v>519</v>
      </c>
      <c r="C1475" s="68">
        <v>0.25</v>
      </c>
      <c r="D1475" s="68">
        <v>1.0</v>
      </c>
      <c r="E1475" s="68">
        <v>3.0</v>
      </c>
      <c r="F1475" s="68">
        <v>3.0</v>
      </c>
      <c r="G1475" s="68">
        <v>0.712368747006467</v>
      </c>
      <c r="H1475" s="68">
        <v>0.949250738237319</v>
      </c>
      <c r="I1475" s="69">
        <v>44318.031273148146</v>
      </c>
      <c r="J1475" s="69">
        <v>44318.031493055554</v>
      </c>
      <c r="K1475">
        <f>AVERAGE(H1472:H1476)</f>
        <v>116.7537128</v>
      </c>
      <c r="L1475">
        <f>STDEV(H1472:H1476)</f>
        <v>72.94041143</v>
      </c>
      <c r="M1475" s="70">
        <v>0.949250738237319</v>
      </c>
      <c r="N1475" s="70">
        <v>0.949250738237319</v>
      </c>
      <c r="O1475" s="70">
        <v>0.712368747006467</v>
      </c>
      <c r="P1475" s="70">
        <v>0.712368747006467</v>
      </c>
    </row>
    <row r="1476" hidden="1">
      <c r="A1476" s="67" t="s">
        <v>2236</v>
      </c>
      <c r="B1476" s="67" t="s">
        <v>519</v>
      </c>
      <c r="C1476" s="68">
        <v>0.25</v>
      </c>
      <c r="D1476" s="68">
        <v>1.0</v>
      </c>
      <c r="E1476" s="68">
        <v>3.0</v>
      </c>
      <c r="F1476" s="68">
        <v>4.0</v>
      </c>
      <c r="G1476" s="68">
        <v>2.4826095856558</v>
      </c>
      <c r="H1476" s="68">
        <v>131.60402333792</v>
      </c>
      <c r="I1476" s="69">
        <v>44318.03219907408</v>
      </c>
      <c r="J1476" s="69">
        <v>44318.032430555555</v>
      </c>
      <c r="K1476">
        <f>AVERAGE(H1472:H1476)</f>
        <v>116.7537128</v>
      </c>
      <c r="L1476">
        <f>STDEV(H1472:H1476)</f>
        <v>72.94041143</v>
      </c>
      <c r="M1476" s="70">
        <v>131.60402333792</v>
      </c>
      <c r="N1476" s="70">
        <v>131.60402333792</v>
      </c>
      <c r="O1476" s="70">
        <v>2.4826095856558</v>
      </c>
      <c r="P1476" s="70">
        <v>2.4826095856558</v>
      </c>
    </row>
    <row r="1477" hidden="1">
      <c r="A1477" s="67" t="s">
        <v>2237</v>
      </c>
      <c r="B1477" s="67" t="s">
        <v>519</v>
      </c>
      <c r="C1477" s="68">
        <v>0.5</v>
      </c>
      <c r="D1477" s="68">
        <v>0.1</v>
      </c>
      <c r="E1477" s="68">
        <v>3.0</v>
      </c>
      <c r="F1477" s="68">
        <v>0.0</v>
      </c>
      <c r="G1477" s="68">
        <v>3.07911082745898</v>
      </c>
      <c r="H1477" s="68">
        <v>159.086093643765</v>
      </c>
      <c r="I1477" s="69">
        <v>44318.03313657407</v>
      </c>
      <c r="J1477" s="69">
        <v>44318.06390046296</v>
      </c>
      <c r="K1477">
        <f>AVERAGE(H1477:H1481)</f>
        <v>129.0967132</v>
      </c>
      <c r="L1477">
        <f>STDEV(H1477:H1481)</f>
        <v>82.03122709</v>
      </c>
      <c r="M1477" s="70">
        <v>159.086093643765</v>
      </c>
      <c r="N1477" s="70">
        <v>159.086093643765</v>
      </c>
      <c r="O1477" s="70">
        <v>3.07911082745898</v>
      </c>
      <c r="P1477" s="70">
        <v>3.07911082745898</v>
      </c>
    </row>
    <row r="1478" hidden="1">
      <c r="A1478" s="67" t="s">
        <v>2238</v>
      </c>
      <c r="B1478" s="67" t="s">
        <v>519</v>
      </c>
      <c r="C1478" s="68">
        <v>0.5</v>
      </c>
      <c r="D1478" s="68">
        <v>0.1</v>
      </c>
      <c r="E1478" s="68">
        <v>3.0</v>
      </c>
      <c r="F1478" s="68">
        <v>1.0</v>
      </c>
      <c r="G1478" s="68">
        <v>4.70440216565851</v>
      </c>
      <c r="H1478" s="68">
        <v>186.239483142274</v>
      </c>
      <c r="I1478" s="69">
        <v>44318.06460648148</v>
      </c>
      <c r="J1478" s="69">
        <v>44318.06684027778</v>
      </c>
      <c r="K1478">
        <f>AVERAGE(H1477:H1481)</f>
        <v>129.0967132</v>
      </c>
      <c r="L1478">
        <f>STDEV(H1477:H1481)</f>
        <v>82.03122709</v>
      </c>
      <c r="M1478" s="70">
        <v>186.239483142274</v>
      </c>
      <c r="N1478" s="70">
        <v>186.239483142274</v>
      </c>
      <c r="O1478" s="70">
        <v>4.70440216565851</v>
      </c>
      <c r="P1478" s="70">
        <v>4.70440216565851</v>
      </c>
    </row>
    <row r="1479" hidden="1">
      <c r="A1479" s="67" t="s">
        <v>2239</v>
      </c>
      <c r="B1479" s="67" t="s">
        <v>519</v>
      </c>
      <c r="C1479" s="68">
        <v>0.5</v>
      </c>
      <c r="D1479" s="68">
        <v>0.1</v>
      </c>
      <c r="E1479" s="68">
        <v>3.0</v>
      </c>
      <c r="F1479" s="68">
        <v>2.0</v>
      </c>
      <c r="G1479" s="68">
        <v>1.08269881214681</v>
      </c>
      <c r="H1479" s="68">
        <v>1.45225338817616</v>
      </c>
      <c r="I1479" s="69">
        <v>44318.0675462963</v>
      </c>
      <c r="J1479" s="69">
        <v>44318.067662037036</v>
      </c>
      <c r="K1479">
        <f>AVERAGE(H1477:H1481)</f>
        <v>129.0967132</v>
      </c>
      <c r="L1479">
        <f>STDEV(H1477:H1481)</f>
        <v>82.03122709</v>
      </c>
      <c r="M1479" s="70">
        <v>1.45225338817616</v>
      </c>
      <c r="N1479" s="70">
        <v>1.45225338817616</v>
      </c>
      <c r="O1479" s="70">
        <v>1.08269881214681</v>
      </c>
      <c r="P1479" s="70">
        <v>1.08269881214681</v>
      </c>
    </row>
    <row r="1480" hidden="1">
      <c r="A1480" s="67" t="s">
        <v>2240</v>
      </c>
      <c r="B1480" s="67" t="s">
        <v>519</v>
      </c>
      <c r="C1480" s="68">
        <v>0.5</v>
      </c>
      <c r="D1480" s="68">
        <v>0.1</v>
      </c>
      <c r="E1480" s="68">
        <v>3.0</v>
      </c>
      <c r="F1480" s="68">
        <v>3.0</v>
      </c>
      <c r="G1480" s="68">
        <v>1.8493792792049</v>
      </c>
      <c r="H1480" s="68">
        <v>96.2581506050531</v>
      </c>
      <c r="I1480" s="69">
        <v>44318.06836805555</v>
      </c>
      <c r="J1480" s="69">
        <v>44318.07302083333</v>
      </c>
      <c r="K1480">
        <f>AVERAGE(H1477:H1481)</f>
        <v>129.0967132</v>
      </c>
      <c r="L1480">
        <f>STDEV(H1477:H1481)</f>
        <v>82.03122709</v>
      </c>
      <c r="M1480" s="70">
        <v>96.2581506050531</v>
      </c>
      <c r="N1480" s="70">
        <v>96.2581506050531</v>
      </c>
      <c r="O1480" s="70">
        <v>1.8493792792049</v>
      </c>
      <c r="P1480" s="70">
        <v>1.8493792792049</v>
      </c>
    </row>
    <row r="1481" hidden="1">
      <c r="A1481" s="67" t="s">
        <v>2241</v>
      </c>
      <c r="B1481" s="67" t="s">
        <v>519</v>
      </c>
      <c r="C1481" s="68">
        <v>0.5</v>
      </c>
      <c r="D1481" s="68">
        <v>0.1</v>
      </c>
      <c r="E1481" s="68">
        <v>3.0</v>
      </c>
      <c r="F1481" s="68">
        <v>4.0</v>
      </c>
      <c r="G1481" s="68">
        <v>6.70244479298769</v>
      </c>
      <c r="H1481" s="68">
        <v>202.447585465246</v>
      </c>
      <c r="I1481" s="69">
        <v>44318.07373842593</v>
      </c>
      <c r="J1481" s="69">
        <v>44318.07417824074</v>
      </c>
      <c r="K1481">
        <f>AVERAGE(H1477:H1481)</f>
        <v>129.0967132</v>
      </c>
      <c r="L1481">
        <f>STDEV(H1477:H1481)</f>
        <v>82.03122709</v>
      </c>
      <c r="M1481" s="70">
        <v>202.447585465246</v>
      </c>
      <c r="N1481" s="70">
        <v>202.447585465246</v>
      </c>
      <c r="O1481" s="70">
        <v>6.70244479298769</v>
      </c>
      <c r="P1481" s="70">
        <v>6.70244479298769</v>
      </c>
    </row>
    <row r="1482" hidden="1">
      <c r="A1482" s="67" t="s">
        <v>2242</v>
      </c>
      <c r="B1482" s="67" t="s">
        <v>519</v>
      </c>
      <c r="C1482" s="68">
        <v>0.5</v>
      </c>
      <c r="D1482" s="68">
        <v>0.25</v>
      </c>
      <c r="E1482" s="68">
        <v>3.0</v>
      </c>
      <c r="F1482" s="68">
        <v>0.0</v>
      </c>
      <c r="G1482" s="68">
        <v>6.82191836543702</v>
      </c>
      <c r="H1482" s="68">
        <v>210.613103106136</v>
      </c>
      <c r="I1482" s="69">
        <v>44318.07488425926</v>
      </c>
      <c r="J1482" s="69">
        <v>44318.075</v>
      </c>
      <c r="K1482">
        <f>AVERAGE(H1482:H1486)</f>
        <v>171.5066492</v>
      </c>
      <c r="L1482">
        <f>STDEV(H1482:H1486)</f>
        <v>27.13110021</v>
      </c>
      <c r="M1482" s="70">
        <v>210.613103106136</v>
      </c>
      <c r="N1482" s="70">
        <v>210.613103106136</v>
      </c>
      <c r="O1482" s="70">
        <v>6.82191836543702</v>
      </c>
      <c r="P1482" s="70">
        <v>6.82191836543702</v>
      </c>
    </row>
    <row r="1483" hidden="1">
      <c r="A1483" s="67" t="s">
        <v>2243</v>
      </c>
      <c r="B1483" s="67" t="s">
        <v>519</v>
      </c>
      <c r="C1483" s="68">
        <v>0.5</v>
      </c>
      <c r="D1483" s="68">
        <v>0.25</v>
      </c>
      <c r="E1483" s="68">
        <v>3.0</v>
      </c>
      <c r="F1483" s="68">
        <v>1.0</v>
      </c>
      <c r="G1483" s="68">
        <v>4.38083264266247</v>
      </c>
      <c r="H1483" s="68">
        <v>149.926243349778</v>
      </c>
      <c r="I1483" s="69">
        <v>44318.07571759259</v>
      </c>
      <c r="J1483" s="69">
        <v>44318.07581018518</v>
      </c>
      <c r="K1483">
        <f>AVERAGE(H1482:H1486)</f>
        <v>171.5066492</v>
      </c>
      <c r="L1483">
        <f>STDEV(H1482:H1486)</f>
        <v>27.13110021</v>
      </c>
      <c r="M1483" s="70">
        <v>149.926243349778</v>
      </c>
      <c r="N1483" s="70">
        <v>149.926243349778</v>
      </c>
      <c r="O1483" s="70">
        <v>4.38083264266247</v>
      </c>
      <c r="P1483" s="70">
        <v>4.38083264266247</v>
      </c>
    </row>
    <row r="1484" hidden="1">
      <c r="A1484" s="67" t="s">
        <v>2244</v>
      </c>
      <c r="B1484" s="67" t="s">
        <v>519</v>
      </c>
      <c r="C1484" s="68">
        <v>0.5</v>
      </c>
      <c r="D1484" s="68">
        <v>0.25</v>
      </c>
      <c r="E1484" s="68">
        <v>3.0</v>
      </c>
      <c r="F1484" s="68">
        <v>2.0</v>
      </c>
      <c r="G1484" s="68">
        <v>7.15083988178261</v>
      </c>
      <c r="H1484" s="68">
        <v>189.2326218027</v>
      </c>
      <c r="I1484" s="69">
        <v>44318.076516203706</v>
      </c>
      <c r="J1484" s="69">
        <v>44318.07667824074</v>
      </c>
      <c r="K1484">
        <f>AVERAGE(H1482:H1486)</f>
        <v>171.5066492</v>
      </c>
      <c r="L1484">
        <f>STDEV(H1482:H1486)</f>
        <v>27.13110021</v>
      </c>
      <c r="M1484" s="70">
        <v>189.2326218027</v>
      </c>
      <c r="N1484" s="70">
        <v>189.2326218027</v>
      </c>
      <c r="O1484" s="70">
        <v>7.15083988178261</v>
      </c>
      <c r="P1484" s="70">
        <v>7.15083988178261</v>
      </c>
    </row>
    <row r="1485" hidden="1">
      <c r="A1485" s="67" t="s">
        <v>2245</v>
      </c>
      <c r="B1485" s="67" t="s">
        <v>519</v>
      </c>
      <c r="C1485" s="68">
        <v>0.5</v>
      </c>
      <c r="D1485" s="68">
        <v>0.25</v>
      </c>
      <c r="E1485" s="68">
        <v>3.0</v>
      </c>
      <c r="F1485" s="68">
        <v>3.0</v>
      </c>
      <c r="G1485" s="68">
        <v>3.40643123716879</v>
      </c>
      <c r="H1485" s="68">
        <v>151.254314289578</v>
      </c>
      <c r="I1485" s="69">
        <v>44318.07738425926</v>
      </c>
      <c r="J1485" s="69">
        <v>44318.080358796295</v>
      </c>
      <c r="K1485">
        <f>AVERAGE(H1482:H1486)</f>
        <v>171.5066492</v>
      </c>
      <c r="L1485">
        <f>STDEV(H1482:H1486)</f>
        <v>27.13110021</v>
      </c>
      <c r="M1485" s="70">
        <v>151.254314289578</v>
      </c>
      <c r="N1485" s="70">
        <v>151.254314289578</v>
      </c>
      <c r="O1485" s="70">
        <v>3.40643123716879</v>
      </c>
      <c r="P1485" s="70">
        <v>3.40643123716879</v>
      </c>
    </row>
    <row r="1486" hidden="1">
      <c r="A1486" s="67" t="s">
        <v>2246</v>
      </c>
      <c r="B1486" s="67" t="s">
        <v>519</v>
      </c>
      <c r="C1486" s="68">
        <v>0.5</v>
      </c>
      <c r="D1486" s="68">
        <v>0.25</v>
      </c>
      <c r="E1486" s="68">
        <v>3.0</v>
      </c>
      <c r="F1486" s="68">
        <v>4.0</v>
      </c>
      <c r="G1486" s="68">
        <v>2.91615651955154</v>
      </c>
      <c r="H1486" s="68">
        <v>156.506963632056</v>
      </c>
      <c r="I1486" s="69">
        <v>44318.08106481482</v>
      </c>
      <c r="J1486" s="69">
        <v>44318.139918981484</v>
      </c>
      <c r="K1486">
        <f>AVERAGE(H1482:H1486)</f>
        <v>171.5066492</v>
      </c>
      <c r="L1486">
        <f>STDEV(H1482:H1486)</f>
        <v>27.13110021</v>
      </c>
      <c r="M1486" s="70">
        <v>156.506963632056</v>
      </c>
      <c r="N1486" s="70">
        <v>156.506963632056</v>
      </c>
      <c r="O1486" s="70">
        <v>2.91615651955154</v>
      </c>
      <c r="P1486" s="70">
        <v>2.91615651955154</v>
      </c>
    </row>
    <row r="1487" hidden="1">
      <c r="A1487" s="67" t="s">
        <v>2247</v>
      </c>
      <c r="B1487" s="67" t="s">
        <v>519</v>
      </c>
      <c r="C1487" s="68">
        <v>0.5</v>
      </c>
      <c r="D1487" s="68">
        <v>0.5</v>
      </c>
      <c r="E1487" s="68">
        <v>3.0</v>
      </c>
      <c r="F1487" s="68">
        <v>0.0</v>
      </c>
      <c r="G1487" s="68">
        <v>3.85923224062439</v>
      </c>
      <c r="H1487" s="68">
        <v>177.155217235317</v>
      </c>
      <c r="I1487" s="69">
        <v>44318.140625</v>
      </c>
      <c r="J1487" s="69">
        <v>44318.19930555556</v>
      </c>
      <c r="K1487">
        <f>AVERAGE(H1487:H1491)</f>
        <v>93.09899574</v>
      </c>
      <c r="L1487">
        <f>STDEV(H1487:H1491)</f>
        <v>87.76506982</v>
      </c>
      <c r="M1487" s="70">
        <v>177.155217235317</v>
      </c>
      <c r="N1487" s="70">
        <v>177.155217235317</v>
      </c>
      <c r="O1487" s="70">
        <v>3.85923224062439</v>
      </c>
      <c r="P1487" s="70">
        <v>3.85923224062439</v>
      </c>
    </row>
    <row r="1488" hidden="1">
      <c r="A1488" s="67" t="s">
        <v>2248</v>
      </c>
      <c r="B1488" s="67" t="s">
        <v>519</v>
      </c>
      <c r="C1488" s="68">
        <v>0.5</v>
      </c>
      <c r="D1488" s="68">
        <v>0.5</v>
      </c>
      <c r="E1488" s="68">
        <v>3.0</v>
      </c>
      <c r="F1488" s="68">
        <v>1.0</v>
      </c>
      <c r="G1488" s="68">
        <v>4.91932460288249</v>
      </c>
      <c r="H1488" s="68">
        <v>177.69512066376</v>
      </c>
      <c r="I1488" s="69">
        <v>44318.200011574074</v>
      </c>
      <c r="J1488" s="69">
        <v>44318.200277777774</v>
      </c>
      <c r="K1488">
        <f>AVERAGE(H1487:H1491)</f>
        <v>93.09899574</v>
      </c>
      <c r="L1488">
        <f>STDEV(H1487:H1491)</f>
        <v>87.76506982</v>
      </c>
      <c r="M1488" s="70">
        <v>177.69512066376</v>
      </c>
      <c r="N1488" s="70">
        <v>177.69512066376</v>
      </c>
      <c r="O1488" s="70">
        <v>4.91932460288249</v>
      </c>
      <c r="P1488" s="70">
        <v>4.91932460288249</v>
      </c>
    </row>
    <row r="1489" hidden="1">
      <c r="A1489" s="67" t="s">
        <v>2249</v>
      </c>
      <c r="B1489" s="67" t="s">
        <v>519</v>
      </c>
      <c r="C1489" s="68">
        <v>0.5</v>
      </c>
      <c r="D1489" s="68">
        <v>0.5</v>
      </c>
      <c r="E1489" s="68">
        <v>3.0</v>
      </c>
      <c r="F1489" s="68">
        <v>2.0</v>
      </c>
      <c r="G1489" s="68">
        <v>1.07991001504809</v>
      </c>
      <c r="H1489" s="68">
        <v>1.4504242499467</v>
      </c>
      <c r="I1489" s="69">
        <v>44318.2009837963</v>
      </c>
      <c r="J1489" s="69">
        <v>44318.20109953704</v>
      </c>
      <c r="K1489">
        <f>AVERAGE(H1487:H1491)</f>
        <v>93.09899574</v>
      </c>
      <c r="L1489">
        <f>STDEV(H1487:H1491)</f>
        <v>87.76506982</v>
      </c>
      <c r="M1489" s="70">
        <v>1.4504242499467</v>
      </c>
      <c r="N1489" s="70">
        <v>1.4504242499467</v>
      </c>
      <c r="O1489" s="70">
        <v>1.07991001504809</v>
      </c>
      <c r="P1489" s="70">
        <v>1.07991001504809</v>
      </c>
    </row>
    <row r="1490" hidden="1">
      <c r="A1490" s="67" t="s">
        <v>2250</v>
      </c>
      <c r="B1490" s="67" t="s">
        <v>519</v>
      </c>
      <c r="C1490" s="68">
        <v>0.5</v>
      </c>
      <c r="D1490" s="68">
        <v>0.5</v>
      </c>
      <c r="E1490" s="68">
        <v>3.0</v>
      </c>
      <c r="F1490" s="68">
        <v>3.0</v>
      </c>
      <c r="G1490" s="68">
        <v>0.481173935676245</v>
      </c>
      <c r="H1490" s="68">
        <v>3.48631751339133</v>
      </c>
      <c r="I1490" s="69">
        <v>44318.20180555555</v>
      </c>
      <c r="J1490" s="69">
        <v>44318.20240740741</v>
      </c>
      <c r="K1490">
        <f>AVERAGE(H1487:H1491)</f>
        <v>93.09899574</v>
      </c>
      <c r="L1490">
        <f>STDEV(H1487:H1491)</f>
        <v>87.76506982</v>
      </c>
      <c r="M1490" s="70">
        <v>3.48631751339133</v>
      </c>
      <c r="N1490" s="70">
        <v>3.48631751339133</v>
      </c>
      <c r="O1490" s="70">
        <v>0.481173935676245</v>
      </c>
      <c r="P1490" s="70">
        <v>0.481173935676245</v>
      </c>
    </row>
    <row r="1491" hidden="1">
      <c r="A1491" s="67" t="s">
        <v>2251</v>
      </c>
      <c r="B1491" s="67" t="s">
        <v>519</v>
      </c>
      <c r="C1491" s="68">
        <v>0.5</v>
      </c>
      <c r="D1491" s="68">
        <v>0.5</v>
      </c>
      <c r="E1491" s="68">
        <v>3.0</v>
      </c>
      <c r="F1491" s="68">
        <v>4.0</v>
      </c>
      <c r="G1491" s="68">
        <v>2.39223555560269</v>
      </c>
      <c r="H1491" s="68">
        <v>105.707899062001</v>
      </c>
      <c r="I1491" s="69">
        <v>44318.20311342592</v>
      </c>
      <c r="J1491" s="69">
        <v>44318.20342592592</v>
      </c>
      <c r="K1491">
        <f>AVERAGE(H1487:H1491)</f>
        <v>93.09899574</v>
      </c>
      <c r="L1491">
        <f>STDEV(H1487:H1491)</f>
        <v>87.76506982</v>
      </c>
      <c r="M1491" s="70">
        <v>105.707899062001</v>
      </c>
      <c r="N1491" s="70">
        <v>105.707899062001</v>
      </c>
      <c r="O1491" s="70">
        <v>2.39223555560269</v>
      </c>
      <c r="P1491" s="70">
        <v>2.39223555560269</v>
      </c>
    </row>
    <row r="1492" hidden="1">
      <c r="A1492" s="67" t="s">
        <v>2252</v>
      </c>
      <c r="B1492" s="67" t="s">
        <v>519</v>
      </c>
      <c r="C1492" s="68">
        <v>0.5</v>
      </c>
      <c r="D1492" s="68">
        <v>0.75</v>
      </c>
      <c r="E1492" s="68">
        <v>3.0</v>
      </c>
      <c r="F1492" s="68">
        <v>0.0</v>
      </c>
      <c r="G1492" s="68">
        <v>0.466219664279624</v>
      </c>
      <c r="H1492" s="68">
        <v>3.73692446052172</v>
      </c>
      <c r="I1492" s="69">
        <v>44318.20413194445</v>
      </c>
      <c r="J1492" s="69">
        <v>44318.204618055555</v>
      </c>
      <c r="K1492">
        <f>AVERAGE(H1492:H1496)</f>
        <v>96.99515177</v>
      </c>
      <c r="L1492">
        <f>STDEV(H1492:H1496)</f>
        <v>88.50198786</v>
      </c>
      <c r="M1492" s="70">
        <v>3.73692446052172</v>
      </c>
      <c r="N1492" s="70">
        <v>3.73692446052172</v>
      </c>
      <c r="O1492" s="70">
        <v>0.466219664279624</v>
      </c>
      <c r="P1492" s="70">
        <v>0.466219664279624</v>
      </c>
    </row>
    <row r="1493" hidden="1">
      <c r="A1493" s="67" t="s">
        <v>2253</v>
      </c>
      <c r="B1493" s="67" t="s">
        <v>519</v>
      </c>
      <c r="C1493" s="68">
        <v>0.5</v>
      </c>
      <c r="D1493" s="68">
        <v>0.75</v>
      </c>
      <c r="E1493" s="68">
        <v>3.0</v>
      </c>
      <c r="F1493" s="68">
        <v>1.0</v>
      </c>
      <c r="G1493" s="68">
        <v>3.82333860864029</v>
      </c>
      <c r="H1493" s="68">
        <v>178.506532768582</v>
      </c>
      <c r="I1493" s="69">
        <v>44318.20532407407</v>
      </c>
      <c r="J1493" s="69">
        <v>44318.259930555556</v>
      </c>
      <c r="K1493">
        <f>AVERAGE(H1492:H1496)</f>
        <v>96.99515177</v>
      </c>
      <c r="L1493">
        <f>STDEV(H1492:H1496)</f>
        <v>88.50198786</v>
      </c>
      <c r="M1493" s="70">
        <v>178.506532768582</v>
      </c>
      <c r="N1493" s="70">
        <v>178.506532768582</v>
      </c>
      <c r="O1493" s="70">
        <v>3.82333860864029</v>
      </c>
      <c r="P1493" s="70">
        <v>3.82333860864029</v>
      </c>
    </row>
    <row r="1494" hidden="1">
      <c r="A1494" s="67" t="s">
        <v>2254</v>
      </c>
      <c r="B1494" s="67" t="s">
        <v>519</v>
      </c>
      <c r="C1494" s="68">
        <v>0.5</v>
      </c>
      <c r="D1494" s="68">
        <v>0.75</v>
      </c>
      <c r="E1494" s="68">
        <v>3.0</v>
      </c>
      <c r="F1494" s="68">
        <v>2.0</v>
      </c>
      <c r="G1494" s="68">
        <v>3.00264942600681</v>
      </c>
      <c r="H1494" s="68">
        <v>129.0388461297</v>
      </c>
      <c r="I1494" s="69">
        <v>44318.26064814815</v>
      </c>
      <c r="J1494" s="69">
        <v>44318.26175925926</v>
      </c>
      <c r="K1494">
        <f>AVERAGE(H1492:H1496)</f>
        <v>96.99515177</v>
      </c>
      <c r="L1494">
        <f>STDEV(H1492:H1496)</f>
        <v>88.50198786</v>
      </c>
      <c r="M1494" s="70">
        <v>129.0388461297</v>
      </c>
      <c r="N1494" s="70">
        <v>129.0388461297</v>
      </c>
      <c r="O1494" s="70">
        <v>3.00264942600681</v>
      </c>
      <c r="P1494" s="70">
        <v>3.00264942600681</v>
      </c>
    </row>
    <row r="1495" hidden="1">
      <c r="A1495" s="67" t="s">
        <v>2255</v>
      </c>
      <c r="B1495" s="67" t="s">
        <v>519</v>
      </c>
      <c r="C1495" s="68">
        <v>0.5</v>
      </c>
      <c r="D1495" s="68">
        <v>0.75</v>
      </c>
      <c r="E1495" s="68">
        <v>3.0</v>
      </c>
      <c r="F1495" s="68">
        <v>3.0</v>
      </c>
      <c r="G1495" s="68">
        <v>5.7332586181067</v>
      </c>
      <c r="H1495" s="68">
        <v>172.743252270421</v>
      </c>
      <c r="I1495" s="69">
        <v>44318.26246527778</v>
      </c>
      <c r="J1495" s="69">
        <v>44318.26261574074</v>
      </c>
      <c r="K1495">
        <f>AVERAGE(H1492:H1496)</f>
        <v>96.99515177</v>
      </c>
      <c r="L1495">
        <f>STDEV(H1492:H1496)</f>
        <v>88.50198786</v>
      </c>
      <c r="M1495" s="70">
        <v>172.743252270421</v>
      </c>
      <c r="N1495" s="70">
        <v>172.743252270421</v>
      </c>
      <c r="O1495" s="70">
        <v>5.7332586181067</v>
      </c>
      <c r="P1495" s="70">
        <v>5.7332586181067</v>
      </c>
    </row>
    <row r="1496" hidden="1">
      <c r="A1496" s="67" t="s">
        <v>2256</v>
      </c>
      <c r="B1496" s="67" t="s">
        <v>519</v>
      </c>
      <c r="C1496" s="68">
        <v>0.5</v>
      </c>
      <c r="D1496" s="68">
        <v>0.75</v>
      </c>
      <c r="E1496" s="68">
        <v>3.0</v>
      </c>
      <c r="F1496" s="68">
        <v>4.0</v>
      </c>
      <c r="G1496" s="68">
        <v>0.713176031857099</v>
      </c>
      <c r="H1496" s="68">
        <v>0.950203195938262</v>
      </c>
      <c r="I1496" s="69">
        <v>44318.26332175926</v>
      </c>
      <c r="J1496" s="69">
        <v>44318.263553240744</v>
      </c>
      <c r="K1496">
        <f>AVERAGE(H1492:H1496)</f>
        <v>96.99515177</v>
      </c>
      <c r="L1496">
        <f>STDEV(H1492:H1496)</f>
        <v>88.50198786</v>
      </c>
      <c r="M1496" s="70">
        <v>0.950203195938262</v>
      </c>
      <c r="N1496" s="70">
        <v>0.950203195938262</v>
      </c>
      <c r="O1496" s="70">
        <v>0.713176031857099</v>
      </c>
      <c r="P1496" s="70">
        <v>0.713176031857099</v>
      </c>
    </row>
    <row r="1497" hidden="1">
      <c r="A1497" s="67" t="s">
        <v>2257</v>
      </c>
      <c r="B1497" s="67" t="s">
        <v>519</v>
      </c>
      <c r="C1497" s="68">
        <v>0.5</v>
      </c>
      <c r="D1497" s="68">
        <v>1.0</v>
      </c>
      <c r="E1497" s="68">
        <v>3.0</v>
      </c>
      <c r="F1497" s="68">
        <v>0.0</v>
      </c>
      <c r="G1497" s="68">
        <v>0.474935322391952</v>
      </c>
      <c r="H1497" s="68">
        <v>3.19048784593791</v>
      </c>
      <c r="I1497" s="69">
        <v>44318.26425925926</v>
      </c>
      <c r="J1497" s="69">
        <v>44318.26513888889</v>
      </c>
      <c r="K1497">
        <f>AVERAGE(H1497:H1501)</f>
        <v>129.5352475</v>
      </c>
      <c r="L1497">
        <f>STDEV(H1497:H1501)</f>
        <v>73.17564083</v>
      </c>
      <c r="M1497" s="70">
        <v>3.19048784593791</v>
      </c>
      <c r="N1497" s="70">
        <v>3.19048784593791</v>
      </c>
      <c r="O1497" s="70">
        <v>0.474935322391952</v>
      </c>
      <c r="P1497" s="70">
        <v>0.474935322391952</v>
      </c>
    </row>
    <row r="1498" hidden="1">
      <c r="A1498" s="67" t="s">
        <v>2258</v>
      </c>
      <c r="B1498" s="67" t="s">
        <v>519</v>
      </c>
      <c r="C1498" s="68">
        <v>0.5</v>
      </c>
      <c r="D1498" s="68">
        <v>1.0</v>
      </c>
      <c r="E1498" s="68">
        <v>3.0</v>
      </c>
      <c r="F1498" s="68">
        <v>1.0</v>
      </c>
      <c r="G1498" s="68">
        <v>6.584681697549</v>
      </c>
      <c r="H1498" s="68">
        <v>172.629074920776</v>
      </c>
      <c r="I1498" s="69">
        <v>44318.26584490741</v>
      </c>
      <c r="J1498" s="69">
        <v>44318.26590277778</v>
      </c>
      <c r="K1498">
        <f>AVERAGE(H1497:H1501)</f>
        <v>129.5352475</v>
      </c>
      <c r="L1498">
        <f>STDEV(H1497:H1501)</f>
        <v>73.17564083</v>
      </c>
      <c r="M1498" s="70">
        <v>172.629074920776</v>
      </c>
      <c r="N1498" s="70">
        <v>172.629074920776</v>
      </c>
      <c r="O1498" s="70">
        <v>6.584681697549</v>
      </c>
      <c r="P1498" s="70">
        <v>6.584681697549</v>
      </c>
    </row>
    <row r="1499" hidden="1">
      <c r="A1499" s="67" t="s">
        <v>2259</v>
      </c>
      <c r="B1499" s="67" t="s">
        <v>519</v>
      </c>
      <c r="C1499" s="68">
        <v>0.5</v>
      </c>
      <c r="D1499" s="68">
        <v>1.0</v>
      </c>
      <c r="E1499" s="68">
        <v>3.0</v>
      </c>
      <c r="F1499" s="68">
        <v>2.0</v>
      </c>
      <c r="G1499" s="68">
        <v>3.78038167608712</v>
      </c>
      <c r="H1499" s="68">
        <v>177.21013050342</v>
      </c>
      <c r="I1499" s="69">
        <v>44318.26660879629</v>
      </c>
      <c r="J1499" s="69">
        <v>44318.326006944444</v>
      </c>
      <c r="K1499">
        <f>AVERAGE(H1497:H1501)</f>
        <v>129.5352475</v>
      </c>
      <c r="L1499">
        <f>STDEV(H1497:H1501)</f>
        <v>73.17564083</v>
      </c>
      <c r="M1499" s="70">
        <v>177.21013050342</v>
      </c>
      <c r="N1499" s="70">
        <v>177.21013050342</v>
      </c>
      <c r="O1499" s="70">
        <v>3.78038167608712</v>
      </c>
      <c r="P1499" s="70">
        <v>3.78038167608712</v>
      </c>
    </row>
    <row r="1500" hidden="1">
      <c r="A1500" s="67" t="s">
        <v>2260</v>
      </c>
      <c r="B1500" s="67" t="s">
        <v>519</v>
      </c>
      <c r="C1500" s="68">
        <v>0.5</v>
      </c>
      <c r="D1500" s="68">
        <v>1.0</v>
      </c>
      <c r="E1500" s="68">
        <v>3.0</v>
      </c>
      <c r="F1500" s="68">
        <v>3.0</v>
      </c>
      <c r="G1500" s="68">
        <v>4.45615647799757</v>
      </c>
      <c r="H1500" s="68">
        <v>165.936429879011</v>
      </c>
      <c r="I1500" s="69">
        <v>44318.32671296296</v>
      </c>
      <c r="J1500" s="69">
        <v>44318.32678240741</v>
      </c>
      <c r="K1500">
        <f>AVERAGE(H1497:H1501)</f>
        <v>129.5352475</v>
      </c>
      <c r="L1500">
        <f>STDEV(H1497:H1501)</f>
        <v>73.17564083</v>
      </c>
      <c r="M1500" s="70">
        <v>165.936429879011</v>
      </c>
      <c r="N1500" s="70">
        <v>165.936429879011</v>
      </c>
      <c r="O1500" s="70">
        <v>4.45615647799757</v>
      </c>
      <c r="P1500" s="70">
        <v>4.45615647799757</v>
      </c>
    </row>
    <row r="1501" hidden="1">
      <c r="A1501" s="67" t="s">
        <v>2261</v>
      </c>
      <c r="B1501" s="67" t="s">
        <v>519</v>
      </c>
      <c r="C1501" s="68">
        <v>0.5</v>
      </c>
      <c r="D1501" s="68">
        <v>1.0</v>
      </c>
      <c r="E1501" s="68">
        <v>3.0</v>
      </c>
      <c r="F1501" s="68">
        <v>4.0</v>
      </c>
      <c r="G1501" s="68">
        <v>2.91949209901181</v>
      </c>
      <c r="H1501" s="68">
        <v>128.710114504542</v>
      </c>
      <c r="I1501" s="69">
        <v>44318.32748842592</v>
      </c>
      <c r="J1501" s="69">
        <v>44318.3287037037</v>
      </c>
      <c r="K1501">
        <f>AVERAGE(H1497:H1501)</f>
        <v>129.5352475</v>
      </c>
      <c r="L1501">
        <f>STDEV(H1497:H1501)</f>
        <v>73.17564083</v>
      </c>
      <c r="M1501" s="70">
        <v>128.710114504542</v>
      </c>
      <c r="N1501" s="70">
        <v>128.710114504542</v>
      </c>
      <c r="O1501" s="70">
        <v>2.91949209901181</v>
      </c>
      <c r="P1501" s="70">
        <v>2.91949209901181</v>
      </c>
    </row>
    <row r="1502" hidden="1">
      <c r="A1502" s="67" t="s">
        <v>2262</v>
      </c>
      <c r="B1502" s="67" t="s">
        <v>519</v>
      </c>
      <c r="C1502" s="68">
        <v>0.75</v>
      </c>
      <c r="D1502" s="68">
        <v>0.1</v>
      </c>
      <c r="E1502" s="68">
        <v>3.0</v>
      </c>
      <c r="F1502" s="68">
        <v>0.0</v>
      </c>
      <c r="G1502" s="68">
        <v>9.14056982604882</v>
      </c>
      <c r="H1502" s="68">
        <v>218.320595371457</v>
      </c>
      <c r="I1502" s="69">
        <v>44318.329421296294</v>
      </c>
      <c r="J1502" s="69">
        <v>44318.32952546296</v>
      </c>
      <c r="K1502">
        <f>AVERAGE(H1502:H1506)</f>
        <v>135.6645775</v>
      </c>
      <c r="L1502">
        <f>STDEV(H1502:H1506)</f>
        <v>88.15950618</v>
      </c>
      <c r="M1502" s="70">
        <v>218.320595371457</v>
      </c>
      <c r="N1502" s="70">
        <v>218.320595371457</v>
      </c>
      <c r="O1502" s="70">
        <v>9.14056982604882</v>
      </c>
      <c r="P1502" s="70">
        <v>9.14056982604882</v>
      </c>
    </row>
    <row r="1503" hidden="1">
      <c r="A1503" s="67" t="s">
        <v>2263</v>
      </c>
      <c r="B1503" s="67" t="s">
        <v>519</v>
      </c>
      <c r="C1503" s="68">
        <v>0.75</v>
      </c>
      <c r="D1503" s="68">
        <v>0.1</v>
      </c>
      <c r="E1503" s="68">
        <v>3.0</v>
      </c>
      <c r="F1503" s="68">
        <v>1.0</v>
      </c>
      <c r="G1503" s="68">
        <v>5.8109484114784</v>
      </c>
      <c r="H1503" s="68">
        <v>203.831266783814</v>
      </c>
      <c r="I1503" s="69">
        <v>44318.330243055556</v>
      </c>
      <c r="J1503" s="69">
        <v>44318.33170138889</v>
      </c>
      <c r="K1503">
        <f>AVERAGE(H1502:H1506)</f>
        <v>135.6645775</v>
      </c>
      <c r="L1503">
        <f>STDEV(H1502:H1506)</f>
        <v>88.15950618</v>
      </c>
      <c r="M1503" s="70">
        <v>203.831266783814</v>
      </c>
      <c r="N1503" s="70">
        <v>203.831266783814</v>
      </c>
      <c r="O1503" s="70">
        <v>5.8109484114784</v>
      </c>
      <c r="P1503" s="70">
        <v>5.8109484114784</v>
      </c>
    </row>
    <row r="1504" hidden="1">
      <c r="A1504" s="67" t="s">
        <v>2264</v>
      </c>
      <c r="B1504" s="67" t="s">
        <v>519</v>
      </c>
      <c r="C1504" s="68">
        <v>0.75</v>
      </c>
      <c r="D1504" s="68">
        <v>0.1</v>
      </c>
      <c r="E1504" s="68">
        <v>3.0</v>
      </c>
      <c r="F1504" s="68">
        <v>2.0</v>
      </c>
      <c r="G1504" s="68">
        <v>2.98476120767297</v>
      </c>
      <c r="H1504" s="68">
        <v>153.349516932885</v>
      </c>
      <c r="I1504" s="69">
        <v>44318.332407407404</v>
      </c>
      <c r="J1504" s="69">
        <v>44318.36087962963</v>
      </c>
      <c r="K1504">
        <f>AVERAGE(H1502:H1506)</f>
        <v>135.6645775</v>
      </c>
      <c r="L1504">
        <f>STDEV(H1502:H1506)</f>
        <v>88.15950618</v>
      </c>
      <c r="M1504" s="70">
        <v>153.349516932885</v>
      </c>
      <c r="N1504" s="70">
        <v>153.349516932885</v>
      </c>
      <c r="O1504" s="70">
        <v>2.98476120767297</v>
      </c>
      <c r="P1504" s="70">
        <v>2.98476120767297</v>
      </c>
    </row>
    <row r="1505" hidden="1">
      <c r="A1505" s="67" t="s">
        <v>2265</v>
      </c>
      <c r="B1505" s="67" t="s">
        <v>519</v>
      </c>
      <c r="C1505" s="68">
        <v>0.75</v>
      </c>
      <c r="D1505" s="68">
        <v>0.1</v>
      </c>
      <c r="E1505" s="68">
        <v>3.0</v>
      </c>
      <c r="F1505" s="68">
        <v>3.0</v>
      </c>
      <c r="G1505" s="68">
        <v>1.96703790483203</v>
      </c>
      <c r="H1505" s="68">
        <v>101.905846928216</v>
      </c>
      <c r="I1505" s="69">
        <v>44318.36158564815</v>
      </c>
      <c r="J1505" s="69">
        <v>44318.36430555556</v>
      </c>
      <c r="K1505">
        <f>AVERAGE(H1502:H1506)</f>
        <v>135.6645775</v>
      </c>
      <c r="L1505">
        <f>STDEV(H1502:H1506)</f>
        <v>88.15950618</v>
      </c>
      <c r="M1505" s="70">
        <v>101.905846928216</v>
      </c>
      <c r="N1505" s="70">
        <v>101.905846928216</v>
      </c>
      <c r="O1505" s="70">
        <v>1.96703790483203</v>
      </c>
      <c r="P1505" s="70">
        <v>1.96703790483203</v>
      </c>
    </row>
    <row r="1506" hidden="1">
      <c r="A1506" s="67" t="s">
        <v>2266</v>
      </c>
      <c r="B1506" s="67" t="s">
        <v>519</v>
      </c>
      <c r="C1506" s="68">
        <v>0.75</v>
      </c>
      <c r="D1506" s="68">
        <v>0.1</v>
      </c>
      <c r="E1506" s="68">
        <v>3.0</v>
      </c>
      <c r="F1506" s="68">
        <v>4.0</v>
      </c>
      <c r="G1506" s="68">
        <v>0.696324612904098</v>
      </c>
      <c r="H1506" s="68">
        <v>0.915661615171147</v>
      </c>
      <c r="I1506" s="69">
        <v>44318.36502314815</v>
      </c>
      <c r="J1506" s="69">
        <v>44318.36523148148</v>
      </c>
      <c r="K1506">
        <f>AVERAGE(H1502:H1506)</f>
        <v>135.6645775</v>
      </c>
      <c r="L1506">
        <f>STDEV(H1502:H1506)</f>
        <v>88.15950618</v>
      </c>
      <c r="M1506" s="70">
        <v>0.915661615171147</v>
      </c>
      <c r="N1506" s="70">
        <v>0.915661615171147</v>
      </c>
      <c r="O1506" s="70">
        <v>0.696324612904098</v>
      </c>
      <c r="P1506" s="70">
        <v>0.696324612904098</v>
      </c>
    </row>
    <row r="1507" hidden="1">
      <c r="A1507" s="67" t="s">
        <v>2267</v>
      </c>
      <c r="B1507" s="67" t="s">
        <v>519</v>
      </c>
      <c r="C1507" s="68">
        <v>0.75</v>
      </c>
      <c r="D1507" s="68">
        <v>0.25</v>
      </c>
      <c r="E1507" s="68">
        <v>3.0</v>
      </c>
      <c r="F1507" s="68">
        <v>0.0</v>
      </c>
      <c r="G1507" s="68">
        <v>5.45976563387148</v>
      </c>
      <c r="H1507" s="68">
        <v>170.369238566161</v>
      </c>
      <c r="I1507" s="69">
        <v>44318.3659375</v>
      </c>
      <c r="J1507" s="69">
        <v>44318.36608796296</v>
      </c>
      <c r="K1507">
        <f>AVERAGE(H1507:H1511)</f>
        <v>159.9107263</v>
      </c>
      <c r="L1507">
        <f>STDEV(H1507:H1511)</f>
        <v>101.0136437</v>
      </c>
      <c r="M1507" s="70">
        <v>170.369238566161</v>
      </c>
      <c r="N1507" s="70">
        <v>170.369238566161</v>
      </c>
      <c r="O1507" s="70">
        <v>5.45976563387148</v>
      </c>
      <c r="P1507" s="70">
        <v>5.45976563387148</v>
      </c>
    </row>
    <row r="1508" hidden="1">
      <c r="A1508" s="67" t="s">
        <v>2268</v>
      </c>
      <c r="B1508" s="67" t="s">
        <v>519</v>
      </c>
      <c r="C1508" s="68">
        <v>0.75</v>
      </c>
      <c r="D1508" s="68">
        <v>0.25</v>
      </c>
      <c r="E1508" s="68">
        <v>3.0</v>
      </c>
      <c r="F1508" s="68">
        <v>1.0</v>
      </c>
      <c r="G1508" s="68">
        <v>2.98122351136655</v>
      </c>
      <c r="H1508" s="68">
        <v>151.136304381523</v>
      </c>
      <c r="I1508" s="69">
        <v>44318.366793981484</v>
      </c>
      <c r="J1508" s="69">
        <v>44318.44594907408</v>
      </c>
      <c r="K1508">
        <f>AVERAGE(H1507:H1511)</f>
        <v>159.9107263</v>
      </c>
      <c r="L1508">
        <f>STDEV(H1507:H1511)</f>
        <v>101.0136437</v>
      </c>
      <c r="M1508" s="70">
        <v>151.136304381523</v>
      </c>
      <c r="N1508" s="70">
        <v>151.136304381523</v>
      </c>
      <c r="O1508" s="70">
        <v>2.98122351136655</v>
      </c>
      <c r="P1508" s="70">
        <v>2.98122351136655</v>
      </c>
    </row>
    <row r="1509" hidden="1">
      <c r="A1509" s="67" t="s">
        <v>2269</v>
      </c>
      <c r="B1509" s="67" t="s">
        <v>519</v>
      </c>
      <c r="C1509" s="68">
        <v>0.75</v>
      </c>
      <c r="D1509" s="68">
        <v>0.25</v>
      </c>
      <c r="E1509" s="68">
        <v>3.0</v>
      </c>
      <c r="F1509" s="68">
        <v>2.0</v>
      </c>
      <c r="G1509" s="68">
        <v>8.0250922969904</v>
      </c>
      <c r="H1509" s="68">
        <v>199.990996392389</v>
      </c>
      <c r="I1509" s="69">
        <v>44318.44665509259</v>
      </c>
      <c r="J1509" s="69">
        <v>44318.44681712963</v>
      </c>
      <c r="K1509">
        <f>AVERAGE(H1507:H1511)</f>
        <v>159.9107263</v>
      </c>
      <c r="L1509">
        <f>STDEV(H1507:H1511)</f>
        <v>101.0136437</v>
      </c>
      <c r="M1509" s="70">
        <v>199.990996392389</v>
      </c>
      <c r="N1509" s="70">
        <v>199.990996392389</v>
      </c>
      <c r="O1509" s="70">
        <v>8.0250922969904</v>
      </c>
      <c r="P1509" s="70">
        <v>8.0250922969904</v>
      </c>
    </row>
    <row r="1510" hidden="1">
      <c r="A1510" s="67" t="s">
        <v>2270</v>
      </c>
      <c r="B1510" s="67" t="s">
        <v>519</v>
      </c>
      <c r="C1510" s="68">
        <v>0.75</v>
      </c>
      <c r="D1510" s="68">
        <v>0.25</v>
      </c>
      <c r="E1510" s="68">
        <v>3.0</v>
      </c>
      <c r="F1510" s="68">
        <v>3.0</v>
      </c>
      <c r="G1510" s="68">
        <v>0.696908251551147</v>
      </c>
      <c r="H1510" s="68">
        <v>0.916101049444049</v>
      </c>
      <c r="I1510" s="69">
        <v>44318.447534722225</v>
      </c>
      <c r="J1510" s="69">
        <v>44318.447743055556</v>
      </c>
      <c r="K1510">
        <f>AVERAGE(H1507:H1511)</f>
        <v>159.9107263</v>
      </c>
      <c r="L1510">
        <f>STDEV(H1507:H1511)</f>
        <v>101.0136437</v>
      </c>
      <c r="M1510" s="70">
        <v>0.916101049444049</v>
      </c>
      <c r="N1510" s="70">
        <v>0.916101049444049</v>
      </c>
      <c r="O1510" s="70">
        <v>0.696908251551147</v>
      </c>
      <c r="P1510" s="70">
        <v>0.696908251551147</v>
      </c>
    </row>
    <row r="1511" hidden="1">
      <c r="A1511" s="67" t="s">
        <v>2271</v>
      </c>
      <c r="B1511" s="67" t="s">
        <v>519</v>
      </c>
      <c r="C1511" s="68">
        <v>0.75</v>
      </c>
      <c r="D1511" s="68">
        <v>0.25</v>
      </c>
      <c r="E1511" s="68">
        <v>3.0</v>
      </c>
      <c r="F1511" s="68">
        <v>4.0</v>
      </c>
      <c r="G1511" s="68">
        <v>7.66306097396175</v>
      </c>
      <c r="H1511" s="68">
        <v>277.140991253716</v>
      </c>
      <c r="I1511" s="69">
        <v>44318.44844907407</v>
      </c>
      <c r="J1511" s="69">
        <v>44318.4487037037</v>
      </c>
      <c r="K1511">
        <f>AVERAGE(H1507:H1511)</f>
        <v>159.9107263</v>
      </c>
      <c r="L1511">
        <f>STDEV(H1507:H1511)</f>
        <v>101.0136437</v>
      </c>
      <c r="M1511" s="70">
        <v>277.140991253716</v>
      </c>
      <c r="N1511" s="70">
        <v>277.140991253716</v>
      </c>
      <c r="O1511" s="70">
        <v>7.66306097396175</v>
      </c>
      <c r="P1511" s="70">
        <v>7.66306097396175</v>
      </c>
    </row>
    <row r="1512" hidden="1">
      <c r="A1512" s="67" t="s">
        <v>2272</v>
      </c>
      <c r="B1512" s="67" t="s">
        <v>519</v>
      </c>
      <c r="C1512" s="68">
        <v>0.75</v>
      </c>
      <c r="D1512" s="68">
        <v>0.5</v>
      </c>
      <c r="E1512" s="68">
        <v>3.0</v>
      </c>
      <c r="F1512" s="68">
        <v>0.0</v>
      </c>
      <c r="G1512" s="68">
        <v>2.97237352615888</v>
      </c>
      <c r="H1512" s="68">
        <v>138.264046602436</v>
      </c>
      <c r="I1512" s="69">
        <v>44318.44940972222</v>
      </c>
      <c r="J1512" s="69">
        <v>44318.44987268518</v>
      </c>
      <c r="K1512">
        <f>AVERAGE(H1512:H1516)</f>
        <v>145.5755196</v>
      </c>
      <c r="L1512">
        <f>STDEV(H1512:H1516)</f>
        <v>82.97042675</v>
      </c>
      <c r="M1512" s="70">
        <v>138.264046602436</v>
      </c>
      <c r="N1512" s="70">
        <v>138.264046602436</v>
      </c>
      <c r="O1512" s="70">
        <v>2.97237352615888</v>
      </c>
      <c r="P1512" s="70">
        <v>2.97237352615888</v>
      </c>
    </row>
    <row r="1513" hidden="1">
      <c r="A1513" s="67" t="s">
        <v>2273</v>
      </c>
      <c r="B1513" s="67" t="s">
        <v>519</v>
      </c>
      <c r="C1513" s="68">
        <v>0.75</v>
      </c>
      <c r="D1513" s="68">
        <v>0.5</v>
      </c>
      <c r="E1513" s="68">
        <v>3.0</v>
      </c>
      <c r="F1513" s="68">
        <v>1.0</v>
      </c>
      <c r="G1513" s="68">
        <v>1.44395293490134</v>
      </c>
      <c r="H1513" s="68">
        <v>8.69784919474165</v>
      </c>
      <c r="I1513" s="69">
        <v>44318.450578703705</v>
      </c>
      <c r="J1513" s="69">
        <v>44318.45064814815</v>
      </c>
      <c r="K1513">
        <f>AVERAGE(H1512:H1516)</f>
        <v>145.5755196</v>
      </c>
      <c r="L1513">
        <f>STDEV(H1512:H1516)</f>
        <v>82.97042675</v>
      </c>
      <c r="M1513" s="70">
        <v>8.69784919474165</v>
      </c>
      <c r="N1513" s="70">
        <v>8.69784919474165</v>
      </c>
      <c r="O1513" s="70">
        <v>1.44395293490134</v>
      </c>
      <c r="P1513" s="70">
        <v>1.44395293490134</v>
      </c>
    </row>
    <row r="1514" hidden="1">
      <c r="A1514" s="67" t="s">
        <v>2274</v>
      </c>
      <c r="B1514" s="67" t="s">
        <v>519</v>
      </c>
      <c r="C1514" s="68">
        <v>0.75</v>
      </c>
      <c r="D1514" s="68">
        <v>0.5</v>
      </c>
      <c r="E1514" s="68">
        <v>3.0</v>
      </c>
      <c r="F1514" s="68">
        <v>2.0</v>
      </c>
      <c r="G1514" s="68">
        <v>3.19086296231507</v>
      </c>
      <c r="H1514" s="68">
        <v>160.094267155753</v>
      </c>
      <c r="I1514" s="69">
        <v>44318.45135416667</v>
      </c>
      <c r="J1514" s="69">
        <v>44318.52935185185</v>
      </c>
      <c r="K1514">
        <f>AVERAGE(H1512:H1516)</f>
        <v>145.5755196</v>
      </c>
      <c r="L1514">
        <f>STDEV(H1512:H1516)</f>
        <v>82.97042675</v>
      </c>
      <c r="M1514" s="70">
        <v>160.094267155753</v>
      </c>
      <c r="N1514" s="70">
        <v>160.094267155753</v>
      </c>
      <c r="O1514" s="70">
        <v>3.19086296231507</v>
      </c>
      <c r="P1514" s="70">
        <v>3.19086296231507</v>
      </c>
    </row>
    <row r="1515" hidden="1">
      <c r="A1515" s="67" t="s">
        <v>2275</v>
      </c>
      <c r="B1515" s="67" t="s">
        <v>519</v>
      </c>
      <c r="C1515" s="68">
        <v>0.75</v>
      </c>
      <c r="D1515" s="68">
        <v>0.5</v>
      </c>
      <c r="E1515" s="68">
        <v>3.0</v>
      </c>
      <c r="F1515" s="68">
        <v>3.0</v>
      </c>
      <c r="G1515" s="68">
        <v>7.01339542562921</v>
      </c>
      <c r="H1515" s="68">
        <v>202.366690699716</v>
      </c>
      <c r="I1515" s="69">
        <v>44318.53005787037</v>
      </c>
      <c r="J1515" s="69">
        <v>44318.530127314814</v>
      </c>
      <c r="K1515">
        <f>AVERAGE(H1512:H1516)</f>
        <v>145.5755196</v>
      </c>
      <c r="L1515">
        <f>STDEV(H1512:H1516)</f>
        <v>82.97042675</v>
      </c>
      <c r="M1515" s="70">
        <v>202.366690699716</v>
      </c>
      <c r="N1515" s="70">
        <v>202.366690699716</v>
      </c>
      <c r="O1515" s="70">
        <v>7.01339542562921</v>
      </c>
      <c r="P1515" s="70">
        <v>7.01339542562921</v>
      </c>
    </row>
    <row r="1516" hidden="1">
      <c r="A1516" s="67" t="s">
        <v>2276</v>
      </c>
      <c r="B1516" s="67" t="s">
        <v>519</v>
      </c>
      <c r="C1516" s="68">
        <v>0.75</v>
      </c>
      <c r="D1516" s="68">
        <v>0.5</v>
      </c>
      <c r="E1516" s="68">
        <v>3.0</v>
      </c>
      <c r="F1516" s="68">
        <v>4.0</v>
      </c>
      <c r="G1516" s="68">
        <v>9.14866087397553</v>
      </c>
      <c r="H1516" s="68">
        <v>218.454744508245</v>
      </c>
      <c r="I1516" s="69">
        <v>44318.53083333333</v>
      </c>
      <c r="J1516" s="69">
        <v>44318.53094907408</v>
      </c>
      <c r="K1516">
        <f>AVERAGE(H1512:H1516)</f>
        <v>145.5755196</v>
      </c>
      <c r="L1516">
        <f>STDEV(H1512:H1516)</f>
        <v>82.97042675</v>
      </c>
      <c r="M1516" s="70">
        <v>218.454744508245</v>
      </c>
      <c r="N1516" s="70">
        <v>218.454744508245</v>
      </c>
      <c r="O1516" s="70">
        <v>9.14866087397553</v>
      </c>
      <c r="P1516" s="70">
        <v>9.14866087397553</v>
      </c>
    </row>
    <row r="1517" hidden="1">
      <c r="A1517" s="67" t="s">
        <v>2277</v>
      </c>
      <c r="B1517" s="67" t="s">
        <v>519</v>
      </c>
      <c r="C1517" s="68">
        <v>0.75</v>
      </c>
      <c r="D1517" s="68">
        <v>0.75</v>
      </c>
      <c r="E1517" s="68">
        <v>3.0</v>
      </c>
      <c r="F1517" s="68">
        <v>0.0</v>
      </c>
      <c r="G1517" s="68">
        <v>5.9554277500138</v>
      </c>
      <c r="H1517" s="68">
        <v>174.345014605486</v>
      </c>
      <c r="I1517" s="69">
        <v>44318.53165509259</v>
      </c>
      <c r="J1517" s="69">
        <v>44318.531805555554</v>
      </c>
      <c r="K1517">
        <f>AVERAGE(H1517:H1521)</f>
        <v>177.956118</v>
      </c>
      <c r="L1517">
        <f>STDEV(H1517:H1521)</f>
        <v>119.4444418</v>
      </c>
      <c r="M1517" s="70">
        <v>174.345014605486</v>
      </c>
      <c r="N1517" s="70">
        <v>174.345014605486</v>
      </c>
      <c r="O1517" s="70">
        <v>5.9554277500138</v>
      </c>
      <c r="P1517" s="70">
        <v>5.9554277500138</v>
      </c>
    </row>
    <row r="1518" hidden="1">
      <c r="A1518" s="67" t="s">
        <v>2278</v>
      </c>
      <c r="B1518" s="67" t="s">
        <v>519</v>
      </c>
      <c r="C1518" s="68">
        <v>0.75</v>
      </c>
      <c r="D1518" s="68">
        <v>0.75</v>
      </c>
      <c r="E1518" s="68">
        <v>3.0</v>
      </c>
      <c r="F1518" s="68">
        <v>1.0</v>
      </c>
      <c r="G1518" s="68">
        <v>11.3274993777317</v>
      </c>
      <c r="H1518" s="68">
        <v>332.049208326799</v>
      </c>
      <c r="I1518" s="69">
        <v>44318.53251157407</v>
      </c>
      <c r="J1518" s="69">
        <v>44318.532534722224</v>
      </c>
      <c r="K1518">
        <f>AVERAGE(H1517:H1521)</f>
        <v>177.956118</v>
      </c>
      <c r="L1518">
        <f>STDEV(H1517:H1521)</f>
        <v>119.4444418</v>
      </c>
      <c r="M1518" s="70">
        <v>332.049208326799</v>
      </c>
      <c r="N1518" s="70">
        <v>332.049208326799</v>
      </c>
      <c r="O1518" s="70">
        <v>11.3274993777317</v>
      </c>
      <c r="P1518" s="70">
        <v>11.3274993777317</v>
      </c>
    </row>
    <row r="1519" hidden="1">
      <c r="A1519" s="67" t="s">
        <v>2279</v>
      </c>
      <c r="B1519" s="67" t="s">
        <v>519</v>
      </c>
      <c r="C1519" s="68">
        <v>0.75</v>
      </c>
      <c r="D1519" s="68">
        <v>0.75</v>
      </c>
      <c r="E1519" s="68">
        <v>3.0</v>
      </c>
      <c r="F1519" s="68">
        <v>2.0</v>
      </c>
      <c r="G1519" s="68">
        <v>0.642615933522287</v>
      </c>
      <c r="H1519" s="68">
        <v>0.795553990676102</v>
      </c>
      <c r="I1519" s="69">
        <v>44318.53324074074</v>
      </c>
      <c r="J1519" s="69">
        <v>44318.53398148148</v>
      </c>
      <c r="K1519">
        <f>AVERAGE(H1517:H1521)</f>
        <v>177.956118</v>
      </c>
      <c r="L1519">
        <f>STDEV(H1517:H1521)</f>
        <v>119.4444418</v>
      </c>
      <c r="M1519" s="70">
        <v>0.795553990676102</v>
      </c>
      <c r="N1519" s="70">
        <v>0.795553990676102</v>
      </c>
      <c r="O1519" s="70">
        <v>0.642615933522287</v>
      </c>
      <c r="P1519" s="70">
        <v>0.642615933522287</v>
      </c>
    </row>
    <row r="1520" hidden="1">
      <c r="A1520" s="67" t="s">
        <v>2280</v>
      </c>
      <c r="B1520" s="67" t="s">
        <v>519</v>
      </c>
      <c r="C1520" s="68">
        <v>0.75</v>
      </c>
      <c r="D1520" s="68">
        <v>0.75</v>
      </c>
      <c r="E1520" s="68">
        <v>3.0</v>
      </c>
      <c r="F1520" s="68">
        <v>3.0</v>
      </c>
      <c r="G1520" s="68">
        <v>3.32003812343979</v>
      </c>
      <c r="H1520" s="68">
        <v>163.291482473772</v>
      </c>
      <c r="I1520" s="69">
        <v>44318.5346875</v>
      </c>
      <c r="J1520" s="69">
        <v>44318.5997337963</v>
      </c>
      <c r="K1520">
        <f>AVERAGE(H1517:H1521)</f>
        <v>177.956118</v>
      </c>
      <c r="L1520">
        <f>STDEV(H1517:H1521)</f>
        <v>119.4444418</v>
      </c>
      <c r="M1520" s="70">
        <v>163.291482473772</v>
      </c>
      <c r="N1520" s="70">
        <v>163.291482473772</v>
      </c>
      <c r="O1520" s="70">
        <v>3.32003812343979</v>
      </c>
      <c r="P1520" s="70">
        <v>3.32003812343979</v>
      </c>
    </row>
    <row r="1521" hidden="1">
      <c r="A1521" s="67" t="s">
        <v>2281</v>
      </c>
      <c r="B1521" s="67" t="s">
        <v>519</v>
      </c>
      <c r="C1521" s="68">
        <v>0.75</v>
      </c>
      <c r="D1521" s="68">
        <v>0.75</v>
      </c>
      <c r="E1521" s="68">
        <v>3.0</v>
      </c>
      <c r="F1521" s="68">
        <v>4.0</v>
      </c>
      <c r="G1521" s="68">
        <v>9.218853632893</v>
      </c>
      <c r="H1521" s="68">
        <v>219.299330508829</v>
      </c>
      <c r="I1521" s="69">
        <v>44318.600439814814</v>
      </c>
      <c r="J1521" s="69">
        <v>44318.60054398148</v>
      </c>
      <c r="K1521">
        <f>AVERAGE(H1517:H1521)</f>
        <v>177.956118</v>
      </c>
      <c r="L1521">
        <f>STDEV(H1517:H1521)</f>
        <v>119.4444418</v>
      </c>
      <c r="M1521" s="70">
        <v>219.299330508829</v>
      </c>
      <c r="N1521" s="70">
        <v>219.299330508829</v>
      </c>
      <c r="O1521" s="70">
        <v>9.218853632893</v>
      </c>
      <c r="P1521" s="70">
        <v>9.218853632893</v>
      </c>
    </row>
    <row r="1522" hidden="1">
      <c r="A1522" s="67" t="s">
        <v>2282</v>
      </c>
      <c r="B1522" s="67" t="s">
        <v>519</v>
      </c>
      <c r="C1522" s="68">
        <v>0.75</v>
      </c>
      <c r="D1522" s="68">
        <v>1.0</v>
      </c>
      <c r="E1522" s="68">
        <v>3.0</v>
      </c>
      <c r="F1522" s="68">
        <v>0.0</v>
      </c>
      <c r="G1522" s="68">
        <v>0.605604034949925</v>
      </c>
      <c r="H1522" s="68">
        <v>0.784033732276951</v>
      </c>
      <c r="I1522" s="69">
        <v>44318.60126157408</v>
      </c>
      <c r="J1522" s="69">
        <v>44318.601793981485</v>
      </c>
      <c r="K1522">
        <f>AVERAGE(H1522:H1526)</f>
        <v>111.2216608</v>
      </c>
      <c r="L1522">
        <f>STDEV(H1522:H1526)</f>
        <v>103.144677</v>
      </c>
      <c r="M1522" s="70">
        <v>0.784033732276951</v>
      </c>
      <c r="N1522" s="70">
        <v>0.784033732276951</v>
      </c>
      <c r="O1522" s="70">
        <v>0.605604034949925</v>
      </c>
      <c r="P1522" s="70">
        <v>0.605604034949925</v>
      </c>
    </row>
    <row r="1523" hidden="1">
      <c r="A1523" s="67" t="s">
        <v>2283</v>
      </c>
      <c r="B1523" s="67" t="s">
        <v>519</v>
      </c>
      <c r="C1523" s="68">
        <v>0.75</v>
      </c>
      <c r="D1523" s="68">
        <v>1.0</v>
      </c>
      <c r="E1523" s="68">
        <v>3.0</v>
      </c>
      <c r="F1523" s="68">
        <v>1.0</v>
      </c>
      <c r="G1523" s="68">
        <v>3.4028163967672</v>
      </c>
      <c r="H1523" s="68">
        <v>165.076926666486</v>
      </c>
      <c r="I1523" s="69">
        <v>44318.6025</v>
      </c>
      <c r="J1523" s="69">
        <v>44318.698217592595</v>
      </c>
      <c r="K1523">
        <f>AVERAGE(H1522:H1526)</f>
        <v>111.2216608</v>
      </c>
      <c r="L1523">
        <f>STDEV(H1522:H1526)</f>
        <v>103.144677</v>
      </c>
      <c r="M1523" s="70">
        <v>165.076926666486</v>
      </c>
      <c r="N1523" s="70">
        <v>165.076926666486</v>
      </c>
      <c r="O1523" s="70">
        <v>3.4028163967672</v>
      </c>
      <c r="P1523" s="70">
        <v>3.4028163967672</v>
      </c>
    </row>
    <row r="1524" hidden="1">
      <c r="A1524" s="67" t="s">
        <v>2284</v>
      </c>
      <c r="B1524" s="67" t="s">
        <v>519</v>
      </c>
      <c r="C1524" s="68">
        <v>0.75</v>
      </c>
      <c r="D1524" s="68">
        <v>1.0</v>
      </c>
      <c r="E1524" s="68">
        <v>3.0</v>
      </c>
      <c r="F1524" s="68">
        <v>2.0</v>
      </c>
      <c r="G1524" s="68">
        <v>9.21397504831845</v>
      </c>
      <c r="H1524" s="68">
        <v>219.333277503302</v>
      </c>
      <c r="I1524" s="69">
        <v>44318.69892361111</v>
      </c>
      <c r="J1524" s="69">
        <v>44318.69902777778</v>
      </c>
      <c r="K1524">
        <f>AVERAGE(H1522:H1526)</f>
        <v>111.2216608</v>
      </c>
      <c r="L1524">
        <f>STDEV(H1522:H1526)</f>
        <v>103.144677</v>
      </c>
      <c r="M1524" s="70">
        <v>219.333277503302</v>
      </c>
      <c r="N1524" s="70">
        <v>219.333277503302</v>
      </c>
      <c r="O1524" s="70">
        <v>9.21397504831845</v>
      </c>
      <c r="P1524" s="70">
        <v>9.21397504831845</v>
      </c>
    </row>
    <row r="1525" hidden="1">
      <c r="A1525" s="67" t="s">
        <v>2285</v>
      </c>
      <c r="B1525" s="67" t="s">
        <v>519</v>
      </c>
      <c r="C1525" s="68">
        <v>0.75</v>
      </c>
      <c r="D1525" s="68">
        <v>1.0</v>
      </c>
      <c r="E1525" s="68">
        <v>3.0</v>
      </c>
      <c r="F1525" s="68">
        <v>3.0</v>
      </c>
      <c r="G1525" s="68">
        <v>0.361009675615359</v>
      </c>
      <c r="H1525" s="68">
        <v>0.478551383400447</v>
      </c>
      <c r="I1525" s="69">
        <v>44318.6997337963</v>
      </c>
      <c r="J1525" s="69">
        <v>44318.69975694444</v>
      </c>
      <c r="K1525">
        <f>AVERAGE(H1522:H1526)</f>
        <v>111.2216608</v>
      </c>
      <c r="L1525">
        <f>STDEV(H1522:H1526)</f>
        <v>103.144677</v>
      </c>
      <c r="M1525" s="70">
        <v>0.478551383400447</v>
      </c>
      <c r="N1525" s="70">
        <v>0.478551383400447</v>
      </c>
      <c r="O1525" s="70">
        <v>0.361009675615359</v>
      </c>
      <c r="P1525" s="70">
        <v>0.361009675615359</v>
      </c>
    </row>
    <row r="1526" hidden="1">
      <c r="A1526" s="67" t="s">
        <v>2286</v>
      </c>
      <c r="B1526" s="67" t="s">
        <v>519</v>
      </c>
      <c r="C1526" s="68">
        <v>0.75</v>
      </c>
      <c r="D1526" s="68">
        <v>1.0</v>
      </c>
      <c r="E1526" s="68">
        <v>3.0</v>
      </c>
      <c r="F1526" s="68">
        <v>4.0</v>
      </c>
      <c r="G1526" s="68">
        <v>5.4639191780618</v>
      </c>
      <c r="H1526" s="68">
        <v>170.435514870764</v>
      </c>
      <c r="I1526" s="69">
        <v>44318.70046296297</v>
      </c>
      <c r="J1526" s="69">
        <v>44318.70064814815</v>
      </c>
      <c r="K1526">
        <f>AVERAGE(H1522:H1526)</f>
        <v>111.2216608</v>
      </c>
      <c r="L1526">
        <f>STDEV(H1522:H1526)</f>
        <v>103.144677</v>
      </c>
      <c r="M1526" s="70">
        <v>170.435514870764</v>
      </c>
      <c r="N1526" s="70">
        <v>170.435514870764</v>
      </c>
      <c r="O1526" s="70">
        <v>5.4639191780618</v>
      </c>
      <c r="P1526" s="70">
        <v>5.4639191780618</v>
      </c>
    </row>
    <row r="1527" hidden="1">
      <c r="A1527" s="67" t="s">
        <v>2287</v>
      </c>
      <c r="B1527" s="67" t="s">
        <v>519</v>
      </c>
      <c r="C1527" s="68">
        <v>1.0</v>
      </c>
      <c r="D1527" s="68">
        <v>0.1</v>
      </c>
      <c r="E1527" s="68">
        <v>3.0</v>
      </c>
      <c r="F1527" s="68">
        <v>0.0</v>
      </c>
      <c r="G1527" s="68">
        <v>4.67364352262851</v>
      </c>
      <c r="H1527" s="68">
        <v>179.441438521222</v>
      </c>
      <c r="I1527" s="69">
        <v>44318.70135416667</v>
      </c>
      <c r="J1527" s="69">
        <v>44318.70581018519</v>
      </c>
      <c r="K1527">
        <f>AVERAGE(H1527:H1531)</f>
        <v>107.5796341</v>
      </c>
      <c r="L1527">
        <f>STDEV(H1527:H1531)</f>
        <v>101.7366132</v>
      </c>
      <c r="M1527" s="70">
        <v>179.441438521222</v>
      </c>
      <c r="N1527" s="70">
        <v>179.441438521222</v>
      </c>
      <c r="O1527" s="70">
        <v>4.67364352262851</v>
      </c>
      <c r="P1527" s="70">
        <v>4.67364352262851</v>
      </c>
    </row>
    <row r="1528" hidden="1">
      <c r="A1528" s="67" t="s">
        <v>2288</v>
      </c>
      <c r="B1528" s="67" t="s">
        <v>519</v>
      </c>
      <c r="C1528" s="68">
        <v>1.0</v>
      </c>
      <c r="D1528" s="68">
        <v>0.1</v>
      </c>
      <c r="E1528" s="68">
        <v>3.0</v>
      </c>
      <c r="F1528" s="68">
        <v>1.0</v>
      </c>
      <c r="G1528" s="68">
        <v>0.480176753363811</v>
      </c>
      <c r="H1528" s="68">
        <v>0.582856866807836</v>
      </c>
      <c r="I1528" s="69">
        <v>44318.7065162037</v>
      </c>
      <c r="J1528" s="69">
        <v>44318.70690972222</v>
      </c>
      <c r="K1528">
        <f>AVERAGE(H1527:H1531)</f>
        <v>107.5796341</v>
      </c>
      <c r="L1528">
        <f>STDEV(H1527:H1531)</f>
        <v>101.7366132</v>
      </c>
      <c r="M1528" s="70">
        <v>0.582856866807836</v>
      </c>
      <c r="N1528" s="70">
        <v>0.582856866807836</v>
      </c>
      <c r="O1528" s="70">
        <v>0.480176753363811</v>
      </c>
      <c r="P1528" s="70">
        <v>0.480176753363811</v>
      </c>
    </row>
    <row r="1529" hidden="1">
      <c r="A1529" s="67" t="s">
        <v>2289</v>
      </c>
      <c r="B1529" s="67" t="s">
        <v>519</v>
      </c>
      <c r="C1529" s="68">
        <v>1.0</v>
      </c>
      <c r="D1529" s="68">
        <v>0.1</v>
      </c>
      <c r="E1529" s="68">
        <v>3.0</v>
      </c>
      <c r="F1529" s="68">
        <v>2.0</v>
      </c>
      <c r="G1529" s="68">
        <v>9.16358843313998</v>
      </c>
      <c r="H1529" s="68">
        <v>218.589295388496</v>
      </c>
      <c r="I1529" s="69">
        <v>44318.70761574074</v>
      </c>
      <c r="J1529" s="69">
        <v>44318.70773148148</v>
      </c>
      <c r="K1529">
        <f>AVERAGE(H1527:H1531)</f>
        <v>107.5796341</v>
      </c>
      <c r="L1529">
        <f>STDEV(H1527:H1531)</f>
        <v>101.7366132</v>
      </c>
      <c r="M1529" s="70">
        <v>218.589295388496</v>
      </c>
      <c r="N1529" s="70">
        <v>218.589295388496</v>
      </c>
      <c r="O1529" s="70">
        <v>9.16358843313998</v>
      </c>
      <c r="P1529" s="70">
        <v>9.16358843313998</v>
      </c>
    </row>
    <row r="1530" hidden="1">
      <c r="A1530" s="67" t="s">
        <v>2290</v>
      </c>
      <c r="B1530" s="67" t="s">
        <v>519</v>
      </c>
      <c r="C1530" s="68">
        <v>1.0</v>
      </c>
      <c r="D1530" s="68">
        <v>0.1</v>
      </c>
      <c r="E1530" s="68">
        <v>3.0</v>
      </c>
      <c r="F1530" s="68">
        <v>3.0</v>
      </c>
      <c r="G1530" s="68">
        <v>2.76265434049727</v>
      </c>
      <c r="H1530" s="68">
        <v>138.878463513288</v>
      </c>
      <c r="I1530" s="69">
        <v>44318.7084375</v>
      </c>
      <c r="J1530" s="69">
        <v>44318.75518518518</v>
      </c>
      <c r="K1530">
        <f>AVERAGE(H1527:H1531)</f>
        <v>107.5796341</v>
      </c>
      <c r="L1530">
        <f>STDEV(H1527:H1531)</f>
        <v>101.7366132</v>
      </c>
      <c r="M1530" s="70">
        <v>138.878463513288</v>
      </c>
      <c r="N1530" s="70">
        <v>138.878463513288</v>
      </c>
      <c r="O1530" s="70">
        <v>2.76265434049727</v>
      </c>
      <c r="P1530" s="70">
        <v>2.76265434049727</v>
      </c>
    </row>
    <row r="1531" hidden="1">
      <c r="A1531" s="67" t="s">
        <v>2291</v>
      </c>
      <c r="B1531" s="67" t="s">
        <v>519</v>
      </c>
      <c r="C1531" s="68">
        <v>1.0</v>
      </c>
      <c r="D1531" s="68">
        <v>0.1</v>
      </c>
      <c r="E1531" s="68">
        <v>3.0</v>
      </c>
      <c r="F1531" s="68">
        <v>4.0</v>
      </c>
      <c r="G1531" s="68">
        <v>0.317145370870006</v>
      </c>
      <c r="H1531" s="68">
        <v>0.406115963760371</v>
      </c>
      <c r="I1531" s="69">
        <v>44318.755891203706</v>
      </c>
      <c r="J1531" s="69">
        <v>44318.755949074075</v>
      </c>
      <c r="K1531">
        <f>AVERAGE(H1527:H1531)</f>
        <v>107.5796341</v>
      </c>
      <c r="L1531">
        <f>STDEV(H1527:H1531)</f>
        <v>101.7366132</v>
      </c>
      <c r="M1531" s="70">
        <v>0.406115963760371</v>
      </c>
      <c r="N1531" s="70">
        <v>0.406115963760371</v>
      </c>
      <c r="O1531" s="70">
        <v>0.317145370870006</v>
      </c>
      <c r="P1531" s="70">
        <v>0.317145370870006</v>
      </c>
    </row>
    <row r="1532" hidden="1">
      <c r="A1532" s="67" t="s">
        <v>2292</v>
      </c>
      <c r="B1532" s="67" t="s">
        <v>519</v>
      </c>
      <c r="C1532" s="68">
        <v>1.0</v>
      </c>
      <c r="D1532" s="68">
        <v>0.25</v>
      </c>
      <c r="E1532" s="68">
        <v>3.0</v>
      </c>
      <c r="F1532" s="68">
        <v>0.0</v>
      </c>
      <c r="G1532" s="68">
        <v>8.46077889999472</v>
      </c>
      <c r="H1532" s="68">
        <v>243.752696513249</v>
      </c>
      <c r="I1532" s="69">
        <v>44318.75665509259</v>
      </c>
      <c r="J1532" s="69">
        <v>44318.75679398148</v>
      </c>
      <c r="K1532">
        <f>AVERAGE(H1532:H1536)</f>
        <v>125.9529968</v>
      </c>
      <c r="L1532">
        <f>STDEV(H1532:H1536)</f>
        <v>97.00417018</v>
      </c>
      <c r="M1532" s="70">
        <v>243.752696513249</v>
      </c>
      <c r="N1532" s="70">
        <v>243.752696513249</v>
      </c>
      <c r="O1532" s="70">
        <v>8.46077889999472</v>
      </c>
      <c r="P1532" s="70">
        <v>8.46077889999472</v>
      </c>
    </row>
    <row r="1533" hidden="1">
      <c r="A1533" s="67" t="s">
        <v>2293</v>
      </c>
      <c r="B1533" s="67" t="s">
        <v>519</v>
      </c>
      <c r="C1533" s="68">
        <v>1.0</v>
      </c>
      <c r="D1533" s="68">
        <v>0.25</v>
      </c>
      <c r="E1533" s="68">
        <v>3.0</v>
      </c>
      <c r="F1533" s="68">
        <v>1.0</v>
      </c>
      <c r="G1533" s="68">
        <v>3.18927237739203</v>
      </c>
      <c r="H1533" s="68">
        <v>159.070080165384</v>
      </c>
      <c r="I1533" s="69">
        <v>44318.7575</v>
      </c>
      <c r="J1533" s="69">
        <v>44318.89165509259</v>
      </c>
      <c r="K1533">
        <f>AVERAGE(H1532:H1536)</f>
        <v>125.9529968</v>
      </c>
      <c r="L1533">
        <f>STDEV(H1532:H1536)</f>
        <v>97.00417018</v>
      </c>
      <c r="M1533" s="70">
        <v>159.070080165384</v>
      </c>
      <c r="N1533" s="70">
        <v>159.070080165384</v>
      </c>
      <c r="O1533" s="70">
        <v>3.18927237739203</v>
      </c>
      <c r="P1533" s="70">
        <v>3.18927237739203</v>
      </c>
    </row>
    <row r="1534" hidden="1">
      <c r="A1534" s="67" t="s">
        <v>2294</v>
      </c>
      <c r="B1534" s="67" t="s">
        <v>519</v>
      </c>
      <c r="C1534" s="68">
        <v>1.0</v>
      </c>
      <c r="D1534" s="68">
        <v>0.25</v>
      </c>
      <c r="E1534" s="68">
        <v>3.0</v>
      </c>
      <c r="F1534" s="68">
        <v>2.0</v>
      </c>
      <c r="G1534" s="68">
        <v>5.4783810449543</v>
      </c>
      <c r="H1534" s="68">
        <v>170.718112609948</v>
      </c>
      <c r="I1534" s="69">
        <v>44318.89236111111</v>
      </c>
      <c r="J1534" s="69">
        <v>44318.8925</v>
      </c>
      <c r="K1534">
        <f>AVERAGE(H1532:H1536)</f>
        <v>125.9529968</v>
      </c>
      <c r="L1534">
        <f>STDEV(H1532:H1536)</f>
        <v>97.00417018</v>
      </c>
      <c r="M1534" s="70">
        <v>170.718112609948</v>
      </c>
      <c r="N1534" s="70">
        <v>170.718112609948</v>
      </c>
      <c r="O1534" s="70">
        <v>5.4783810449543</v>
      </c>
      <c r="P1534" s="70">
        <v>5.4783810449543</v>
      </c>
    </row>
    <row r="1535" hidden="1">
      <c r="A1535" s="67" t="s">
        <v>2295</v>
      </c>
      <c r="B1535" s="67" t="s">
        <v>519</v>
      </c>
      <c r="C1535" s="68">
        <v>1.0</v>
      </c>
      <c r="D1535" s="68">
        <v>0.25</v>
      </c>
      <c r="E1535" s="68">
        <v>3.0</v>
      </c>
      <c r="F1535" s="68">
        <v>3.0</v>
      </c>
      <c r="G1535" s="68">
        <v>5.98586250661729</v>
      </c>
      <c r="H1535" s="68">
        <v>55.6448216708195</v>
      </c>
      <c r="I1535" s="69">
        <v>44318.89320601852</v>
      </c>
      <c r="J1535" s="69">
        <v>44318.893229166664</v>
      </c>
      <c r="K1535">
        <f>AVERAGE(H1532:H1536)</f>
        <v>125.9529968</v>
      </c>
      <c r="L1535">
        <f>STDEV(H1532:H1536)</f>
        <v>97.00417018</v>
      </c>
      <c r="M1535" s="70">
        <v>55.6448216708195</v>
      </c>
      <c r="N1535" s="70">
        <v>55.6448216708195</v>
      </c>
      <c r="O1535" s="70">
        <v>5.98586250661729</v>
      </c>
      <c r="P1535" s="70">
        <v>5.98586250661729</v>
      </c>
    </row>
    <row r="1536" hidden="1">
      <c r="A1536" s="67" t="s">
        <v>2296</v>
      </c>
      <c r="B1536" s="67" t="s">
        <v>519</v>
      </c>
      <c r="C1536" s="68">
        <v>1.0</v>
      </c>
      <c r="D1536" s="68">
        <v>0.25</v>
      </c>
      <c r="E1536" s="68">
        <v>3.0</v>
      </c>
      <c r="F1536" s="68">
        <v>4.0</v>
      </c>
      <c r="G1536" s="68">
        <v>0.446820144828865</v>
      </c>
      <c r="H1536" s="68">
        <v>0.579273142164999</v>
      </c>
      <c r="I1536" s="69">
        <v>44318.89393518519</v>
      </c>
      <c r="J1536" s="69">
        <v>44318.89398148148</v>
      </c>
      <c r="K1536">
        <f>AVERAGE(H1532:H1536)</f>
        <v>125.9529968</v>
      </c>
      <c r="L1536">
        <f>STDEV(H1532:H1536)</f>
        <v>97.00417018</v>
      </c>
      <c r="M1536" s="70">
        <v>0.579273142164999</v>
      </c>
      <c r="N1536" s="70">
        <v>0.579273142164999</v>
      </c>
      <c r="O1536" s="70">
        <v>0.446820144828865</v>
      </c>
      <c r="P1536" s="70">
        <v>0.446820144828865</v>
      </c>
    </row>
    <row r="1537" hidden="1">
      <c r="A1537" s="67" t="s">
        <v>2297</v>
      </c>
      <c r="B1537" s="67" t="s">
        <v>519</v>
      </c>
      <c r="C1537" s="68">
        <v>1.0</v>
      </c>
      <c r="D1537" s="68">
        <v>0.75</v>
      </c>
      <c r="E1537" s="68">
        <v>3.0</v>
      </c>
      <c r="F1537" s="68">
        <v>0.0</v>
      </c>
      <c r="G1537" s="68">
        <v>3.15562554661099</v>
      </c>
      <c r="H1537" s="68">
        <v>157.553070411865</v>
      </c>
      <c r="I1537" s="69">
        <v>44318.8946875</v>
      </c>
      <c r="J1537" s="69">
        <v>44319.016875</v>
      </c>
      <c r="K1537">
        <f>AVERAGE(H1537:H1541)</f>
        <v>114.4530751</v>
      </c>
      <c r="L1537">
        <f>STDEV(H1537:H1541)</f>
        <v>105.6329646</v>
      </c>
      <c r="M1537" s="70">
        <v>157.553070411865</v>
      </c>
      <c r="N1537" s="70">
        <v>157.553070411865</v>
      </c>
      <c r="O1537" s="70">
        <v>3.15562554661099</v>
      </c>
      <c r="P1537" s="70">
        <v>3.15562554661099</v>
      </c>
    </row>
    <row r="1538" hidden="1">
      <c r="A1538" s="67" t="s">
        <v>2298</v>
      </c>
      <c r="B1538" s="67" t="s">
        <v>519</v>
      </c>
      <c r="C1538" s="68">
        <v>1.0</v>
      </c>
      <c r="D1538" s="68">
        <v>0.75</v>
      </c>
      <c r="E1538" s="68">
        <v>3.0</v>
      </c>
      <c r="F1538" s="68">
        <v>1.0</v>
      </c>
      <c r="G1538" s="68">
        <v>9.95532662416237</v>
      </c>
      <c r="H1538" s="68">
        <v>229.59655559277</v>
      </c>
      <c r="I1538" s="69">
        <v>44319.01758101852</v>
      </c>
      <c r="J1538" s="69">
        <v>44319.01768518519</v>
      </c>
      <c r="K1538">
        <f>AVERAGE(H1537:H1541)</f>
        <v>114.4530751</v>
      </c>
      <c r="L1538">
        <f>STDEV(H1537:H1541)</f>
        <v>105.6329646</v>
      </c>
      <c r="M1538" s="70">
        <v>229.59655559277</v>
      </c>
      <c r="N1538" s="70">
        <v>229.59655559277</v>
      </c>
      <c r="O1538" s="70">
        <v>9.95532662416237</v>
      </c>
      <c r="P1538" s="70">
        <v>9.95532662416237</v>
      </c>
    </row>
    <row r="1539" hidden="1">
      <c r="A1539" s="67" t="s">
        <v>2299</v>
      </c>
      <c r="B1539" s="67" t="s">
        <v>519</v>
      </c>
      <c r="C1539" s="68">
        <v>1.0</v>
      </c>
      <c r="D1539" s="68">
        <v>0.75</v>
      </c>
      <c r="E1539" s="68">
        <v>3.0</v>
      </c>
      <c r="F1539" s="68">
        <v>2.0</v>
      </c>
      <c r="G1539" s="68">
        <v>5.71208581002097</v>
      </c>
      <c r="H1539" s="68">
        <v>180.486216366379</v>
      </c>
      <c r="I1539" s="69">
        <v>44319.0183912037</v>
      </c>
      <c r="J1539" s="69">
        <v>44319.018541666665</v>
      </c>
      <c r="K1539">
        <f>AVERAGE(H1537:H1541)</f>
        <v>114.4530751</v>
      </c>
      <c r="L1539">
        <f>STDEV(H1537:H1541)</f>
        <v>105.6329646</v>
      </c>
      <c r="M1539" s="70">
        <v>180.486216366379</v>
      </c>
      <c r="N1539" s="70">
        <v>180.486216366379</v>
      </c>
      <c r="O1539" s="70">
        <v>5.71208581002097</v>
      </c>
      <c r="P1539" s="70">
        <v>5.71208581002097</v>
      </c>
    </row>
    <row r="1540" hidden="1">
      <c r="A1540" s="67" t="s">
        <v>2300</v>
      </c>
      <c r="B1540" s="67" t="s">
        <v>519</v>
      </c>
      <c r="C1540" s="68">
        <v>1.0</v>
      </c>
      <c r="D1540" s="68">
        <v>0.75</v>
      </c>
      <c r="E1540" s="68">
        <v>3.0</v>
      </c>
      <c r="F1540" s="68">
        <v>3.0</v>
      </c>
      <c r="G1540" s="68">
        <v>0.317145370870006</v>
      </c>
      <c r="H1540" s="68">
        <v>0.406115963760371</v>
      </c>
      <c r="I1540" s="69">
        <v>44319.01924768519</v>
      </c>
      <c r="J1540" s="69">
        <v>44319.01930555556</v>
      </c>
      <c r="K1540">
        <f>AVERAGE(H1537:H1541)</f>
        <v>114.4530751</v>
      </c>
      <c r="L1540">
        <f>STDEV(H1537:H1541)</f>
        <v>105.6329646</v>
      </c>
      <c r="M1540" s="70">
        <v>0.406115963760371</v>
      </c>
      <c r="N1540" s="70">
        <v>0.406115963760371</v>
      </c>
      <c r="O1540" s="70">
        <v>0.317145370870006</v>
      </c>
      <c r="P1540" s="70">
        <v>0.317145370870006</v>
      </c>
    </row>
    <row r="1541" hidden="1">
      <c r="A1541" s="67" t="s">
        <v>2301</v>
      </c>
      <c r="B1541" s="67" t="s">
        <v>519</v>
      </c>
      <c r="C1541" s="68">
        <v>1.0</v>
      </c>
      <c r="D1541" s="68">
        <v>0.75</v>
      </c>
      <c r="E1541" s="68">
        <v>3.0</v>
      </c>
      <c r="F1541" s="68">
        <v>4.0</v>
      </c>
      <c r="G1541" s="68">
        <v>1.54828190470837</v>
      </c>
      <c r="H1541" s="68">
        <v>4.22341699000305</v>
      </c>
      <c r="I1541" s="69">
        <v>44319.02001157407</v>
      </c>
      <c r="J1541" s="69">
        <v>44319.02002314815</v>
      </c>
      <c r="K1541">
        <f>AVERAGE(H1537:H1541)</f>
        <v>114.4530751</v>
      </c>
      <c r="L1541">
        <f>STDEV(H1537:H1541)</f>
        <v>105.6329646</v>
      </c>
      <c r="M1541" s="70">
        <v>4.22341699000305</v>
      </c>
      <c r="N1541" s="70">
        <v>4.22341699000305</v>
      </c>
      <c r="O1541" s="70">
        <v>1.54828190470837</v>
      </c>
      <c r="P1541" s="70">
        <v>1.54828190470837</v>
      </c>
    </row>
    <row r="1542" hidden="1">
      <c r="A1542" s="67" t="s">
        <v>2302</v>
      </c>
      <c r="B1542" s="67" t="s">
        <v>519</v>
      </c>
      <c r="C1542" s="68">
        <v>1.0</v>
      </c>
      <c r="D1542" s="68">
        <v>1.0</v>
      </c>
      <c r="E1542" s="68">
        <v>3.0</v>
      </c>
      <c r="F1542" s="68">
        <v>0.0</v>
      </c>
      <c r="G1542" s="68">
        <v>3.11164359386864</v>
      </c>
      <c r="H1542" s="68">
        <v>156.242735230243</v>
      </c>
      <c r="I1542" s="69">
        <v>44319.02072916667</v>
      </c>
      <c r="J1542" s="69">
        <v>44319.163981481484</v>
      </c>
      <c r="K1542">
        <f>AVERAGE(H1542:H1546)</f>
        <v>120.1551066</v>
      </c>
      <c r="L1542">
        <f>STDEV(H1542:H1546)</f>
        <v>117.9036588</v>
      </c>
      <c r="M1542" s="70">
        <v>156.242735230243</v>
      </c>
      <c r="N1542" s="70">
        <v>156.242735230243</v>
      </c>
      <c r="O1542" s="70">
        <v>3.11164359386864</v>
      </c>
      <c r="P1542" s="70">
        <v>3.11164359386864</v>
      </c>
    </row>
    <row r="1543" hidden="1">
      <c r="A1543" s="67" t="s">
        <v>2303</v>
      </c>
      <c r="B1543" s="67" t="s">
        <v>519</v>
      </c>
      <c r="C1543" s="68">
        <v>1.0</v>
      </c>
      <c r="D1543" s="68">
        <v>1.0</v>
      </c>
      <c r="E1543" s="68">
        <v>3.0</v>
      </c>
      <c r="F1543" s="68">
        <v>1.0</v>
      </c>
      <c r="G1543" s="68">
        <v>5.41606119858966</v>
      </c>
      <c r="H1543" s="68">
        <v>169.645092041061</v>
      </c>
      <c r="I1543" s="69">
        <v>44319.164675925924</v>
      </c>
      <c r="J1543" s="69">
        <v>44319.164826388886</v>
      </c>
      <c r="K1543">
        <f>AVERAGE(H1542:H1546)</f>
        <v>120.1551066</v>
      </c>
      <c r="L1543">
        <f>STDEV(H1542:H1546)</f>
        <v>117.9036588</v>
      </c>
      <c r="M1543" s="70">
        <v>169.645092041061</v>
      </c>
      <c r="N1543" s="70">
        <v>169.645092041061</v>
      </c>
      <c r="O1543" s="70">
        <v>5.41606119858966</v>
      </c>
      <c r="P1543" s="70">
        <v>5.41606119858966</v>
      </c>
    </row>
    <row r="1544" hidden="1">
      <c r="A1544" s="67" t="s">
        <v>2304</v>
      </c>
      <c r="B1544" s="67" t="s">
        <v>519</v>
      </c>
      <c r="C1544" s="68">
        <v>1.0</v>
      </c>
      <c r="D1544" s="68">
        <v>1.0</v>
      </c>
      <c r="E1544" s="68">
        <v>3.0</v>
      </c>
      <c r="F1544" s="68">
        <v>2.0</v>
      </c>
      <c r="G1544" s="68">
        <v>0.159111599352397</v>
      </c>
      <c r="H1544" s="68">
        <v>0.331849744796775</v>
      </c>
      <c r="I1544" s="69">
        <v>44319.16554398148</v>
      </c>
      <c r="J1544" s="69">
        <v>44319.16554398148</v>
      </c>
      <c r="K1544">
        <f>AVERAGE(H1542:H1546)</f>
        <v>120.1551066</v>
      </c>
      <c r="L1544">
        <f>STDEV(H1542:H1546)</f>
        <v>117.9036588</v>
      </c>
      <c r="M1544" s="70">
        <v>0.331849744796775</v>
      </c>
      <c r="N1544" s="70">
        <v>0.331849744796775</v>
      </c>
      <c r="O1544" s="70">
        <v>0.159111599352397</v>
      </c>
      <c r="P1544" s="70">
        <v>0.159111599352397</v>
      </c>
    </row>
    <row r="1545" hidden="1">
      <c r="A1545" s="67" t="s">
        <v>2305</v>
      </c>
      <c r="B1545" s="67" t="s">
        <v>519</v>
      </c>
      <c r="C1545" s="68">
        <v>1.0</v>
      </c>
      <c r="D1545" s="68">
        <v>1.0</v>
      </c>
      <c r="E1545" s="68">
        <v>3.0</v>
      </c>
      <c r="F1545" s="68">
        <v>3.0</v>
      </c>
      <c r="G1545" s="68">
        <v>16.0699163391306</v>
      </c>
      <c r="H1545" s="68">
        <v>273.126226694253</v>
      </c>
      <c r="I1545" s="69">
        <v>44319.16625</v>
      </c>
      <c r="J1545" s="69">
        <v>44319.16630787037</v>
      </c>
      <c r="K1545">
        <f>AVERAGE(H1542:H1546)</f>
        <v>120.1551066</v>
      </c>
      <c r="L1545">
        <f>STDEV(H1542:H1546)</f>
        <v>117.9036588</v>
      </c>
      <c r="M1545" s="70">
        <v>273.126226694253</v>
      </c>
      <c r="N1545" s="70">
        <v>273.126226694253</v>
      </c>
      <c r="O1545" s="70">
        <v>16.0699163391306</v>
      </c>
      <c r="P1545" s="70">
        <v>16.0699163391306</v>
      </c>
    </row>
    <row r="1546" hidden="1">
      <c r="A1546" s="67" t="s">
        <v>2306</v>
      </c>
      <c r="B1546" s="67" t="s">
        <v>519</v>
      </c>
      <c r="C1546" s="68">
        <v>1.0</v>
      </c>
      <c r="D1546" s="68">
        <v>1.0</v>
      </c>
      <c r="E1546" s="68">
        <v>3.0</v>
      </c>
      <c r="F1546" s="68">
        <v>4.0</v>
      </c>
      <c r="G1546" s="68">
        <v>0.858184707382862</v>
      </c>
      <c r="H1546" s="68">
        <v>1.42962927632696</v>
      </c>
      <c r="I1546" s="69">
        <v>44319.16701388889</v>
      </c>
      <c r="J1546" s="69">
        <v>44319.16704861111</v>
      </c>
      <c r="K1546">
        <f>AVERAGE(H1542:H1546)</f>
        <v>120.1551066</v>
      </c>
      <c r="L1546">
        <f>STDEV(H1542:H1546)</f>
        <v>117.9036588</v>
      </c>
      <c r="M1546" s="70">
        <v>1.42962927632696</v>
      </c>
      <c r="N1546" s="70">
        <v>1.42962927632696</v>
      </c>
      <c r="O1546" s="70">
        <v>0.858184707382862</v>
      </c>
      <c r="P1546" s="70">
        <v>0.858184707382862</v>
      </c>
    </row>
    <row r="1547" hidden="1">
      <c r="A1547" s="67" t="s">
        <v>2307</v>
      </c>
      <c r="B1547" s="67" t="s">
        <v>17</v>
      </c>
      <c r="C1547" s="68">
        <v>0.1</v>
      </c>
      <c r="D1547" s="68">
        <v>0.1</v>
      </c>
      <c r="E1547" s="68">
        <v>4.0</v>
      </c>
      <c r="F1547" s="68">
        <v>0.0</v>
      </c>
      <c r="G1547" s="68">
        <v>4.11856157153312</v>
      </c>
      <c r="H1547" s="68">
        <v>176.945030747276</v>
      </c>
      <c r="I1547" s="69">
        <v>44319.16775462963</v>
      </c>
      <c r="J1547" s="69">
        <v>44319.22138888889</v>
      </c>
      <c r="K1547">
        <f>AVERAGE(H1547:H1551)</f>
        <v>133.1138212</v>
      </c>
      <c r="L1547">
        <f>STDEV(H1547:H1551)</f>
        <v>143.5269502</v>
      </c>
      <c r="M1547" s="70">
        <v>176.945030747276</v>
      </c>
      <c r="N1547" s="70">
        <v>176.945030747276</v>
      </c>
      <c r="O1547" s="70">
        <v>4.11856157153312</v>
      </c>
      <c r="P1547" s="70">
        <v>4.11856157153312</v>
      </c>
    </row>
    <row r="1548" hidden="1">
      <c r="A1548" s="67" t="s">
        <v>2308</v>
      </c>
      <c r="B1548" s="67" t="s">
        <v>17</v>
      </c>
      <c r="C1548" s="68">
        <v>0.1</v>
      </c>
      <c r="D1548" s="68">
        <v>0.1</v>
      </c>
      <c r="E1548" s="68">
        <v>4.0</v>
      </c>
      <c r="F1548" s="68">
        <v>1.0</v>
      </c>
      <c r="G1548" s="68">
        <v>2.48279813552502</v>
      </c>
      <c r="H1548" s="68">
        <v>131.627634919223</v>
      </c>
      <c r="I1548" s="69">
        <v>44319.22209490741</v>
      </c>
      <c r="J1548" s="69">
        <v>44319.22231481481</v>
      </c>
      <c r="K1548">
        <f>AVERAGE(H1547:H1551)</f>
        <v>133.1138212</v>
      </c>
      <c r="L1548">
        <f>STDEV(H1547:H1551)</f>
        <v>143.5269502</v>
      </c>
      <c r="M1548" s="70">
        <v>131.627634919223</v>
      </c>
      <c r="N1548" s="70">
        <v>131.627634919223</v>
      </c>
      <c r="O1548" s="70">
        <v>2.48279813552502</v>
      </c>
      <c r="P1548" s="70">
        <v>2.48279813552502</v>
      </c>
    </row>
    <row r="1549" hidden="1">
      <c r="A1549" s="67" t="s">
        <v>2309</v>
      </c>
      <c r="B1549" s="67" t="s">
        <v>17</v>
      </c>
      <c r="C1549" s="68">
        <v>0.1</v>
      </c>
      <c r="D1549" s="68">
        <v>0.1</v>
      </c>
      <c r="E1549" s="68">
        <v>4.0</v>
      </c>
      <c r="F1549" s="68">
        <v>2.0</v>
      </c>
      <c r="G1549" s="68">
        <v>0.846499235833107</v>
      </c>
      <c r="H1549" s="68">
        <v>1.1466812897902</v>
      </c>
      <c r="I1549" s="69">
        <v>44319.223020833335</v>
      </c>
      <c r="J1549" s="69">
        <v>44319.223229166666</v>
      </c>
      <c r="K1549">
        <f>AVERAGE(H1547:H1551)</f>
        <v>133.1138212</v>
      </c>
      <c r="L1549">
        <f>STDEV(H1547:H1551)</f>
        <v>143.5269502</v>
      </c>
      <c r="M1549" s="70">
        <v>1.1466812897902</v>
      </c>
      <c r="N1549" s="70">
        <v>1.1466812897902</v>
      </c>
      <c r="O1549" s="70">
        <v>0.846499235833107</v>
      </c>
      <c r="P1549" s="70">
        <v>0.846499235833107</v>
      </c>
    </row>
    <row r="1550" hidden="1">
      <c r="A1550" s="67" t="s">
        <v>2310</v>
      </c>
      <c r="B1550" s="67" t="s">
        <v>17</v>
      </c>
      <c r="C1550" s="68">
        <v>0.1</v>
      </c>
      <c r="D1550" s="68">
        <v>0.1</v>
      </c>
      <c r="E1550" s="68">
        <v>4.0</v>
      </c>
      <c r="F1550" s="68">
        <v>3.0</v>
      </c>
      <c r="G1550" s="68">
        <v>0.876316520456836</v>
      </c>
      <c r="H1550" s="68">
        <v>6.10350403369648</v>
      </c>
      <c r="I1550" s="69">
        <v>44319.22393518518</v>
      </c>
      <c r="J1550" s="69">
        <v>44319.227060185185</v>
      </c>
      <c r="K1550">
        <f>AVERAGE(H1547:H1551)</f>
        <v>133.1138212</v>
      </c>
      <c r="L1550">
        <f>STDEV(H1547:H1551)</f>
        <v>143.5269502</v>
      </c>
      <c r="M1550" s="70">
        <v>6.10350403369648</v>
      </c>
      <c r="N1550" s="70">
        <v>6.10350403369648</v>
      </c>
      <c r="O1550" s="70">
        <v>0.876316520456836</v>
      </c>
      <c r="P1550" s="70">
        <v>0.876316520456836</v>
      </c>
    </row>
    <row r="1551" hidden="1">
      <c r="A1551" s="67" t="s">
        <v>2311</v>
      </c>
      <c r="B1551" s="67" t="s">
        <v>17</v>
      </c>
      <c r="C1551" s="68">
        <v>0.1</v>
      </c>
      <c r="D1551" s="68">
        <v>0.1</v>
      </c>
      <c r="E1551" s="68">
        <v>4.0</v>
      </c>
      <c r="F1551" s="68">
        <v>4.0</v>
      </c>
      <c r="G1551" s="68">
        <v>11.7998600237701</v>
      </c>
      <c r="H1551" s="68">
        <v>349.74625505484</v>
      </c>
      <c r="I1551" s="69">
        <v>44319.2277662037</v>
      </c>
      <c r="J1551" s="69">
        <v>44319.227847222224</v>
      </c>
      <c r="K1551">
        <f>AVERAGE(H1547:H1551)</f>
        <v>133.1138212</v>
      </c>
      <c r="L1551">
        <f>STDEV(H1547:H1551)</f>
        <v>143.5269502</v>
      </c>
      <c r="M1551" s="70">
        <v>349.74625505484</v>
      </c>
      <c r="N1551" s="70">
        <v>349.74625505484</v>
      </c>
      <c r="O1551" s="70">
        <v>11.7998600237701</v>
      </c>
      <c r="P1551" s="70">
        <v>11.7998600237701</v>
      </c>
    </row>
    <row r="1552" hidden="1">
      <c r="A1552" s="67" t="s">
        <v>2312</v>
      </c>
      <c r="B1552" s="67" t="s">
        <v>17</v>
      </c>
      <c r="C1552" s="68">
        <v>0.1</v>
      </c>
      <c r="D1552" s="68">
        <v>0.25</v>
      </c>
      <c r="E1552" s="68">
        <v>4.0</v>
      </c>
      <c r="F1552" s="68">
        <v>0.0</v>
      </c>
      <c r="G1552" s="68">
        <v>3.0689742378816</v>
      </c>
      <c r="H1552" s="68">
        <v>139.158353614433</v>
      </c>
      <c r="I1552" s="69">
        <v>44319.22855324074</v>
      </c>
      <c r="J1552" s="69">
        <v>44319.276979166665</v>
      </c>
      <c r="K1552">
        <f>AVERAGE(H1552:H1556)</f>
        <v>79.11900101</v>
      </c>
      <c r="L1552">
        <f>STDEV(H1552:H1556)</f>
        <v>112.8359905</v>
      </c>
      <c r="M1552" s="70">
        <v>139.158353614433</v>
      </c>
      <c r="N1552" s="70">
        <v>139.158353614433</v>
      </c>
      <c r="O1552" s="70">
        <v>3.0689742378816</v>
      </c>
      <c r="P1552" s="70">
        <v>3.0689742378816</v>
      </c>
    </row>
    <row r="1553" hidden="1">
      <c r="A1553" s="67" t="s">
        <v>2313</v>
      </c>
      <c r="B1553" s="67" t="s">
        <v>17</v>
      </c>
      <c r="C1553" s="68">
        <v>0.1</v>
      </c>
      <c r="D1553" s="68">
        <v>0.25</v>
      </c>
      <c r="E1553" s="68">
        <v>4.0</v>
      </c>
      <c r="F1553" s="68">
        <v>1.0</v>
      </c>
      <c r="G1553" s="68">
        <v>0.536737887189555</v>
      </c>
      <c r="H1553" s="68">
        <v>0.65766143320393</v>
      </c>
      <c r="I1553" s="69">
        <v>44319.27769675926</v>
      </c>
      <c r="J1553" s="69">
        <v>44319.27824074074</v>
      </c>
      <c r="K1553">
        <f>AVERAGE(H1552:H1556)</f>
        <v>79.11900101</v>
      </c>
      <c r="L1553">
        <f>STDEV(H1552:H1556)</f>
        <v>112.8359905</v>
      </c>
      <c r="M1553" s="70">
        <v>0.65766143320393</v>
      </c>
      <c r="N1553" s="70">
        <v>0.65766143320393</v>
      </c>
      <c r="O1553" s="70">
        <v>0.536737887189555</v>
      </c>
      <c r="P1553" s="70">
        <v>0.536737887189555</v>
      </c>
    </row>
    <row r="1554" hidden="1">
      <c r="A1554" s="67" t="s">
        <v>2314</v>
      </c>
      <c r="B1554" s="67" t="s">
        <v>17</v>
      </c>
      <c r="C1554" s="68">
        <v>0.1</v>
      </c>
      <c r="D1554" s="68">
        <v>0.25</v>
      </c>
      <c r="E1554" s="68">
        <v>4.0</v>
      </c>
      <c r="F1554" s="68">
        <v>2.0</v>
      </c>
      <c r="G1554" s="68">
        <v>2.64397974277779</v>
      </c>
      <c r="H1554" s="68">
        <v>4.14308284676004</v>
      </c>
      <c r="I1554" s="69">
        <v>44319.27894675926</v>
      </c>
      <c r="J1554" s="69">
        <v>44319.27903935185</v>
      </c>
      <c r="K1554">
        <f>AVERAGE(H1552:H1556)</f>
        <v>79.11900101</v>
      </c>
      <c r="L1554">
        <f>STDEV(H1552:H1556)</f>
        <v>112.8359905</v>
      </c>
      <c r="M1554" s="70">
        <v>4.14308284676004</v>
      </c>
      <c r="N1554" s="70">
        <v>4.14308284676004</v>
      </c>
      <c r="O1554" s="70">
        <v>2.64397974277779</v>
      </c>
      <c r="P1554" s="70">
        <v>2.64397974277779</v>
      </c>
    </row>
    <row r="1555" hidden="1">
      <c r="A1555" s="67" t="s">
        <v>2315</v>
      </c>
      <c r="B1555" s="67" t="s">
        <v>17</v>
      </c>
      <c r="C1555" s="68">
        <v>0.1</v>
      </c>
      <c r="D1555" s="68">
        <v>0.25</v>
      </c>
      <c r="E1555" s="68">
        <v>4.0</v>
      </c>
      <c r="F1555" s="68">
        <v>3.0</v>
      </c>
      <c r="G1555" s="68">
        <v>6.39286230288375</v>
      </c>
      <c r="H1555" s="68">
        <v>250.685813196456</v>
      </c>
      <c r="I1555" s="69">
        <v>44319.27974537037</v>
      </c>
      <c r="J1555" s="69">
        <v>44319.2840162037</v>
      </c>
      <c r="K1555">
        <f>AVERAGE(H1552:H1556)</f>
        <v>79.11900101</v>
      </c>
      <c r="L1555">
        <f>STDEV(H1552:H1556)</f>
        <v>112.8359905</v>
      </c>
      <c r="M1555" s="70">
        <v>250.685813196456</v>
      </c>
      <c r="N1555" s="70">
        <v>250.685813196456</v>
      </c>
      <c r="O1555" s="70">
        <v>6.39286230288375</v>
      </c>
      <c r="P1555" s="70">
        <v>6.39286230288375</v>
      </c>
    </row>
    <row r="1556" hidden="1">
      <c r="A1556" s="67" t="s">
        <v>2316</v>
      </c>
      <c r="B1556" s="67" t="s">
        <v>17</v>
      </c>
      <c r="C1556" s="68">
        <v>0.1</v>
      </c>
      <c r="D1556" s="68">
        <v>0.25</v>
      </c>
      <c r="E1556" s="68">
        <v>4.0</v>
      </c>
      <c r="F1556" s="68">
        <v>4.0</v>
      </c>
      <c r="G1556" s="68">
        <v>0.712997756536142</v>
      </c>
      <c r="H1556" s="68">
        <v>0.950093966860787</v>
      </c>
      <c r="I1556" s="69">
        <v>44319.28472222222</v>
      </c>
      <c r="J1556" s="69">
        <v>44319.28496527778</v>
      </c>
      <c r="K1556">
        <f>AVERAGE(H1552:H1556)</f>
        <v>79.11900101</v>
      </c>
      <c r="L1556">
        <f>STDEV(H1552:H1556)</f>
        <v>112.8359905</v>
      </c>
      <c r="M1556" s="70">
        <v>0.950093966860787</v>
      </c>
      <c r="N1556" s="70">
        <v>0.950093966860787</v>
      </c>
      <c r="O1556" s="70">
        <v>0.712997756536142</v>
      </c>
      <c r="P1556" s="70">
        <v>0.712997756536142</v>
      </c>
    </row>
    <row r="1557" hidden="1">
      <c r="A1557" s="67" t="s">
        <v>2317</v>
      </c>
      <c r="B1557" s="67" t="s">
        <v>17</v>
      </c>
      <c r="C1557" s="68">
        <v>0.1</v>
      </c>
      <c r="D1557" s="68">
        <v>0.5</v>
      </c>
      <c r="E1557" s="68">
        <v>4.0</v>
      </c>
      <c r="F1557" s="68">
        <v>0.0</v>
      </c>
      <c r="G1557" s="68">
        <v>7.01265567474776</v>
      </c>
      <c r="H1557" s="68">
        <v>203.707302157304</v>
      </c>
      <c r="I1557" s="69">
        <v>44319.2856712963</v>
      </c>
      <c r="J1557" s="69">
        <v>44319.285729166666</v>
      </c>
      <c r="K1557">
        <f>AVERAGE(H1557:H1561)</f>
        <v>145.3459866</v>
      </c>
      <c r="L1557">
        <f>STDEV(H1557:H1561)</f>
        <v>85.89104996</v>
      </c>
      <c r="M1557" s="70">
        <v>203.707302157304</v>
      </c>
      <c r="N1557" s="70">
        <v>203.707302157304</v>
      </c>
      <c r="O1557" s="70">
        <v>7.01265567474776</v>
      </c>
      <c r="P1557" s="70">
        <v>7.01265567474776</v>
      </c>
    </row>
    <row r="1558" hidden="1">
      <c r="A1558" s="67" t="s">
        <v>2318</v>
      </c>
      <c r="B1558" s="67" t="s">
        <v>17</v>
      </c>
      <c r="C1558" s="68">
        <v>0.1</v>
      </c>
      <c r="D1558" s="68">
        <v>0.5</v>
      </c>
      <c r="E1558" s="68">
        <v>4.0</v>
      </c>
      <c r="F1558" s="68">
        <v>1.0</v>
      </c>
      <c r="G1558" s="68">
        <v>7.81246416144879</v>
      </c>
      <c r="H1558" s="68">
        <v>190.871245278685</v>
      </c>
      <c r="I1558" s="69">
        <v>44319.28643518518</v>
      </c>
      <c r="J1558" s="69">
        <v>44319.28648148148</v>
      </c>
      <c r="K1558">
        <f>AVERAGE(H1557:H1561)</f>
        <v>145.3459866</v>
      </c>
      <c r="L1558">
        <f>STDEV(H1557:H1561)</f>
        <v>85.89104996</v>
      </c>
      <c r="M1558" s="70">
        <v>190.871245278685</v>
      </c>
      <c r="N1558" s="70">
        <v>190.871245278685</v>
      </c>
      <c r="O1558" s="70">
        <v>7.81246416144879</v>
      </c>
      <c r="P1558" s="70">
        <v>7.81246416144879</v>
      </c>
    </row>
    <row r="1559" hidden="1">
      <c r="A1559" s="67" t="s">
        <v>2319</v>
      </c>
      <c r="B1559" s="67" t="s">
        <v>17</v>
      </c>
      <c r="C1559" s="68">
        <v>0.1</v>
      </c>
      <c r="D1559" s="68">
        <v>0.5</v>
      </c>
      <c r="E1559" s="68">
        <v>4.0</v>
      </c>
      <c r="F1559" s="68">
        <v>2.0</v>
      </c>
      <c r="G1559" s="68">
        <v>4.45029987653408</v>
      </c>
      <c r="H1559" s="68">
        <v>200.317103691668</v>
      </c>
      <c r="I1559" s="69">
        <v>44319.2871875</v>
      </c>
      <c r="J1559" s="69">
        <v>44319.3028125</v>
      </c>
      <c r="K1559">
        <f>AVERAGE(H1557:H1561)</f>
        <v>145.3459866</v>
      </c>
      <c r="L1559">
        <f>STDEV(H1557:H1561)</f>
        <v>85.89104996</v>
      </c>
      <c r="M1559" s="70">
        <v>200.317103691668</v>
      </c>
      <c r="N1559" s="70">
        <v>200.317103691668</v>
      </c>
      <c r="O1559" s="70">
        <v>4.45029987653408</v>
      </c>
      <c r="P1559" s="70">
        <v>4.45029987653408</v>
      </c>
    </row>
    <row r="1560" hidden="1">
      <c r="A1560" s="67" t="s">
        <v>2320</v>
      </c>
      <c r="B1560" s="67" t="s">
        <v>17</v>
      </c>
      <c r="C1560" s="68">
        <v>0.1</v>
      </c>
      <c r="D1560" s="68">
        <v>0.5</v>
      </c>
      <c r="E1560" s="68">
        <v>4.0</v>
      </c>
      <c r="F1560" s="68">
        <v>3.0</v>
      </c>
      <c r="G1560" s="68">
        <v>0.84548789308218</v>
      </c>
      <c r="H1560" s="68">
        <v>1.14526909868345</v>
      </c>
      <c r="I1560" s="69">
        <v>44319.30351851852</v>
      </c>
      <c r="J1560" s="69">
        <v>44319.30372685185</v>
      </c>
      <c r="K1560">
        <f>AVERAGE(H1557:H1561)</f>
        <v>145.3459866</v>
      </c>
      <c r="L1560">
        <f>STDEV(H1557:H1561)</f>
        <v>85.89104996</v>
      </c>
      <c r="M1560" s="70">
        <v>1.14526909868345</v>
      </c>
      <c r="N1560" s="70">
        <v>1.14526909868345</v>
      </c>
      <c r="O1560" s="70">
        <v>0.84548789308218</v>
      </c>
      <c r="P1560" s="70">
        <v>0.84548789308218</v>
      </c>
    </row>
    <row r="1561" hidden="1">
      <c r="A1561" s="67" t="s">
        <v>2321</v>
      </c>
      <c r="B1561" s="67" t="s">
        <v>17</v>
      </c>
      <c r="C1561" s="68">
        <v>0.1</v>
      </c>
      <c r="D1561" s="68">
        <v>0.5</v>
      </c>
      <c r="E1561" s="68">
        <v>4.0</v>
      </c>
      <c r="F1561" s="68">
        <v>4.0</v>
      </c>
      <c r="G1561" s="68">
        <v>2.80440184634525</v>
      </c>
      <c r="H1561" s="68">
        <v>130.689012841529</v>
      </c>
      <c r="I1561" s="69">
        <v>44319.304444444446</v>
      </c>
      <c r="J1561" s="69">
        <v>44319.34104166667</v>
      </c>
      <c r="K1561">
        <f>AVERAGE(H1557:H1561)</f>
        <v>145.3459866</v>
      </c>
      <c r="L1561">
        <f>STDEV(H1557:H1561)</f>
        <v>85.89104996</v>
      </c>
      <c r="M1561" s="70">
        <v>130.689012841529</v>
      </c>
      <c r="N1561" s="70">
        <v>130.689012841529</v>
      </c>
      <c r="O1561" s="70">
        <v>2.80440184634525</v>
      </c>
      <c r="P1561" s="70">
        <v>2.80440184634525</v>
      </c>
    </row>
    <row r="1562" hidden="1">
      <c r="A1562" s="67" t="s">
        <v>2322</v>
      </c>
      <c r="B1562" s="67" t="s">
        <v>17</v>
      </c>
      <c r="C1562" s="68">
        <v>0.1</v>
      </c>
      <c r="D1562" s="68">
        <v>0.75</v>
      </c>
      <c r="E1562" s="68">
        <v>4.0</v>
      </c>
      <c r="F1562" s="68">
        <v>0.0</v>
      </c>
      <c r="G1562" s="68">
        <v>8.14574226133278</v>
      </c>
      <c r="H1562" s="68">
        <v>286.85159378957</v>
      </c>
      <c r="I1562" s="69">
        <v>44319.34174768518</v>
      </c>
      <c r="J1562" s="69">
        <v>44319.34274305555</v>
      </c>
      <c r="K1562">
        <f>AVERAGE(H1562:H1566)</f>
        <v>105.4915346</v>
      </c>
      <c r="L1562">
        <f>STDEV(H1562:H1566)</f>
        <v>122.1050602</v>
      </c>
      <c r="M1562" s="70">
        <v>286.85159378957</v>
      </c>
      <c r="N1562" s="70">
        <v>286.85159378957</v>
      </c>
      <c r="O1562" s="70">
        <v>8.14574226133278</v>
      </c>
      <c r="P1562" s="70">
        <v>8.14574226133278</v>
      </c>
    </row>
    <row r="1563" hidden="1">
      <c r="A1563" s="67" t="s">
        <v>2323</v>
      </c>
      <c r="B1563" s="67" t="s">
        <v>17</v>
      </c>
      <c r="C1563" s="68">
        <v>0.1</v>
      </c>
      <c r="D1563" s="68">
        <v>0.75</v>
      </c>
      <c r="E1563" s="68">
        <v>4.0</v>
      </c>
      <c r="F1563" s="68">
        <v>1.0</v>
      </c>
      <c r="G1563" s="68">
        <v>3.71514076300746</v>
      </c>
      <c r="H1563" s="68">
        <v>166.66566003631</v>
      </c>
      <c r="I1563" s="69">
        <v>44319.34344907408</v>
      </c>
      <c r="J1563" s="69">
        <v>44319.36975694444</v>
      </c>
      <c r="K1563">
        <f>AVERAGE(H1562:H1566)</f>
        <v>105.4915346</v>
      </c>
      <c r="L1563">
        <f>STDEV(H1562:H1566)</f>
        <v>122.1050602</v>
      </c>
      <c r="M1563" s="70">
        <v>166.66566003631</v>
      </c>
      <c r="N1563" s="70">
        <v>166.66566003631</v>
      </c>
      <c r="O1563" s="70">
        <v>3.71514076300746</v>
      </c>
      <c r="P1563" s="70">
        <v>3.71514076300746</v>
      </c>
    </row>
    <row r="1564" hidden="1">
      <c r="A1564" s="67" t="s">
        <v>2324</v>
      </c>
      <c r="B1564" s="67" t="s">
        <v>17</v>
      </c>
      <c r="C1564" s="68">
        <v>0.1</v>
      </c>
      <c r="D1564" s="68">
        <v>0.75</v>
      </c>
      <c r="E1564" s="68">
        <v>4.0</v>
      </c>
      <c r="F1564" s="68">
        <v>2.0</v>
      </c>
      <c r="G1564" s="68">
        <v>1.85278751860171</v>
      </c>
      <c r="H1564" s="68">
        <v>72.2357155930795</v>
      </c>
      <c r="I1564" s="69">
        <v>44319.370474537034</v>
      </c>
      <c r="J1564" s="69">
        <v>44319.37746527778</v>
      </c>
      <c r="K1564">
        <f>AVERAGE(H1562:H1566)</f>
        <v>105.4915346</v>
      </c>
      <c r="L1564">
        <f>STDEV(H1562:H1566)</f>
        <v>122.1050602</v>
      </c>
      <c r="M1564" s="70">
        <v>72.2357155930795</v>
      </c>
      <c r="N1564" s="70">
        <v>72.2357155930795</v>
      </c>
      <c r="O1564" s="70">
        <v>1.85278751860171</v>
      </c>
      <c r="P1564" s="70">
        <v>1.85278751860171</v>
      </c>
    </row>
    <row r="1565" hidden="1">
      <c r="A1565" s="67" t="s">
        <v>2325</v>
      </c>
      <c r="B1565" s="67" t="s">
        <v>17</v>
      </c>
      <c r="C1565" s="68">
        <v>0.1</v>
      </c>
      <c r="D1565" s="68">
        <v>0.75</v>
      </c>
      <c r="E1565" s="68">
        <v>4.0</v>
      </c>
      <c r="F1565" s="68">
        <v>3.0</v>
      </c>
      <c r="G1565" s="68">
        <v>0.84548789308218</v>
      </c>
      <c r="H1565" s="68">
        <v>1.14526909868345</v>
      </c>
      <c r="I1565" s="69">
        <v>44319.378171296295</v>
      </c>
      <c r="J1565" s="69">
        <v>44319.37837962963</v>
      </c>
      <c r="K1565">
        <f>AVERAGE(H1562:H1566)</f>
        <v>105.4915346</v>
      </c>
      <c r="L1565">
        <f>STDEV(H1562:H1566)</f>
        <v>122.1050602</v>
      </c>
      <c r="M1565" s="70">
        <v>1.14526909868345</v>
      </c>
      <c r="N1565" s="70">
        <v>1.14526909868345</v>
      </c>
      <c r="O1565" s="70">
        <v>0.84548789308218</v>
      </c>
      <c r="P1565" s="70">
        <v>0.84548789308218</v>
      </c>
    </row>
    <row r="1566" hidden="1">
      <c r="A1566" s="67" t="s">
        <v>2326</v>
      </c>
      <c r="B1566" s="67" t="s">
        <v>17</v>
      </c>
      <c r="C1566" s="68">
        <v>0.1</v>
      </c>
      <c r="D1566" s="68">
        <v>0.75</v>
      </c>
      <c r="E1566" s="68">
        <v>4.0</v>
      </c>
      <c r="F1566" s="68">
        <v>4.0</v>
      </c>
      <c r="G1566" s="68">
        <v>0.467187299586246</v>
      </c>
      <c r="H1566" s="68">
        <v>0.559434604263913</v>
      </c>
      <c r="I1566" s="69">
        <v>44319.37908564815</v>
      </c>
      <c r="J1566" s="69">
        <v>44319.37925925926</v>
      </c>
      <c r="K1566">
        <f>AVERAGE(H1562:H1566)</f>
        <v>105.4915346</v>
      </c>
      <c r="L1566">
        <f>STDEV(H1562:H1566)</f>
        <v>122.1050602</v>
      </c>
      <c r="M1566" s="70">
        <v>0.559434604263913</v>
      </c>
      <c r="N1566" s="70">
        <v>0.559434604263913</v>
      </c>
      <c r="O1566" s="70">
        <v>0.467187299586246</v>
      </c>
      <c r="P1566" s="70">
        <v>0.467187299586246</v>
      </c>
    </row>
    <row r="1567" hidden="1">
      <c r="A1567" s="67" t="s">
        <v>2327</v>
      </c>
      <c r="B1567" s="67" t="s">
        <v>17</v>
      </c>
      <c r="C1567" s="68">
        <v>0.1</v>
      </c>
      <c r="D1567" s="68">
        <v>1.0</v>
      </c>
      <c r="E1567" s="68">
        <v>4.0</v>
      </c>
      <c r="F1567" s="68">
        <v>0.0</v>
      </c>
      <c r="G1567" s="68">
        <v>2.49328034962596</v>
      </c>
      <c r="H1567" s="68">
        <v>131.969316164947</v>
      </c>
      <c r="I1567" s="69">
        <v>44319.379965277774</v>
      </c>
      <c r="J1567" s="69">
        <v>44319.38018518518</v>
      </c>
      <c r="K1567">
        <f>AVERAGE(H1567:H1571)</f>
        <v>130.8533175</v>
      </c>
      <c r="L1567">
        <f>STDEV(H1567:H1571)</f>
        <v>107.0516498</v>
      </c>
      <c r="M1567" s="70">
        <v>131.969316164947</v>
      </c>
      <c r="N1567" s="70">
        <v>131.969316164947</v>
      </c>
      <c r="O1567" s="70">
        <v>2.49328034962596</v>
      </c>
      <c r="P1567" s="70">
        <v>2.49328034962596</v>
      </c>
    </row>
    <row r="1568" hidden="1">
      <c r="A1568" s="67" t="s">
        <v>2328</v>
      </c>
      <c r="B1568" s="67" t="s">
        <v>17</v>
      </c>
      <c r="C1568" s="68">
        <v>0.1</v>
      </c>
      <c r="D1568" s="68">
        <v>1.0</v>
      </c>
      <c r="E1568" s="68">
        <v>4.0</v>
      </c>
      <c r="F1568" s="68">
        <v>1.0</v>
      </c>
      <c r="G1568" s="68">
        <v>0.467379522569296</v>
      </c>
      <c r="H1568" s="68">
        <v>0.559678616395702</v>
      </c>
      <c r="I1568" s="69">
        <v>44319.380891203706</v>
      </c>
      <c r="J1568" s="69">
        <v>44319.381064814814</v>
      </c>
      <c r="K1568">
        <f>AVERAGE(H1567:H1571)</f>
        <v>130.8533175</v>
      </c>
      <c r="L1568">
        <f>STDEV(H1567:H1571)</f>
        <v>107.0516498</v>
      </c>
      <c r="M1568" s="70">
        <v>0.559678616395702</v>
      </c>
      <c r="N1568" s="70">
        <v>0.559678616395702</v>
      </c>
      <c r="O1568" s="70">
        <v>0.467379522569296</v>
      </c>
      <c r="P1568" s="70">
        <v>0.467379522569296</v>
      </c>
    </row>
    <row r="1569" hidden="1">
      <c r="A1569" s="67" t="s">
        <v>2329</v>
      </c>
      <c r="B1569" s="67" t="s">
        <v>17</v>
      </c>
      <c r="C1569" s="68">
        <v>0.1</v>
      </c>
      <c r="D1569" s="68">
        <v>1.0</v>
      </c>
      <c r="E1569" s="68">
        <v>4.0</v>
      </c>
      <c r="F1569" s="68">
        <v>2.0</v>
      </c>
      <c r="G1569" s="68">
        <v>8.15545519511425</v>
      </c>
      <c r="H1569" s="68">
        <v>287.079053972431</v>
      </c>
      <c r="I1569" s="69">
        <v>44319.38177083333</v>
      </c>
      <c r="J1569" s="69">
        <v>44319.38275462963</v>
      </c>
      <c r="K1569">
        <f>AVERAGE(H1567:H1571)</f>
        <v>130.8533175</v>
      </c>
      <c r="L1569">
        <f>STDEV(H1567:H1571)</f>
        <v>107.0516498</v>
      </c>
      <c r="M1569" s="70">
        <v>287.079053972431</v>
      </c>
      <c r="N1569" s="70">
        <v>287.079053972431</v>
      </c>
      <c r="O1569" s="70">
        <v>8.15545519511425</v>
      </c>
      <c r="P1569" s="70">
        <v>8.15545519511425</v>
      </c>
    </row>
    <row r="1570" hidden="1">
      <c r="A1570" s="67" t="s">
        <v>2330</v>
      </c>
      <c r="B1570" s="67" t="s">
        <v>17</v>
      </c>
      <c r="C1570" s="68">
        <v>0.1</v>
      </c>
      <c r="D1570" s="68">
        <v>1.0</v>
      </c>
      <c r="E1570" s="68">
        <v>4.0</v>
      </c>
      <c r="F1570" s="68">
        <v>3.0</v>
      </c>
      <c r="G1570" s="68">
        <v>1.85002569049063</v>
      </c>
      <c r="H1570" s="68">
        <v>72.1061301722026</v>
      </c>
      <c r="I1570" s="69">
        <v>44319.38346064815</v>
      </c>
      <c r="J1570" s="69">
        <v>44319.39052083333</v>
      </c>
      <c r="K1570">
        <f>AVERAGE(H1567:H1571)</f>
        <v>130.8533175</v>
      </c>
      <c r="L1570">
        <f>STDEV(H1567:H1571)</f>
        <v>107.0516498</v>
      </c>
      <c r="M1570" s="70">
        <v>72.1061301722026</v>
      </c>
      <c r="N1570" s="70">
        <v>72.1061301722026</v>
      </c>
      <c r="O1570" s="70">
        <v>1.85002569049063</v>
      </c>
      <c r="P1570" s="70">
        <v>1.85002569049063</v>
      </c>
    </row>
    <row r="1571" hidden="1">
      <c r="A1571" s="67" t="s">
        <v>2331</v>
      </c>
      <c r="B1571" s="67" t="s">
        <v>17</v>
      </c>
      <c r="C1571" s="68">
        <v>0.1</v>
      </c>
      <c r="D1571" s="68">
        <v>1.0</v>
      </c>
      <c r="E1571" s="68">
        <v>4.0</v>
      </c>
      <c r="F1571" s="68">
        <v>4.0</v>
      </c>
      <c r="G1571" s="68">
        <v>3.58960026834646</v>
      </c>
      <c r="H1571" s="68">
        <v>162.552408736242</v>
      </c>
      <c r="I1571" s="69">
        <v>44319.391226851854</v>
      </c>
      <c r="J1571" s="69">
        <v>44319.42954861111</v>
      </c>
      <c r="K1571">
        <f>AVERAGE(H1567:H1571)</f>
        <v>130.8533175</v>
      </c>
      <c r="L1571">
        <f>STDEV(H1567:H1571)</f>
        <v>107.0516498</v>
      </c>
      <c r="M1571" s="70">
        <v>162.552408736242</v>
      </c>
      <c r="N1571" s="70">
        <v>162.552408736242</v>
      </c>
      <c r="O1571" s="70">
        <v>3.58960026834646</v>
      </c>
      <c r="P1571" s="70">
        <v>3.58960026834646</v>
      </c>
    </row>
    <row r="1572" hidden="1">
      <c r="A1572" s="67" t="s">
        <v>2332</v>
      </c>
      <c r="B1572" s="67" t="s">
        <v>17</v>
      </c>
      <c r="C1572" s="68">
        <v>0.25</v>
      </c>
      <c r="D1572" s="68">
        <v>0.1</v>
      </c>
      <c r="E1572" s="68">
        <v>4.0</v>
      </c>
      <c r="F1572" s="68">
        <v>0.0</v>
      </c>
      <c r="G1572" s="68">
        <v>3.68958063925997</v>
      </c>
      <c r="H1572" s="68">
        <v>146.768000588064</v>
      </c>
      <c r="I1572" s="69">
        <v>44319.43025462963</v>
      </c>
      <c r="J1572" s="69">
        <v>44319.43041666667</v>
      </c>
      <c r="K1572">
        <f>AVERAGE(H1572:H1576)</f>
        <v>117.5114366</v>
      </c>
      <c r="L1572">
        <f>STDEV(H1572:H1576)</f>
        <v>81.61580734</v>
      </c>
      <c r="M1572" s="70">
        <v>146.768000588064</v>
      </c>
      <c r="N1572" s="70">
        <v>146.768000588064</v>
      </c>
      <c r="O1572" s="70">
        <v>3.68958063925997</v>
      </c>
      <c r="P1572" s="70">
        <v>3.68958063925997</v>
      </c>
    </row>
    <row r="1573" hidden="1">
      <c r="A1573" s="67" t="s">
        <v>2333</v>
      </c>
      <c r="B1573" s="67" t="s">
        <v>17</v>
      </c>
      <c r="C1573" s="68">
        <v>0.25</v>
      </c>
      <c r="D1573" s="68">
        <v>0.1</v>
      </c>
      <c r="E1573" s="68">
        <v>4.0</v>
      </c>
      <c r="F1573" s="68">
        <v>1.0</v>
      </c>
      <c r="G1573" s="68">
        <v>3.47415486726722</v>
      </c>
      <c r="H1573" s="68">
        <v>165.314982590386</v>
      </c>
      <c r="I1573" s="69">
        <v>44319.431122685186</v>
      </c>
      <c r="J1573" s="69">
        <v>44319.520532407405</v>
      </c>
      <c r="K1573">
        <f>AVERAGE(H1572:H1576)</f>
        <v>117.5114366</v>
      </c>
      <c r="L1573">
        <f>STDEV(H1572:H1576)</f>
        <v>81.61580734</v>
      </c>
      <c r="M1573" s="70">
        <v>165.314982590386</v>
      </c>
      <c r="N1573" s="70">
        <v>165.314982590386</v>
      </c>
      <c r="O1573" s="70">
        <v>3.47415486726722</v>
      </c>
      <c r="P1573" s="70">
        <v>3.47415486726722</v>
      </c>
    </row>
    <row r="1574" hidden="1">
      <c r="A1574" s="67" t="s">
        <v>2334</v>
      </c>
      <c r="B1574" s="67" t="s">
        <v>17</v>
      </c>
      <c r="C1574" s="68">
        <v>0.25</v>
      </c>
      <c r="D1574" s="68">
        <v>0.1</v>
      </c>
      <c r="E1574" s="68">
        <v>4.0</v>
      </c>
      <c r="F1574" s="68">
        <v>2.0</v>
      </c>
      <c r="G1574" s="68">
        <v>6.41986892839504</v>
      </c>
      <c r="H1574" s="68">
        <v>204.713210764514</v>
      </c>
      <c r="I1574" s="69">
        <v>44319.52123842593</v>
      </c>
      <c r="J1574" s="69">
        <v>44319.52137731481</v>
      </c>
      <c r="K1574">
        <f>AVERAGE(H1572:H1576)</f>
        <v>117.5114366</v>
      </c>
      <c r="L1574">
        <f>STDEV(H1572:H1576)</f>
        <v>81.61580734</v>
      </c>
      <c r="M1574" s="70">
        <v>204.713210764514</v>
      </c>
      <c r="N1574" s="70">
        <v>204.713210764514</v>
      </c>
      <c r="O1574" s="70">
        <v>6.41986892839504</v>
      </c>
      <c r="P1574" s="70">
        <v>6.41986892839504</v>
      </c>
    </row>
    <row r="1575" hidden="1">
      <c r="A1575" s="67" t="s">
        <v>2335</v>
      </c>
      <c r="B1575" s="67" t="s">
        <v>17</v>
      </c>
      <c r="C1575" s="68">
        <v>0.25</v>
      </c>
      <c r="D1575" s="68">
        <v>0.1</v>
      </c>
      <c r="E1575" s="68">
        <v>4.0</v>
      </c>
      <c r="F1575" s="68">
        <v>3.0</v>
      </c>
      <c r="G1575" s="68">
        <v>0.555253725804272</v>
      </c>
      <c r="H1575" s="68">
        <v>0.679617097016537</v>
      </c>
      <c r="I1575" s="69">
        <v>44319.52208333334</v>
      </c>
      <c r="J1575" s="69">
        <v>44319.5222337963</v>
      </c>
      <c r="K1575">
        <f>AVERAGE(H1572:H1576)</f>
        <v>117.5114366</v>
      </c>
      <c r="L1575">
        <f>STDEV(H1572:H1576)</f>
        <v>81.61580734</v>
      </c>
      <c r="M1575" s="70">
        <v>0.679617097016537</v>
      </c>
      <c r="N1575" s="70">
        <v>0.679617097016537</v>
      </c>
      <c r="O1575" s="70">
        <v>0.555253725804272</v>
      </c>
      <c r="P1575" s="70">
        <v>0.555253725804272</v>
      </c>
    </row>
    <row r="1576" hidden="1">
      <c r="A1576" s="67" t="s">
        <v>2336</v>
      </c>
      <c r="B1576" s="67" t="s">
        <v>17</v>
      </c>
      <c r="C1576" s="68">
        <v>0.25</v>
      </c>
      <c r="D1576" s="68">
        <v>0.1</v>
      </c>
      <c r="E1576" s="68">
        <v>4.0</v>
      </c>
      <c r="F1576" s="68">
        <v>4.0</v>
      </c>
      <c r="G1576" s="68">
        <v>1.36771720764882</v>
      </c>
      <c r="H1576" s="68">
        <v>70.08137209209</v>
      </c>
      <c r="I1576" s="69">
        <v>44319.522939814815</v>
      </c>
      <c r="J1576" s="69">
        <v>44319.52408564815</v>
      </c>
      <c r="K1576">
        <f>AVERAGE(H1572:H1576)</f>
        <v>117.5114366</v>
      </c>
      <c r="L1576">
        <f>STDEV(H1572:H1576)</f>
        <v>81.61580734</v>
      </c>
      <c r="M1576" s="70">
        <v>70.08137209209</v>
      </c>
      <c r="N1576" s="70">
        <v>70.08137209209</v>
      </c>
      <c r="O1576" s="70">
        <v>1.36771720764882</v>
      </c>
      <c r="P1576" s="70">
        <v>1.36771720764882</v>
      </c>
    </row>
    <row r="1577" hidden="1">
      <c r="A1577" s="67" t="s">
        <v>2337</v>
      </c>
      <c r="B1577" s="67" t="s">
        <v>17</v>
      </c>
      <c r="C1577" s="68">
        <v>0.25</v>
      </c>
      <c r="D1577" s="68">
        <v>0.25</v>
      </c>
      <c r="E1577" s="68">
        <v>4.0</v>
      </c>
      <c r="F1577" s="68">
        <v>0.0</v>
      </c>
      <c r="G1577" s="68">
        <v>8.92174601600665</v>
      </c>
      <c r="H1577" s="68">
        <v>285.384298551212</v>
      </c>
      <c r="I1577" s="69">
        <v>44319.52479166666</v>
      </c>
      <c r="J1577" s="69">
        <v>44319.525625</v>
      </c>
      <c r="K1577">
        <f>AVERAGE(H1577:H1581)</f>
        <v>158.6276249</v>
      </c>
      <c r="L1577">
        <f>STDEV(H1577:H1581)</f>
        <v>74.72284878</v>
      </c>
      <c r="M1577" s="70">
        <v>285.384298551212</v>
      </c>
      <c r="N1577" s="70">
        <v>285.384298551212</v>
      </c>
      <c r="O1577" s="70">
        <v>8.92174601600665</v>
      </c>
      <c r="P1577" s="70">
        <v>8.92174601600665</v>
      </c>
    </row>
    <row r="1578" hidden="1">
      <c r="A1578" s="67" t="s">
        <v>2338</v>
      </c>
      <c r="B1578" s="67" t="s">
        <v>17</v>
      </c>
      <c r="C1578" s="68">
        <v>0.25</v>
      </c>
      <c r="D1578" s="68">
        <v>0.25</v>
      </c>
      <c r="E1578" s="68">
        <v>4.0</v>
      </c>
      <c r="F1578" s="68">
        <v>1.0</v>
      </c>
      <c r="G1578" s="68">
        <v>2.40945421408225</v>
      </c>
      <c r="H1578" s="68">
        <v>89.8311780936697</v>
      </c>
      <c r="I1578" s="69">
        <v>44319.52633101852</v>
      </c>
      <c r="J1578" s="69">
        <v>44319.527094907404</v>
      </c>
      <c r="K1578">
        <f>AVERAGE(H1577:H1581)</f>
        <v>158.6276249</v>
      </c>
      <c r="L1578">
        <f>STDEV(H1577:H1581)</f>
        <v>74.72284878</v>
      </c>
      <c r="M1578" s="70">
        <v>89.8311780936697</v>
      </c>
      <c r="N1578" s="70">
        <v>89.8311780936697</v>
      </c>
      <c r="O1578" s="70">
        <v>2.40945421408225</v>
      </c>
      <c r="P1578" s="70">
        <v>2.40945421408225</v>
      </c>
    </row>
    <row r="1579" hidden="1">
      <c r="A1579" s="67" t="s">
        <v>2339</v>
      </c>
      <c r="B1579" s="67" t="s">
        <v>17</v>
      </c>
      <c r="C1579" s="68">
        <v>0.25</v>
      </c>
      <c r="D1579" s="68">
        <v>0.25</v>
      </c>
      <c r="E1579" s="68">
        <v>4.0</v>
      </c>
      <c r="F1579" s="68">
        <v>2.0</v>
      </c>
      <c r="G1579" s="68">
        <v>3.07744922571499</v>
      </c>
      <c r="H1579" s="68">
        <v>155.890360873867</v>
      </c>
      <c r="I1579" s="69">
        <v>44319.5278125</v>
      </c>
      <c r="J1579" s="69">
        <v>44319.53011574074</v>
      </c>
      <c r="K1579">
        <f>AVERAGE(H1577:H1581)</f>
        <v>158.6276249</v>
      </c>
      <c r="L1579">
        <f>STDEV(H1577:H1581)</f>
        <v>74.72284878</v>
      </c>
      <c r="M1579" s="70">
        <v>155.890360873867</v>
      </c>
      <c r="N1579" s="70">
        <v>155.890360873867</v>
      </c>
      <c r="O1579" s="70">
        <v>3.07744922571499</v>
      </c>
      <c r="P1579" s="70">
        <v>3.07744922571499</v>
      </c>
    </row>
    <row r="1580" hidden="1">
      <c r="A1580" s="67" t="s">
        <v>2340</v>
      </c>
      <c r="B1580" s="67" t="s">
        <v>17</v>
      </c>
      <c r="C1580" s="68">
        <v>0.25</v>
      </c>
      <c r="D1580" s="68">
        <v>0.25</v>
      </c>
      <c r="E1580" s="68">
        <v>4.0</v>
      </c>
      <c r="F1580" s="68">
        <v>3.0</v>
      </c>
      <c r="G1580" s="68">
        <v>2.49114450253838</v>
      </c>
      <c r="H1580" s="68">
        <v>131.89098122686</v>
      </c>
      <c r="I1580" s="69">
        <v>44319.53082175926</v>
      </c>
      <c r="J1580" s="69">
        <v>44319.53105324074</v>
      </c>
      <c r="K1580">
        <f>AVERAGE(H1577:H1581)</f>
        <v>158.6276249</v>
      </c>
      <c r="L1580">
        <f>STDEV(H1577:H1581)</f>
        <v>74.72284878</v>
      </c>
      <c r="M1580" s="70">
        <v>131.89098122686</v>
      </c>
      <c r="N1580" s="70">
        <v>131.89098122686</v>
      </c>
      <c r="O1580" s="70">
        <v>2.49114450253838</v>
      </c>
      <c r="P1580" s="70">
        <v>2.49114450253838</v>
      </c>
    </row>
    <row r="1581" hidden="1">
      <c r="A1581" s="67" t="s">
        <v>2341</v>
      </c>
      <c r="B1581" s="67" t="s">
        <v>17</v>
      </c>
      <c r="C1581" s="68">
        <v>0.25</v>
      </c>
      <c r="D1581" s="68">
        <v>0.25</v>
      </c>
      <c r="E1581" s="68">
        <v>4.0</v>
      </c>
      <c r="F1581" s="68">
        <v>4.0</v>
      </c>
      <c r="G1581" s="68">
        <v>2.74296554624559</v>
      </c>
      <c r="H1581" s="68">
        <v>130.141305663257</v>
      </c>
      <c r="I1581" s="69">
        <v>44319.53175925926</v>
      </c>
      <c r="J1581" s="69">
        <v>44319.56737268518</v>
      </c>
      <c r="K1581">
        <f>AVERAGE(H1577:H1581)</f>
        <v>158.6276249</v>
      </c>
      <c r="L1581">
        <f>STDEV(H1577:H1581)</f>
        <v>74.72284878</v>
      </c>
      <c r="M1581" s="70">
        <v>130.141305663257</v>
      </c>
      <c r="N1581" s="70">
        <v>130.141305663257</v>
      </c>
      <c r="O1581" s="70">
        <v>2.74296554624559</v>
      </c>
      <c r="P1581" s="70">
        <v>2.74296554624559</v>
      </c>
    </row>
    <row r="1582" hidden="1">
      <c r="A1582" s="67" t="s">
        <v>2342</v>
      </c>
      <c r="B1582" s="67" t="s">
        <v>17</v>
      </c>
      <c r="C1582" s="68">
        <v>0.25</v>
      </c>
      <c r="D1582" s="68">
        <v>0.5</v>
      </c>
      <c r="E1582" s="68">
        <v>4.0</v>
      </c>
      <c r="F1582" s="68">
        <v>0.0</v>
      </c>
      <c r="G1582" s="68">
        <v>2.95757463774552</v>
      </c>
      <c r="H1582" s="68">
        <v>145.210953662028</v>
      </c>
      <c r="I1582" s="69">
        <v>44319.568078703705</v>
      </c>
      <c r="J1582" s="69">
        <v>44319.56821759259</v>
      </c>
      <c r="K1582">
        <f>AVERAGE(H1582:H1586)</f>
        <v>137.4624161</v>
      </c>
      <c r="L1582">
        <f>STDEV(H1582:H1586)</f>
        <v>33.26818662</v>
      </c>
      <c r="M1582" s="70">
        <v>145.210953662028</v>
      </c>
      <c r="N1582" s="70">
        <v>145.210953662028</v>
      </c>
      <c r="O1582" s="70">
        <v>2.95757463774552</v>
      </c>
      <c r="P1582" s="70">
        <v>2.95757463774552</v>
      </c>
    </row>
    <row r="1583" hidden="1">
      <c r="A1583" s="67" t="s">
        <v>2343</v>
      </c>
      <c r="B1583" s="67" t="s">
        <v>17</v>
      </c>
      <c r="C1583" s="68">
        <v>0.25</v>
      </c>
      <c r="D1583" s="68">
        <v>0.5</v>
      </c>
      <c r="E1583" s="68">
        <v>4.0</v>
      </c>
      <c r="F1583" s="68">
        <v>1.0</v>
      </c>
      <c r="G1583" s="68">
        <v>2.49389836570704</v>
      </c>
      <c r="H1583" s="68">
        <v>131.959795093139</v>
      </c>
      <c r="I1583" s="69">
        <v>44319.56893518518</v>
      </c>
      <c r="J1583" s="69">
        <v>44319.56915509259</v>
      </c>
      <c r="K1583">
        <f>AVERAGE(H1582:H1586)</f>
        <v>137.4624161</v>
      </c>
      <c r="L1583">
        <f>STDEV(H1582:H1586)</f>
        <v>33.26818662</v>
      </c>
      <c r="M1583" s="70">
        <v>131.959795093139</v>
      </c>
      <c r="N1583" s="70">
        <v>131.959795093139</v>
      </c>
      <c r="O1583" s="70">
        <v>2.49389836570704</v>
      </c>
      <c r="P1583" s="70">
        <v>2.49389836570704</v>
      </c>
    </row>
    <row r="1584" hidden="1">
      <c r="A1584" s="67" t="s">
        <v>2344</v>
      </c>
      <c r="B1584" s="67" t="s">
        <v>17</v>
      </c>
      <c r="C1584" s="68">
        <v>0.25</v>
      </c>
      <c r="D1584" s="68">
        <v>0.5</v>
      </c>
      <c r="E1584" s="68">
        <v>4.0</v>
      </c>
      <c r="F1584" s="68">
        <v>2.0</v>
      </c>
      <c r="G1584" s="68">
        <v>5.86310534566308</v>
      </c>
      <c r="H1584" s="68">
        <v>83.6791014832907</v>
      </c>
      <c r="I1584" s="69">
        <v>44319.569861111115</v>
      </c>
      <c r="J1584" s="69">
        <v>44319.56989583333</v>
      </c>
      <c r="K1584">
        <f>AVERAGE(H1582:H1586)</f>
        <v>137.4624161</v>
      </c>
      <c r="L1584">
        <f>STDEV(H1582:H1586)</f>
        <v>33.26818662</v>
      </c>
      <c r="M1584" s="70">
        <v>83.6791014832907</v>
      </c>
      <c r="N1584" s="70">
        <v>83.6791014832907</v>
      </c>
      <c r="O1584" s="70">
        <v>5.86310534566308</v>
      </c>
      <c r="P1584" s="70">
        <v>5.86310534566308</v>
      </c>
    </row>
    <row r="1585" hidden="1">
      <c r="A1585" s="67" t="s">
        <v>2345</v>
      </c>
      <c r="B1585" s="67" t="s">
        <v>17</v>
      </c>
      <c r="C1585" s="68">
        <v>0.25</v>
      </c>
      <c r="D1585" s="68">
        <v>0.5</v>
      </c>
      <c r="E1585" s="68">
        <v>4.0</v>
      </c>
      <c r="F1585" s="68">
        <v>3.0</v>
      </c>
      <c r="G1585" s="68">
        <v>3.24080658929487</v>
      </c>
      <c r="H1585" s="68">
        <v>155.612924159732</v>
      </c>
      <c r="I1585" s="69">
        <v>44319.570601851854</v>
      </c>
      <c r="J1585" s="69">
        <v>44319.665625</v>
      </c>
      <c r="K1585">
        <f>AVERAGE(H1582:H1586)</f>
        <v>137.4624161</v>
      </c>
      <c r="L1585">
        <f>STDEV(H1582:H1586)</f>
        <v>33.26818662</v>
      </c>
      <c r="M1585" s="70">
        <v>155.612924159732</v>
      </c>
      <c r="N1585" s="70">
        <v>155.612924159732</v>
      </c>
      <c r="O1585" s="70">
        <v>3.24080658929487</v>
      </c>
      <c r="P1585" s="70">
        <v>3.24080658929487</v>
      </c>
    </row>
    <row r="1586" hidden="1">
      <c r="A1586" s="67" t="s">
        <v>2346</v>
      </c>
      <c r="B1586" s="67" t="s">
        <v>17</v>
      </c>
      <c r="C1586" s="68">
        <v>0.25</v>
      </c>
      <c r="D1586" s="68">
        <v>0.5</v>
      </c>
      <c r="E1586" s="68">
        <v>4.0</v>
      </c>
      <c r="F1586" s="68">
        <v>4.0</v>
      </c>
      <c r="G1586" s="68">
        <v>4.49893784211615</v>
      </c>
      <c r="H1586" s="68">
        <v>170.84930599264</v>
      </c>
      <c r="I1586" s="69">
        <v>44319.66633101852</v>
      </c>
      <c r="J1586" s="69">
        <v>44319.66638888889</v>
      </c>
      <c r="K1586">
        <f>AVERAGE(H1582:H1586)</f>
        <v>137.4624161</v>
      </c>
      <c r="L1586">
        <f>STDEV(H1582:H1586)</f>
        <v>33.26818662</v>
      </c>
      <c r="M1586" s="70">
        <v>170.84930599264</v>
      </c>
      <c r="N1586" s="70">
        <v>170.84930599264</v>
      </c>
      <c r="O1586" s="70">
        <v>4.49893784211615</v>
      </c>
      <c r="P1586" s="70">
        <v>4.49893784211615</v>
      </c>
    </row>
    <row r="1587" hidden="1">
      <c r="A1587" s="67" t="s">
        <v>2347</v>
      </c>
      <c r="B1587" s="67" t="s">
        <v>17</v>
      </c>
      <c r="C1587" s="68">
        <v>0.25</v>
      </c>
      <c r="D1587" s="68">
        <v>0.75</v>
      </c>
      <c r="E1587" s="68">
        <v>4.0</v>
      </c>
      <c r="F1587" s="68">
        <v>0.0</v>
      </c>
      <c r="G1587" s="68">
        <v>0.712997756536142</v>
      </c>
      <c r="H1587" s="68">
        <v>0.950093966860787</v>
      </c>
      <c r="I1587" s="69">
        <v>44319.66709490741</v>
      </c>
      <c r="J1587" s="69">
        <v>44319.66732638889</v>
      </c>
      <c r="K1587">
        <f>AVERAGE(H1587:H1591)</f>
        <v>93.29769312</v>
      </c>
      <c r="L1587">
        <f>STDEV(H1587:H1591)</f>
        <v>96.06262491</v>
      </c>
      <c r="M1587" s="70">
        <v>0.950093966860787</v>
      </c>
      <c r="N1587" s="70">
        <v>0.950093966860787</v>
      </c>
      <c r="O1587" s="70">
        <v>0.712997756536142</v>
      </c>
      <c r="P1587" s="70">
        <v>0.712997756536142</v>
      </c>
    </row>
    <row r="1588" hidden="1">
      <c r="A1588" s="67" t="s">
        <v>2348</v>
      </c>
      <c r="B1588" s="67" t="s">
        <v>17</v>
      </c>
      <c r="C1588" s="68">
        <v>0.25</v>
      </c>
      <c r="D1588" s="68">
        <v>0.75</v>
      </c>
      <c r="E1588" s="68">
        <v>4.0</v>
      </c>
      <c r="F1588" s="68">
        <v>1.0</v>
      </c>
      <c r="G1588" s="68">
        <v>3.61563343593256</v>
      </c>
      <c r="H1588" s="68">
        <v>166.340727084184</v>
      </c>
      <c r="I1588" s="69">
        <v>44319.668020833335</v>
      </c>
      <c r="J1588" s="69">
        <v>44319.76931712963</v>
      </c>
      <c r="K1588">
        <f>AVERAGE(H1587:H1591)</f>
        <v>93.29769312</v>
      </c>
      <c r="L1588">
        <f>STDEV(H1587:H1591)</f>
        <v>96.06262491</v>
      </c>
      <c r="M1588" s="70">
        <v>166.340727084184</v>
      </c>
      <c r="N1588" s="70">
        <v>166.340727084184</v>
      </c>
      <c r="O1588" s="70">
        <v>3.61563343593256</v>
      </c>
      <c r="P1588" s="70">
        <v>3.61563343593256</v>
      </c>
    </row>
    <row r="1589" hidden="1">
      <c r="A1589" s="67" t="s">
        <v>2349</v>
      </c>
      <c r="B1589" s="67" t="s">
        <v>17</v>
      </c>
      <c r="C1589" s="68">
        <v>0.25</v>
      </c>
      <c r="D1589" s="68">
        <v>0.75</v>
      </c>
      <c r="E1589" s="68">
        <v>4.0</v>
      </c>
      <c r="F1589" s="68">
        <v>2.0</v>
      </c>
      <c r="G1589" s="68">
        <v>6.07122013982553</v>
      </c>
      <c r="H1589" s="68">
        <v>85.3094427082103</v>
      </c>
      <c r="I1589" s="69">
        <v>44319.77002314815</v>
      </c>
      <c r="J1589" s="69">
        <v>44319.77005787037</v>
      </c>
      <c r="K1589">
        <f>AVERAGE(H1587:H1591)</f>
        <v>93.29769312</v>
      </c>
      <c r="L1589">
        <f>STDEV(H1587:H1591)</f>
        <v>96.06262491</v>
      </c>
      <c r="M1589" s="70">
        <v>85.3094427082103</v>
      </c>
      <c r="N1589" s="70">
        <v>85.3094427082103</v>
      </c>
      <c r="O1589" s="70">
        <v>6.07122013982553</v>
      </c>
      <c r="P1589" s="70">
        <v>6.07122013982553</v>
      </c>
    </row>
    <row r="1590" hidden="1">
      <c r="A1590" s="67" t="s">
        <v>2350</v>
      </c>
      <c r="B1590" s="67" t="s">
        <v>17</v>
      </c>
      <c r="C1590" s="68">
        <v>0.25</v>
      </c>
      <c r="D1590" s="68">
        <v>0.75</v>
      </c>
      <c r="E1590" s="68">
        <v>4.0</v>
      </c>
      <c r="F1590" s="68">
        <v>3.0</v>
      </c>
      <c r="G1590" s="68">
        <v>8.13255465788732</v>
      </c>
      <c r="H1590" s="68">
        <v>213.274921257131</v>
      </c>
      <c r="I1590" s="69">
        <v>44319.77076388889</v>
      </c>
      <c r="J1590" s="69">
        <v>44319.77081018518</v>
      </c>
      <c r="K1590">
        <f>AVERAGE(H1587:H1591)</f>
        <v>93.29769312</v>
      </c>
      <c r="L1590">
        <f>STDEV(H1587:H1591)</f>
        <v>96.06262491</v>
      </c>
      <c r="M1590" s="70">
        <v>213.274921257131</v>
      </c>
      <c r="N1590" s="70">
        <v>213.274921257131</v>
      </c>
      <c r="O1590" s="70">
        <v>8.13255465788732</v>
      </c>
      <c r="P1590" s="70">
        <v>8.13255465788732</v>
      </c>
    </row>
    <row r="1591" hidden="1">
      <c r="A1591" s="67" t="s">
        <v>2351</v>
      </c>
      <c r="B1591" s="67" t="s">
        <v>17</v>
      </c>
      <c r="C1591" s="68">
        <v>0.25</v>
      </c>
      <c r="D1591" s="68">
        <v>0.75</v>
      </c>
      <c r="E1591" s="68">
        <v>4.0</v>
      </c>
      <c r="F1591" s="68">
        <v>4.0</v>
      </c>
      <c r="G1591" s="68">
        <v>0.505962077325303</v>
      </c>
      <c r="H1591" s="68">
        <v>0.613280603881423</v>
      </c>
      <c r="I1591" s="69">
        <v>44319.771516203706</v>
      </c>
      <c r="J1591" s="69">
        <v>44319.77196759259</v>
      </c>
      <c r="K1591">
        <f>AVERAGE(H1587:H1591)</f>
        <v>93.29769312</v>
      </c>
      <c r="L1591">
        <f>STDEV(H1587:H1591)</f>
        <v>96.06262491</v>
      </c>
      <c r="M1591" s="70">
        <v>0.613280603881423</v>
      </c>
      <c r="N1591" s="70">
        <v>0.613280603881423</v>
      </c>
      <c r="O1591" s="70">
        <v>0.505962077325303</v>
      </c>
      <c r="P1591" s="70">
        <v>0.505962077325303</v>
      </c>
    </row>
    <row r="1592" hidden="1">
      <c r="A1592" s="67" t="s">
        <v>2352</v>
      </c>
      <c r="B1592" s="67" t="s">
        <v>17</v>
      </c>
      <c r="C1592" s="68">
        <v>0.25</v>
      </c>
      <c r="D1592" s="68">
        <v>1.0</v>
      </c>
      <c r="E1592" s="68">
        <v>4.0</v>
      </c>
      <c r="F1592" s="68">
        <v>0.0</v>
      </c>
      <c r="G1592" s="68">
        <v>8.85473126823923</v>
      </c>
      <c r="H1592" s="68">
        <v>280.328138632736</v>
      </c>
      <c r="I1592" s="69">
        <v>44319.772673611114</v>
      </c>
      <c r="J1592" s="69">
        <v>44319.77333333333</v>
      </c>
      <c r="K1592">
        <f>AVERAGE(H1592:H1596)</f>
        <v>155.0331201</v>
      </c>
      <c r="L1592">
        <f>STDEV(H1592:H1596)</f>
        <v>94.11366657</v>
      </c>
      <c r="M1592" s="70">
        <v>280.328138632736</v>
      </c>
      <c r="N1592" s="70">
        <v>280.328138632736</v>
      </c>
      <c r="O1592" s="70">
        <v>8.85473126823923</v>
      </c>
      <c r="P1592" s="70">
        <v>8.85473126823923</v>
      </c>
    </row>
    <row r="1593" hidden="1">
      <c r="A1593" s="67" t="s">
        <v>2353</v>
      </c>
      <c r="B1593" s="67" t="s">
        <v>17</v>
      </c>
      <c r="C1593" s="68">
        <v>0.25</v>
      </c>
      <c r="D1593" s="68">
        <v>1.0</v>
      </c>
      <c r="E1593" s="68">
        <v>4.0</v>
      </c>
      <c r="F1593" s="68">
        <v>1.0</v>
      </c>
      <c r="G1593" s="68">
        <v>2.4540921019455</v>
      </c>
      <c r="H1593" s="68">
        <v>129.897893997966</v>
      </c>
      <c r="I1593" s="69">
        <v>44319.774039351854</v>
      </c>
      <c r="J1593" s="69">
        <v>44319.80216435185</v>
      </c>
      <c r="K1593">
        <f>AVERAGE(H1592:H1596)</f>
        <v>155.0331201</v>
      </c>
      <c r="L1593">
        <f>STDEV(H1592:H1596)</f>
        <v>94.11366657</v>
      </c>
      <c r="M1593" s="70">
        <v>129.897893997966</v>
      </c>
      <c r="N1593" s="70">
        <v>129.897893997966</v>
      </c>
      <c r="O1593" s="70">
        <v>2.4540921019455</v>
      </c>
      <c r="P1593" s="70">
        <v>2.4540921019455</v>
      </c>
    </row>
    <row r="1594" hidden="1">
      <c r="A1594" s="67" t="s">
        <v>2354</v>
      </c>
      <c r="B1594" s="67" t="s">
        <v>17</v>
      </c>
      <c r="C1594" s="68">
        <v>0.25</v>
      </c>
      <c r="D1594" s="68">
        <v>1.0</v>
      </c>
      <c r="E1594" s="68">
        <v>4.0</v>
      </c>
      <c r="F1594" s="68">
        <v>2.0</v>
      </c>
      <c r="G1594" s="68">
        <v>2.76726898300746</v>
      </c>
      <c r="H1594" s="68">
        <v>128.510121374066</v>
      </c>
      <c r="I1594" s="69">
        <v>44319.80287037037</v>
      </c>
      <c r="J1594" s="69">
        <v>44319.807662037034</v>
      </c>
      <c r="K1594">
        <f>AVERAGE(H1592:H1596)</f>
        <v>155.0331201</v>
      </c>
      <c r="L1594">
        <f>STDEV(H1592:H1596)</f>
        <v>94.11366657</v>
      </c>
      <c r="M1594" s="70">
        <v>128.510121374066</v>
      </c>
      <c r="N1594" s="70">
        <v>128.510121374066</v>
      </c>
      <c r="O1594" s="70">
        <v>2.76726898300746</v>
      </c>
      <c r="P1594" s="70">
        <v>2.76726898300746</v>
      </c>
    </row>
    <row r="1595" hidden="1">
      <c r="A1595" s="67" t="s">
        <v>2355</v>
      </c>
      <c r="B1595" s="67" t="s">
        <v>17</v>
      </c>
      <c r="C1595" s="68">
        <v>0.25</v>
      </c>
      <c r="D1595" s="68">
        <v>1.0</v>
      </c>
      <c r="E1595" s="68">
        <v>4.0</v>
      </c>
      <c r="F1595" s="68">
        <v>3.0</v>
      </c>
      <c r="G1595" s="68">
        <v>7.20416159768538</v>
      </c>
      <c r="H1595" s="68">
        <v>206.770495332357</v>
      </c>
      <c r="I1595" s="69">
        <v>44319.80836805556</v>
      </c>
      <c r="J1595" s="69">
        <v>44319.80842592593</v>
      </c>
      <c r="K1595">
        <f>AVERAGE(H1592:H1596)</f>
        <v>155.0331201</v>
      </c>
      <c r="L1595">
        <f>STDEV(H1592:H1596)</f>
        <v>94.11366657</v>
      </c>
      <c r="M1595" s="70">
        <v>206.770495332357</v>
      </c>
      <c r="N1595" s="70">
        <v>206.770495332357</v>
      </c>
      <c r="O1595" s="70">
        <v>7.20416159768538</v>
      </c>
      <c r="P1595" s="70">
        <v>7.20416159768538</v>
      </c>
    </row>
    <row r="1596" hidden="1">
      <c r="A1596" s="67" t="s">
        <v>2356</v>
      </c>
      <c r="B1596" s="67" t="s">
        <v>17</v>
      </c>
      <c r="C1596" s="68">
        <v>0.25</v>
      </c>
      <c r="D1596" s="68">
        <v>1.0</v>
      </c>
      <c r="E1596" s="68">
        <v>4.0</v>
      </c>
      <c r="F1596" s="68">
        <v>4.0</v>
      </c>
      <c r="G1596" s="68">
        <v>2.08361307239284</v>
      </c>
      <c r="H1596" s="68">
        <v>29.6589512024579</v>
      </c>
      <c r="I1596" s="69">
        <v>44319.80912037037</v>
      </c>
      <c r="J1596" s="69">
        <v>44319.8094212963</v>
      </c>
      <c r="K1596">
        <f>AVERAGE(H1592:H1596)</f>
        <v>155.0331201</v>
      </c>
      <c r="L1596">
        <f>STDEV(H1592:H1596)</f>
        <v>94.11366657</v>
      </c>
      <c r="M1596" s="70">
        <v>29.6589512024579</v>
      </c>
      <c r="N1596" s="70">
        <v>29.6589512024579</v>
      </c>
      <c r="O1596" s="70">
        <v>2.08361307239284</v>
      </c>
      <c r="P1596" s="70">
        <v>2.08361307239284</v>
      </c>
    </row>
    <row r="1597" hidden="1">
      <c r="A1597" s="67" t="s">
        <v>2357</v>
      </c>
      <c r="B1597" s="67" t="s">
        <v>17</v>
      </c>
      <c r="C1597" s="68">
        <v>0.5</v>
      </c>
      <c r="D1597" s="68">
        <v>0.1</v>
      </c>
      <c r="E1597" s="68">
        <v>4.0</v>
      </c>
      <c r="F1597" s="68">
        <v>0.0</v>
      </c>
      <c r="G1597" s="68">
        <v>3.29746389552031</v>
      </c>
      <c r="H1597" s="68">
        <v>148.617999997077</v>
      </c>
      <c r="I1597" s="69">
        <v>44319.81013888889</v>
      </c>
      <c r="J1597" s="69">
        <v>44319.853530092594</v>
      </c>
      <c r="K1597">
        <f>AVERAGE(H1597:H1601)</f>
        <v>64.42652105</v>
      </c>
      <c r="L1597">
        <f>STDEV(H1597:H1601)</f>
        <v>85.31945761</v>
      </c>
      <c r="M1597" s="70">
        <v>148.617999997077</v>
      </c>
      <c r="N1597" s="70">
        <v>148.617999997077</v>
      </c>
      <c r="O1597" s="70">
        <v>3.29746389552031</v>
      </c>
      <c r="P1597" s="70">
        <v>3.29746389552031</v>
      </c>
    </row>
    <row r="1598" hidden="1">
      <c r="A1598" s="67" t="s">
        <v>2358</v>
      </c>
      <c r="B1598" s="67" t="s">
        <v>17</v>
      </c>
      <c r="C1598" s="68">
        <v>0.5</v>
      </c>
      <c r="D1598" s="68">
        <v>0.1</v>
      </c>
      <c r="E1598" s="68">
        <v>4.0</v>
      </c>
      <c r="F1598" s="68">
        <v>1.0</v>
      </c>
      <c r="G1598" s="68">
        <v>3.52848278200411</v>
      </c>
      <c r="H1598" s="68">
        <v>166.601573775799</v>
      </c>
      <c r="I1598" s="69">
        <v>44319.85423611111</v>
      </c>
      <c r="J1598" s="69">
        <v>44319.85922453704</v>
      </c>
      <c r="K1598">
        <f>AVERAGE(H1597:H1601)</f>
        <v>64.42652105</v>
      </c>
      <c r="L1598">
        <f>STDEV(H1597:H1601)</f>
        <v>85.31945761</v>
      </c>
      <c r="M1598" s="70">
        <v>166.601573775799</v>
      </c>
      <c r="N1598" s="70">
        <v>166.601573775799</v>
      </c>
      <c r="O1598" s="70">
        <v>3.52848278200411</v>
      </c>
      <c r="P1598" s="70">
        <v>3.52848278200411</v>
      </c>
    </row>
    <row r="1599" hidden="1">
      <c r="A1599" s="67" t="s">
        <v>2359</v>
      </c>
      <c r="B1599" s="67" t="s">
        <v>17</v>
      </c>
      <c r="C1599" s="68">
        <v>0.5</v>
      </c>
      <c r="D1599" s="68">
        <v>0.1</v>
      </c>
      <c r="E1599" s="68">
        <v>4.0</v>
      </c>
      <c r="F1599" s="68">
        <v>2.0</v>
      </c>
      <c r="G1599" s="68">
        <v>0.712135447246169</v>
      </c>
      <c r="H1599" s="68">
        <v>0.949181473275599</v>
      </c>
      <c r="I1599" s="69">
        <v>44319.859930555554</v>
      </c>
      <c r="J1599" s="69">
        <v>44319.86015046296</v>
      </c>
      <c r="K1599">
        <f>AVERAGE(H1597:H1601)</f>
        <v>64.42652105</v>
      </c>
      <c r="L1599">
        <f>STDEV(H1597:H1601)</f>
        <v>85.31945761</v>
      </c>
      <c r="M1599" s="70">
        <v>0.949181473275599</v>
      </c>
      <c r="N1599" s="70">
        <v>0.949181473275599</v>
      </c>
      <c r="O1599" s="70">
        <v>0.712135447246169</v>
      </c>
      <c r="P1599" s="70">
        <v>0.712135447246169</v>
      </c>
    </row>
    <row r="1600" hidden="1">
      <c r="A1600" s="67" t="s">
        <v>2360</v>
      </c>
      <c r="B1600" s="67" t="s">
        <v>17</v>
      </c>
      <c r="C1600" s="68">
        <v>0.5</v>
      </c>
      <c r="D1600" s="68">
        <v>0.1</v>
      </c>
      <c r="E1600" s="68">
        <v>4.0</v>
      </c>
      <c r="F1600" s="68">
        <v>3.0</v>
      </c>
      <c r="G1600" s="68">
        <v>0.716167316425308</v>
      </c>
      <c r="H1600" s="68">
        <v>5.15487850853445</v>
      </c>
      <c r="I1600" s="69">
        <v>44319.86085648148</v>
      </c>
      <c r="J1600" s="69">
        <v>44319.860914351855</v>
      </c>
      <c r="K1600">
        <f>AVERAGE(H1597:H1601)</f>
        <v>64.42652105</v>
      </c>
      <c r="L1600">
        <f>STDEV(H1597:H1601)</f>
        <v>85.31945761</v>
      </c>
      <c r="M1600" s="70">
        <v>5.15487850853445</v>
      </c>
      <c r="N1600" s="70">
        <v>5.15487850853445</v>
      </c>
      <c r="O1600" s="70">
        <v>0.716167316425308</v>
      </c>
      <c r="P1600" s="70">
        <v>0.716167316425308</v>
      </c>
    </row>
    <row r="1601" hidden="1">
      <c r="A1601" s="67" t="s">
        <v>2361</v>
      </c>
      <c r="B1601" s="67" t="s">
        <v>17</v>
      </c>
      <c r="C1601" s="68">
        <v>0.5</v>
      </c>
      <c r="D1601" s="68">
        <v>0.1</v>
      </c>
      <c r="E1601" s="68">
        <v>4.0</v>
      </c>
      <c r="F1601" s="68">
        <v>4.0</v>
      </c>
      <c r="G1601" s="68">
        <v>0.609837594988508</v>
      </c>
      <c r="H1601" s="68">
        <v>0.808971505456308</v>
      </c>
      <c r="I1601" s="69">
        <v>44319.86162037037</v>
      </c>
      <c r="J1601" s="69">
        <v>44319.86162037037</v>
      </c>
      <c r="K1601">
        <f>AVERAGE(H1597:H1601)</f>
        <v>64.42652105</v>
      </c>
      <c r="L1601">
        <f>STDEV(H1597:H1601)</f>
        <v>85.31945761</v>
      </c>
      <c r="M1601" s="70">
        <v>0.808971505456308</v>
      </c>
      <c r="N1601" s="70">
        <v>0.808971505456308</v>
      </c>
      <c r="O1601" s="70">
        <v>0.609837594988508</v>
      </c>
      <c r="P1601" s="70">
        <v>0.609837594988508</v>
      </c>
    </row>
    <row r="1602" hidden="1">
      <c r="A1602" s="67" t="s">
        <v>2362</v>
      </c>
      <c r="B1602" s="67" t="s">
        <v>17</v>
      </c>
      <c r="C1602" s="68">
        <v>0.5</v>
      </c>
      <c r="D1602" s="68">
        <v>0.25</v>
      </c>
      <c r="E1602" s="68">
        <v>4.0</v>
      </c>
      <c r="F1602" s="68">
        <v>0.0</v>
      </c>
      <c r="G1602" s="68">
        <v>2.48988833108195</v>
      </c>
      <c r="H1602" s="68">
        <v>131.87142414016</v>
      </c>
      <c r="I1602" s="69">
        <v>44319.86232638889</v>
      </c>
      <c r="J1602" s="69">
        <v>44319.86255787037</v>
      </c>
      <c r="K1602">
        <f>AVERAGE(H1602:H1606)</f>
        <v>88.17184791</v>
      </c>
      <c r="L1602">
        <f>STDEV(H1602:H1606)</f>
        <v>83.32662986</v>
      </c>
      <c r="M1602" s="70">
        <v>131.87142414016</v>
      </c>
      <c r="N1602" s="70">
        <v>131.87142414016</v>
      </c>
      <c r="O1602" s="70">
        <v>2.48988833108195</v>
      </c>
      <c r="P1602" s="70">
        <v>2.48988833108195</v>
      </c>
    </row>
    <row r="1603" hidden="1">
      <c r="A1603" s="67" t="s">
        <v>2363</v>
      </c>
      <c r="B1603" s="67" t="s">
        <v>17</v>
      </c>
      <c r="C1603" s="68">
        <v>0.5</v>
      </c>
      <c r="D1603" s="68">
        <v>0.25</v>
      </c>
      <c r="E1603" s="68">
        <v>4.0</v>
      </c>
      <c r="F1603" s="68">
        <v>1.0</v>
      </c>
      <c r="G1603" s="68">
        <v>2.55427969889479</v>
      </c>
      <c r="H1603" s="68">
        <v>123.138411092531</v>
      </c>
      <c r="I1603" s="69">
        <v>44319.86326388889</v>
      </c>
      <c r="J1603" s="69">
        <v>44319.86861111111</v>
      </c>
      <c r="K1603">
        <f>AVERAGE(H1602:H1606)</f>
        <v>88.17184791</v>
      </c>
      <c r="L1603">
        <f>STDEV(H1602:H1606)</f>
        <v>83.32662986</v>
      </c>
      <c r="M1603" s="70">
        <v>123.138411092531</v>
      </c>
      <c r="N1603" s="70">
        <v>123.138411092531</v>
      </c>
      <c r="O1603" s="70">
        <v>2.55427969889479</v>
      </c>
      <c r="P1603" s="70">
        <v>2.55427969889479</v>
      </c>
    </row>
    <row r="1604" hidden="1">
      <c r="A1604" s="67" t="s">
        <v>2364</v>
      </c>
      <c r="B1604" s="67" t="s">
        <v>17</v>
      </c>
      <c r="C1604" s="68">
        <v>0.5</v>
      </c>
      <c r="D1604" s="68">
        <v>0.25</v>
      </c>
      <c r="E1604" s="68">
        <v>4.0</v>
      </c>
      <c r="F1604" s="68">
        <v>2.0</v>
      </c>
      <c r="G1604" s="68">
        <v>4.32783600288402</v>
      </c>
      <c r="H1604" s="68">
        <v>184.636948310919</v>
      </c>
      <c r="I1604" s="69">
        <v>44319.86931712963</v>
      </c>
      <c r="J1604" s="69">
        <v>44319.89784722222</v>
      </c>
      <c r="K1604">
        <f>AVERAGE(H1602:H1606)</f>
        <v>88.17184791</v>
      </c>
      <c r="L1604">
        <f>STDEV(H1602:H1606)</f>
        <v>83.32662986</v>
      </c>
      <c r="M1604" s="70">
        <v>184.636948310919</v>
      </c>
      <c r="N1604" s="70">
        <v>184.636948310919</v>
      </c>
      <c r="O1604" s="70">
        <v>4.32783600288402</v>
      </c>
      <c r="P1604" s="70">
        <v>4.32783600288402</v>
      </c>
    </row>
    <row r="1605" hidden="1">
      <c r="A1605" s="67" t="s">
        <v>2365</v>
      </c>
      <c r="B1605" s="67" t="s">
        <v>17</v>
      </c>
      <c r="C1605" s="68">
        <v>0.5</v>
      </c>
      <c r="D1605" s="68">
        <v>0.25</v>
      </c>
      <c r="E1605" s="68">
        <v>4.0</v>
      </c>
      <c r="F1605" s="68">
        <v>3.0</v>
      </c>
      <c r="G1605" s="68">
        <v>0.467682383480196</v>
      </c>
      <c r="H1605" s="68">
        <v>0.559856325194396</v>
      </c>
      <c r="I1605" s="69">
        <v>44319.89855324074</v>
      </c>
      <c r="J1605" s="69">
        <v>44319.898726851854</v>
      </c>
      <c r="K1605">
        <f>AVERAGE(H1602:H1606)</f>
        <v>88.17184791</v>
      </c>
      <c r="L1605">
        <f>STDEV(H1602:H1606)</f>
        <v>83.32662986</v>
      </c>
      <c r="M1605" s="70">
        <v>0.559856325194396</v>
      </c>
      <c r="N1605" s="70">
        <v>0.559856325194396</v>
      </c>
      <c r="O1605" s="70">
        <v>0.467682383480196</v>
      </c>
      <c r="P1605" s="70">
        <v>0.467682383480196</v>
      </c>
    </row>
    <row r="1606" hidden="1">
      <c r="A1606" s="67" t="s">
        <v>2366</v>
      </c>
      <c r="B1606" s="67" t="s">
        <v>17</v>
      </c>
      <c r="C1606" s="68">
        <v>0.5</v>
      </c>
      <c r="D1606" s="68">
        <v>0.25</v>
      </c>
      <c r="E1606" s="68">
        <v>4.0</v>
      </c>
      <c r="F1606" s="68">
        <v>4.0</v>
      </c>
      <c r="G1606" s="68">
        <v>0.535337739307284</v>
      </c>
      <c r="H1606" s="68">
        <v>0.652599703156156</v>
      </c>
      <c r="I1606" s="69">
        <v>44319.89943287037</v>
      </c>
      <c r="J1606" s="69">
        <v>44319.899976851855</v>
      </c>
      <c r="K1606">
        <f>AVERAGE(H1602:H1606)</f>
        <v>88.17184791</v>
      </c>
      <c r="L1606">
        <f>STDEV(H1602:H1606)</f>
        <v>83.32662986</v>
      </c>
      <c r="M1606" s="70">
        <v>0.652599703156156</v>
      </c>
      <c r="N1606" s="70">
        <v>0.652599703156156</v>
      </c>
      <c r="O1606" s="70">
        <v>0.535337739307284</v>
      </c>
      <c r="P1606" s="70">
        <v>0.535337739307284</v>
      </c>
    </row>
    <row r="1607" hidden="1">
      <c r="A1607" s="67" t="s">
        <v>2367</v>
      </c>
      <c r="B1607" s="67" t="s">
        <v>17</v>
      </c>
      <c r="C1607" s="68">
        <v>0.5</v>
      </c>
      <c r="D1607" s="68">
        <v>0.5</v>
      </c>
      <c r="E1607" s="68">
        <v>4.0</v>
      </c>
      <c r="F1607" s="68">
        <v>0.0</v>
      </c>
      <c r="G1607" s="68">
        <v>3.4518636080575</v>
      </c>
      <c r="H1607" s="68">
        <v>171.455629896578</v>
      </c>
      <c r="I1607" s="69">
        <v>44319.90069444444</v>
      </c>
      <c r="J1607" s="69">
        <v>44319.94417824074</v>
      </c>
      <c r="K1607">
        <f>AVERAGE(H1607:H1611)</f>
        <v>90.80402461</v>
      </c>
      <c r="L1607">
        <f>STDEV(H1607:H1611)</f>
        <v>83.13467127</v>
      </c>
      <c r="M1607" s="70">
        <v>171.455629896578</v>
      </c>
      <c r="N1607" s="70">
        <v>171.455629896578</v>
      </c>
      <c r="O1607" s="70">
        <v>3.4518636080575</v>
      </c>
      <c r="P1607" s="70">
        <v>3.4518636080575</v>
      </c>
    </row>
    <row r="1608" hidden="1">
      <c r="A1608" s="67" t="s">
        <v>2368</v>
      </c>
      <c r="B1608" s="67" t="s">
        <v>17</v>
      </c>
      <c r="C1608" s="68">
        <v>0.5</v>
      </c>
      <c r="D1608" s="68">
        <v>0.5</v>
      </c>
      <c r="E1608" s="68">
        <v>4.0</v>
      </c>
      <c r="F1608" s="68">
        <v>1.0</v>
      </c>
      <c r="G1608" s="68">
        <v>1.07991001504809</v>
      </c>
      <c r="H1608" s="68">
        <v>1.4504242499467</v>
      </c>
      <c r="I1608" s="69">
        <v>44319.94489583333</v>
      </c>
      <c r="J1608" s="69">
        <v>44319.945</v>
      </c>
      <c r="K1608">
        <f>AVERAGE(H1607:H1611)</f>
        <v>90.80402461</v>
      </c>
      <c r="L1608">
        <f>STDEV(H1607:H1611)</f>
        <v>83.13467127</v>
      </c>
      <c r="M1608" s="70">
        <v>1.4504242499467</v>
      </c>
      <c r="N1608" s="70">
        <v>1.4504242499467</v>
      </c>
      <c r="O1608" s="70">
        <v>1.07991001504809</v>
      </c>
      <c r="P1608" s="70">
        <v>1.07991001504809</v>
      </c>
    </row>
    <row r="1609" hidden="1">
      <c r="A1609" s="67" t="s">
        <v>2369</v>
      </c>
      <c r="B1609" s="67" t="s">
        <v>17</v>
      </c>
      <c r="C1609" s="68">
        <v>0.5</v>
      </c>
      <c r="D1609" s="68">
        <v>0.5</v>
      </c>
      <c r="E1609" s="68">
        <v>4.0</v>
      </c>
      <c r="F1609" s="68">
        <v>2.0</v>
      </c>
      <c r="G1609" s="68">
        <v>2.48827350719733</v>
      </c>
      <c r="H1609" s="68">
        <v>131.803019410388</v>
      </c>
      <c r="I1609" s="69">
        <v>44319.945706018516</v>
      </c>
      <c r="J1609" s="69">
        <v>44319.9459375</v>
      </c>
      <c r="K1609">
        <f>AVERAGE(H1607:H1611)</f>
        <v>90.80402461</v>
      </c>
      <c r="L1609">
        <f>STDEV(H1607:H1611)</f>
        <v>83.13467127</v>
      </c>
      <c r="M1609" s="70">
        <v>131.803019410388</v>
      </c>
      <c r="N1609" s="70">
        <v>131.803019410388</v>
      </c>
      <c r="O1609" s="70">
        <v>2.48827350719733</v>
      </c>
      <c r="P1609" s="70">
        <v>2.48827350719733</v>
      </c>
    </row>
    <row r="1610" hidden="1">
      <c r="A1610" s="67" t="s">
        <v>2370</v>
      </c>
      <c r="B1610" s="67" t="s">
        <v>17</v>
      </c>
      <c r="C1610" s="68">
        <v>0.5</v>
      </c>
      <c r="D1610" s="68">
        <v>0.5</v>
      </c>
      <c r="E1610" s="68">
        <v>4.0</v>
      </c>
      <c r="F1610" s="68">
        <v>3.0</v>
      </c>
      <c r="G1610" s="68">
        <v>3.42662417932206</v>
      </c>
      <c r="H1610" s="68">
        <v>148.663231317773</v>
      </c>
      <c r="I1610" s="69">
        <v>44319.94664351852</v>
      </c>
      <c r="J1610" s="69">
        <v>44319.95607638889</v>
      </c>
      <c r="K1610">
        <f>AVERAGE(H1607:H1611)</f>
        <v>90.80402461</v>
      </c>
      <c r="L1610">
        <f>STDEV(H1607:H1611)</f>
        <v>83.13467127</v>
      </c>
      <c r="M1610" s="70">
        <v>148.663231317773</v>
      </c>
      <c r="N1610" s="70">
        <v>148.663231317773</v>
      </c>
      <c r="O1610" s="70">
        <v>3.42662417932206</v>
      </c>
      <c r="P1610" s="70">
        <v>3.42662417932206</v>
      </c>
    </row>
    <row r="1611" hidden="1">
      <c r="A1611" s="67" t="s">
        <v>2371</v>
      </c>
      <c r="B1611" s="67" t="s">
        <v>17</v>
      </c>
      <c r="C1611" s="68">
        <v>0.5</v>
      </c>
      <c r="D1611" s="68">
        <v>0.5</v>
      </c>
      <c r="E1611" s="68">
        <v>4.0</v>
      </c>
      <c r="F1611" s="68">
        <v>4.0</v>
      </c>
      <c r="G1611" s="68">
        <v>0.528336517899424</v>
      </c>
      <c r="H1611" s="68">
        <v>0.647818173032341</v>
      </c>
      <c r="I1611" s="69">
        <v>44319.956782407404</v>
      </c>
      <c r="J1611" s="69">
        <v>44319.956921296296</v>
      </c>
      <c r="K1611">
        <f>AVERAGE(H1607:H1611)</f>
        <v>90.80402461</v>
      </c>
      <c r="L1611">
        <f>STDEV(H1607:H1611)</f>
        <v>83.13467127</v>
      </c>
      <c r="M1611" s="70">
        <v>0.647818173032341</v>
      </c>
      <c r="N1611" s="70">
        <v>0.647818173032341</v>
      </c>
      <c r="O1611" s="70">
        <v>0.528336517899424</v>
      </c>
      <c r="P1611" s="70">
        <v>0.528336517899424</v>
      </c>
    </row>
    <row r="1612" hidden="1">
      <c r="A1612" s="67" t="s">
        <v>2372</v>
      </c>
      <c r="B1612" s="67" t="s">
        <v>17</v>
      </c>
      <c r="C1612" s="68">
        <v>0.5</v>
      </c>
      <c r="D1612" s="68">
        <v>0.75</v>
      </c>
      <c r="E1612" s="68">
        <v>4.0</v>
      </c>
      <c r="F1612" s="68">
        <v>0.0</v>
      </c>
      <c r="G1612" s="68">
        <v>8.10217238437446</v>
      </c>
      <c r="H1612" s="68">
        <v>212.85669101854</v>
      </c>
      <c r="I1612" s="69">
        <v>44319.95762731481</v>
      </c>
      <c r="J1612" s="69">
        <v>44319.95767361111</v>
      </c>
      <c r="K1612">
        <f>AVERAGE(H1612:H1616)</f>
        <v>110.4477788</v>
      </c>
      <c r="L1612">
        <f>STDEV(H1612:H1616)</f>
        <v>96.41463947</v>
      </c>
      <c r="M1612" s="70">
        <v>212.85669101854</v>
      </c>
      <c r="N1612" s="70">
        <v>212.85669101854</v>
      </c>
      <c r="O1612" s="70">
        <v>8.10217238437446</v>
      </c>
      <c r="P1612" s="70">
        <v>8.10217238437446</v>
      </c>
    </row>
    <row r="1613" hidden="1">
      <c r="A1613" s="67" t="s">
        <v>2373</v>
      </c>
      <c r="B1613" s="67" t="s">
        <v>17</v>
      </c>
      <c r="C1613" s="68">
        <v>0.5</v>
      </c>
      <c r="D1613" s="68">
        <v>0.75</v>
      </c>
      <c r="E1613" s="68">
        <v>4.0</v>
      </c>
      <c r="F1613" s="68">
        <v>1.0</v>
      </c>
      <c r="G1613" s="68">
        <v>0.466302059947925</v>
      </c>
      <c r="H1613" s="68">
        <v>0.558605536113522</v>
      </c>
      <c r="I1613" s="69">
        <v>44319.95837962963</v>
      </c>
      <c r="J1613" s="69">
        <v>44319.95856481481</v>
      </c>
      <c r="K1613">
        <f>AVERAGE(H1612:H1616)</f>
        <v>110.4477788</v>
      </c>
      <c r="L1613">
        <f>STDEV(H1612:H1616)</f>
        <v>96.41463947</v>
      </c>
      <c r="M1613" s="70">
        <v>0.558605536113522</v>
      </c>
      <c r="N1613" s="70">
        <v>0.558605536113522</v>
      </c>
      <c r="O1613" s="70">
        <v>0.466302059947925</v>
      </c>
      <c r="P1613" s="70">
        <v>0.466302059947925</v>
      </c>
    </row>
    <row r="1614" hidden="1">
      <c r="A1614" s="67" t="s">
        <v>2374</v>
      </c>
      <c r="B1614" s="67" t="s">
        <v>17</v>
      </c>
      <c r="C1614" s="68">
        <v>0.5</v>
      </c>
      <c r="D1614" s="68">
        <v>0.75</v>
      </c>
      <c r="E1614" s="68">
        <v>4.0</v>
      </c>
      <c r="F1614" s="68">
        <v>2.0</v>
      </c>
      <c r="G1614" s="68">
        <v>3.63138425246542</v>
      </c>
      <c r="H1614" s="68">
        <v>164.09640132689</v>
      </c>
      <c r="I1614" s="69">
        <v>44319.95927083334</v>
      </c>
      <c r="J1614" s="69">
        <v>44319.96083333333</v>
      </c>
      <c r="K1614">
        <f>AVERAGE(H1612:H1616)</f>
        <v>110.4477788</v>
      </c>
      <c r="L1614">
        <f>STDEV(H1612:H1616)</f>
        <v>96.41463947</v>
      </c>
      <c r="M1614" s="70">
        <v>164.09640132689</v>
      </c>
      <c r="N1614" s="70">
        <v>164.09640132689</v>
      </c>
      <c r="O1614" s="70">
        <v>3.63138425246542</v>
      </c>
      <c r="P1614" s="70">
        <v>3.63138425246542</v>
      </c>
    </row>
    <row r="1615" hidden="1">
      <c r="A1615" s="67" t="s">
        <v>2375</v>
      </c>
      <c r="B1615" s="67" t="s">
        <v>17</v>
      </c>
      <c r="C1615" s="68">
        <v>0.5</v>
      </c>
      <c r="D1615" s="68">
        <v>0.75</v>
      </c>
      <c r="E1615" s="68">
        <v>4.0</v>
      </c>
      <c r="F1615" s="68">
        <v>3.0</v>
      </c>
      <c r="G1615" s="68">
        <v>3.45991276371469</v>
      </c>
      <c r="H1615" s="68">
        <v>160.425153143169</v>
      </c>
      <c r="I1615" s="69">
        <v>44319.961539351854</v>
      </c>
      <c r="J1615" s="69">
        <v>44320.03056712963</v>
      </c>
      <c r="K1615">
        <f>AVERAGE(H1612:H1616)</f>
        <v>110.4477788</v>
      </c>
      <c r="L1615">
        <f>STDEV(H1612:H1616)</f>
        <v>96.41463947</v>
      </c>
      <c r="M1615" s="70">
        <v>160.425153143169</v>
      </c>
      <c r="N1615" s="70">
        <v>160.425153143169</v>
      </c>
      <c r="O1615" s="70">
        <v>3.45991276371469</v>
      </c>
      <c r="P1615" s="70">
        <v>3.45991276371469</v>
      </c>
    </row>
    <row r="1616" hidden="1">
      <c r="A1616" s="67" t="s">
        <v>2376</v>
      </c>
      <c r="B1616" s="67" t="s">
        <v>17</v>
      </c>
      <c r="C1616" s="68">
        <v>0.5</v>
      </c>
      <c r="D1616" s="68">
        <v>0.75</v>
      </c>
      <c r="E1616" s="68">
        <v>4.0</v>
      </c>
      <c r="F1616" s="68">
        <v>4.0</v>
      </c>
      <c r="G1616" s="68">
        <v>0.988760372058673</v>
      </c>
      <c r="H1616" s="68">
        <v>14.3020432071134</v>
      </c>
      <c r="I1616" s="69">
        <v>44320.031273148146</v>
      </c>
      <c r="J1616" s="69">
        <v>44320.031377314815</v>
      </c>
      <c r="K1616">
        <f>AVERAGE(H1612:H1616)</f>
        <v>110.4477788</v>
      </c>
      <c r="L1616">
        <f>STDEV(H1612:H1616)</f>
        <v>96.41463947</v>
      </c>
      <c r="M1616" s="70">
        <v>14.3020432071134</v>
      </c>
      <c r="N1616" s="70">
        <v>14.3020432071134</v>
      </c>
      <c r="O1616" s="70">
        <v>0.988760372058673</v>
      </c>
      <c r="P1616" s="70">
        <v>0.988760372058673</v>
      </c>
    </row>
    <row r="1617" hidden="1">
      <c r="A1617" s="67" t="s">
        <v>2377</v>
      </c>
      <c r="B1617" s="67" t="s">
        <v>17</v>
      </c>
      <c r="C1617" s="68">
        <v>0.5</v>
      </c>
      <c r="D1617" s="68">
        <v>1.0</v>
      </c>
      <c r="E1617" s="68">
        <v>4.0</v>
      </c>
      <c r="F1617" s="68">
        <v>0.0</v>
      </c>
      <c r="G1617" s="68">
        <v>1.96548095819134</v>
      </c>
      <c r="H1617" s="68">
        <v>112.748610964615</v>
      </c>
      <c r="I1617" s="69">
        <v>44320.03208333333</v>
      </c>
      <c r="J1617" s="69">
        <v>44320.032488425924</v>
      </c>
      <c r="K1617">
        <f>AVERAGE(H1617:H1621)</f>
        <v>176.7178645</v>
      </c>
      <c r="L1617">
        <f>STDEV(H1617:H1621)</f>
        <v>78.1161537</v>
      </c>
      <c r="M1617" s="70">
        <v>112.748610964615</v>
      </c>
      <c r="N1617" s="70">
        <v>112.748610964615</v>
      </c>
      <c r="O1617" s="70">
        <v>1.96548095819134</v>
      </c>
      <c r="P1617" s="70">
        <v>1.96548095819134</v>
      </c>
    </row>
    <row r="1618" hidden="1">
      <c r="A1618" s="67" t="s">
        <v>2378</v>
      </c>
      <c r="B1618" s="67" t="s">
        <v>17</v>
      </c>
      <c r="C1618" s="68">
        <v>0.5</v>
      </c>
      <c r="D1618" s="68">
        <v>1.0</v>
      </c>
      <c r="E1618" s="68">
        <v>4.0</v>
      </c>
      <c r="F1618" s="68">
        <v>1.0</v>
      </c>
      <c r="G1618" s="68">
        <v>2.67558905226312</v>
      </c>
      <c r="H1618" s="68">
        <v>125.085064814915</v>
      </c>
      <c r="I1618" s="69">
        <v>44320.03320601852</v>
      </c>
      <c r="J1618" s="69">
        <v>44320.06853009259</v>
      </c>
      <c r="K1618">
        <f>AVERAGE(H1617:H1621)</f>
        <v>176.7178645</v>
      </c>
      <c r="L1618">
        <f>STDEV(H1617:H1621)</f>
        <v>78.1161537</v>
      </c>
      <c r="M1618" s="70">
        <v>125.085064814915</v>
      </c>
      <c r="N1618" s="70">
        <v>125.085064814915</v>
      </c>
      <c r="O1618" s="70">
        <v>2.67558905226312</v>
      </c>
      <c r="P1618" s="70">
        <v>2.67558905226312</v>
      </c>
    </row>
    <row r="1619" hidden="1">
      <c r="A1619" s="67" t="s">
        <v>2379</v>
      </c>
      <c r="B1619" s="67" t="s">
        <v>17</v>
      </c>
      <c r="C1619" s="68">
        <v>0.5</v>
      </c>
      <c r="D1619" s="68">
        <v>1.0</v>
      </c>
      <c r="E1619" s="68">
        <v>4.0</v>
      </c>
      <c r="F1619" s="68">
        <v>2.0</v>
      </c>
      <c r="G1619" s="68">
        <v>10.1156078615505</v>
      </c>
      <c r="H1619" s="68">
        <v>305.89822995796</v>
      </c>
      <c r="I1619" s="69">
        <v>44320.069236111114</v>
      </c>
      <c r="J1619" s="69">
        <v>44320.0694212963</v>
      </c>
      <c r="K1619">
        <f>AVERAGE(H1617:H1621)</f>
        <v>176.7178645</v>
      </c>
      <c r="L1619">
        <f>STDEV(H1617:H1621)</f>
        <v>78.1161537</v>
      </c>
      <c r="M1619" s="70">
        <v>305.89822995796</v>
      </c>
      <c r="N1619" s="70">
        <v>305.89822995796</v>
      </c>
      <c r="O1619" s="70">
        <v>10.1156078615505</v>
      </c>
      <c r="P1619" s="70">
        <v>10.1156078615505</v>
      </c>
    </row>
    <row r="1620" hidden="1">
      <c r="A1620" s="67" t="s">
        <v>2380</v>
      </c>
      <c r="B1620" s="67" t="s">
        <v>17</v>
      </c>
      <c r="C1620" s="68">
        <v>0.5</v>
      </c>
      <c r="D1620" s="68">
        <v>1.0</v>
      </c>
      <c r="E1620" s="68">
        <v>4.0</v>
      </c>
      <c r="F1620" s="68">
        <v>3.0</v>
      </c>
      <c r="G1620" s="68">
        <v>4.6226840807332</v>
      </c>
      <c r="H1620" s="68">
        <v>190.79459421756</v>
      </c>
      <c r="I1620" s="69">
        <v>44320.070127314815</v>
      </c>
      <c r="J1620" s="69">
        <v>44320.072858796295</v>
      </c>
      <c r="K1620">
        <f>AVERAGE(H1617:H1621)</f>
        <v>176.7178645</v>
      </c>
      <c r="L1620">
        <f>STDEV(H1617:H1621)</f>
        <v>78.1161537</v>
      </c>
      <c r="M1620" s="70">
        <v>190.79459421756</v>
      </c>
      <c r="N1620" s="70">
        <v>190.79459421756</v>
      </c>
      <c r="O1620" s="70">
        <v>4.6226840807332</v>
      </c>
      <c r="P1620" s="70">
        <v>4.6226840807332</v>
      </c>
    </row>
    <row r="1621" hidden="1">
      <c r="A1621" s="67" t="s">
        <v>2381</v>
      </c>
      <c r="B1621" s="67" t="s">
        <v>17</v>
      </c>
      <c r="C1621" s="68">
        <v>0.5</v>
      </c>
      <c r="D1621" s="68">
        <v>1.0</v>
      </c>
      <c r="E1621" s="68">
        <v>4.0</v>
      </c>
      <c r="F1621" s="68">
        <v>4.0</v>
      </c>
      <c r="G1621" s="68">
        <v>3.77281611560487</v>
      </c>
      <c r="H1621" s="68">
        <v>149.062822722176</v>
      </c>
      <c r="I1621" s="69">
        <v>44320.07356481482</v>
      </c>
      <c r="J1621" s="69">
        <v>44320.07366898148</v>
      </c>
      <c r="K1621">
        <f>AVERAGE(H1617:H1621)</f>
        <v>176.7178645</v>
      </c>
      <c r="L1621">
        <f>STDEV(H1617:H1621)</f>
        <v>78.1161537</v>
      </c>
      <c r="M1621" s="70">
        <v>149.062822722176</v>
      </c>
      <c r="N1621" s="70">
        <v>149.062822722176</v>
      </c>
      <c r="O1621" s="70">
        <v>3.77281611560487</v>
      </c>
      <c r="P1621" s="70">
        <v>3.77281611560487</v>
      </c>
    </row>
    <row r="1622" hidden="1">
      <c r="A1622" s="67" t="s">
        <v>2382</v>
      </c>
      <c r="B1622" s="67" t="s">
        <v>17</v>
      </c>
      <c r="C1622" s="68">
        <v>0.75</v>
      </c>
      <c r="D1622" s="68">
        <v>0.1</v>
      </c>
      <c r="E1622" s="68">
        <v>4.0</v>
      </c>
      <c r="F1622" s="68">
        <v>0.0</v>
      </c>
      <c r="G1622" s="68">
        <v>0.534500817547642</v>
      </c>
      <c r="H1622" s="68">
        <v>0.63779814505903</v>
      </c>
      <c r="I1622" s="69">
        <v>44320.074375</v>
      </c>
      <c r="J1622" s="69">
        <v>44320.07496527778</v>
      </c>
      <c r="K1622">
        <f>AVERAGE(H1622:H1626)</f>
        <v>89.80548438</v>
      </c>
      <c r="L1622">
        <f>STDEV(H1622:H1626)</f>
        <v>99.27466803</v>
      </c>
      <c r="M1622" s="70">
        <v>0.63779814505903</v>
      </c>
      <c r="N1622" s="70">
        <v>0.63779814505903</v>
      </c>
      <c r="O1622" s="70">
        <v>0.534500817547642</v>
      </c>
      <c r="P1622" s="70">
        <v>0.534500817547642</v>
      </c>
    </row>
    <row r="1623" hidden="1">
      <c r="A1623" s="67" t="s">
        <v>2383</v>
      </c>
      <c r="B1623" s="67" t="s">
        <v>17</v>
      </c>
      <c r="C1623" s="68">
        <v>0.75</v>
      </c>
      <c r="D1623" s="68">
        <v>0.1</v>
      </c>
      <c r="E1623" s="68">
        <v>4.0</v>
      </c>
      <c r="F1623" s="68">
        <v>1.0</v>
      </c>
      <c r="G1623" s="68">
        <v>0.713773697983655</v>
      </c>
      <c r="H1623" s="68">
        <v>0.950740248644213</v>
      </c>
      <c r="I1623" s="69">
        <v>44320.0756712963</v>
      </c>
      <c r="J1623" s="69">
        <v>44320.075902777775</v>
      </c>
      <c r="K1623">
        <f>AVERAGE(H1622:H1626)</f>
        <v>89.80548438</v>
      </c>
      <c r="L1623">
        <f>STDEV(H1622:H1626)</f>
        <v>99.27466803</v>
      </c>
      <c r="M1623" s="70">
        <v>0.950740248644213</v>
      </c>
      <c r="N1623" s="70">
        <v>0.950740248644213</v>
      </c>
      <c r="O1623" s="70">
        <v>0.713773697983655</v>
      </c>
      <c r="P1623" s="70">
        <v>0.713773697983655</v>
      </c>
    </row>
    <row r="1624" hidden="1">
      <c r="A1624" s="67" t="s">
        <v>2384</v>
      </c>
      <c r="B1624" s="67" t="s">
        <v>17</v>
      </c>
      <c r="C1624" s="68">
        <v>0.75</v>
      </c>
      <c r="D1624" s="68">
        <v>0.1</v>
      </c>
      <c r="E1624" s="68">
        <v>4.0</v>
      </c>
      <c r="F1624" s="68">
        <v>2.0</v>
      </c>
      <c r="G1624" s="68">
        <v>1.4780770236849</v>
      </c>
      <c r="H1624" s="68">
        <v>72.8287325627493</v>
      </c>
      <c r="I1624" s="69">
        <v>44320.07662037037</v>
      </c>
      <c r="J1624" s="69">
        <v>44320.07745370371</v>
      </c>
      <c r="K1624">
        <f>AVERAGE(H1622:H1626)</f>
        <v>89.80548438</v>
      </c>
      <c r="L1624">
        <f>STDEV(H1622:H1626)</f>
        <v>99.27466803</v>
      </c>
      <c r="M1624" s="70">
        <v>72.8287325627493</v>
      </c>
      <c r="N1624" s="70">
        <v>72.8287325627493</v>
      </c>
      <c r="O1624" s="70">
        <v>1.4780770236849</v>
      </c>
      <c r="P1624" s="70">
        <v>1.4780770236849</v>
      </c>
    </row>
    <row r="1625" hidden="1">
      <c r="A1625" s="67" t="s">
        <v>2385</v>
      </c>
      <c r="B1625" s="67" t="s">
        <v>17</v>
      </c>
      <c r="C1625" s="68">
        <v>0.75</v>
      </c>
      <c r="D1625" s="68">
        <v>0.1</v>
      </c>
      <c r="E1625" s="68">
        <v>4.0</v>
      </c>
      <c r="F1625" s="68">
        <v>3.0</v>
      </c>
      <c r="G1625" s="68">
        <v>6.27180059880842</v>
      </c>
      <c r="H1625" s="68">
        <v>233.539512840675</v>
      </c>
      <c r="I1625" s="69">
        <v>44320.07815972222</v>
      </c>
      <c r="J1625" s="69">
        <v>44320.082280092596</v>
      </c>
      <c r="K1625">
        <f>AVERAGE(H1622:H1626)</f>
        <v>89.80548438</v>
      </c>
      <c r="L1625">
        <f>STDEV(H1622:H1626)</f>
        <v>99.27466803</v>
      </c>
      <c r="M1625" s="70">
        <v>233.539512840675</v>
      </c>
      <c r="N1625" s="70">
        <v>233.539512840675</v>
      </c>
      <c r="O1625" s="70">
        <v>6.27180059880842</v>
      </c>
      <c r="P1625" s="70">
        <v>6.27180059880842</v>
      </c>
    </row>
    <row r="1626" hidden="1">
      <c r="A1626" s="67" t="s">
        <v>2386</v>
      </c>
      <c r="B1626" s="67" t="s">
        <v>17</v>
      </c>
      <c r="C1626" s="68">
        <v>0.75</v>
      </c>
      <c r="D1626" s="68">
        <v>0.1</v>
      </c>
      <c r="E1626" s="68">
        <v>4.0</v>
      </c>
      <c r="F1626" s="68">
        <v>4.0</v>
      </c>
      <c r="G1626" s="68">
        <v>3.20388839518741</v>
      </c>
      <c r="H1626" s="68">
        <v>141.07063812676</v>
      </c>
      <c r="I1626" s="69">
        <v>44320.08298611111</v>
      </c>
      <c r="J1626" s="69">
        <v>44320.10673611111</v>
      </c>
      <c r="K1626">
        <f>AVERAGE(H1622:H1626)</f>
        <v>89.80548438</v>
      </c>
      <c r="L1626">
        <f>STDEV(H1622:H1626)</f>
        <v>99.27466803</v>
      </c>
      <c r="M1626" s="70">
        <v>141.07063812676</v>
      </c>
      <c r="N1626" s="70">
        <v>141.07063812676</v>
      </c>
      <c r="O1626" s="70">
        <v>3.20388839518741</v>
      </c>
      <c r="P1626" s="70">
        <v>3.20388839518741</v>
      </c>
    </row>
    <row r="1627" hidden="1">
      <c r="A1627" s="67" t="s">
        <v>2387</v>
      </c>
      <c r="B1627" s="67" t="s">
        <v>17</v>
      </c>
      <c r="C1627" s="68">
        <v>0.75</v>
      </c>
      <c r="D1627" s="68">
        <v>0.25</v>
      </c>
      <c r="E1627" s="68">
        <v>4.0</v>
      </c>
      <c r="F1627" s="68">
        <v>0.0</v>
      </c>
      <c r="G1627" s="68">
        <v>0.53155206589648</v>
      </c>
      <c r="H1627" s="68">
        <v>0.632592483701925</v>
      </c>
      <c r="I1627" s="69">
        <v>44320.10744212963</v>
      </c>
      <c r="J1627" s="69">
        <v>44320.107986111114</v>
      </c>
      <c r="K1627">
        <f>AVERAGE(H1627:H1631)</f>
        <v>120.6480194</v>
      </c>
      <c r="L1627">
        <f>STDEV(H1627:H1631)</f>
        <v>123.9642811</v>
      </c>
      <c r="M1627" s="70">
        <v>0.632592483701925</v>
      </c>
      <c r="N1627" s="70">
        <v>0.632592483701925</v>
      </c>
      <c r="O1627" s="70">
        <v>0.53155206589648</v>
      </c>
      <c r="P1627" s="70">
        <v>0.53155206589648</v>
      </c>
    </row>
    <row r="1628" hidden="1">
      <c r="A1628" s="67" t="s">
        <v>2388</v>
      </c>
      <c r="B1628" s="67" t="s">
        <v>17</v>
      </c>
      <c r="C1628" s="68">
        <v>0.75</v>
      </c>
      <c r="D1628" s="68">
        <v>0.25</v>
      </c>
      <c r="E1628" s="68">
        <v>4.0</v>
      </c>
      <c r="F1628" s="68">
        <v>1.0</v>
      </c>
      <c r="G1628" s="68">
        <v>0.712997756536142</v>
      </c>
      <c r="H1628" s="68">
        <v>0.950093966860787</v>
      </c>
      <c r="I1628" s="69">
        <v>44320.10869212963</v>
      </c>
      <c r="J1628" s="69">
        <v>44320.108923611115</v>
      </c>
      <c r="K1628">
        <f>AVERAGE(H1627:H1631)</f>
        <v>120.6480194</v>
      </c>
      <c r="L1628">
        <f>STDEV(H1627:H1631)</f>
        <v>123.9642811</v>
      </c>
      <c r="M1628" s="70">
        <v>0.950093966860787</v>
      </c>
      <c r="N1628" s="70">
        <v>0.950093966860787</v>
      </c>
      <c r="O1628" s="70">
        <v>0.712997756536142</v>
      </c>
      <c r="P1628" s="70">
        <v>0.712997756536142</v>
      </c>
    </row>
    <row r="1629" hidden="1">
      <c r="A1629" s="67" t="s">
        <v>2389</v>
      </c>
      <c r="B1629" s="67" t="s">
        <v>17</v>
      </c>
      <c r="C1629" s="68">
        <v>0.75</v>
      </c>
      <c r="D1629" s="68">
        <v>0.25</v>
      </c>
      <c r="E1629" s="68">
        <v>4.0</v>
      </c>
      <c r="F1629" s="68">
        <v>2.0</v>
      </c>
      <c r="G1629" s="68">
        <v>9.25151665348381</v>
      </c>
      <c r="H1629" s="68">
        <v>292.192872498939</v>
      </c>
      <c r="I1629" s="69">
        <v>44320.10962962963</v>
      </c>
      <c r="J1629" s="69">
        <v>44320.109826388885</v>
      </c>
      <c r="K1629">
        <f>AVERAGE(H1627:H1631)</f>
        <v>120.6480194</v>
      </c>
      <c r="L1629">
        <f>STDEV(H1627:H1631)</f>
        <v>123.9642811</v>
      </c>
      <c r="M1629" s="70">
        <v>292.192872498939</v>
      </c>
      <c r="N1629" s="70">
        <v>292.192872498939</v>
      </c>
      <c r="O1629" s="70">
        <v>9.25151665348381</v>
      </c>
      <c r="P1629" s="70">
        <v>9.25151665348381</v>
      </c>
    </row>
    <row r="1630" hidden="1">
      <c r="A1630" s="67" t="s">
        <v>2390</v>
      </c>
      <c r="B1630" s="67" t="s">
        <v>17</v>
      </c>
      <c r="C1630" s="68">
        <v>0.75</v>
      </c>
      <c r="D1630" s="68">
        <v>0.25</v>
      </c>
      <c r="E1630" s="68">
        <v>4.0</v>
      </c>
      <c r="F1630" s="68">
        <v>3.0</v>
      </c>
      <c r="G1630" s="68">
        <v>3.83780024219103</v>
      </c>
      <c r="H1630" s="68">
        <v>176.937754162047</v>
      </c>
      <c r="I1630" s="69">
        <v>44320.11053240741</v>
      </c>
      <c r="J1630" s="69">
        <v>44320.12521990741</v>
      </c>
      <c r="K1630">
        <f>AVERAGE(H1627:H1631)</f>
        <v>120.6480194</v>
      </c>
      <c r="L1630">
        <f>STDEV(H1627:H1631)</f>
        <v>123.9642811</v>
      </c>
      <c r="M1630" s="70">
        <v>176.937754162047</v>
      </c>
      <c r="N1630" s="70">
        <v>176.937754162047</v>
      </c>
      <c r="O1630" s="70">
        <v>3.83780024219103</v>
      </c>
      <c r="P1630" s="70">
        <v>3.83780024219103</v>
      </c>
    </row>
    <row r="1631" hidden="1">
      <c r="A1631" s="67" t="s">
        <v>2391</v>
      </c>
      <c r="B1631" s="67" t="s">
        <v>17</v>
      </c>
      <c r="C1631" s="68">
        <v>0.75</v>
      </c>
      <c r="D1631" s="68">
        <v>0.25</v>
      </c>
      <c r="E1631" s="68">
        <v>4.0</v>
      </c>
      <c r="F1631" s="68">
        <v>4.0</v>
      </c>
      <c r="G1631" s="68">
        <v>2.78113662525361</v>
      </c>
      <c r="H1631" s="68">
        <v>132.526784080774</v>
      </c>
      <c r="I1631" s="69">
        <v>44320.125925925924</v>
      </c>
      <c r="J1631" s="69">
        <v>44320.14424768519</v>
      </c>
      <c r="K1631">
        <f>AVERAGE(H1627:H1631)</f>
        <v>120.6480194</v>
      </c>
      <c r="L1631">
        <f>STDEV(H1627:H1631)</f>
        <v>123.9642811</v>
      </c>
      <c r="M1631" s="70">
        <v>132.526784080774</v>
      </c>
      <c r="N1631" s="70">
        <v>132.526784080774</v>
      </c>
      <c r="O1631" s="70">
        <v>2.78113662525361</v>
      </c>
      <c r="P1631" s="70">
        <v>2.78113662525361</v>
      </c>
    </row>
    <row r="1632" hidden="1">
      <c r="A1632" s="67" t="s">
        <v>2392</v>
      </c>
      <c r="B1632" s="67" t="s">
        <v>17</v>
      </c>
      <c r="C1632" s="68">
        <v>0.75</v>
      </c>
      <c r="D1632" s="68">
        <v>0.5</v>
      </c>
      <c r="E1632" s="68">
        <v>4.0</v>
      </c>
      <c r="F1632" s="68">
        <v>0.0</v>
      </c>
      <c r="G1632" s="68">
        <v>8.86208297688237</v>
      </c>
      <c r="H1632" s="68">
        <v>277.686354929981</v>
      </c>
      <c r="I1632" s="69">
        <v>44320.144953703704</v>
      </c>
      <c r="J1632" s="69">
        <v>44320.14565972222</v>
      </c>
      <c r="K1632">
        <f>AVERAGE(H1632:H1636)</f>
        <v>157.4938121</v>
      </c>
      <c r="L1632">
        <f>STDEV(H1632:H1636)</f>
        <v>125.6543663</v>
      </c>
      <c r="M1632" s="70">
        <v>277.686354929981</v>
      </c>
      <c r="N1632" s="70">
        <v>277.686354929981</v>
      </c>
      <c r="O1632" s="70">
        <v>8.86208297688237</v>
      </c>
      <c r="P1632" s="70">
        <v>8.86208297688237</v>
      </c>
    </row>
    <row r="1633" hidden="1">
      <c r="A1633" s="67" t="s">
        <v>2393</v>
      </c>
      <c r="B1633" s="67" t="s">
        <v>17</v>
      </c>
      <c r="C1633" s="68">
        <v>0.75</v>
      </c>
      <c r="D1633" s="68">
        <v>0.5</v>
      </c>
      <c r="E1633" s="68">
        <v>4.0</v>
      </c>
      <c r="F1633" s="68">
        <v>1.0</v>
      </c>
      <c r="G1633" s="68">
        <v>9.44065394122625</v>
      </c>
      <c r="H1633" s="68">
        <v>293.979871586488</v>
      </c>
      <c r="I1633" s="69">
        <v>44320.146365740744</v>
      </c>
      <c r="J1633" s="69">
        <v>44320.1465625</v>
      </c>
      <c r="K1633">
        <f>AVERAGE(H1632:H1636)</f>
        <v>157.4938121</v>
      </c>
      <c r="L1633">
        <f>STDEV(H1632:H1636)</f>
        <v>125.6543663</v>
      </c>
      <c r="M1633" s="70">
        <v>293.979871586488</v>
      </c>
      <c r="N1633" s="70">
        <v>293.979871586488</v>
      </c>
      <c r="O1633" s="70">
        <v>9.44065394122625</v>
      </c>
      <c r="P1633" s="70">
        <v>9.44065394122625</v>
      </c>
    </row>
    <row r="1634" hidden="1">
      <c r="A1634" s="67" t="s">
        <v>2394</v>
      </c>
      <c r="B1634" s="67" t="s">
        <v>17</v>
      </c>
      <c r="C1634" s="68">
        <v>0.75</v>
      </c>
      <c r="D1634" s="68">
        <v>0.5</v>
      </c>
      <c r="E1634" s="68">
        <v>4.0</v>
      </c>
      <c r="F1634" s="68">
        <v>2.0</v>
      </c>
      <c r="G1634" s="68">
        <v>0.994456585795455</v>
      </c>
      <c r="H1634" s="68">
        <v>48.3310422481788</v>
      </c>
      <c r="I1634" s="69">
        <v>44320.14726851852</v>
      </c>
      <c r="J1634" s="69">
        <v>44320.151504629626</v>
      </c>
      <c r="K1634">
        <f>AVERAGE(H1632:H1636)</f>
        <v>157.4938121</v>
      </c>
      <c r="L1634">
        <f>STDEV(H1632:H1636)</f>
        <v>125.6543663</v>
      </c>
      <c r="M1634" s="70">
        <v>48.3310422481788</v>
      </c>
      <c r="N1634" s="70">
        <v>48.3310422481788</v>
      </c>
      <c r="O1634" s="70">
        <v>0.994456585795455</v>
      </c>
      <c r="P1634" s="70">
        <v>0.994456585795455</v>
      </c>
    </row>
    <row r="1635" hidden="1">
      <c r="A1635" s="67" t="s">
        <v>2395</v>
      </c>
      <c r="B1635" s="67" t="s">
        <v>17</v>
      </c>
      <c r="C1635" s="68">
        <v>0.75</v>
      </c>
      <c r="D1635" s="68">
        <v>0.5</v>
      </c>
      <c r="E1635" s="68">
        <v>4.0</v>
      </c>
      <c r="F1635" s="68">
        <v>3.0</v>
      </c>
      <c r="G1635" s="68">
        <v>1.24998205362585</v>
      </c>
      <c r="H1635" s="68">
        <v>23.3851853065598</v>
      </c>
      <c r="I1635" s="69">
        <v>44320.15221064815</v>
      </c>
      <c r="J1635" s="69">
        <v>44320.153020833335</v>
      </c>
      <c r="K1635">
        <f>AVERAGE(H1632:H1636)</f>
        <v>157.4938121</v>
      </c>
      <c r="L1635">
        <f>STDEV(H1632:H1636)</f>
        <v>125.6543663</v>
      </c>
      <c r="M1635" s="70">
        <v>23.3851853065598</v>
      </c>
      <c r="N1635" s="70">
        <v>23.3851853065598</v>
      </c>
      <c r="O1635" s="70">
        <v>1.24998205362585</v>
      </c>
      <c r="P1635" s="70">
        <v>1.24998205362585</v>
      </c>
    </row>
    <row r="1636" hidden="1">
      <c r="A1636" s="67" t="s">
        <v>2396</v>
      </c>
      <c r="B1636" s="67" t="s">
        <v>17</v>
      </c>
      <c r="C1636" s="68">
        <v>0.75</v>
      </c>
      <c r="D1636" s="68">
        <v>0.5</v>
      </c>
      <c r="E1636" s="68">
        <v>4.0</v>
      </c>
      <c r="F1636" s="68">
        <v>4.0</v>
      </c>
      <c r="G1636" s="68">
        <v>3.19732302530218</v>
      </c>
      <c r="H1636" s="68">
        <v>144.086606328143</v>
      </c>
      <c r="I1636" s="69">
        <v>44320.15372685185</v>
      </c>
      <c r="J1636" s="69">
        <v>44320.18796296296</v>
      </c>
      <c r="K1636">
        <f>AVERAGE(H1632:H1636)</f>
        <v>157.4938121</v>
      </c>
      <c r="L1636">
        <f>STDEV(H1632:H1636)</f>
        <v>125.6543663</v>
      </c>
      <c r="M1636" s="70">
        <v>144.086606328143</v>
      </c>
      <c r="N1636" s="70">
        <v>144.086606328143</v>
      </c>
      <c r="O1636" s="70">
        <v>3.19732302530218</v>
      </c>
      <c r="P1636" s="70">
        <v>3.19732302530218</v>
      </c>
    </row>
    <row r="1637" hidden="1">
      <c r="A1637" s="67" t="s">
        <v>2397</v>
      </c>
      <c r="B1637" s="67" t="s">
        <v>17</v>
      </c>
      <c r="C1637" s="68">
        <v>0.75</v>
      </c>
      <c r="D1637" s="68">
        <v>0.75</v>
      </c>
      <c r="E1637" s="68">
        <v>4.0</v>
      </c>
      <c r="F1637" s="68">
        <v>0.0</v>
      </c>
      <c r="G1637" s="68">
        <v>0.500093197859678</v>
      </c>
      <c r="H1637" s="68">
        <v>0.584696656937355</v>
      </c>
      <c r="I1637" s="69">
        <v>44320.18866898148</v>
      </c>
      <c r="J1637" s="69">
        <v>44320.189097222225</v>
      </c>
      <c r="K1637">
        <f>AVERAGE(H1637:H1641)</f>
        <v>94.13296969</v>
      </c>
      <c r="L1637">
        <f>STDEV(H1637:H1641)</f>
        <v>118.5706668</v>
      </c>
      <c r="M1637" s="70">
        <v>0.584696656937355</v>
      </c>
      <c r="N1637" s="70">
        <v>0.584696656937355</v>
      </c>
      <c r="O1637" s="70">
        <v>0.500093197859678</v>
      </c>
      <c r="P1637" s="70">
        <v>0.500093197859678</v>
      </c>
    </row>
    <row r="1638" hidden="1">
      <c r="A1638" s="67" t="s">
        <v>2398</v>
      </c>
      <c r="B1638" s="67" t="s">
        <v>17</v>
      </c>
      <c r="C1638" s="68">
        <v>0.75</v>
      </c>
      <c r="D1638" s="68">
        <v>0.75</v>
      </c>
      <c r="E1638" s="68">
        <v>4.0</v>
      </c>
      <c r="F1638" s="68">
        <v>1.0</v>
      </c>
      <c r="G1638" s="68">
        <v>9.19107194650563</v>
      </c>
      <c r="H1638" s="68">
        <v>279.878846971033</v>
      </c>
      <c r="I1638" s="69">
        <v>44320.18980324074</v>
      </c>
      <c r="J1638" s="69">
        <v>44320.19048611111</v>
      </c>
      <c r="K1638">
        <f>AVERAGE(H1637:H1641)</f>
        <v>94.13296969</v>
      </c>
      <c r="L1638">
        <f>STDEV(H1637:H1641)</f>
        <v>118.5706668</v>
      </c>
      <c r="M1638" s="70">
        <v>279.878846971033</v>
      </c>
      <c r="N1638" s="70">
        <v>279.878846971033</v>
      </c>
      <c r="O1638" s="70">
        <v>9.19107194650563</v>
      </c>
      <c r="P1638" s="70">
        <v>9.19107194650563</v>
      </c>
    </row>
    <row r="1639" hidden="1">
      <c r="A1639" s="67" t="s">
        <v>2399</v>
      </c>
      <c r="B1639" s="67" t="s">
        <v>17</v>
      </c>
      <c r="C1639" s="68">
        <v>0.75</v>
      </c>
      <c r="D1639" s="68">
        <v>0.75</v>
      </c>
      <c r="E1639" s="68">
        <v>4.0</v>
      </c>
      <c r="F1639" s="68">
        <v>2.0</v>
      </c>
      <c r="G1639" s="68">
        <v>3.09261603266889</v>
      </c>
      <c r="H1639" s="68">
        <v>145.106247145135</v>
      </c>
      <c r="I1639" s="69">
        <v>44320.19119212963</v>
      </c>
      <c r="J1639" s="69">
        <v>44320.23605324074</v>
      </c>
      <c r="K1639">
        <f>AVERAGE(H1637:H1641)</f>
        <v>94.13296969</v>
      </c>
      <c r="L1639">
        <f>STDEV(H1637:H1641)</f>
        <v>118.5706668</v>
      </c>
      <c r="M1639" s="70">
        <v>145.106247145135</v>
      </c>
      <c r="N1639" s="70">
        <v>145.106247145135</v>
      </c>
      <c r="O1639" s="70">
        <v>3.09261603266889</v>
      </c>
      <c r="P1639" s="70">
        <v>3.09261603266889</v>
      </c>
    </row>
    <row r="1640" hidden="1">
      <c r="A1640" s="67" t="s">
        <v>2400</v>
      </c>
      <c r="B1640" s="67" t="s">
        <v>17</v>
      </c>
      <c r="C1640" s="68">
        <v>0.75</v>
      </c>
      <c r="D1640" s="68">
        <v>0.75</v>
      </c>
      <c r="E1640" s="68">
        <v>4.0</v>
      </c>
      <c r="F1640" s="68">
        <v>3.0</v>
      </c>
      <c r="G1640" s="68">
        <v>1.79496743914507</v>
      </c>
      <c r="H1640" s="68">
        <v>30.7930144526817</v>
      </c>
      <c r="I1640" s="69">
        <v>44320.236759259256</v>
      </c>
      <c r="J1640" s="69">
        <v>44320.23707175926</v>
      </c>
      <c r="K1640">
        <f>AVERAGE(H1637:H1641)</f>
        <v>94.13296969</v>
      </c>
      <c r="L1640">
        <f>STDEV(H1637:H1641)</f>
        <v>118.5706668</v>
      </c>
      <c r="M1640" s="70">
        <v>30.7930144526817</v>
      </c>
      <c r="N1640" s="70">
        <v>30.7930144526817</v>
      </c>
      <c r="O1640" s="70">
        <v>1.79496743914507</v>
      </c>
      <c r="P1640" s="70">
        <v>1.79496743914507</v>
      </c>
    </row>
    <row r="1641" hidden="1">
      <c r="A1641" s="67" t="s">
        <v>2401</v>
      </c>
      <c r="B1641" s="67" t="s">
        <v>17</v>
      </c>
      <c r="C1641" s="68">
        <v>0.75</v>
      </c>
      <c r="D1641" s="68">
        <v>0.75</v>
      </c>
      <c r="E1641" s="68">
        <v>4.0</v>
      </c>
      <c r="F1641" s="68">
        <v>4.0</v>
      </c>
      <c r="G1641" s="68">
        <v>0.988760372058673</v>
      </c>
      <c r="H1641" s="68">
        <v>14.3020432071134</v>
      </c>
      <c r="I1641" s="69">
        <v>44320.23777777778</v>
      </c>
      <c r="J1641" s="69">
        <v>44320.23789351852</v>
      </c>
      <c r="K1641">
        <f>AVERAGE(H1637:H1641)</f>
        <v>94.13296969</v>
      </c>
      <c r="L1641">
        <f>STDEV(H1637:H1641)</f>
        <v>118.5706668</v>
      </c>
      <c r="M1641" s="70">
        <v>14.3020432071134</v>
      </c>
      <c r="N1641" s="70">
        <v>14.3020432071134</v>
      </c>
      <c r="O1641" s="70">
        <v>0.988760372058673</v>
      </c>
      <c r="P1641" s="70">
        <v>0.988760372058673</v>
      </c>
    </row>
    <row r="1642" hidden="1">
      <c r="A1642" s="67" t="s">
        <v>2402</v>
      </c>
      <c r="B1642" s="67" t="s">
        <v>17</v>
      </c>
      <c r="C1642" s="68">
        <v>0.75</v>
      </c>
      <c r="D1642" s="68">
        <v>1.0</v>
      </c>
      <c r="E1642" s="68">
        <v>4.0</v>
      </c>
      <c r="F1642" s="68">
        <v>0.0</v>
      </c>
      <c r="G1642" s="68">
        <v>9.30941743339475</v>
      </c>
      <c r="H1642" s="68">
        <v>288.787545693556</v>
      </c>
      <c r="I1642" s="69">
        <v>44320.238599537035</v>
      </c>
      <c r="J1642" s="69">
        <v>44320.23983796296</v>
      </c>
      <c r="K1642">
        <f>AVERAGE(H1642:H1646)</f>
        <v>142.1699373</v>
      </c>
      <c r="L1642">
        <f>STDEV(H1642:H1646)</f>
        <v>113.4227079</v>
      </c>
      <c r="M1642" s="70">
        <v>288.787545693556</v>
      </c>
      <c r="N1642" s="70">
        <v>288.787545693556</v>
      </c>
      <c r="O1642" s="70">
        <v>9.30941743339475</v>
      </c>
      <c r="P1642" s="70">
        <v>9.30941743339475</v>
      </c>
    </row>
    <row r="1643" hidden="1">
      <c r="A1643" s="67" t="s">
        <v>2403</v>
      </c>
      <c r="B1643" s="67" t="s">
        <v>17</v>
      </c>
      <c r="C1643" s="68">
        <v>0.75</v>
      </c>
      <c r="D1643" s="68">
        <v>1.0</v>
      </c>
      <c r="E1643" s="68">
        <v>4.0</v>
      </c>
      <c r="F1643" s="68">
        <v>1.0</v>
      </c>
      <c r="G1643" s="68">
        <v>8.38948199032622</v>
      </c>
      <c r="H1643" s="68">
        <v>217.730973322204</v>
      </c>
      <c r="I1643" s="69">
        <v>44320.24054398148</v>
      </c>
      <c r="J1643" s="69">
        <v>44320.240590277775</v>
      </c>
      <c r="K1643">
        <f>AVERAGE(H1642:H1646)</f>
        <v>142.1699373</v>
      </c>
      <c r="L1643">
        <f>STDEV(H1642:H1646)</f>
        <v>113.4227079</v>
      </c>
      <c r="M1643" s="70">
        <v>217.730973322204</v>
      </c>
      <c r="N1643" s="70">
        <v>217.730973322204</v>
      </c>
      <c r="O1643" s="70">
        <v>8.38948199032622</v>
      </c>
      <c r="P1643" s="70">
        <v>8.38948199032622</v>
      </c>
    </row>
    <row r="1644" hidden="1">
      <c r="A1644" s="67" t="s">
        <v>2404</v>
      </c>
      <c r="B1644" s="67" t="s">
        <v>17</v>
      </c>
      <c r="C1644" s="68">
        <v>0.75</v>
      </c>
      <c r="D1644" s="68">
        <v>1.0</v>
      </c>
      <c r="E1644" s="68">
        <v>4.0</v>
      </c>
      <c r="F1644" s="68">
        <v>2.0</v>
      </c>
      <c r="G1644" s="68">
        <v>0.458471244719719</v>
      </c>
      <c r="H1644" s="68">
        <v>0.548494836942434</v>
      </c>
      <c r="I1644" s="69">
        <v>44320.24130787037</v>
      </c>
      <c r="J1644" s="69">
        <v>44320.24146990741</v>
      </c>
      <c r="K1644">
        <f>AVERAGE(H1642:H1646)</f>
        <v>142.1699373</v>
      </c>
      <c r="L1644">
        <f>STDEV(H1642:H1646)</f>
        <v>113.4227079</v>
      </c>
      <c r="M1644" s="70">
        <v>0.548494836942434</v>
      </c>
      <c r="N1644" s="70">
        <v>0.548494836942434</v>
      </c>
      <c r="O1644" s="70">
        <v>0.458471244719719</v>
      </c>
      <c r="P1644" s="70">
        <v>0.458471244719719</v>
      </c>
    </row>
    <row r="1645" hidden="1">
      <c r="A1645" s="67" t="s">
        <v>2405</v>
      </c>
      <c r="B1645" s="67" t="s">
        <v>17</v>
      </c>
      <c r="C1645" s="68">
        <v>0.75</v>
      </c>
      <c r="D1645" s="68">
        <v>1.0</v>
      </c>
      <c r="E1645" s="68">
        <v>4.0</v>
      </c>
      <c r="F1645" s="68">
        <v>3.0</v>
      </c>
      <c r="G1645" s="68">
        <v>1.73247226425922</v>
      </c>
      <c r="H1645" s="68">
        <v>80.0821058525832</v>
      </c>
      <c r="I1645" s="69">
        <v>44320.24217592592</v>
      </c>
      <c r="J1645" s="69">
        <v>44320.24275462963</v>
      </c>
      <c r="K1645">
        <f>AVERAGE(H1642:H1646)</f>
        <v>142.1699373</v>
      </c>
      <c r="L1645">
        <f>STDEV(H1642:H1646)</f>
        <v>113.4227079</v>
      </c>
      <c r="M1645" s="70">
        <v>80.0821058525832</v>
      </c>
      <c r="N1645" s="70">
        <v>80.0821058525832</v>
      </c>
      <c r="O1645" s="70">
        <v>1.73247226425922</v>
      </c>
      <c r="P1645" s="70">
        <v>1.73247226425922</v>
      </c>
    </row>
    <row r="1646" hidden="1">
      <c r="A1646" s="67" t="s">
        <v>2406</v>
      </c>
      <c r="B1646" s="67" t="s">
        <v>17</v>
      </c>
      <c r="C1646" s="68">
        <v>0.75</v>
      </c>
      <c r="D1646" s="68">
        <v>1.0</v>
      </c>
      <c r="E1646" s="68">
        <v>4.0</v>
      </c>
      <c r="F1646" s="68">
        <v>4.0</v>
      </c>
      <c r="G1646" s="68">
        <v>2.58224348319996</v>
      </c>
      <c r="H1646" s="68">
        <v>123.700566576711</v>
      </c>
      <c r="I1646" s="69">
        <v>44320.24346064815</v>
      </c>
      <c r="J1646" s="69">
        <v>44320.29703703704</v>
      </c>
      <c r="K1646">
        <f>AVERAGE(H1642:H1646)</f>
        <v>142.1699373</v>
      </c>
      <c r="L1646">
        <f>STDEV(H1642:H1646)</f>
        <v>113.4227079</v>
      </c>
      <c r="M1646" s="70">
        <v>123.700566576711</v>
      </c>
      <c r="N1646" s="70">
        <v>123.700566576711</v>
      </c>
      <c r="O1646" s="70">
        <v>2.58224348319996</v>
      </c>
      <c r="P1646" s="70">
        <v>2.58224348319996</v>
      </c>
    </row>
    <row r="1647" hidden="1">
      <c r="A1647" s="67" t="s">
        <v>2407</v>
      </c>
      <c r="B1647" s="67" t="s">
        <v>17</v>
      </c>
      <c r="C1647" s="68">
        <v>1.0</v>
      </c>
      <c r="D1647" s="68">
        <v>0.1</v>
      </c>
      <c r="E1647" s="68">
        <v>4.0</v>
      </c>
      <c r="F1647" s="68">
        <v>0.0</v>
      </c>
      <c r="G1647" s="68">
        <v>1.04719821726043</v>
      </c>
      <c r="H1647" s="68">
        <v>53.8100802136173</v>
      </c>
      <c r="I1647" s="69">
        <v>44320.297743055555</v>
      </c>
      <c r="J1647" s="69">
        <v>44320.29991898148</v>
      </c>
      <c r="K1647">
        <f>AVERAGE(H1647:H1651)</f>
        <v>76.06008757</v>
      </c>
      <c r="L1647">
        <f>STDEV(H1647:H1651)</f>
        <v>83.84272169</v>
      </c>
      <c r="M1647" s="70">
        <v>53.8100802136173</v>
      </c>
      <c r="N1647" s="70">
        <v>53.8100802136173</v>
      </c>
      <c r="O1647" s="70">
        <v>1.04719821726043</v>
      </c>
      <c r="P1647" s="70">
        <v>1.04719821726043</v>
      </c>
    </row>
    <row r="1648" hidden="1">
      <c r="A1648" s="67" t="s">
        <v>2408</v>
      </c>
      <c r="B1648" s="67" t="s">
        <v>17</v>
      </c>
      <c r="C1648" s="68">
        <v>1.0</v>
      </c>
      <c r="D1648" s="68">
        <v>0.1</v>
      </c>
      <c r="E1648" s="68">
        <v>4.0</v>
      </c>
      <c r="F1648" s="68">
        <v>1.0</v>
      </c>
      <c r="G1648" s="68">
        <v>0.548256113233087</v>
      </c>
      <c r="H1648" s="68">
        <v>0.673150388241619</v>
      </c>
      <c r="I1648" s="69">
        <v>44320.30063657407</v>
      </c>
      <c r="J1648" s="69">
        <v>44320.300775462965</v>
      </c>
      <c r="K1648">
        <f>AVERAGE(H1647:H1651)</f>
        <v>76.06008757</v>
      </c>
      <c r="L1648">
        <f>STDEV(H1647:H1651)</f>
        <v>83.84272169</v>
      </c>
      <c r="M1648" s="70">
        <v>0.673150388241619</v>
      </c>
      <c r="N1648" s="70">
        <v>0.673150388241619</v>
      </c>
      <c r="O1648" s="70">
        <v>0.548256113233087</v>
      </c>
      <c r="P1648" s="70">
        <v>0.548256113233087</v>
      </c>
    </row>
    <row r="1649" hidden="1">
      <c r="A1649" s="67" t="s">
        <v>2409</v>
      </c>
      <c r="B1649" s="67" t="s">
        <v>17</v>
      </c>
      <c r="C1649" s="68">
        <v>1.0</v>
      </c>
      <c r="D1649" s="68">
        <v>0.1</v>
      </c>
      <c r="E1649" s="68">
        <v>4.0</v>
      </c>
      <c r="F1649" s="68">
        <v>2.0</v>
      </c>
      <c r="G1649" s="68">
        <v>4.11154276354079</v>
      </c>
      <c r="H1649" s="68">
        <v>188.033929336572</v>
      </c>
      <c r="I1649" s="69">
        <v>44320.30148148148</v>
      </c>
      <c r="J1649" s="69">
        <v>44320.32126157408</v>
      </c>
      <c r="K1649">
        <f>AVERAGE(H1647:H1651)</f>
        <v>76.06008757</v>
      </c>
      <c r="L1649">
        <f>STDEV(H1647:H1651)</f>
        <v>83.84272169</v>
      </c>
      <c r="M1649" s="70">
        <v>188.033929336572</v>
      </c>
      <c r="N1649" s="70">
        <v>188.033929336572</v>
      </c>
      <c r="O1649" s="70">
        <v>4.11154276354079</v>
      </c>
      <c r="P1649" s="70">
        <v>4.11154276354079</v>
      </c>
    </row>
    <row r="1650" hidden="1">
      <c r="A1650" s="67" t="s">
        <v>2410</v>
      </c>
      <c r="B1650" s="67" t="s">
        <v>17</v>
      </c>
      <c r="C1650" s="68">
        <v>1.0</v>
      </c>
      <c r="D1650" s="68">
        <v>0.1</v>
      </c>
      <c r="E1650" s="68">
        <v>4.0</v>
      </c>
      <c r="F1650" s="68">
        <v>3.0</v>
      </c>
      <c r="G1650" s="68">
        <v>0.550743716536865</v>
      </c>
      <c r="H1650" s="68">
        <v>0.703515933727573</v>
      </c>
      <c r="I1650" s="69">
        <v>44320.321967592594</v>
      </c>
      <c r="J1650" s="69">
        <v>44320.32203703704</v>
      </c>
      <c r="K1650">
        <f>AVERAGE(H1647:H1651)</f>
        <v>76.06008757</v>
      </c>
      <c r="L1650">
        <f>STDEV(H1647:H1651)</f>
        <v>83.84272169</v>
      </c>
      <c r="M1650" s="70">
        <v>0.703515933727573</v>
      </c>
      <c r="N1650" s="70">
        <v>0.703515933727573</v>
      </c>
      <c r="O1650" s="70">
        <v>0.550743716536865</v>
      </c>
      <c r="P1650" s="70">
        <v>0.550743716536865</v>
      </c>
    </row>
    <row r="1651" hidden="1">
      <c r="A1651" s="67" t="s">
        <v>2411</v>
      </c>
      <c r="B1651" s="67" t="s">
        <v>17</v>
      </c>
      <c r="C1651" s="68">
        <v>1.0</v>
      </c>
      <c r="D1651" s="68">
        <v>0.1</v>
      </c>
      <c r="E1651" s="68">
        <v>4.0</v>
      </c>
      <c r="F1651" s="68">
        <v>4.0</v>
      </c>
      <c r="G1651" s="68">
        <v>3.27429307684682</v>
      </c>
      <c r="H1651" s="68">
        <v>137.079761997818</v>
      </c>
      <c r="I1651" s="69">
        <v>44320.32273148148</v>
      </c>
      <c r="J1651" s="69">
        <v>44320.33159722222</v>
      </c>
      <c r="K1651">
        <f>AVERAGE(H1647:H1651)</f>
        <v>76.06008757</v>
      </c>
      <c r="L1651">
        <f>STDEV(H1647:H1651)</f>
        <v>83.84272169</v>
      </c>
      <c r="M1651" s="70">
        <v>137.079761997818</v>
      </c>
      <c r="N1651" s="70">
        <v>137.079761997818</v>
      </c>
      <c r="O1651" s="70">
        <v>3.27429307684682</v>
      </c>
      <c r="P1651" s="70">
        <v>3.27429307684682</v>
      </c>
    </row>
    <row r="1652" hidden="1">
      <c r="A1652" s="67" t="s">
        <v>2412</v>
      </c>
      <c r="B1652" s="67" t="s">
        <v>17</v>
      </c>
      <c r="C1652" s="68">
        <v>1.0</v>
      </c>
      <c r="D1652" s="68">
        <v>0.25</v>
      </c>
      <c r="E1652" s="68">
        <v>4.0</v>
      </c>
      <c r="F1652" s="68">
        <v>0.0</v>
      </c>
      <c r="G1652" s="68">
        <v>0.548706575097071</v>
      </c>
      <c r="H1652" s="68">
        <v>0.701544087401775</v>
      </c>
      <c r="I1652" s="69">
        <v>44320.33230324074</v>
      </c>
      <c r="J1652" s="69">
        <v>44320.332453703704</v>
      </c>
      <c r="K1652">
        <f>AVERAGE(H1652:H1656)</f>
        <v>71.79062067</v>
      </c>
      <c r="L1652">
        <f>STDEV(H1652:H1656)</f>
        <v>88.48130645</v>
      </c>
      <c r="M1652" s="70">
        <v>0.701544087401775</v>
      </c>
      <c r="N1652" s="70">
        <v>0.701544087401775</v>
      </c>
      <c r="O1652" s="70">
        <v>0.548706575097071</v>
      </c>
      <c r="P1652" s="70">
        <v>0.548706575097071</v>
      </c>
    </row>
    <row r="1653" hidden="1">
      <c r="A1653" s="67" t="s">
        <v>2413</v>
      </c>
      <c r="B1653" s="67" t="s">
        <v>17</v>
      </c>
      <c r="C1653" s="68">
        <v>1.0</v>
      </c>
      <c r="D1653" s="68">
        <v>0.25</v>
      </c>
      <c r="E1653" s="68">
        <v>4.0</v>
      </c>
      <c r="F1653" s="68">
        <v>1.0</v>
      </c>
      <c r="G1653" s="68">
        <v>4.4158901760116</v>
      </c>
      <c r="H1653" s="68">
        <v>190.721429986847</v>
      </c>
      <c r="I1653" s="69">
        <v>44320.33315972222</v>
      </c>
      <c r="J1653" s="69">
        <v>44320.344305555554</v>
      </c>
      <c r="K1653">
        <f>AVERAGE(H1652:H1656)</f>
        <v>71.79062067</v>
      </c>
      <c r="L1653">
        <f>STDEV(H1652:H1656)</f>
        <v>88.48130645</v>
      </c>
      <c r="M1653" s="70">
        <v>190.721429986847</v>
      </c>
      <c r="N1653" s="70">
        <v>190.721429986847</v>
      </c>
      <c r="O1653" s="70">
        <v>4.4158901760116</v>
      </c>
      <c r="P1653" s="70">
        <v>4.4158901760116</v>
      </c>
    </row>
    <row r="1654" hidden="1">
      <c r="A1654" s="67" t="s">
        <v>2414</v>
      </c>
      <c r="B1654" s="67" t="s">
        <v>17</v>
      </c>
      <c r="C1654" s="68">
        <v>1.0</v>
      </c>
      <c r="D1654" s="68">
        <v>0.25</v>
      </c>
      <c r="E1654" s="68">
        <v>4.0</v>
      </c>
      <c r="F1654" s="68">
        <v>2.0</v>
      </c>
      <c r="G1654" s="68">
        <v>0.351747539319375</v>
      </c>
      <c r="H1654" s="68">
        <v>0.40742729609926</v>
      </c>
      <c r="I1654" s="69">
        <v>44320.34501157407</v>
      </c>
      <c r="J1654" s="69">
        <v>44320.345138888886</v>
      </c>
      <c r="K1654">
        <f>AVERAGE(H1652:H1656)</f>
        <v>71.79062067</v>
      </c>
      <c r="L1654">
        <f>STDEV(H1652:H1656)</f>
        <v>88.48130645</v>
      </c>
      <c r="M1654" s="70">
        <v>0.40742729609926</v>
      </c>
      <c r="N1654" s="70">
        <v>0.40742729609926</v>
      </c>
      <c r="O1654" s="70">
        <v>0.351747539319375</v>
      </c>
      <c r="P1654" s="70">
        <v>0.351747539319375</v>
      </c>
    </row>
    <row r="1655" hidden="1">
      <c r="A1655" s="67" t="s">
        <v>2415</v>
      </c>
      <c r="B1655" s="67" t="s">
        <v>17</v>
      </c>
      <c r="C1655" s="68">
        <v>1.0</v>
      </c>
      <c r="D1655" s="68">
        <v>0.25</v>
      </c>
      <c r="E1655" s="68">
        <v>4.0</v>
      </c>
      <c r="F1655" s="68">
        <v>3.0</v>
      </c>
      <c r="G1655" s="68">
        <v>3.12212655422596</v>
      </c>
      <c r="H1655" s="68">
        <v>141.634200357585</v>
      </c>
      <c r="I1655" s="69">
        <v>44320.34585648148</v>
      </c>
      <c r="J1655" s="69">
        <v>44320.369722222225</v>
      </c>
      <c r="K1655">
        <f>AVERAGE(H1652:H1656)</f>
        <v>71.79062067</v>
      </c>
      <c r="L1655">
        <f>STDEV(H1652:H1656)</f>
        <v>88.48130645</v>
      </c>
      <c r="M1655" s="70">
        <v>141.634200357585</v>
      </c>
      <c r="N1655" s="70">
        <v>141.634200357585</v>
      </c>
      <c r="O1655" s="70">
        <v>3.12212655422596</v>
      </c>
      <c r="P1655" s="70">
        <v>3.12212655422596</v>
      </c>
    </row>
    <row r="1656" hidden="1">
      <c r="A1656" s="67" t="s">
        <v>2416</v>
      </c>
      <c r="B1656" s="67" t="s">
        <v>17</v>
      </c>
      <c r="C1656" s="68">
        <v>1.0</v>
      </c>
      <c r="D1656" s="68">
        <v>0.25</v>
      </c>
      <c r="E1656" s="68">
        <v>4.0</v>
      </c>
      <c r="F1656" s="68">
        <v>4.0</v>
      </c>
      <c r="G1656" s="68">
        <v>1.62067183124624</v>
      </c>
      <c r="H1656" s="68">
        <v>25.4885016181013</v>
      </c>
      <c r="I1656" s="69">
        <v>44320.37042824074</v>
      </c>
      <c r="J1656" s="69">
        <v>44320.37082175926</v>
      </c>
      <c r="K1656">
        <f>AVERAGE(H1652:H1656)</f>
        <v>71.79062067</v>
      </c>
      <c r="L1656">
        <f>STDEV(H1652:H1656)</f>
        <v>88.48130645</v>
      </c>
      <c r="M1656" s="70">
        <v>25.4885016181013</v>
      </c>
      <c r="N1656" s="70">
        <v>25.4885016181013</v>
      </c>
      <c r="O1656" s="70">
        <v>1.62067183124624</v>
      </c>
      <c r="P1656" s="70">
        <v>1.62067183124624</v>
      </c>
    </row>
    <row r="1657" hidden="1">
      <c r="A1657" s="67" t="s">
        <v>2417</v>
      </c>
      <c r="B1657" s="67" t="s">
        <v>17</v>
      </c>
      <c r="C1657" s="68">
        <v>1.0</v>
      </c>
      <c r="D1657" s="68">
        <v>0.5</v>
      </c>
      <c r="E1657" s="68">
        <v>4.0</v>
      </c>
      <c r="F1657" s="68">
        <v>0.0</v>
      </c>
      <c r="G1657" s="68">
        <v>5.9228499242063</v>
      </c>
      <c r="H1657" s="68">
        <v>222.876335364729</v>
      </c>
      <c r="I1657" s="69">
        <v>44320.37152777778</v>
      </c>
      <c r="J1657" s="69">
        <v>44320.37533564815</v>
      </c>
      <c r="K1657">
        <f>AVERAGE(H1657:H1661)</f>
        <v>90.91098513</v>
      </c>
      <c r="L1657">
        <f>STDEV(H1657:H1661)</f>
        <v>94.08119372</v>
      </c>
      <c r="M1657" s="70">
        <v>222.876335364729</v>
      </c>
      <c r="N1657" s="70">
        <v>222.876335364729</v>
      </c>
      <c r="O1657" s="70">
        <v>5.9228499242063</v>
      </c>
      <c r="P1657" s="70">
        <v>5.9228499242063</v>
      </c>
    </row>
    <row r="1658" hidden="1">
      <c r="A1658" s="67" t="s">
        <v>2418</v>
      </c>
      <c r="B1658" s="67" t="s">
        <v>17</v>
      </c>
      <c r="C1658" s="68">
        <v>1.0</v>
      </c>
      <c r="D1658" s="68">
        <v>0.5</v>
      </c>
      <c r="E1658" s="68">
        <v>4.0</v>
      </c>
      <c r="F1658" s="68">
        <v>1.0</v>
      </c>
      <c r="G1658" s="68">
        <v>1.93828036486148</v>
      </c>
      <c r="H1658" s="68">
        <v>98.8507015406505</v>
      </c>
      <c r="I1658" s="69">
        <v>44320.37604166667</v>
      </c>
      <c r="J1658" s="69">
        <v>44320.38837962963</v>
      </c>
      <c r="K1658">
        <f>AVERAGE(H1657:H1661)</f>
        <v>90.91098513</v>
      </c>
      <c r="L1658">
        <f>STDEV(H1657:H1661)</f>
        <v>94.08119372</v>
      </c>
      <c r="M1658" s="70">
        <v>98.8507015406505</v>
      </c>
      <c r="N1658" s="70">
        <v>98.8507015406505</v>
      </c>
      <c r="O1658" s="70">
        <v>1.93828036486148</v>
      </c>
      <c r="P1658" s="70">
        <v>1.93828036486148</v>
      </c>
    </row>
    <row r="1659" hidden="1">
      <c r="A1659" s="67" t="s">
        <v>2419</v>
      </c>
      <c r="B1659" s="67" t="s">
        <v>17</v>
      </c>
      <c r="C1659" s="68">
        <v>1.0</v>
      </c>
      <c r="D1659" s="68">
        <v>0.5</v>
      </c>
      <c r="E1659" s="68">
        <v>4.0</v>
      </c>
      <c r="F1659" s="68">
        <v>2.0</v>
      </c>
      <c r="G1659" s="68">
        <v>0.52955673689802</v>
      </c>
      <c r="H1659" s="68">
        <v>0.648669662833402</v>
      </c>
      <c r="I1659" s="69">
        <v>44320.38909722222</v>
      </c>
      <c r="J1659" s="69">
        <v>44320.38922453704</v>
      </c>
      <c r="K1659">
        <f>AVERAGE(H1657:H1661)</f>
        <v>90.91098513</v>
      </c>
      <c r="L1659">
        <f>STDEV(H1657:H1661)</f>
        <v>94.08119372</v>
      </c>
      <c r="M1659" s="70">
        <v>0.648669662833402</v>
      </c>
      <c r="N1659" s="70">
        <v>0.648669662833402</v>
      </c>
      <c r="O1659" s="70">
        <v>0.52955673689802</v>
      </c>
      <c r="P1659" s="70">
        <v>0.52955673689802</v>
      </c>
    </row>
    <row r="1660" hidden="1">
      <c r="A1660" s="67" t="s">
        <v>2420</v>
      </c>
      <c r="B1660" s="67" t="s">
        <v>17</v>
      </c>
      <c r="C1660" s="68">
        <v>1.0</v>
      </c>
      <c r="D1660" s="68">
        <v>0.5</v>
      </c>
      <c r="E1660" s="68">
        <v>4.0</v>
      </c>
      <c r="F1660" s="68">
        <v>3.0</v>
      </c>
      <c r="G1660" s="68">
        <v>0.561161885174007</v>
      </c>
      <c r="H1660" s="68">
        <v>0.714903733515217</v>
      </c>
      <c r="I1660" s="69">
        <v>44320.38993055555</v>
      </c>
      <c r="J1660" s="69">
        <v>44320.390069444446</v>
      </c>
      <c r="K1660">
        <f>AVERAGE(H1657:H1661)</f>
        <v>90.91098513</v>
      </c>
      <c r="L1660">
        <f>STDEV(H1657:H1661)</f>
        <v>94.08119372</v>
      </c>
      <c r="M1660" s="70">
        <v>0.714903733515217</v>
      </c>
      <c r="N1660" s="70">
        <v>0.714903733515217</v>
      </c>
      <c r="O1660" s="70">
        <v>0.561161885174007</v>
      </c>
      <c r="P1660" s="70">
        <v>0.561161885174007</v>
      </c>
    </row>
    <row r="1661" hidden="1">
      <c r="A1661" s="67" t="s">
        <v>2421</v>
      </c>
      <c r="B1661" s="67" t="s">
        <v>17</v>
      </c>
      <c r="C1661" s="68">
        <v>1.0</v>
      </c>
      <c r="D1661" s="68">
        <v>0.5</v>
      </c>
      <c r="E1661" s="68">
        <v>4.0</v>
      </c>
      <c r="F1661" s="68">
        <v>4.0</v>
      </c>
      <c r="G1661" s="68">
        <v>2.93871868947077</v>
      </c>
      <c r="H1661" s="68">
        <v>131.464315372585</v>
      </c>
      <c r="I1661" s="69">
        <v>44320.39077546296</v>
      </c>
      <c r="J1661" s="69">
        <v>44320.40289351852</v>
      </c>
      <c r="K1661">
        <f>AVERAGE(H1657:H1661)</f>
        <v>90.91098513</v>
      </c>
      <c r="L1661">
        <f>STDEV(H1657:H1661)</f>
        <v>94.08119372</v>
      </c>
      <c r="M1661" s="70">
        <v>131.464315372585</v>
      </c>
      <c r="N1661" s="70">
        <v>131.464315372585</v>
      </c>
      <c r="O1661" s="70">
        <v>2.93871868947077</v>
      </c>
      <c r="P1661" s="70">
        <v>2.93871868947077</v>
      </c>
    </row>
    <row r="1662" hidden="1">
      <c r="A1662" s="67" t="s">
        <v>2422</v>
      </c>
      <c r="B1662" s="67" t="s">
        <v>17</v>
      </c>
      <c r="C1662" s="68">
        <v>1.0</v>
      </c>
      <c r="D1662" s="68">
        <v>0.75</v>
      </c>
      <c r="E1662" s="68">
        <v>4.0</v>
      </c>
      <c r="F1662" s="68">
        <v>0.0</v>
      </c>
      <c r="G1662" s="68">
        <v>2.98620920153335</v>
      </c>
      <c r="H1662" s="68">
        <v>139.609470595758</v>
      </c>
      <c r="I1662" s="69">
        <v>44320.403599537036</v>
      </c>
      <c r="J1662" s="69">
        <v>44320.45155092593</v>
      </c>
      <c r="K1662">
        <f>AVERAGE(H1662:H1666)</f>
        <v>129.4862469</v>
      </c>
      <c r="L1662">
        <f>STDEV(H1662:H1666)</f>
        <v>106.0671075</v>
      </c>
      <c r="M1662" s="70">
        <v>139.609470595758</v>
      </c>
      <c r="N1662" s="70">
        <v>139.609470595758</v>
      </c>
      <c r="O1662" s="70">
        <v>2.98620920153335</v>
      </c>
      <c r="P1662" s="70">
        <v>2.98620920153335</v>
      </c>
    </row>
    <row r="1663" hidden="1">
      <c r="A1663" s="67" t="s">
        <v>2423</v>
      </c>
      <c r="B1663" s="67" t="s">
        <v>17</v>
      </c>
      <c r="C1663" s="68">
        <v>1.0</v>
      </c>
      <c r="D1663" s="68">
        <v>0.75</v>
      </c>
      <c r="E1663" s="68">
        <v>4.0</v>
      </c>
      <c r="F1663" s="68">
        <v>1.0</v>
      </c>
      <c r="G1663" s="68">
        <v>0.324739539363783</v>
      </c>
      <c r="H1663" s="68">
        <v>0.372744188892671</v>
      </c>
      <c r="I1663" s="69">
        <v>44320.452256944445</v>
      </c>
      <c r="J1663" s="69">
        <v>44320.452361111114</v>
      </c>
      <c r="K1663">
        <f>AVERAGE(H1662:H1666)</f>
        <v>129.4862469</v>
      </c>
      <c r="L1663">
        <f>STDEV(H1662:H1666)</f>
        <v>106.0671075</v>
      </c>
      <c r="M1663" s="70">
        <v>0.372744188892671</v>
      </c>
      <c r="N1663" s="70">
        <v>0.372744188892671</v>
      </c>
      <c r="O1663" s="70">
        <v>0.324739539363783</v>
      </c>
      <c r="P1663" s="70">
        <v>0.324739539363783</v>
      </c>
    </row>
    <row r="1664" hidden="1">
      <c r="A1664" s="67" t="s">
        <v>2424</v>
      </c>
      <c r="B1664" s="67" t="s">
        <v>17</v>
      </c>
      <c r="C1664" s="68">
        <v>1.0</v>
      </c>
      <c r="D1664" s="68">
        <v>0.75</v>
      </c>
      <c r="E1664" s="68">
        <v>4.0</v>
      </c>
      <c r="F1664" s="68">
        <v>2.0</v>
      </c>
      <c r="G1664" s="68">
        <v>9.14221632563114</v>
      </c>
      <c r="H1664" s="68">
        <v>278.912226778481</v>
      </c>
      <c r="I1664" s="69">
        <v>44320.4530787037</v>
      </c>
      <c r="J1664" s="69">
        <v>44320.45376157408</v>
      </c>
      <c r="K1664">
        <f>AVERAGE(H1662:H1666)</f>
        <v>129.4862469</v>
      </c>
      <c r="L1664">
        <f>STDEV(H1662:H1666)</f>
        <v>106.0671075</v>
      </c>
      <c r="M1664" s="70">
        <v>278.912226778481</v>
      </c>
      <c r="N1664" s="70">
        <v>278.912226778481</v>
      </c>
      <c r="O1664" s="70">
        <v>9.14221632563114</v>
      </c>
      <c r="P1664" s="70">
        <v>9.14221632563114</v>
      </c>
    </row>
    <row r="1665" hidden="1">
      <c r="A1665" s="67" t="s">
        <v>2425</v>
      </c>
      <c r="B1665" s="67" t="s">
        <v>17</v>
      </c>
      <c r="C1665" s="68">
        <v>1.0</v>
      </c>
      <c r="D1665" s="68">
        <v>0.75</v>
      </c>
      <c r="E1665" s="68">
        <v>4.0</v>
      </c>
      <c r="F1665" s="68">
        <v>3.0</v>
      </c>
      <c r="G1665" s="68">
        <v>1.3638904467422</v>
      </c>
      <c r="H1665" s="68">
        <v>62.1298332789615</v>
      </c>
      <c r="I1665" s="69">
        <v>44320.45446759259</v>
      </c>
      <c r="J1665" s="69">
        <v>44320.45584490741</v>
      </c>
      <c r="K1665">
        <f>AVERAGE(H1662:H1666)</f>
        <v>129.4862469</v>
      </c>
      <c r="L1665">
        <f>STDEV(H1662:H1666)</f>
        <v>106.0671075</v>
      </c>
      <c r="M1665" s="70">
        <v>62.1298332789615</v>
      </c>
      <c r="N1665" s="70">
        <v>62.1298332789615</v>
      </c>
      <c r="O1665" s="70">
        <v>1.3638904467422</v>
      </c>
      <c r="P1665" s="70">
        <v>1.3638904467422</v>
      </c>
    </row>
    <row r="1666" hidden="1">
      <c r="A1666" s="67" t="s">
        <v>2426</v>
      </c>
      <c r="B1666" s="67" t="s">
        <v>17</v>
      </c>
      <c r="C1666" s="68">
        <v>1.0</v>
      </c>
      <c r="D1666" s="68">
        <v>0.75</v>
      </c>
      <c r="E1666" s="68">
        <v>4.0</v>
      </c>
      <c r="F1666" s="68">
        <v>4.0</v>
      </c>
      <c r="G1666" s="68">
        <v>3.80312580828203</v>
      </c>
      <c r="H1666" s="68">
        <v>166.406959555807</v>
      </c>
      <c r="I1666" s="69">
        <v>44320.4565625</v>
      </c>
      <c r="J1666" s="69">
        <v>44320.456666666665</v>
      </c>
      <c r="K1666">
        <f>AVERAGE(H1662:H1666)</f>
        <v>129.4862469</v>
      </c>
      <c r="L1666">
        <f>STDEV(H1662:H1666)</f>
        <v>106.0671075</v>
      </c>
      <c r="M1666" s="70">
        <v>166.406959555807</v>
      </c>
      <c r="N1666" s="70">
        <v>166.406959555807</v>
      </c>
      <c r="O1666" s="70">
        <v>3.80312580828203</v>
      </c>
      <c r="P1666" s="70">
        <v>3.80312580828203</v>
      </c>
    </row>
    <row r="1667" hidden="1">
      <c r="A1667" s="67" t="s">
        <v>2427</v>
      </c>
      <c r="B1667" s="67" t="s">
        <v>17</v>
      </c>
      <c r="C1667" s="68">
        <v>1.0</v>
      </c>
      <c r="D1667" s="68">
        <v>1.0</v>
      </c>
      <c r="E1667" s="68">
        <v>4.0</v>
      </c>
      <c r="F1667" s="68">
        <v>0.0</v>
      </c>
      <c r="G1667" s="68">
        <v>7.44611296012217</v>
      </c>
      <c r="H1667" s="68">
        <v>210.408707413425</v>
      </c>
      <c r="I1667" s="69">
        <v>44384.87703703704</v>
      </c>
      <c r="J1667" s="69">
        <v>44384.87710648148</v>
      </c>
      <c r="K1667">
        <f>AVERAGE(H1667:H1671)</f>
        <v>174.6140037</v>
      </c>
      <c r="L1667">
        <f>STDEV(H1667:H1671)</f>
        <v>87.40601504</v>
      </c>
      <c r="M1667" s="70">
        <v>210.408707413425</v>
      </c>
      <c r="N1667" s="70">
        <v>210.408707413425</v>
      </c>
      <c r="O1667" s="70">
        <v>7.44611296012217</v>
      </c>
      <c r="P1667" s="70">
        <v>7.44611296012217</v>
      </c>
    </row>
    <row r="1668" hidden="1">
      <c r="A1668" s="67" t="s">
        <v>2428</v>
      </c>
      <c r="B1668" s="67" t="s">
        <v>17</v>
      </c>
      <c r="C1668" s="68">
        <v>1.0</v>
      </c>
      <c r="D1668" s="68">
        <v>1.0</v>
      </c>
      <c r="E1668" s="68">
        <v>4.0</v>
      </c>
      <c r="F1668" s="68">
        <v>1.0</v>
      </c>
      <c r="G1668" s="68">
        <v>10.1036812087903</v>
      </c>
      <c r="H1668" s="68">
        <v>305.979195471907</v>
      </c>
      <c r="I1668" s="69">
        <v>44384.877800925926</v>
      </c>
      <c r="J1668" s="69">
        <v>44384.878171296295</v>
      </c>
      <c r="K1668">
        <f>AVERAGE(H1667:H1671)</f>
        <v>174.6140037</v>
      </c>
      <c r="L1668">
        <f>STDEV(H1667:H1671)</f>
        <v>87.40601504</v>
      </c>
      <c r="M1668" s="70">
        <v>305.979195471907</v>
      </c>
      <c r="N1668" s="70">
        <v>305.979195471907</v>
      </c>
      <c r="O1668" s="70">
        <v>10.1036812087903</v>
      </c>
      <c r="P1668" s="70">
        <v>10.1036812087903</v>
      </c>
    </row>
    <row r="1669" hidden="1">
      <c r="A1669" s="67" t="s">
        <v>2429</v>
      </c>
      <c r="B1669" s="67" t="s">
        <v>17</v>
      </c>
      <c r="C1669" s="68">
        <v>1.0</v>
      </c>
      <c r="D1669" s="68">
        <v>1.0</v>
      </c>
      <c r="E1669" s="68">
        <v>4.0</v>
      </c>
      <c r="F1669" s="68">
        <v>2.0</v>
      </c>
      <c r="G1669" s="68">
        <v>1.73190477390966</v>
      </c>
      <c r="H1669" s="68">
        <v>80.0688577979905</v>
      </c>
      <c r="I1669" s="69">
        <v>44384.87886574074</v>
      </c>
      <c r="J1669" s="69">
        <v>44384.88030092593</v>
      </c>
      <c r="K1669">
        <f>AVERAGE(H1667:H1671)</f>
        <v>174.6140037</v>
      </c>
      <c r="L1669">
        <f>STDEV(H1667:H1671)</f>
        <v>87.40601504</v>
      </c>
      <c r="M1669" s="70">
        <v>80.0688577979905</v>
      </c>
      <c r="N1669" s="70">
        <v>80.0688577979905</v>
      </c>
      <c r="O1669" s="70">
        <v>1.73190477390966</v>
      </c>
      <c r="P1669" s="70">
        <v>1.73190477390966</v>
      </c>
    </row>
    <row r="1670" hidden="1">
      <c r="A1670" s="67" t="s">
        <v>2430</v>
      </c>
      <c r="B1670" s="67" t="s">
        <v>17</v>
      </c>
      <c r="C1670" s="68">
        <v>1.0</v>
      </c>
      <c r="D1670" s="68">
        <v>1.0</v>
      </c>
      <c r="E1670" s="68">
        <v>4.0</v>
      </c>
      <c r="F1670" s="68">
        <v>3.0</v>
      </c>
      <c r="G1670" s="68">
        <v>2.93651830175062</v>
      </c>
      <c r="H1670" s="68">
        <v>153.238740417097</v>
      </c>
      <c r="I1670" s="69">
        <v>44384.88099537037</v>
      </c>
      <c r="J1670" s="69">
        <v>44384.94856481482</v>
      </c>
      <c r="K1670">
        <f>AVERAGE(H1667:H1671)</f>
        <v>174.6140037</v>
      </c>
      <c r="L1670">
        <f>STDEV(H1667:H1671)</f>
        <v>87.40601504</v>
      </c>
      <c r="M1670" s="70">
        <v>153.238740417097</v>
      </c>
      <c r="N1670" s="70">
        <v>153.238740417097</v>
      </c>
      <c r="O1670" s="70">
        <v>2.93651830175062</v>
      </c>
      <c r="P1670" s="70">
        <v>2.93651830175062</v>
      </c>
    </row>
    <row r="1671" hidden="1">
      <c r="A1671" s="67" t="s">
        <v>2431</v>
      </c>
      <c r="B1671" s="67" t="s">
        <v>17</v>
      </c>
      <c r="C1671" s="68">
        <v>1.0</v>
      </c>
      <c r="D1671" s="68">
        <v>1.0</v>
      </c>
      <c r="E1671" s="68">
        <v>4.0</v>
      </c>
      <c r="F1671" s="68">
        <v>4.0</v>
      </c>
      <c r="G1671" s="68">
        <v>2.72284254911433</v>
      </c>
      <c r="H1671" s="68">
        <v>123.374517494394</v>
      </c>
      <c r="I1671" s="69">
        <v>44384.94925925926</v>
      </c>
      <c r="J1671" s="69">
        <v>44384.96708333334</v>
      </c>
      <c r="K1671">
        <f>AVERAGE(H1667:H1671)</f>
        <v>174.6140037</v>
      </c>
      <c r="L1671">
        <f>STDEV(H1667:H1671)</f>
        <v>87.40601504</v>
      </c>
      <c r="M1671" s="70">
        <v>123.374517494394</v>
      </c>
      <c r="N1671" s="70">
        <v>123.374517494394</v>
      </c>
      <c r="O1671" s="70">
        <v>2.72284254911433</v>
      </c>
      <c r="P1671" s="70">
        <v>2.72284254911433</v>
      </c>
    </row>
    <row r="1672" hidden="1">
      <c r="A1672" s="67" t="s">
        <v>2432</v>
      </c>
      <c r="B1672" s="67" t="s">
        <v>268</v>
      </c>
      <c r="C1672" s="68">
        <v>0.1</v>
      </c>
      <c r="D1672" s="68">
        <v>0.1</v>
      </c>
      <c r="E1672" s="68">
        <v>4.0</v>
      </c>
      <c r="F1672" s="68">
        <v>0.0</v>
      </c>
      <c r="G1672" s="68">
        <v>0.319096105615425</v>
      </c>
      <c r="H1672" s="68">
        <v>0.408517979006142</v>
      </c>
      <c r="I1672" s="69">
        <v>44320.45737268519</v>
      </c>
      <c r="J1672" s="69">
        <v>44320.45743055556</v>
      </c>
      <c r="K1672">
        <f>AVERAGE(H1672:H1676)</f>
        <v>118.7922095</v>
      </c>
      <c r="L1672">
        <f>STDEV(H1672:H1676)</f>
        <v>119.3575891</v>
      </c>
      <c r="M1672" s="70">
        <v>0.408517979006142</v>
      </c>
      <c r="N1672" s="70">
        <v>0.408517979006142</v>
      </c>
      <c r="O1672" s="70">
        <v>0.319096105615425</v>
      </c>
      <c r="P1672" s="70">
        <v>0.319096105615425</v>
      </c>
    </row>
    <row r="1673" hidden="1">
      <c r="A1673" s="67" t="s">
        <v>2433</v>
      </c>
      <c r="B1673" s="67" t="s">
        <v>268</v>
      </c>
      <c r="C1673" s="68">
        <v>0.1</v>
      </c>
      <c r="D1673" s="68">
        <v>0.1</v>
      </c>
      <c r="E1673" s="68">
        <v>4.0</v>
      </c>
      <c r="F1673" s="68">
        <v>1.0</v>
      </c>
      <c r="G1673" s="68">
        <v>3.17777222107063</v>
      </c>
      <c r="H1673" s="68">
        <v>152.949401087043</v>
      </c>
      <c r="I1673" s="69">
        <v>44320.458136574074</v>
      </c>
      <c r="J1673" s="69">
        <v>44320.52211805555</v>
      </c>
      <c r="K1673">
        <f>AVERAGE(H1672:H1676)</f>
        <v>118.7922095</v>
      </c>
      <c r="L1673">
        <f>STDEV(H1672:H1676)</f>
        <v>119.3575891</v>
      </c>
      <c r="M1673" s="70">
        <v>152.949401087043</v>
      </c>
      <c r="N1673" s="70">
        <v>152.949401087043</v>
      </c>
      <c r="O1673" s="70">
        <v>3.17777222107063</v>
      </c>
      <c r="P1673" s="70">
        <v>3.17777222107063</v>
      </c>
    </row>
    <row r="1674" hidden="1">
      <c r="A1674" s="67" t="s">
        <v>2434</v>
      </c>
      <c r="B1674" s="67" t="s">
        <v>268</v>
      </c>
      <c r="C1674" s="68">
        <v>0.1</v>
      </c>
      <c r="D1674" s="68">
        <v>0.1</v>
      </c>
      <c r="E1674" s="68">
        <v>4.0</v>
      </c>
      <c r="F1674" s="68">
        <v>2.0</v>
      </c>
      <c r="G1674" s="68">
        <v>7.85668990993533</v>
      </c>
      <c r="H1674" s="68">
        <v>280.558581860175</v>
      </c>
      <c r="I1674" s="69">
        <v>44320.522824074076</v>
      </c>
      <c r="J1674" s="69">
        <v>44320.52306712963</v>
      </c>
      <c r="K1674">
        <f>AVERAGE(H1672:H1676)</f>
        <v>118.7922095</v>
      </c>
      <c r="L1674">
        <f>STDEV(H1672:H1676)</f>
        <v>119.3575891</v>
      </c>
      <c r="M1674" s="70">
        <v>280.558581860175</v>
      </c>
      <c r="N1674" s="70">
        <v>280.558581860175</v>
      </c>
      <c r="O1674" s="70">
        <v>7.85668990993533</v>
      </c>
      <c r="P1674" s="70">
        <v>7.85668990993533</v>
      </c>
    </row>
    <row r="1675" hidden="1">
      <c r="A1675" s="67" t="s">
        <v>2435</v>
      </c>
      <c r="B1675" s="67" t="s">
        <v>268</v>
      </c>
      <c r="C1675" s="68">
        <v>0.1</v>
      </c>
      <c r="D1675" s="68">
        <v>0.1</v>
      </c>
      <c r="E1675" s="68">
        <v>4.0</v>
      </c>
      <c r="F1675" s="68">
        <v>3.0</v>
      </c>
      <c r="G1675" s="68">
        <v>4.86180107364134</v>
      </c>
      <c r="H1675" s="68">
        <v>159.485941027134</v>
      </c>
      <c r="I1675" s="69">
        <v>44320.52377314815</v>
      </c>
      <c r="J1675" s="69">
        <v>44320.524201388886</v>
      </c>
      <c r="K1675">
        <f>AVERAGE(H1672:H1676)</f>
        <v>118.7922095</v>
      </c>
      <c r="L1675">
        <f>STDEV(H1672:H1676)</f>
        <v>119.3575891</v>
      </c>
      <c r="M1675" s="70">
        <v>159.485941027134</v>
      </c>
      <c r="N1675" s="70">
        <v>159.485941027134</v>
      </c>
      <c r="O1675" s="70">
        <v>4.86180107364134</v>
      </c>
      <c r="P1675" s="70">
        <v>4.86180107364134</v>
      </c>
    </row>
    <row r="1676" hidden="1">
      <c r="A1676" s="67" t="s">
        <v>2436</v>
      </c>
      <c r="B1676" s="67" t="s">
        <v>268</v>
      </c>
      <c r="C1676" s="68">
        <v>0.1</v>
      </c>
      <c r="D1676" s="68">
        <v>0.1</v>
      </c>
      <c r="E1676" s="68">
        <v>4.0</v>
      </c>
      <c r="F1676" s="68">
        <v>4.0</v>
      </c>
      <c r="G1676" s="68">
        <v>0.466302059947925</v>
      </c>
      <c r="H1676" s="68">
        <v>0.558605536113522</v>
      </c>
      <c r="I1676" s="69">
        <v>44320.52490740741</v>
      </c>
      <c r="J1676" s="69">
        <v>44320.52508101852</v>
      </c>
      <c r="K1676">
        <f>AVERAGE(H1672:H1676)</f>
        <v>118.7922095</v>
      </c>
      <c r="L1676">
        <f>STDEV(H1672:H1676)</f>
        <v>119.3575891</v>
      </c>
      <c r="M1676" s="70">
        <v>0.558605536113522</v>
      </c>
      <c r="N1676" s="70">
        <v>0.558605536113522</v>
      </c>
      <c r="O1676" s="70">
        <v>0.466302059947925</v>
      </c>
      <c r="P1676" s="70">
        <v>0.466302059947925</v>
      </c>
    </row>
    <row r="1677" hidden="1">
      <c r="A1677" s="67" t="s">
        <v>2437</v>
      </c>
      <c r="B1677" s="67" t="s">
        <v>268</v>
      </c>
      <c r="C1677" s="68">
        <v>0.1</v>
      </c>
      <c r="D1677" s="68">
        <v>0.25</v>
      </c>
      <c r="E1677" s="68">
        <v>4.0</v>
      </c>
      <c r="F1677" s="68">
        <v>0.0</v>
      </c>
      <c r="G1677" s="68">
        <v>2.64145420487137</v>
      </c>
      <c r="H1677" s="68">
        <v>4.1380101737941</v>
      </c>
      <c r="I1677" s="69">
        <v>44320.52579861111</v>
      </c>
      <c r="J1677" s="69">
        <v>44320.5258912037</v>
      </c>
      <c r="K1677">
        <f>AVERAGE(H1677:H1681)</f>
        <v>78.06591679</v>
      </c>
      <c r="L1677">
        <f>STDEV(H1677:H1681)</f>
        <v>92.39912762</v>
      </c>
      <c r="M1677" s="70">
        <v>4.1380101737941</v>
      </c>
      <c r="N1677" s="70">
        <v>4.1380101737941</v>
      </c>
      <c r="O1677" s="70">
        <v>2.64145420487137</v>
      </c>
      <c r="P1677" s="70">
        <v>2.64145420487137</v>
      </c>
    </row>
    <row r="1678" hidden="1">
      <c r="A1678" s="67" t="s">
        <v>2438</v>
      </c>
      <c r="B1678" s="67" t="s">
        <v>268</v>
      </c>
      <c r="C1678" s="68">
        <v>0.1</v>
      </c>
      <c r="D1678" s="68">
        <v>0.25</v>
      </c>
      <c r="E1678" s="68">
        <v>4.0</v>
      </c>
      <c r="F1678" s="68">
        <v>1.0</v>
      </c>
      <c r="G1678" s="68">
        <v>1.08182500887364</v>
      </c>
      <c r="H1678" s="68">
        <v>1.45203428376343</v>
      </c>
      <c r="I1678" s="69">
        <v>44320.52659722222</v>
      </c>
      <c r="J1678" s="69">
        <v>44320.526712962965</v>
      </c>
      <c r="K1678">
        <f>AVERAGE(H1677:H1681)</f>
        <v>78.06591679</v>
      </c>
      <c r="L1678">
        <f>STDEV(H1677:H1681)</f>
        <v>92.39912762</v>
      </c>
      <c r="M1678" s="70">
        <v>1.45203428376343</v>
      </c>
      <c r="N1678" s="70">
        <v>1.45203428376343</v>
      </c>
      <c r="O1678" s="70">
        <v>1.08182500887364</v>
      </c>
      <c r="P1678" s="70">
        <v>1.08182500887364</v>
      </c>
    </row>
    <row r="1679" hidden="1">
      <c r="A1679" s="67" t="s">
        <v>2439</v>
      </c>
      <c r="B1679" s="67" t="s">
        <v>268</v>
      </c>
      <c r="C1679" s="68">
        <v>0.1</v>
      </c>
      <c r="D1679" s="68">
        <v>0.25</v>
      </c>
      <c r="E1679" s="68">
        <v>4.0</v>
      </c>
      <c r="F1679" s="68">
        <v>2.0</v>
      </c>
      <c r="G1679" s="68">
        <v>3.63035838026977</v>
      </c>
      <c r="H1679" s="68">
        <v>169.942391676207</v>
      </c>
      <c r="I1679" s="69">
        <v>44320.52741898148</v>
      </c>
      <c r="J1679" s="69">
        <v>44320.634201388886</v>
      </c>
      <c r="K1679">
        <f>AVERAGE(H1677:H1681)</f>
        <v>78.06591679</v>
      </c>
      <c r="L1679">
        <f>STDEV(H1677:H1681)</f>
        <v>92.39912762</v>
      </c>
      <c r="M1679" s="70">
        <v>169.942391676207</v>
      </c>
      <c r="N1679" s="70">
        <v>169.942391676207</v>
      </c>
      <c r="O1679" s="70">
        <v>3.63035838026977</v>
      </c>
      <c r="P1679" s="70">
        <v>3.63035838026977</v>
      </c>
    </row>
    <row r="1680" hidden="1">
      <c r="A1680" s="67" t="s">
        <v>2440</v>
      </c>
      <c r="B1680" s="67" t="s">
        <v>268</v>
      </c>
      <c r="C1680" s="68">
        <v>0.1</v>
      </c>
      <c r="D1680" s="68">
        <v>0.25</v>
      </c>
      <c r="E1680" s="68">
        <v>4.0</v>
      </c>
      <c r="F1680" s="68">
        <v>3.0</v>
      </c>
      <c r="G1680" s="68">
        <v>1.72755892233266</v>
      </c>
      <c r="H1680" s="68">
        <v>27.8584061170078</v>
      </c>
      <c r="I1680" s="69">
        <v>44320.63490740741</v>
      </c>
      <c r="J1680" s="69">
        <v>44320.63552083333</v>
      </c>
      <c r="K1680">
        <f>AVERAGE(H1677:H1681)</f>
        <v>78.06591679</v>
      </c>
      <c r="L1680">
        <f>STDEV(H1677:H1681)</f>
        <v>92.39912762</v>
      </c>
      <c r="M1680" s="70">
        <v>27.8584061170078</v>
      </c>
      <c r="N1680" s="70">
        <v>27.8584061170078</v>
      </c>
      <c r="O1680" s="70">
        <v>1.72755892233266</v>
      </c>
      <c r="P1680" s="70">
        <v>1.72755892233266</v>
      </c>
    </row>
    <row r="1681" hidden="1">
      <c r="A1681" s="67" t="s">
        <v>2441</v>
      </c>
      <c r="B1681" s="67" t="s">
        <v>268</v>
      </c>
      <c r="C1681" s="68">
        <v>0.1</v>
      </c>
      <c r="D1681" s="68">
        <v>0.25</v>
      </c>
      <c r="E1681" s="68">
        <v>4.0</v>
      </c>
      <c r="F1681" s="68">
        <v>4.0</v>
      </c>
      <c r="G1681" s="68">
        <v>6.02984202233938</v>
      </c>
      <c r="H1681" s="68">
        <v>186.938741694307</v>
      </c>
      <c r="I1681" s="69">
        <v>44320.63623842593</v>
      </c>
      <c r="J1681" s="69">
        <v>44320.636296296296</v>
      </c>
      <c r="K1681">
        <f>AVERAGE(H1677:H1681)</f>
        <v>78.06591679</v>
      </c>
      <c r="L1681">
        <f>STDEV(H1677:H1681)</f>
        <v>92.39912762</v>
      </c>
      <c r="M1681" s="70">
        <v>186.938741694307</v>
      </c>
      <c r="N1681" s="70">
        <v>186.938741694307</v>
      </c>
      <c r="O1681" s="70">
        <v>6.02984202233938</v>
      </c>
      <c r="P1681" s="70">
        <v>6.02984202233938</v>
      </c>
    </row>
    <row r="1682" hidden="1">
      <c r="A1682" s="67" t="s">
        <v>2442</v>
      </c>
      <c r="B1682" s="67" t="s">
        <v>268</v>
      </c>
      <c r="C1682" s="68">
        <v>0.1</v>
      </c>
      <c r="D1682" s="68">
        <v>0.5</v>
      </c>
      <c r="E1682" s="68">
        <v>4.0</v>
      </c>
      <c r="F1682" s="68">
        <v>0.0</v>
      </c>
      <c r="G1682" s="68">
        <v>0.466302059947925</v>
      </c>
      <c r="H1682" s="68">
        <v>0.558605536113522</v>
      </c>
      <c r="I1682" s="69">
        <v>44320.63700231481</v>
      </c>
      <c r="J1682" s="69">
        <v>44320.6371875</v>
      </c>
      <c r="K1682">
        <f>AVERAGE(H1682:H1686)</f>
        <v>88.69120894</v>
      </c>
      <c r="L1682">
        <f>STDEV(H1682:H1686)</f>
        <v>126.9417827</v>
      </c>
      <c r="M1682" s="70">
        <v>0.558605536113522</v>
      </c>
      <c r="N1682" s="70">
        <v>0.558605536113522</v>
      </c>
      <c r="O1682" s="70">
        <v>0.466302059947925</v>
      </c>
      <c r="P1682" s="70">
        <v>0.466302059947925</v>
      </c>
    </row>
    <row r="1683" hidden="1">
      <c r="A1683" s="67" t="s">
        <v>2443</v>
      </c>
      <c r="B1683" s="67" t="s">
        <v>268</v>
      </c>
      <c r="C1683" s="68">
        <v>0.1</v>
      </c>
      <c r="D1683" s="68">
        <v>0.5</v>
      </c>
      <c r="E1683" s="68">
        <v>4.0</v>
      </c>
      <c r="F1683" s="68">
        <v>1.0</v>
      </c>
      <c r="G1683" s="68">
        <v>7.89072160762163</v>
      </c>
      <c r="H1683" s="68">
        <v>281.200268486819</v>
      </c>
      <c r="I1683" s="69">
        <v>44320.63789351852</v>
      </c>
      <c r="J1683" s="69">
        <v>44320.638136574074</v>
      </c>
      <c r="K1683">
        <f>AVERAGE(H1682:H1686)</f>
        <v>88.69120894</v>
      </c>
      <c r="L1683">
        <f>STDEV(H1682:H1686)</f>
        <v>126.9417827</v>
      </c>
      <c r="M1683" s="70">
        <v>281.200268486819</v>
      </c>
      <c r="N1683" s="70">
        <v>281.200268486819</v>
      </c>
      <c r="O1683" s="70">
        <v>7.89072160762163</v>
      </c>
      <c r="P1683" s="70">
        <v>7.89072160762163</v>
      </c>
    </row>
    <row r="1684" hidden="1">
      <c r="A1684" s="67" t="s">
        <v>2444</v>
      </c>
      <c r="B1684" s="67" t="s">
        <v>268</v>
      </c>
      <c r="C1684" s="68">
        <v>0.1</v>
      </c>
      <c r="D1684" s="68">
        <v>0.5</v>
      </c>
      <c r="E1684" s="68">
        <v>4.0</v>
      </c>
      <c r="F1684" s="68">
        <v>2.0</v>
      </c>
      <c r="G1684" s="68">
        <v>3.37315295602933</v>
      </c>
      <c r="H1684" s="68">
        <v>157.150642514184</v>
      </c>
      <c r="I1684" s="69">
        <v>44320.63884259259</v>
      </c>
      <c r="J1684" s="69">
        <v>44320.702372685184</v>
      </c>
      <c r="K1684">
        <f>AVERAGE(H1682:H1686)</f>
        <v>88.69120894</v>
      </c>
      <c r="L1684">
        <f>STDEV(H1682:H1686)</f>
        <v>126.9417827</v>
      </c>
      <c r="M1684" s="70">
        <v>157.150642514184</v>
      </c>
      <c r="N1684" s="70">
        <v>157.150642514184</v>
      </c>
      <c r="O1684" s="70">
        <v>3.37315295602933</v>
      </c>
      <c r="P1684" s="70">
        <v>3.37315295602933</v>
      </c>
    </row>
    <row r="1685" hidden="1">
      <c r="A1685" s="67" t="s">
        <v>2445</v>
      </c>
      <c r="B1685" s="67" t="s">
        <v>268</v>
      </c>
      <c r="C1685" s="68">
        <v>0.1</v>
      </c>
      <c r="D1685" s="68">
        <v>0.5</v>
      </c>
      <c r="E1685" s="68">
        <v>4.0</v>
      </c>
      <c r="F1685" s="68">
        <v>3.0</v>
      </c>
      <c r="G1685" s="68">
        <v>0.319096105615425</v>
      </c>
      <c r="H1685" s="68">
        <v>0.408517979006142</v>
      </c>
      <c r="I1685" s="69">
        <v>44320.7030787037</v>
      </c>
      <c r="J1685" s="69">
        <v>44320.70313657408</v>
      </c>
      <c r="K1685">
        <f>AVERAGE(H1682:H1686)</f>
        <v>88.69120894</v>
      </c>
      <c r="L1685">
        <f>STDEV(H1682:H1686)</f>
        <v>126.9417827</v>
      </c>
      <c r="M1685" s="70">
        <v>0.408517979006142</v>
      </c>
      <c r="N1685" s="70">
        <v>0.408517979006142</v>
      </c>
      <c r="O1685" s="70">
        <v>0.319096105615425</v>
      </c>
      <c r="P1685" s="70">
        <v>0.319096105615425</v>
      </c>
    </row>
    <row r="1686" hidden="1">
      <c r="A1686" s="67" t="s">
        <v>2446</v>
      </c>
      <c r="B1686" s="67" t="s">
        <v>268</v>
      </c>
      <c r="C1686" s="68">
        <v>0.1</v>
      </c>
      <c r="D1686" s="68">
        <v>0.5</v>
      </c>
      <c r="E1686" s="68">
        <v>4.0</v>
      </c>
      <c r="F1686" s="68">
        <v>4.0</v>
      </c>
      <c r="G1686" s="68">
        <v>2.64145420487137</v>
      </c>
      <c r="H1686" s="68">
        <v>4.1380101737941</v>
      </c>
      <c r="I1686" s="69">
        <v>44320.70384259259</v>
      </c>
      <c r="J1686" s="69">
        <v>44320.70392361111</v>
      </c>
      <c r="K1686">
        <f>AVERAGE(H1682:H1686)</f>
        <v>88.69120894</v>
      </c>
      <c r="L1686">
        <f>STDEV(H1682:H1686)</f>
        <v>126.9417827</v>
      </c>
      <c r="M1686" s="70">
        <v>4.1380101737941</v>
      </c>
      <c r="N1686" s="70">
        <v>4.1380101737941</v>
      </c>
      <c r="O1686" s="70">
        <v>2.64145420487137</v>
      </c>
      <c r="P1686" s="70">
        <v>2.64145420487137</v>
      </c>
    </row>
    <row r="1687" hidden="1">
      <c r="A1687" s="67" t="s">
        <v>2447</v>
      </c>
      <c r="B1687" s="67" t="s">
        <v>268</v>
      </c>
      <c r="C1687" s="68">
        <v>0.1</v>
      </c>
      <c r="D1687" s="68">
        <v>0.75</v>
      </c>
      <c r="E1687" s="68">
        <v>4.0</v>
      </c>
      <c r="F1687" s="68">
        <v>0.0</v>
      </c>
      <c r="G1687" s="68">
        <v>3.57568419865871</v>
      </c>
      <c r="H1687" s="68">
        <v>165.294047322478</v>
      </c>
      <c r="I1687" s="69">
        <v>44320.70462962963</v>
      </c>
      <c r="J1687" s="69">
        <v>44320.80412037037</v>
      </c>
      <c r="K1687">
        <f>AVERAGE(H1687:H1691)</f>
        <v>101.4726083</v>
      </c>
      <c r="L1687">
        <f>STDEV(H1687:H1691)</f>
        <v>87.62622683</v>
      </c>
      <c r="M1687" s="70">
        <v>165.294047322478</v>
      </c>
      <c r="N1687" s="70">
        <v>165.294047322478</v>
      </c>
      <c r="O1687" s="70">
        <v>3.57568419865871</v>
      </c>
      <c r="P1687" s="70">
        <v>3.57568419865871</v>
      </c>
    </row>
    <row r="1688" hidden="1">
      <c r="A1688" s="67" t="s">
        <v>2448</v>
      </c>
      <c r="B1688" s="67" t="s">
        <v>268</v>
      </c>
      <c r="C1688" s="68">
        <v>0.1</v>
      </c>
      <c r="D1688" s="68">
        <v>0.75</v>
      </c>
      <c r="E1688" s="68">
        <v>4.0</v>
      </c>
      <c r="F1688" s="68">
        <v>1.0</v>
      </c>
      <c r="G1688" s="68">
        <v>7.97961475160596</v>
      </c>
      <c r="H1688" s="68">
        <v>192.947030664856</v>
      </c>
      <c r="I1688" s="69">
        <v>44320.80482638889</v>
      </c>
      <c r="J1688" s="69">
        <v>44320.804872685185</v>
      </c>
      <c r="K1688">
        <f>AVERAGE(H1687:H1691)</f>
        <v>101.4726083</v>
      </c>
      <c r="L1688">
        <f>STDEV(H1687:H1691)</f>
        <v>87.62622683</v>
      </c>
      <c r="M1688" s="70">
        <v>192.947030664856</v>
      </c>
      <c r="N1688" s="70">
        <v>192.947030664856</v>
      </c>
      <c r="O1688" s="70">
        <v>7.97961475160596</v>
      </c>
      <c r="P1688" s="70">
        <v>7.97961475160596</v>
      </c>
    </row>
    <row r="1689" hidden="1">
      <c r="A1689" s="67" t="s">
        <v>2449</v>
      </c>
      <c r="B1689" s="67" t="s">
        <v>268</v>
      </c>
      <c r="C1689" s="68">
        <v>0.1</v>
      </c>
      <c r="D1689" s="68">
        <v>0.75</v>
      </c>
      <c r="E1689" s="68">
        <v>4.0</v>
      </c>
      <c r="F1689" s="68">
        <v>2.0</v>
      </c>
      <c r="G1689" s="68">
        <v>1.2031107466145</v>
      </c>
      <c r="H1689" s="68">
        <v>15.7812716633645</v>
      </c>
      <c r="I1689" s="69">
        <v>44320.8055787037</v>
      </c>
      <c r="J1689" s="69">
        <v>44320.80572916667</v>
      </c>
      <c r="K1689">
        <f>AVERAGE(H1687:H1691)</f>
        <v>101.4726083</v>
      </c>
      <c r="L1689">
        <f>STDEV(H1687:H1691)</f>
        <v>87.62622683</v>
      </c>
      <c r="M1689" s="70">
        <v>15.7812716633645</v>
      </c>
      <c r="N1689" s="70">
        <v>15.7812716633645</v>
      </c>
      <c r="O1689" s="70">
        <v>1.2031107466145</v>
      </c>
      <c r="P1689" s="70">
        <v>1.2031107466145</v>
      </c>
    </row>
    <row r="1690" hidden="1">
      <c r="A1690" s="67" t="s">
        <v>2450</v>
      </c>
      <c r="B1690" s="67" t="s">
        <v>268</v>
      </c>
      <c r="C1690" s="68">
        <v>0.1</v>
      </c>
      <c r="D1690" s="68">
        <v>0.75</v>
      </c>
      <c r="E1690" s="68">
        <v>4.0</v>
      </c>
      <c r="F1690" s="68">
        <v>3.0</v>
      </c>
      <c r="G1690" s="68">
        <v>2.49194375655479</v>
      </c>
      <c r="H1690" s="68">
        <v>131.890267782855</v>
      </c>
      <c r="I1690" s="69">
        <v>44320.806435185186</v>
      </c>
      <c r="J1690" s="69">
        <v>44320.806666666664</v>
      </c>
      <c r="K1690">
        <f>AVERAGE(H1687:H1691)</f>
        <v>101.4726083</v>
      </c>
      <c r="L1690">
        <f>STDEV(H1687:H1691)</f>
        <v>87.62622683</v>
      </c>
      <c r="M1690" s="70">
        <v>131.890267782855</v>
      </c>
      <c r="N1690" s="70">
        <v>131.890267782855</v>
      </c>
      <c r="O1690" s="70">
        <v>2.49194375655479</v>
      </c>
      <c r="P1690" s="70">
        <v>2.49194375655479</v>
      </c>
    </row>
    <row r="1691" hidden="1">
      <c r="A1691" s="67" t="s">
        <v>2451</v>
      </c>
      <c r="B1691" s="67" t="s">
        <v>268</v>
      </c>
      <c r="C1691" s="68">
        <v>0.1</v>
      </c>
      <c r="D1691" s="68">
        <v>0.75</v>
      </c>
      <c r="E1691" s="68">
        <v>4.0</v>
      </c>
      <c r="F1691" s="68">
        <v>4.0</v>
      </c>
      <c r="G1691" s="68">
        <v>1.07991001504809</v>
      </c>
      <c r="H1691" s="68">
        <v>1.4504242499467</v>
      </c>
      <c r="I1691" s="69">
        <v>44320.80738425926</v>
      </c>
      <c r="J1691" s="69">
        <v>44320.8075</v>
      </c>
      <c r="K1691">
        <f>AVERAGE(H1687:H1691)</f>
        <v>101.4726083</v>
      </c>
      <c r="L1691">
        <f>STDEV(H1687:H1691)</f>
        <v>87.62622683</v>
      </c>
      <c r="M1691" s="70">
        <v>1.4504242499467</v>
      </c>
      <c r="N1691" s="70">
        <v>1.4504242499467</v>
      </c>
      <c r="O1691" s="70">
        <v>1.07991001504809</v>
      </c>
      <c r="P1691" s="70">
        <v>1.07991001504809</v>
      </c>
    </row>
    <row r="1692" hidden="1">
      <c r="A1692" s="67" t="s">
        <v>2452</v>
      </c>
      <c r="B1692" s="67" t="s">
        <v>268</v>
      </c>
      <c r="C1692" s="68">
        <v>0.1</v>
      </c>
      <c r="D1692" s="68">
        <v>1.0</v>
      </c>
      <c r="E1692" s="68">
        <v>4.0</v>
      </c>
      <c r="F1692" s="68">
        <v>0.0</v>
      </c>
      <c r="G1692" s="68">
        <v>0.319096105615425</v>
      </c>
      <c r="H1692" s="68">
        <v>0.408517979006142</v>
      </c>
      <c r="I1692" s="69">
        <v>44320.80820601852</v>
      </c>
      <c r="J1692" s="69">
        <v>44320.808275462965</v>
      </c>
      <c r="K1692">
        <f>AVERAGE(H1692:H1696)</f>
        <v>97.27592368</v>
      </c>
      <c r="L1692">
        <f>STDEV(H1692:H1696)</f>
        <v>89.4242377</v>
      </c>
      <c r="M1692" s="70">
        <v>0.408517979006142</v>
      </c>
      <c r="N1692" s="70">
        <v>0.408517979006142</v>
      </c>
      <c r="O1692" s="70">
        <v>0.319096105615425</v>
      </c>
      <c r="P1692" s="70">
        <v>0.319096105615425</v>
      </c>
    </row>
    <row r="1693" hidden="1">
      <c r="A1693" s="67" t="s">
        <v>2453</v>
      </c>
      <c r="B1693" s="67" t="s">
        <v>268</v>
      </c>
      <c r="C1693" s="68">
        <v>0.1</v>
      </c>
      <c r="D1693" s="68">
        <v>1.0</v>
      </c>
      <c r="E1693" s="68">
        <v>4.0</v>
      </c>
      <c r="F1693" s="68">
        <v>1.0</v>
      </c>
      <c r="G1693" s="68">
        <v>0.73722706430504</v>
      </c>
      <c r="H1693" s="68">
        <v>0.951560817488761</v>
      </c>
      <c r="I1693" s="69">
        <v>44320.80898148148</v>
      </c>
      <c r="J1693" s="69">
        <v>44320.80918981481</v>
      </c>
      <c r="K1693">
        <f>AVERAGE(H1692:H1696)</f>
        <v>97.27592368</v>
      </c>
      <c r="L1693">
        <f>STDEV(H1692:H1696)</f>
        <v>89.4242377</v>
      </c>
      <c r="M1693" s="70">
        <v>0.951560817488761</v>
      </c>
      <c r="N1693" s="70">
        <v>0.951560817488761</v>
      </c>
      <c r="O1693" s="70">
        <v>0.73722706430504</v>
      </c>
      <c r="P1693" s="70">
        <v>0.73722706430504</v>
      </c>
    </row>
    <row r="1694" hidden="1">
      <c r="A1694" s="67" t="s">
        <v>2454</v>
      </c>
      <c r="B1694" s="67" t="s">
        <v>268</v>
      </c>
      <c r="C1694" s="68">
        <v>0.1</v>
      </c>
      <c r="D1694" s="68">
        <v>1.0</v>
      </c>
      <c r="E1694" s="68">
        <v>4.0</v>
      </c>
      <c r="F1694" s="68">
        <v>2.0</v>
      </c>
      <c r="G1694" s="68">
        <v>4.40224665411596</v>
      </c>
      <c r="H1694" s="68">
        <v>183.132063909246</v>
      </c>
      <c r="I1694" s="69">
        <v>44320.809895833336</v>
      </c>
      <c r="J1694" s="69">
        <v>44320.84027777778</v>
      </c>
      <c r="K1694">
        <f>AVERAGE(H1692:H1696)</f>
        <v>97.27592368</v>
      </c>
      <c r="L1694">
        <f>STDEV(H1692:H1696)</f>
        <v>89.4242377</v>
      </c>
      <c r="M1694" s="70">
        <v>183.132063909246</v>
      </c>
      <c r="N1694" s="70">
        <v>183.132063909246</v>
      </c>
      <c r="O1694" s="70">
        <v>4.40224665411596</v>
      </c>
      <c r="P1694" s="70">
        <v>4.40224665411596</v>
      </c>
    </row>
    <row r="1695" hidden="1">
      <c r="A1695" s="67" t="s">
        <v>2455</v>
      </c>
      <c r="B1695" s="67" t="s">
        <v>268</v>
      </c>
      <c r="C1695" s="68">
        <v>0.1</v>
      </c>
      <c r="D1695" s="68">
        <v>1.0</v>
      </c>
      <c r="E1695" s="68">
        <v>4.0</v>
      </c>
      <c r="F1695" s="68">
        <v>3.0</v>
      </c>
      <c r="G1695" s="68">
        <v>2.65975090057489</v>
      </c>
      <c r="H1695" s="68">
        <v>141.111275939599</v>
      </c>
      <c r="I1695" s="69">
        <v>44320.8409837963</v>
      </c>
      <c r="J1695" s="69">
        <v>44320.87354166667</v>
      </c>
      <c r="K1695">
        <f>AVERAGE(H1692:H1696)</f>
        <v>97.27592368</v>
      </c>
      <c r="L1695">
        <f>STDEV(H1692:H1696)</f>
        <v>89.4242377</v>
      </c>
      <c r="M1695" s="70">
        <v>141.111275939599</v>
      </c>
      <c r="N1695" s="70">
        <v>141.111275939599</v>
      </c>
      <c r="O1695" s="70">
        <v>2.65975090057489</v>
      </c>
      <c r="P1695" s="70">
        <v>2.65975090057489</v>
      </c>
    </row>
    <row r="1696" hidden="1">
      <c r="A1696" s="67" t="s">
        <v>2456</v>
      </c>
      <c r="B1696" s="67" t="s">
        <v>268</v>
      </c>
      <c r="C1696" s="68">
        <v>0.1</v>
      </c>
      <c r="D1696" s="68">
        <v>1.0</v>
      </c>
      <c r="E1696" s="68">
        <v>4.0</v>
      </c>
      <c r="F1696" s="68">
        <v>4.0</v>
      </c>
      <c r="G1696" s="68">
        <v>4.76175231870075</v>
      </c>
      <c r="H1696" s="68">
        <v>160.776199755782</v>
      </c>
      <c r="I1696" s="69">
        <v>44320.874247685184</v>
      </c>
      <c r="J1696" s="69">
        <v>44320.874502314815</v>
      </c>
      <c r="K1696">
        <f>AVERAGE(H1692:H1696)</f>
        <v>97.27592368</v>
      </c>
      <c r="L1696">
        <f>STDEV(H1692:H1696)</f>
        <v>89.4242377</v>
      </c>
      <c r="M1696" s="70">
        <v>160.776199755782</v>
      </c>
      <c r="N1696" s="70">
        <v>160.776199755782</v>
      </c>
      <c r="O1696" s="70">
        <v>4.76175231870075</v>
      </c>
      <c r="P1696" s="70">
        <v>4.76175231870075</v>
      </c>
    </row>
    <row r="1697" hidden="1">
      <c r="A1697" s="67" t="s">
        <v>2457</v>
      </c>
      <c r="B1697" s="67" t="s">
        <v>268</v>
      </c>
      <c r="C1697" s="68">
        <v>0.25</v>
      </c>
      <c r="D1697" s="68">
        <v>0.1</v>
      </c>
      <c r="E1697" s="68">
        <v>4.0</v>
      </c>
      <c r="F1697" s="68">
        <v>0.0</v>
      </c>
      <c r="G1697" s="68">
        <v>4.06763215129494</v>
      </c>
      <c r="H1697" s="68">
        <v>187.65612322015</v>
      </c>
      <c r="I1697" s="69">
        <v>44320.87520833333</v>
      </c>
      <c r="J1697" s="69">
        <v>44320.91976851852</v>
      </c>
      <c r="K1697">
        <f>AVERAGE(H1697:H1701)</f>
        <v>97.53060861</v>
      </c>
      <c r="L1697">
        <f>STDEV(H1697:H1701)</f>
        <v>84.41822283</v>
      </c>
      <c r="M1697" s="70">
        <v>187.65612322015</v>
      </c>
      <c r="N1697" s="70">
        <v>187.65612322015</v>
      </c>
      <c r="O1697" s="70">
        <v>4.06763215129494</v>
      </c>
      <c r="P1697" s="70">
        <v>4.06763215129494</v>
      </c>
    </row>
    <row r="1698" hidden="1">
      <c r="A1698" s="67" t="s">
        <v>2458</v>
      </c>
      <c r="B1698" s="67" t="s">
        <v>268</v>
      </c>
      <c r="C1698" s="68">
        <v>0.25</v>
      </c>
      <c r="D1698" s="68">
        <v>0.1</v>
      </c>
      <c r="E1698" s="68">
        <v>4.0</v>
      </c>
      <c r="F1698" s="68">
        <v>1.0</v>
      </c>
      <c r="G1698" s="68">
        <v>0.467187299586246</v>
      </c>
      <c r="H1698" s="68">
        <v>0.559434604263913</v>
      </c>
      <c r="I1698" s="69">
        <v>44320.92047453704</v>
      </c>
      <c r="J1698" s="69">
        <v>44320.920694444445</v>
      </c>
      <c r="K1698">
        <f>AVERAGE(H1697:H1701)</f>
        <v>97.53060861</v>
      </c>
      <c r="L1698">
        <f>STDEV(H1697:H1701)</f>
        <v>84.41822283</v>
      </c>
      <c r="M1698" s="70">
        <v>0.559434604263913</v>
      </c>
      <c r="N1698" s="70">
        <v>0.559434604263913</v>
      </c>
      <c r="O1698" s="70">
        <v>0.467187299586246</v>
      </c>
      <c r="P1698" s="70">
        <v>0.467187299586246</v>
      </c>
    </row>
    <row r="1699" hidden="1">
      <c r="A1699" s="67" t="s">
        <v>2459</v>
      </c>
      <c r="B1699" s="67" t="s">
        <v>268</v>
      </c>
      <c r="C1699" s="68">
        <v>0.25</v>
      </c>
      <c r="D1699" s="68">
        <v>0.1</v>
      </c>
      <c r="E1699" s="68">
        <v>4.0</v>
      </c>
      <c r="F1699" s="68">
        <v>2.0</v>
      </c>
      <c r="G1699" s="68">
        <v>4.96910126788719</v>
      </c>
      <c r="H1699" s="68">
        <v>155.376812731412</v>
      </c>
      <c r="I1699" s="69">
        <v>44320.92140046296</v>
      </c>
      <c r="J1699" s="69">
        <v>44320.92150462963</v>
      </c>
      <c r="K1699">
        <f>AVERAGE(H1697:H1701)</f>
        <v>97.53060861</v>
      </c>
      <c r="L1699">
        <f>STDEV(H1697:H1701)</f>
        <v>84.41822283</v>
      </c>
      <c r="M1699" s="70">
        <v>155.376812731412</v>
      </c>
      <c r="N1699" s="70">
        <v>155.376812731412</v>
      </c>
      <c r="O1699" s="70">
        <v>4.96910126788719</v>
      </c>
      <c r="P1699" s="70">
        <v>4.96910126788719</v>
      </c>
    </row>
    <row r="1700" hidden="1">
      <c r="A1700" s="67" t="s">
        <v>2460</v>
      </c>
      <c r="B1700" s="67" t="s">
        <v>268</v>
      </c>
      <c r="C1700" s="68">
        <v>0.25</v>
      </c>
      <c r="D1700" s="68">
        <v>0.1</v>
      </c>
      <c r="E1700" s="68">
        <v>4.0</v>
      </c>
      <c r="F1700" s="68">
        <v>3.0</v>
      </c>
      <c r="G1700" s="68">
        <v>1.20054717121771</v>
      </c>
      <c r="H1700" s="68">
        <v>15.7585968874935</v>
      </c>
      <c r="I1700" s="69">
        <v>44320.92221064815</v>
      </c>
      <c r="J1700" s="69">
        <v>44320.92236111111</v>
      </c>
      <c r="K1700">
        <f>AVERAGE(H1697:H1701)</f>
        <v>97.53060861</v>
      </c>
      <c r="L1700">
        <f>STDEV(H1697:H1701)</f>
        <v>84.41822283</v>
      </c>
      <c r="M1700" s="70">
        <v>15.7585968874935</v>
      </c>
      <c r="N1700" s="70">
        <v>15.7585968874935</v>
      </c>
      <c r="O1700" s="70">
        <v>1.20054717121771</v>
      </c>
      <c r="P1700" s="70">
        <v>1.20054717121771</v>
      </c>
    </row>
    <row r="1701" hidden="1">
      <c r="A1701" s="67" t="s">
        <v>2461</v>
      </c>
      <c r="B1701" s="67" t="s">
        <v>268</v>
      </c>
      <c r="C1701" s="68">
        <v>0.25</v>
      </c>
      <c r="D1701" s="68">
        <v>0.1</v>
      </c>
      <c r="E1701" s="68">
        <v>4.0</v>
      </c>
      <c r="F1701" s="68">
        <v>4.0</v>
      </c>
      <c r="G1701" s="68">
        <v>2.87285563707749</v>
      </c>
      <c r="H1701" s="68">
        <v>128.302075624733</v>
      </c>
      <c r="I1701" s="69">
        <v>44320.92306712963</v>
      </c>
      <c r="J1701" s="69">
        <v>44320.94059027778</v>
      </c>
      <c r="K1701">
        <f>AVERAGE(H1697:H1701)</f>
        <v>97.53060861</v>
      </c>
      <c r="L1701">
        <f>STDEV(H1697:H1701)</f>
        <v>84.41822283</v>
      </c>
      <c r="M1701" s="70">
        <v>128.302075624733</v>
      </c>
      <c r="N1701" s="70">
        <v>128.302075624733</v>
      </c>
      <c r="O1701" s="70">
        <v>2.87285563707749</v>
      </c>
      <c r="P1701" s="70">
        <v>2.87285563707749</v>
      </c>
    </row>
    <row r="1702" hidden="1">
      <c r="A1702" s="67" t="s">
        <v>2462</v>
      </c>
      <c r="B1702" s="67" t="s">
        <v>268</v>
      </c>
      <c r="C1702" s="68">
        <v>0.25</v>
      </c>
      <c r="D1702" s="68">
        <v>0.25</v>
      </c>
      <c r="E1702" s="68">
        <v>4.0</v>
      </c>
      <c r="F1702" s="68">
        <v>0.0</v>
      </c>
      <c r="G1702" s="68">
        <v>0.655758398760637</v>
      </c>
      <c r="H1702" s="68">
        <v>1.21676397637281</v>
      </c>
      <c r="I1702" s="69">
        <v>44320.941296296296</v>
      </c>
      <c r="J1702" s="69">
        <v>44320.94212962963</v>
      </c>
      <c r="K1702">
        <f>AVERAGE(H1702:H1706)</f>
        <v>73.75720457</v>
      </c>
      <c r="L1702">
        <f>STDEV(H1702:H1706)</f>
        <v>88.43742442</v>
      </c>
      <c r="M1702" s="70">
        <v>1.21676397637281</v>
      </c>
      <c r="N1702" s="70">
        <v>1.21676397637281</v>
      </c>
      <c r="O1702" s="70">
        <v>0.655758398760637</v>
      </c>
      <c r="P1702" s="70">
        <v>0.655758398760637</v>
      </c>
    </row>
    <row r="1703" hidden="1">
      <c r="A1703" s="67" t="s">
        <v>2463</v>
      </c>
      <c r="B1703" s="67" t="s">
        <v>268</v>
      </c>
      <c r="C1703" s="68">
        <v>0.25</v>
      </c>
      <c r="D1703" s="68">
        <v>0.25</v>
      </c>
      <c r="E1703" s="68">
        <v>4.0</v>
      </c>
      <c r="F1703" s="68">
        <v>1.0</v>
      </c>
      <c r="G1703" s="68">
        <v>1.72813229901423</v>
      </c>
      <c r="H1703" s="68">
        <v>27.8634364906312</v>
      </c>
      <c r="I1703" s="69">
        <v>44320.94283564815</v>
      </c>
      <c r="J1703" s="69">
        <v>44320.943506944444</v>
      </c>
      <c r="K1703">
        <f>AVERAGE(H1702:H1706)</f>
        <v>73.75720457</v>
      </c>
      <c r="L1703">
        <f>STDEV(H1702:H1706)</f>
        <v>88.43742442</v>
      </c>
      <c r="M1703" s="70">
        <v>27.8634364906312</v>
      </c>
      <c r="N1703" s="70">
        <v>27.8634364906312</v>
      </c>
      <c r="O1703" s="70">
        <v>1.72813229901423</v>
      </c>
      <c r="P1703" s="70">
        <v>1.72813229901423</v>
      </c>
    </row>
    <row r="1704" hidden="1">
      <c r="A1704" s="67" t="s">
        <v>2464</v>
      </c>
      <c r="B1704" s="67" t="s">
        <v>268</v>
      </c>
      <c r="C1704" s="68">
        <v>0.25</v>
      </c>
      <c r="D1704" s="68">
        <v>0.25</v>
      </c>
      <c r="E1704" s="68">
        <v>4.0</v>
      </c>
      <c r="F1704" s="68">
        <v>2.0</v>
      </c>
      <c r="G1704" s="68">
        <v>0.319096105615425</v>
      </c>
      <c r="H1704" s="68">
        <v>0.408517979006142</v>
      </c>
      <c r="I1704" s="69">
        <v>44320.94422453704</v>
      </c>
      <c r="J1704" s="69">
        <v>44320.94428240741</v>
      </c>
      <c r="K1704">
        <f>AVERAGE(H1702:H1706)</f>
        <v>73.75720457</v>
      </c>
      <c r="L1704">
        <f>STDEV(H1702:H1706)</f>
        <v>88.43742442</v>
      </c>
      <c r="M1704" s="70">
        <v>0.408517979006142</v>
      </c>
      <c r="N1704" s="70">
        <v>0.408517979006142</v>
      </c>
      <c r="O1704" s="70">
        <v>0.319096105615425</v>
      </c>
      <c r="P1704" s="70">
        <v>0.319096105615425</v>
      </c>
    </row>
    <row r="1705" hidden="1">
      <c r="A1705" s="67" t="s">
        <v>2465</v>
      </c>
      <c r="B1705" s="67" t="s">
        <v>268</v>
      </c>
      <c r="C1705" s="68">
        <v>0.25</v>
      </c>
      <c r="D1705" s="68">
        <v>0.25</v>
      </c>
      <c r="E1705" s="68">
        <v>4.0</v>
      </c>
      <c r="F1705" s="68">
        <v>3.0</v>
      </c>
      <c r="G1705" s="68">
        <v>4.77342890910562</v>
      </c>
      <c r="H1705" s="68">
        <v>161.104958598138</v>
      </c>
      <c r="I1705" s="69">
        <v>44320.94498842592</v>
      </c>
      <c r="J1705" s="69">
        <v>44320.945231481484</v>
      </c>
      <c r="K1705">
        <f>AVERAGE(H1702:H1706)</f>
        <v>73.75720457</v>
      </c>
      <c r="L1705">
        <f>STDEV(H1702:H1706)</f>
        <v>88.43742442</v>
      </c>
      <c r="M1705" s="70">
        <v>161.104958598138</v>
      </c>
      <c r="N1705" s="70">
        <v>161.104958598138</v>
      </c>
      <c r="O1705" s="70">
        <v>4.77342890910562</v>
      </c>
      <c r="P1705" s="70">
        <v>4.77342890910562</v>
      </c>
    </row>
    <row r="1706" hidden="1">
      <c r="A1706" s="67" t="s">
        <v>2466</v>
      </c>
      <c r="B1706" s="67" t="s">
        <v>268</v>
      </c>
      <c r="C1706" s="68">
        <v>0.25</v>
      </c>
      <c r="D1706" s="68">
        <v>0.25</v>
      </c>
      <c r="E1706" s="68">
        <v>4.0</v>
      </c>
      <c r="F1706" s="68">
        <v>4.0</v>
      </c>
      <c r="G1706" s="68">
        <v>3.95686152381342</v>
      </c>
      <c r="H1706" s="68">
        <v>178.192345798002</v>
      </c>
      <c r="I1706" s="69">
        <v>44320.94594907408</v>
      </c>
      <c r="J1706" s="69">
        <v>44321.00850694445</v>
      </c>
      <c r="K1706">
        <f>AVERAGE(H1702:H1706)</f>
        <v>73.75720457</v>
      </c>
      <c r="L1706">
        <f>STDEV(H1702:H1706)</f>
        <v>88.43742442</v>
      </c>
      <c r="M1706" s="70">
        <v>178.192345798002</v>
      </c>
      <c r="N1706" s="70">
        <v>178.192345798002</v>
      </c>
      <c r="O1706" s="70">
        <v>3.95686152381342</v>
      </c>
      <c r="P1706" s="70">
        <v>3.95686152381342</v>
      </c>
    </row>
    <row r="1707" hidden="1">
      <c r="A1707" s="67" t="s">
        <v>2467</v>
      </c>
      <c r="B1707" s="67" t="s">
        <v>268</v>
      </c>
      <c r="C1707" s="68">
        <v>0.25</v>
      </c>
      <c r="D1707" s="68">
        <v>0.5</v>
      </c>
      <c r="E1707" s="68">
        <v>4.0</v>
      </c>
      <c r="F1707" s="68">
        <v>0.0</v>
      </c>
      <c r="G1707" s="68">
        <v>8.26671555110101</v>
      </c>
      <c r="H1707" s="68">
        <v>288.396588234789</v>
      </c>
      <c r="I1707" s="69">
        <v>44321.00921296296</v>
      </c>
      <c r="J1707" s="69">
        <v>44321.01032407407</v>
      </c>
      <c r="K1707">
        <f>AVERAGE(H1707:H1711)</f>
        <v>140.270078</v>
      </c>
      <c r="L1707">
        <f>STDEV(H1707:H1711)</f>
        <v>148.5453662</v>
      </c>
      <c r="M1707" s="70">
        <v>288.396588234789</v>
      </c>
      <c r="N1707" s="70">
        <v>288.396588234789</v>
      </c>
      <c r="O1707" s="70">
        <v>8.26671555110101</v>
      </c>
      <c r="P1707" s="70">
        <v>8.26671555110101</v>
      </c>
    </row>
    <row r="1708" hidden="1">
      <c r="A1708" s="67" t="s">
        <v>2468</v>
      </c>
      <c r="B1708" s="67" t="s">
        <v>268</v>
      </c>
      <c r="C1708" s="68">
        <v>0.25</v>
      </c>
      <c r="D1708" s="68">
        <v>0.5</v>
      </c>
      <c r="E1708" s="68">
        <v>4.0</v>
      </c>
      <c r="F1708" s="68">
        <v>1.0</v>
      </c>
      <c r="G1708" s="68">
        <v>2.39691592708746</v>
      </c>
      <c r="H1708" s="68">
        <v>108.708736178662</v>
      </c>
      <c r="I1708" s="69">
        <v>44321.011030092595</v>
      </c>
      <c r="J1708" s="69">
        <v>44321.06329861111</v>
      </c>
      <c r="K1708">
        <f>AVERAGE(H1707:H1711)</f>
        <v>140.270078</v>
      </c>
      <c r="L1708">
        <f>STDEV(H1707:H1711)</f>
        <v>148.5453662</v>
      </c>
      <c r="M1708" s="70">
        <v>108.708736178662</v>
      </c>
      <c r="N1708" s="70">
        <v>108.708736178662</v>
      </c>
      <c r="O1708" s="70">
        <v>2.39691592708746</v>
      </c>
      <c r="P1708" s="70">
        <v>2.39691592708746</v>
      </c>
    </row>
    <row r="1709" hidden="1">
      <c r="A1709" s="67" t="s">
        <v>2469</v>
      </c>
      <c r="B1709" s="67" t="s">
        <v>268</v>
      </c>
      <c r="C1709" s="68">
        <v>0.25</v>
      </c>
      <c r="D1709" s="68">
        <v>0.5</v>
      </c>
      <c r="E1709" s="68">
        <v>4.0</v>
      </c>
      <c r="F1709" s="68">
        <v>2.0</v>
      </c>
      <c r="G1709" s="68">
        <v>0.466302059947925</v>
      </c>
      <c r="H1709" s="68">
        <v>0.558605536113522</v>
      </c>
      <c r="I1709" s="69">
        <v>44321.0640162037</v>
      </c>
      <c r="J1709" s="69">
        <v>44321.065833333334</v>
      </c>
      <c r="K1709">
        <f>AVERAGE(H1707:H1711)</f>
        <v>140.270078</v>
      </c>
      <c r="L1709">
        <f>STDEV(H1707:H1711)</f>
        <v>148.5453662</v>
      </c>
      <c r="M1709" s="70">
        <v>0.558605536113522</v>
      </c>
      <c r="N1709" s="70">
        <v>0.558605536113522</v>
      </c>
      <c r="O1709" s="70">
        <v>0.466302059947925</v>
      </c>
      <c r="P1709" s="70">
        <v>0.466302059947925</v>
      </c>
    </row>
    <row r="1710" hidden="1">
      <c r="A1710" s="67" t="s">
        <v>2470</v>
      </c>
      <c r="B1710" s="67" t="s">
        <v>268</v>
      </c>
      <c r="C1710" s="68">
        <v>0.25</v>
      </c>
      <c r="D1710" s="68">
        <v>0.5</v>
      </c>
      <c r="E1710" s="68">
        <v>4.0</v>
      </c>
      <c r="F1710" s="68">
        <v>3.0</v>
      </c>
      <c r="G1710" s="68">
        <v>0.71205655889852</v>
      </c>
      <c r="H1710" s="68">
        <v>0.948977832482219</v>
      </c>
      <c r="I1710" s="69">
        <v>44321.06653935185</v>
      </c>
      <c r="J1710" s="69">
        <v>44321.0708912037</v>
      </c>
      <c r="K1710">
        <f>AVERAGE(H1707:H1711)</f>
        <v>140.270078</v>
      </c>
      <c r="L1710">
        <f>STDEV(H1707:H1711)</f>
        <v>148.5453662</v>
      </c>
      <c r="M1710" s="70">
        <v>0.948977832482219</v>
      </c>
      <c r="N1710" s="70">
        <v>0.948977832482219</v>
      </c>
      <c r="O1710" s="70">
        <v>0.71205655889852</v>
      </c>
      <c r="P1710" s="70">
        <v>0.71205655889852</v>
      </c>
    </row>
    <row r="1711" hidden="1">
      <c r="A1711" s="67" t="s">
        <v>2471</v>
      </c>
      <c r="B1711" s="67" t="s">
        <v>268</v>
      </c>
      <c r="C1711" s="68">
        <v>0.25</v>
      </c>
      <c r="D1711" s="68">
        <v>0.5</v>
      </c>
      <c r="E1711" s="68">
        <v>4.0</v>
      </c>
      <c r="F1711" s="68">
        <v>4.0</v>
      </c>
      <c r="G1711" s="68">
        <v>8.96693387563049</v>
      </c>
      <c r="H1711" s="68">
        <v>302.737482145988</v>
      </c>
      <c r="I1711" s="69">
        <v>44321.071597222224</v>
      </c>
      <c r="J1711" s="69">
        <v>44321.07633101852</v>
      </c>
      <c r="K1711">
        <f>AVERAGE(H1707:H1711)</f>
        <v>140.270078</v>
      </c>
      <c r="L1711">
        <f>STDEV(H1707:H1711)</f>
        <v>148.5453662</v>
      </c>
      <c r="M1711" s="70">
        <v>302.737482145988</v>
      </c>
      <c r="N1711" s="70">
        <v>302.737482145988</v>
      </c>
      <c r="O1711" s="70">
        <v>8.96693387563049</v>
      </c>
      <c r="P1711" s="70">
        <v>8.96693387563049</v>
      </c>
    </row>
    <row r="1712" hidden="1">
      <c r="A1712" s="67" t="s">
        <v>2472</v>
      </c>
      <c r="B1712" s="67" t="s">
        <v>268</v>
      </c>
      <c r="C1712" s="68">
        <v>0.25</v>
      </c>
      <c r="D1712" s="68">
        <v>0.75</v>
      </c>
      <c r="E1712" s="68">
        <v>4.0</v>
      </c>
      <c r="F1712" s="68">
        <v>0.0</v>
      </c>
      <c r="G1712" s="68">
        <v>3.3179862960933</v>
      </c>
      <c r="H1712" s="68">
        <v>153.914648974993</v>
      </c>
      <c r="I1712" s="69">
        <v>44321.07702546296</v>
      </c>
      <c r="J1712" s="69">
        <v>44321.135358796295</v>
      </c>
      <c r="K1712">
        <f>AVERAGE(H1712:H1716)</f>
        <v>137.8408102</v>
      </c>
      <c r="L1712">
        <f>STDEV(H1712:H1716)</f>
        <v>103.2236676</v>
      </c>
      <c r="M1712" s="70">
        <v>153.914648974993</v>
      </c>
      <c r="N1712" s="70">
        <v>153.914648974993</v>
      </c>
      <c r="O1712" s="70">
        <v>3.3179862960933</v>
      </c>
      <c r="P1712" s="70">
        <v>3.3179862960933</v>
      </c>
    </row>
    <row r="1713" hidden="1">
      <c r="A1713" s="67" t="s">
        <v>2473</v>
      </c>
      <c r="B1713" s="67" t="s">
        <v>268</v>
      </c>
      <c r="C1713" s="68">
        <v>0.25</v>
      </c>
      <c r="D1713" s="68">
        <v>0.75</v>
      </c>
      <c r="E1713" s="68">
        <v>4.0</v>
      </c>
      <c r="F1713" s="68">
        <v>1.0</v>
      </c>
      <c r="G1713" s="68">
        <v>1.3507722819561</v>
      </c>
      <c r="H1713" s="68">
        <v>69.4230778280268</v>
      </c>
      <c r="I1713" s="69">
        <v>44321.13606481482</v>
      </c>
      <c r="J1713" s="69">
        <v>44321.13719907407</v>
      </c>
      <c r="K1713">
        <f>AVERAGE(H1712:H1716)</f>
        <v>137.8408102</v>
      </c>
      <c r="L1713">
        <f>STDEV(H1712:H1716)</f>
        <v>103.2236676</v>
      </c>
      <c r="M1713" s="70">
        <v>69.4230778280268</v>
      </c>
      <c r="N1713" s="70">
        <v>69.4230778280268</v>
      </c>
      <c r="O1713" s="70">
        <v>1.3507722819561</v>
      </c>
      <c r="P1713" s="70">
        <v>1.3507722819561</v>
      </c>
    </row>
    <row r="1714" hidden="1">
      <c r="A1714" s="67" t="s">
        <v>2474</v>
      </c>
      <c r="B1714" s="67" t="s">
        <v>268</v>
      </c>
      <c r="C1714" s="68">
        <v>0.25</v>
      </c>
      <c r="D1714" s="68">
        <v>0.75</v>
      </c>
      <c r="E1714" s="68">
        <v>4.0</v>
      </c>
      <c r="F1714" s="68">
        <v>2.0</v>
      </c>
      <c r="G1714" s="68">
        <v>1.36513615288578</v>
      </c>
      <c r="H1714" s="68">
        <v>19.1008589775035</v>
      </c>
      <c r="I1714" s="69">
        <v>44321.13790509259</v>
      </c>
      <c r="J1714" s="69">
        <v>44321.13858796296</v>
      </c>
      <c r="K1714">
        <f>AVERAGE(H1712:H1716)</f>
        <v>137.8408102</v>
      </c>
      <c r="L1714">
        <f>STDEV(H1712:H1716)</f>
        <v>103.2236676</v>
      </c>
      <c r="M1714" s="70">
        <v>19.1008589775035</v>
      </c>
      <c r="N1714" s="70">
        <v>19.1008589775035</v>
      </c>
      <c r="O1714" s="70">
        <v>1.36513615288578</v>
      </c>
      <c r="P1714" s="70">
        <v>1.36513615288578</v>
      </c>
    </row>
    <row r="1715" hidden="1">
      <c r="A1715" s="67" t="s">
        <v>2475</v>
      </c>
      <c r="B1715" s="67" t="s">
        <v>268</v>
      </c>
      <c r="C1715" s="68">
        <v>0.25</v>
      </c>
      <c r="D1715" s="68">
        <v>0.75</v>
      </c>
      <c r="E1715" s="68">
        <v>4.0</v>
      </c>
      <c r="F1715" s="68">
        <v>3.0</v>
      </c>
      <c r="G1715" s="68">
        <v>5.07169775167422</v>
      </c>
      <c r="H1715" s="68">
        <v>156.498015315717</v>
      </c>
      <c r="I1715" s="69">
        <v>44321.13929398148</v>
      </c>
      <c r="J1715" s="69">
        <v>44321.139398148145</v>
      </c>
      <c r="K1715">
        <f>AVERAGE(H1712:H1716)</f>
        <v>137.8408102</v>
      </c>
      <c r="L1715">
        <f>STDEV(H1712:H1716)</f>
        <v>103.2236676</v>
      </c>
      <c r="M1715" s="70">
        <v>156.498015315717</v>
      </c>
      <c r="N1715" s="70">
        <v>156.498015315717</v>
      </c>
      <c r="O1715" s="70">
        <v>5.07169775167422</v>
      </c>
      <c r="P1715" s="70">
        <v>5.07169775167422</v>
      </c>
    </row>
    <row r="1716" hidden="1">
      <c r="A1716" s="67" t="s">
        <v>2476</v>
      </c>
      <c r="B1716" s="67" t="s">
        <v>268</v>
      </c>
      <c r="C1716" s="68">
        <v>0.25</v>
      </c>
      <c r="D1716" s="68">
        <v>0.75</v>
      </c>
      <c r="E1716" s="68">
        <v>4.0</v>
      </c>
      <c r="F1716" s="68">
        <v>4.0</v>
      </c>
      <c r="G1716" s="68">
        <v>8.39497891507685</v>
      </c>
      <c r="H1716" s="68">
        <v>290.267449962048</v>
      </c>
      <c r="I1716" s="69">
        <v>44321.14010416667</v>
      </c>
      <c r="J1716" s="69">
        <v>44321.14071759259</v>
      </c>
      <c r="K1716">
        <f>AVERAGE(H1712:H1716)</f>
        <v>137.8408102</v>
      </c>
      <c r="L1716">
        <f>STDEV(H1712:H1716)</f>
        <v>103.2236676</v>
      </c>
      <c r="M1716" s="70">
        <v>290.267449962048</v>
      </c>
      <c r="N1716" s="70">
        <v>290.267449962048</v>
      </c>
      <c r="O1716" s="70">
        <v>8.39497891507685</v>
      </c>
      <c r="P1716" s="70">
        <v>8.39497891507685</v>
      </c>
    </row>
    <row r="1717" hidden="1">
      <c r="A1717" s="67" t="s">
        <v>2477</v>
      </c>
      <c r="B1717" s="67" t="s">
        <v>268</v>
      </c>
      <c r="C1717" s="68">
        <v>0.25</v>
      </c>
      <c r="D1717" s="68">
        <v>1.0</v>
      </c>
      <c r="E1717" s="68">
        <v>4.0</v>
      </c>
      <c r="F1717" s="68">
        <v>0.0</v>
      </c>
      <c r="G1717" s="68">
        <v>8.19271106903019</v>
      </c>
      <c r="H1717" s="68">
        <v>285.62250968398</v>
      </c>
      <c r="I1717" s="69">
        <v>44321.14142361111</v>
      </c>
      <c r="J1717" s="69">
        <v>44321.142013888886</v>
      </c>
      <c r="K1717">
        <f>AVERAGE(H1717:H1721)</f>
        <v>152.9638865</v>
      </c>
      <c r="L1717">
        <f>STDEV(H1717:H1721)</f>
        <v>107.7797625</v>
      </c>
      <c r="M1717" s="70">
        <v>285.62250968398</v>
      </c>
      <c r="N1717" s="70">
        <v>285.62250968398</v>
      </c>
      <c r="O1717" s="70">
        <v>8.19271106903019</v>
      </c>
      <c r="P1717" s="70">
        <v>8.19271106903019</v>
      </c>
    </row>
    <row r="1718" hidden="1">
      <c r="A1718" s="67" t="s">
        <v>2478</v>
      </c>
      <c r="B1718" s="67" t="s">
        <v>268</v>
      </c>
      <c r="C1718" s="68">
        <v>0.25</v>
      </c>
      <c r="D1718" s="68">
        <v>1.0</v>
      </c>
      <c r="E1718" s="68">
        <v>4.0</v>
      </c>
      <c r="F1718" s="68">
        <v>1.0</v>
      </c>
      <c r="G1718" s="68">
        <v>0.71205655889852</v>
      </c>
      <c r="H1718" s="68">
        <v>0.948977832482219</v>
      </c>
      <c r="I1718" s="69">
        <v>44321.14271990741</v>
      </c>
      <c r="J1718" s="69">
        <v>44321.14297453704</v>
      </c>
      <c r="K1718">
        <f>AVERAGE(H1717:H1721)</f>
        <v>152.9638865</v>
      </c>
      <c r="L1718">
        <f>STDEV(H1717:H1721)</f>
        <v>107.7797625</v>
      </c>
      <c r="M1718" s="70">
        <v>0.948977832482219</v>
      </c>
      <c r="N1718" s="70">
        <v>0.948977832482219</v>
      </c>
      <c r="O1718" s="70">
        <v>0.71205655889852</v>
      </c>
      <c r="P1718" s="70">
        <v>0.71205655889852</v>
      </c>
    </row>
    <row r="1719" hidden="1">
      <c r="A1719" s="67" t="s">
        <v>2479</v>
      </c>
      <c r="B1719" s="67" t="s">
        <v>268</v>
      </c>
      <c r="C1719" s="68">
        <v>0.25</v>
      </c>
      <c r="D1719" s="68">
        <v>1.0</v>
      </c>
      <c r="E1719" s="68">
        <v>4.0</v>
      </c>
      <c r="F1719" s="68">
        <v>2.0</v>
      </c>
      <c r="G1719" s="68">
        <v>4.76991819511135</v>
      </c>
      <c r="H1719" s="68">
        <v>160.89691270073</v>
      </c>
      <c r="I1719" s="69">
        <v>44321.14368055556</v>
      </c>
      <c r="J1719" s="69">
        <v>44321.14392361111</v>
      </c>
      <c r="K1719">
        <f>AVERAGE(H1717:H1721)</f>
        <v>152.9638865</v>
      </c>
      <c r="L1719">
        <f>STDEV(H1717:H1721)</f>
        <v>107.7797625</v>
      </c>
      <c r="M1719" s="70">
        <v>160.89691270073</v>
      </c>
      <c r="N1719" s="70">
        <v>160.89691270073</v>
      </c>
      <c r="O1719" s="70">
        <v>4.76991819511135</v>
      </c>
      <c r="P1719" s="70">
        <v>4.76991819511135</v>
      </c>
    </row>
    <row r="1720" hidden="1">
      <c r="A1720" s="67" t="s">
        <v>2480</v>
      </c>
      <c r="B1720" s="67" t="s">
        <v>268</v>
      </c>
      <c r="C1720" s="68">
        <v>0.25</v>
      </c>
      <c r="D1720" s="68">
        <v>1.0</v>
      </c>
      <c r="E1720" s="68">
        <v>4.0</v>
      </c>
      <c r="F1720" s="68">
        <v>3.0</v>
      </c>
      <c r="G1720" s="68">
        <v>2.15430363329306</v>
      </c>
      <c r="H1720" s="68">
        <v>105.614759645346</v>
      </c>
      <c r="I1720" s="69">
        <v>44321.14462962963</v>
      </c>
      <c r="J1720" s="69">
        <v>44321.19527777778</v>
      </c>
      <c r="K1720">
        <f>AVERAGE(H1717:H1721)</f>
        <v>152.9638865</v>
      </c>
      <c r="L1720">
        <f>STDEV(H1717:H1721)</f>
        <v>107.7797625</v>
      </c>
      <c r="M1720" s="70">
        <v>105.614759645346</v>
      </c>
      <c r="N1720" s="70">
        <v>105.614759645346</v>
      </c>
      <c r="O1720" s="70">
        <v>2.15430363329306</v>
      </c>
      <c r="P1720" s="70">
        <v>2.15430363329306</v>
      </c>
    </row>
    <row r="1721" hidden="1">
      <c r="A1721" s="67" t="s">
        <v>2481</v>
      </c>
      <c r="B1721" s="67" t="s">
        <v>268</v>
      </c>
      <c r="C1721" s="68">
        <v>0.25</v>
      </c>
      <c r="D1721" s="68">
        <v>1.0</v>
      </c>
      <c r="E1721" s="68">
        <v>4.0</v>
      </c>
      <c r="F1721" s="68">
        <v>4.0</v>
      </c>
      <c r="G1721" s="68">
        <v>5.20046805696326</v>
      </c>
      <c r="H1721" s="68">
        <v>211.73627260104</v>
      </c>
      <c r="I1721" s="69">
        <v>44321.19598379629</v>
      </c>
      <c r="J1721" s="69">
        <v>44321.19917824074</v>
      </c>
      <c r="K1721">
        <f>AVERAGE(H1717:H1721)</f>
        <v>152.9638865</v>
      </c>
      <c r="L1721">
        <f>STDEV(H1717:H1721)</f>
        <v>107.7797625</v>
      </c>
      <c r="M1721" s="70">
        <v>211.73627260104</v>
      </c>
      <c r="N1721" s="70">
        <v>211.73627260104</v>
      </c>
      <c r="O1721" s="70">
        <v>5.20046805696326</v>
      </c>
      <c r="P1721" s="70">
        <v>5.20046805696326</v>
      </c>
    </row>
    <row r="1722" hidden="1">
      <c r="A1722" s="67" t="s">
        <v>2482</v>
      </c>
      <c r="B1722" s="67" t="s">
        <v>268</v>
      </c>
      <c r="C1722" s="68">
        <v>0.5</v>
      </c>
      <c r="D1722" s="68">
        <v>0.1</v>
      </c>
      <c r="E1722" s="68">
        <v>4.0</v>
      </c>
      <c r="F1722" s="68">
        <v>0.0</v>
      </c>
      <c r="G1722" s="68">
        <v>4.35491686363374</v>
      </c>
      <c r="H1722" s="68">
        <v>201.001389537525</v>
      </c>
      <c r="I1722" s="69">
        <v>44321.19988425926</v>
      </c>
      <c r="J1722" s="69">
        <v>44321.20361111111</v>
      </c>
      <c r="K1722">
        <f>AVERAGE(H1722:H1726)</f>
        <v>71.32283111</v>
      </c>
      <c r="L1722">
        <f>STDEV(H1722:H1726)</f>
        <v>98.22065253</v>
      </c>
      <c r="M1722" s="70">
        <v>201.001389537525</v>
      </c>
      <c r="N1722" s="70">
        <v>201.001389537525</v>
      </c>
      <c r="O1722" s="70">
        <v>4.35491686363374</v>
      </c>
      <c r="P1722" s="70">
        <v>4.35491686363374</v>
      </c>
    </row>
    <row r="1723" hidden="1">
      <c r="A1723" s="67" t="s">
        <v>2483</v>
      </c>
      <c r="B1723" s="67" t="s">
        <v>268</v>
      </c>
      <c r="C1723" s="68">
        <v>0.5</v>
      </c>
      <c r="D1723" s="68">
        <v>0.1</v>
      </c>
      <c r="E1723" s="68">
        <v>4.0</v>
      </c>
      <c r="F1723" s="68">
        <v>1.0</v>
      </c>
      <c r="G1723" s="68">
        <v>0.319096105615425</v>
      </c>
      <c r="H1723" s="68">
        <v>0.408517979006142</v>
      </c>
      <c r="I1723" s="69">
        <v>44321.20431712963</v>
      </c>
      <c r="J1723" s="69">
        <v>44321.204375</v>
      </c>
      <c r="K1723">
        <f>AVERAGE(H1722:H1726)</f>
        <v>71.32283111</v>
      </c>
      <c r="L1723">
        <f>STDEV(H1722:H1726)</f>
        <v>98.22065253</v>
      </c>
      <c r="M1723" s="70">
        <v>0.408517979006142</v>
      </c>
      <c r="N1723" s="70">
        <v>0.408517979006142</v>
      </c>
      <c r="O1723" s="70">
        <v>0.319096105615425</v>
      </c>
      <c r="P1723" s="70">
        <v>0.319096105615425</v>
      </c>
    </row>
    <row r="1724" hidden="1">
      <c r="A1724" s="67" t="s">
        <v>2484</v>
      </c>
      <c r="B1724" s="67" t="s">
        <v>268</v>
      </c>
      <c r="C1724" s="68">
        <v>0.5</v>
      </c>
      <c r="D1724" s="68">
        <v>0.1</v>
      </c>
      <c r="E1724" s="68">
        <v>4.0</v>
      </c>
      <c r="F1724" s="68">
        <v>2.0</v>
      </c>
      <c r="G1724" s="68">
        <v>0.738388919616822</v>
      </c>
      <c r="H1724" s="68">
        <v>0.954404004182583</v>
      </c>
      <c r="I1724" s="69">
        <v>44321.20508101852</v>
      </c>
      <c r="J1724" s="69">
        <v>44321.2053125</v>
      </c>
      <c r="K1724">
        <f>AVERAGE(H1722:H1726)</f>
        <v>71.32283111</v>
      </c>
      <c r="L1724">
        <f>STDEV(H1722:H1726)</f>
        <v>98.22065253</v>
      </c>
      <c r="M1724" s="70">
        <v>0.954404004182583</v>
      </c>
      <c r="N1724" s="70">
        <v>0.954404004182583</v>
      </c>
      <c r="O1724" s="70">
        <v>0.738388919616822</v>
      </c>
      <c r="P1724" s="70">
        <v>0.738388919616822</v>
      </c>
    </row>
    <row r="1725" hidden="1">
      <c r="A1725" s="67" t="s">
        <v>2485</v>
      </c>
      <c r="B1725" s="67" t="s">
        <v>268</v>
      </c>
      <c r="C1725" s="68">
        <v>0.5</v>
      </c>
      <c r="D1725" s="68">
        <v>0.1</v>
      </c>
      <c r="E1725" s="68">
        <v>4.0</v>
      </c>
      <c r="F1725" s="68">
        <v>3.0</v>
      </c>
      <c r="G1725" s="68">
        <v>3.48959222477293</v>
      </c>
      <c r="H1725" s="68">
        <v>153.691148127042</v>
      </c>
      <c r="I1725" s="69">
        <v>44321.20601851852</v>
      </c>
      <c r="J1725" s="69">
        <v>44321.2527662037</v>
      </c>
      <c r="K1725">
        <f>AVERAGE(H1722:H1726)</f>
        <v>71.32283111</v>
      </c>
      <c r="L1725">
        <f>STDEV(H1722:H1726)</f>
        <v>98.22065253</v>
      </c>
      <c r="M1725" s="70">
        <v>153.691148127042</v>
      </c>
      <c r="N1725" s="70">
        <v>153.691148127042</v>
      </c>
      <c r="O1725" s="70">
        <v>3.48959222477293</v>
      </c>
      <c r="P1725" s="70">
        <v>3.48959222477293</v>
      </c>
    </row>
    <row r="1726" hidden="1">
      <c r="A1726" s="67" t="s">
        <v>2486</v>
      </c>
      <c r="B1726" s="67" t="s">
        <v>268</v>
      </c>
      <c r="C1726" s="68">
        <v>0.5</v>
      </c>
      <c r="D1726" s="68">
        <v>0.1</v>
      </c>
      <c r="E1726" s="68">
        <v>4.0</v>
      </c>
      <c r="F1726" s="68">
        <v>4.0</v>
      </c>
      <c r="G1726" s="68">
        <v>0.466571368588897</v>
      </c>
      <c r="H1726" s="68">
        <v>0.558695892100037</v>
      </c>
      <c r="I1726" s="69">
        <v>44321.25347222222</v>
      </c>
      <c r="J1726" s="69">
        <v>44321.253657407404</v>
      </c>
      <c r="K1726">
        <f>AVERAGE(H1722:H1726)</f>
        <v>71.32283111</v>
      </c>
      <c r="L1726">
        <f>STDEV(H1722:H1726)</f>
        <v>98.22065253</v>
      </c>
      <c r="M1726" s="70">
        <v>0.558695892100037</v>
      </c>
      <c r="N1726" s="70">
        <v>0.558695892100037</v>
      </c>
      <c r="O1726" s="70">
        <v>0.466571368588897</v>
      </c>
      <c r="P1726" s="70">
        <v>0.466571368588897</v>
      </c>
    </row>
    <row r="1727" hidden="1">
      <c r="A1727" s="67" t="s">
        <v>2487</v>
      </c>
      <c r="B1727" s="67" t="s">
        <v>268</v>
      </c>
      <c r="C1727" s="68">
        <v>0.5</v>
      </c>
      <c r="D1727" s="68">
        <v>0.25</v>
      </c>
      <c r="E1727" s="68">
        <v>4.0</v>
      </c>
      <c r="F1727" s="68">
        <v>0.0</v>
      </c>
      <c r="G1727" s="68">
        <v>5.0444863255513</v>
      </c>
      <c r="H1727" s="68">
        <v>156.177807875496</v>
      </c>
      <c r="I1727" s="69">
        <v>44321.25436342593</v>
      </c>
      <c r="J1727" s="69">
        <v>44321.25446759259</v>
      </c>
      <c r="K1727">
        <f>AVERAGE(H1727:H1731)</f>
        <v>125.1674247</v>
      </c>
      <c r="L1727">
        <f>STDEV(H1727:H1731)</f>
        <v>77.47434129</v>
      </c>
      <c r="M1727" s="70">
        <v>156.177807875496</v>
      </c>
      <c r="N1727" s="70">
        <v>156.177807875496</v>
      </c>
      <c r="O1727" s="70">
        <v>5.0444863255513</v>
      </c>
      <c r="P1727" s="70">
        <v>5.0444863255513</v>
      </c>
    </row>
    <row r="1728" hidden="1">
      <c r="A1728" s="67" t="s">
        <v>2488</v>
      </c>
      <c r="B1728" s="67" t="s">
        <v>268</v>
      </c>
      <c r="C1728" s="68">
        <v>0.5</v>
      </c>
      <c r="D1728" s="68">
        <v>0.25</v>
      </c>
      <c r="E1728" s="68">
        <v>4.0</v>
      </c>
      <c r="F1728" s="68">
        <v>1.0</v>
      </c>
      <c r="G1728" s="68">
        <v>8.00479936771342</v>
      </c>
      <c r="H1728" s="68">
        <v>193.267486018619</v>
      </c>
      <c r="I1728" s="69">
        <v>44321.25517361111</v>
      </c>
      <c r="J1728" s="69">
        <v>44321.255219907405</v>
      </c>
      <c r="K1728">
        <f>AVERAGE(H1727:H1731)</f>
        <v>125.1674247</v>
      </c>
      <c r="L1728">
        <f>STDEV(H1727:H1731)</f>
        <v>77.47434129</v>
      </c>
      <c r="M1728" s="70">
        <v>193.267486018619</v>
      </c>
      <c r="N1728" s="70">
        <v>193.267486018619</v>
      </c>
      <c r="O1728" s="70">
        <v>8.00479936771342</v>
      </c>
      <c r="P1728" s="70">
        <v>8.00479936771342</v>
      </c>
    </row>
    <row r="1729" hidden="1">
      <c r="A1729" s="67" t="s">
        <v>2489</v>
      </c>
      <c r="B1729" s="67" t="s">
        <v>268</v>
      </c>
      <c r="C1729" s="68">
        <v>0.5</v>
      </c>
      <c r="D1729" s="68">
        <v>0.25</v>
      </c>
      <c r="E1729" s="68">
        <v>4.0</v>
      </c>
      <c r="F1729" s="68">
        <v>2.0</v>
      </c>
      <c r="G1729" s="68">
        <v>3.73794068877781</v>
      </c>
      <c r="H1729" s="68">
        <v>174.220765455089</v>
      </c>
      <c r="I1729" s="69">
        <v>44321.25592592593</v>
      </c>
      <c r="J1729" s="69">
        <v>44321.32233796296</v>
      </c>
      <c r="K1729">
        <f>AVERAGE(H1727:H1731)</f>
        <v>125.1674247</v>
      </c>
      <c r="L1729">
        <f>STDEV(H1727:H1731)</f>
        <v>77.47434129</v>
      </c>
      <c r="M1729" s="70">
        <v>174.220765455089</v>
      </c>
      <c r="N1729" s="70">
        <v>174.220765455089</v>
      </c>
      <c r="O1729" s="70">
        <v>3.73794068877781</v>
      </c>
      <c r="P1729" s="70">
        <v>3.73794068877781</v>
      </c>
    </row>
    <row r="1730" hidden="1">
      <c r="A1730" s="67" t="s">
        <v>2490</v>
      </c>
      <c r="B1730" s="67" t="s">
        <v>268</v>
      </c>
      <c r="C1730" s="68">
        <v>0.5</v>
      </c>
      <c r="D1730" s="68">
        <v>0.25</v>
      </c>
      <c r="E1730" s="68">
        <v>4.0</v>
      </c>
      <c r="F1730" s="68">
        <v>3.0</v>
      </c>
      <c r="G1730" s="68">
        <v>0.71205655889852</v>
      </c>
      <c r="H1730" s="68">
        <v>0.948977832482219</v>
      </c>
      <c r="I1730" s="69">
        <v>44321.32304398148</v>
      </c>
      <c r="J1730" s="69">
        <v>44321.323287037034</v>
      </c>
      <c r="K1730">
        <f>AVERAGE(H1727:H1731)</f>
        <v>125.1674247</v>
      </c>
      <c r="L1730">
        <f>STDEV(H1727:H1731)</f>
        <v>77.47434129</v>
      </c>
      <c r="M1730" s="70">
        <v>0.948977832482219</v>
      </c>
      <c r="N1730" s="70">
        <v>0.948977832482219</v>
      </c>
      <c r="O1730" s="70">
        <v>0.71205655889852</v>
      </c>
      <c r="P1730" s="70">
        <v>0.71205655889852</v>
      </c>
    </row>
    <row r="1731" hidden="1">
      <c r="A1731" s="67" t="s">
        <v>2491</v>
      </c>
      <c r="B1731" s="67" t="s">
        <v>268</v>
      </c>
      <c r="C1731" s="68">
        <v>0.5</v>
      </c>
      <c r="D1731" s="68">
        <v>0.25</v>
      </c>
      <c r="E1731" s="68">
        <v>4.0</v>
      </c>
      <c r="F1731" s="68">
        <v>4.0</v>
      </c>
      <c r="G1731" s="68">
        <v>2.3896065607411</v>
      </c>
      <c r="H1731" s="68">
        <v>101.222086199566</v>
      </c>
      <c r="I1731" s="69">
        <v>44321.32400462963</v>
      </c>
      <c r="J1731" s="69">
        <v>44321.32943287037</v>
      </c>
      <c r="K1731">
        <f>AVERAGE(H1727:H1731)</f>
        <v>125.1674247</v>
      </c>
      <c r="L1731">
        <f>STDEV(H1727:H1731)</f>
        <v>77.47434129</v>
      </c>
      <c r="M1731" s="70">
        <v>101.222086199566</v>
      </c>
      <c r="N1731" s="70">
        <v>101.222086199566</v>
      </c>
      <c r="O1731" s="70">
        <v>2.3896065607411</v>
      </c>
      <c r="P1731" s="70">
        <v>2.3896065607411</v>
      </c>
    </row>
    <row r="1732" hidden="1">
      <c r="A1732" s="67" t="s">
        <v>2492</v>
      </c>
      <c r="B1732" s="67" t="s">
        <v>268</v>
      </c>
      <c r="C1732" s="68">
        <v>0.5</v>
      </c>
      <c r="D1732" s="68">
        <v>0.5</v>
      </c>
      <c r="E1732" s="68">
        <v>4.0</v>
      </c>
      <c r="F1732" s="68">
        <v>0.0</v>
      </c>
      <c r="G1732" s="68">
        <v>3.55843820421956</v>
      </c>
      <c r="H1732" s="68">
        <v>167.051356087413</v>
      </c>
      <c r="I1732" s="69">
        <v>44321.33013888889</v>
      </c>
      <c r="J1732" s="69">
        <v>44321.40112268519</v>
      </c>
      <c r="K1732">
        <f>AVERAGE(H1732:H1736)</f>
        <v>153.7108579</v>
      </c>
      <c r="L1732">
        <f>STDEV(H1732:H1736)</f>
        <v>52.52454227</v>
      </c>
      <c r="M1732" s="70">
        <v>167.051356087413</v>
      </c>
      <c r="N1732" s="70">
        <v>167.051356087413</v>
      </c>
      <c r="O1732" s="70">
        <v>3.55843820421956</v>
      </c>
      <c r="P1732" s="70">
        <v>3.55843820421956</v>
      </c>
    </row>
    <row r="1733" hidden="1">
      <c r="A1733" s="67" t="s">
        <v>2493</v>
      </c>
      <c r="B1733" s="67" t="s">
        <v>268</v>
      </c>
      <c r="C1733" s="68">
        <v>0.5</v>
      </c>
      <c r="D1733" s="68">
        <v>0.5</v>
      </c>
      <c r="E1733" s="68">
        <v>4.0</v>
      </c>
      <c r="F1733" s="68">
        <v>1.0</v>
      </c>
      <c r="G1733" s="68">
        <v>1.46445252599949</v>
      </c>
      <c r="H1733" s="68">
        <v>73.6456506964454</v>
      </c>
      <c r="I1733" s="69">
        <v>44321.4018287037</v>
      </c>
      <c r="J1733" s="69">
        <v>44321.40278935185</v>
      </c>
      <c r="K1733">
        <f>AVERAGE(H1732:H1736)</f>
        <v>153.7108579</v>
      </c>
      <c r="L1733">
        <f>STDEV(H1732:H1736)</f>
        <v>52.52454227</v>
      </c>
      <c r="M1733" s="70">
        <v>73.6456506964454</v>
      </c>
      <c r="N1733" s="70">
        <v>73.6456506964454</v>
      </c>
      <c r="O1733" s="70">
        <v>1.46445252599949</v>
      </c>
      <c r="P1733" s="70">
        <v>1.46445252599949</v>
      </c>
    </row>
    <row r="1734" hidden="1">
      <c r="A1734" s="67" t="s">
        <v>2494</v>
      </c>
      <c r="B1734" s="67" t="s">
        <v>268</v>
      </c>
      <c r="C1734" s="68">
        <v>0.5</v>
      </c>
      <c r="D1734" s="68">
        <v>0.5</v>
      </c>
      <c r="E1734" s="68">
        <v>4.0</v>
      </c>
      <c r="F1734" s="68">
        <v>2.0</v>
      </c>
      <c r="G1734" s="68">
        <v>7.0056107045793</v>
      </c>
      <c r="H1734" s="68">
        <v>203.019270926075</v>
      </c>
      <c r="I1734" s="69">
        <v>44321.403495370374</v>
      </c>
      <c r="J1734" s="69">
        <v>44321.40357638889</v>
      </c>
      <c r="K1734">
        <f>AVERAGE(H1732:H1736)</f>
        <v>153.7108579</v>
      </c>
      <c r="L1734">
        <f>STDEV(H1732:H1736)</f>
        <v>52.52454227</v>
      </c>
      <c r="M1734" s="70">
        <v>203.019270926075</v>
      </c>
      <c r="N1734" s="70">
        <v>203.019270926075</v>
      </c>
      <c r="O1734" s="70">
        <v>7.0056107045793</v>
      </c>
      <c r="P1734" s="70">
        <v>7.0056107045793</v>
      </c>
    </row>
    <row r="1735" hidden="1">
      <c r="A1735" s="67" t="s">
        <v>2495</v>
      </c>
      <c r="B1735" s="67" t="s">
        <v>268</v>
      </c>
      <c r="C1735" s="68">
        <v>0.5</v>
      </c>
      <c r="D1735" s="68">
        <v>0.5</v>
      </c>
      <c r="E1735" s="68">
        <v>4.0</v>
      </c>
      <c r="F1735" s="68">
        <v>3.0</v>
      </c>
      <c r="G1735" s="68">
        <v>7.97961475160596</v>
      </c>
      <c r="H1735" s="68">
        <v>192.947030664856</v>
      </c>
      <c r="I1735" s="69">
        <v>44321.404282407406</v>
      </c>
      <c r="J1735" s="69">
        <v>44321.404328703706</v>
      </c>
      <c r="K1735">
        <f>AVERAGE(H1732:H1736)</f>
        <v>153.7108579</v>
      </c>
      <c r="L1735">
        <f>STDEV(H1732:H1736)</f>
        <v>52.52454227</v>
      </c>
      <c r="M1735" s="70">
        <v>192.947030664856</v>
      </c>
      <c r="N1735" s="70">
        <v>192.947030664856</v>
      </c>
      <c r="O1735" s="70">
        <v>7.97961475160596</v>
      </c>
      <c r="P1735" s="70">
        <v>7.97961475160596</v>
      </c>
    </row>
    <row r="1736" hidden="1">
      <c r="A1736" s="67" t="s">
        <v>2496</v>
      </c>
      <c r="B1736" s="67" t="s">
        <v>268</v>
      </c>
      <c r="C1736" s="68">
        <v>0.5</v>
      </c>
      <c r="D1736" s="68">
        <v>0.5</v>
      </c>
      <c r="E1736" s="68">
        <v>4.0</v>
      </c>
      <c r="F1736" s="68">
        <v>4.0</v>
      </c>
      <c r="G1736" s="68">
        <v>2.49114450253838</v>
      </c>
      <c r="H1736" s="68">
        <v>131.89098122686</v>
      </c>
      <c r="I1736" s="69">
        <v>44321.40503472222</v>
      </c>
      <c r="J1736" s="69">
        <v>44321.405277777776</v>
      </c>
      <c r="K1736">
        <f>AVERAGE(H1732:H1736)</f>
        <v>153.7108579</v>
      </c>
      <c r="L1736">
        <f>STDEV(H1732:H1736)</f>
        <v>52.52454227</v>
      </c>
      <c r="M1736" s="70">
        <v>131.89098122686</v>
      </c>
      <c r="N1736" s="70">
        <v>131.89098122686</v>
      </c>
      <c r="O1736" s="70">
        <v>2.49114450253838</v>
      </c>
      <c r="P1736" s="70">
        <v>2.49114450253838</v>
      </c>
    </row>
    <row r="1737" hidden="1">
      <c r="A1737" s="67" t="s">
        <v>2497</v>
      </c>
      <c r="B1737" s="67" t="s">
        <v>268</v>
      </c>
      <c r="C1737" s="68">
        <v>0.5</v>
      </c>
      <c r="D1737" s="68">
        <v>0.75</v>
      </c>
      <c r="E1737" s="68">
        <v>4.0</v>
      </c>
      <c r="F1737" s="68">
        <v>0.0</v>
      </c>
      <c r="G1737" s="68">
        <v>4.6011503499323</v>
      </c>
      <c r="H1737" s="68">
        <v>191.011374932949</v>
      </c>
      <c r="I1737" s="69">
        <v>44321.40599537037</v>
      </c>
      <c r="J1737" s="69">
        <v>44321.43854166667</v>
      </c>
      <c r="K1737">
        <f>AVERAGE(H1737:H1741)</f>
        <v>88.21766342</v>
      </c>
      <c r="L1737">
        <f>STDEV(H1737:H1741)</f>
        <v>87.21940946</v>
      </c>
      <c r="M1737" s="70">
        <v>191.011374932949</v>
      </c>
      <c r="N1737" s="70">
        <v>191.011374932949</v>
      </c>
      <c r="O1737" s="70">
        <v>4.6011503499323</v>
      </c>
      <c r="P1737" s="70">
        <v>4.6011503499323</v>
      </c>
    </row>
    <row r="1738" hidden="1">
      <c r="A1738" s="67" t="s">
        <v>2498</v>
      </c>
      <c r="B1738" s="67" t="s">
        <v>268</v>
      </c>
      <c r="C1738" s="68">
        <v>0.5</v>
      </c>
      <c r="D1738" s="68">
        <v>0.75</v>
      </c>
      <c r="E1738" s="68">
        <v>4.0</v>
      </c>
      <c r="F1738" s="68">
        <v>1.0</v>
      </c>
      <c r="G1738" s="68">
        <v>1.95276322448291</v>
      </c>
      <c r="H1738" s="68">
        <v>84.8707870434727</v>
      </c>
      <c r="I1738" s="69">
        <v>44321.439247685186</v>
      </c>
      <c r="J1738" s="69">
        <v>44321.44336805555</v>
      </c>
      <c r="K1738">
        <f>AVERAGE(H1737:H1741)</f>
        <v>88.21766342</v>
      </c>
      <c r="L1738">
        <f>STDEV(H1737:H1741)</f>
        <v>87.21940946</v>
      </c>
      <c r="M1738" s="70">
        <v>84.8707870434727</v>
      </c>
      <c r="N1738" s="70">
        <v>84.8707870434727</v>
      </c>
      <c r="O1738" s="70">
        <v>1.95276322448291</v>
      </c>
      <c r="P1738" s="70">
        <v>1.95276322448291</v>
      </c>
    </row>
    <row r="1739" hidden="1">
      <c r="A1739" s="67" t="s">
        <v>2499</v>
      </c>
      <c r="B1739" s="67" t="s">
        <v>268</v>
      </c>
      <c r="C1739" s="68">
        <v>0.5</v>
      </c>
      <c r="D1739" s="68">
        <v>0.75</v>
      </c>
      <c r="E1739" s="68">
        <v>4.0</v>
      </c>
      <c r="F1739" s="68">
        <v>2.0</v>
      </c>
      <c r="G1739" s="68">
        <v>0.736192093514763</v>
      </c>
      <c r="H1739" s="68">
        <v>0.950544336758399</v>
      </c>
      <c r="I1739" s="69">
        <v>44321.444074074076</v>
      </c>
      <c r="J1739" s="69">
        <v>44321.44429398148</v>
      </c>
      <c r="K1739">
        <f>AVERAGE(H1737:H1741)</f>
        <v>88.21766342</v>
      </c>
      <c r="L1739">
        <f>STDEV(H1737:H1741)</f>
        <v>87.21940946</v>
      </c>
      <c r="M1739" s="70">
        <v>0.950544336758399</v>
      </c>
      <c r="N1739" s="70">
        <v>0.950544336758399</v>
      </c>
      <c r="O1739" s="70">
        <v>0.736192093514763</v>
      </c>
      <c r="P1739" s="70">
        <v>0.736192093514763</v>
      </c>
    </row>
    <row r="1740" hidden="1">
      <c r="A1740" s="67" t="s">
        <v>2500</v>
      </c>
      <c r="B1740" s="67" t="s">
        <v>268</v>
      </c>
      <c r="C1740" s="68">
        <v>0.5</v>
      </c>
      <c r="D1740" s="68">
        <v>0.75</v>
      </c>
      <c r="E1740" s="68">
        <v>4.0</v>
      </c>
      <c r="F1740" s="68">
        <v>3.0</v>
      </c>
      <c r="G1740" s="68">
        <v>3.1734249661792</v>
      </c>
      <c r="H1740" s="68">
        <v>160.106744935653</v>
      </c>
      <c r="I1740" s="69">
        <v>44321.445</v>
      </c>
      <c r="J1740" s="69">
        <v>44321.45479166666</v>
      </c>
      <c r="K1740">
        <f>AVERAGE(H1737:H1741)</f>
        <v>88.21766342</v>
      </c>
      <c r="L1740">
        <f>STDEV(H1737:H1741)</f>
        <v>87.21940946</v>
      </c>
      <c r="M1740" s="70">
        <v>160.106744935653</v>
      </c>
      <c r="N1740" s="70">
        <v>160.106744935653</v>
      </c>
      <c r="O1740" s="70">
        <v>3.1734249661792</v>
      </c>
      <c r="P1740" s="70">
        <v>3.1734249661792</v>
      </c>
    </row>
    <row r="1741" hidden="1">
      <c r="A1741" s="67" t="s">
        <v>2501</v>
      </c>
      <c r="B1741" s="67" t="s">
        <v>268</v>
      </c>
      <c r="C1741" s="68">
        <v>0.5</v>
      </c>
      <c r="D1741" s="68">
        <v>0.75</v>
      </c>
      <c r="E1741" s="68">
        <v>4.0</v>
      </c>
      <c r="F1741" s="68">
        <v>4.0</v>
      </c>
      <c r="G1741" s="68">
        <v>2.64804552822738</v>
      </c>
      <c r="H1741" s="68">
        <v>4.14886586724848</v>
      </c>
      <c r="I1741" s="69">
        <v>44321.45549768519</v>
      </c>
      <c r="J1741" s="69">
        <v>44321.45559027778</v>
      </c>
      <c r="K1741">
        <f>AVERAGE(H1737:H1741)</f>
        <v>88.21766342</v>
      </c>
      <c r="L1741">
        <f>STDEV(H1737:H1741)</f>
        <v>87.21940946</v>
      </c>
      <c r="M1741" s="70">
        <v>4.14886586724848</v>
      </c>
      <c r="N1741" s="70">
        <v>4.14886586724848</v>
      </c>
      <c r="O1741" s="70">
        <v>2.64804552822738</v>
      </c>
      <c r="P1741" s="70">
        <v>2.64804552822738</v>
      </c>
    </row>
    <row r="1742" hidden="1">
      <c r="A1742" s="67" t="s">
        <v>2502</v>
      </c>
      <c r="B1742" s="67" t="s">
        <v>268</v>
      </c>
      <c r="C1742" s="68">
        <v>0.5</v>
      </c>
      <c r="D1742" s="68">
        <v>1.0</v>
      </c>
      <c r="E1742" s="68">
        <v>4.0</v>
      </c>
      <c r="F1742" s="68">
        <v>0.0</v>
      </c>
      <c r="G1742" s="68">
        <v>2.68844141058219</v>
      </c>
      <c r="H1742" s="68">
        <v>123.741184455542</v>
      </c>
      <c r="I1742" s="69">
        <v>44321.45630787037</v>
      </c>
      <c r="J1742" s="69">
        <v>44321.474444444444</v>
      </c>
      <c r="K1742">
        <f>AVERAGE(H1742:H1746)</f>
        <v>122.4583265</v>
      </c>
      <c r="L1742">
        <f>STDEV(H1742:H1746)</f>
        <v>77.76262533</v>
      </c>
      <c r="M1742" s="70">
        <v>123.741184455542</v>
      </c>
      <c r="N1742" s="70">
        <v>123.741184455542</v>
      </c>
      <c r="O1742" s="70">
        <v>2.68844141058219</v>
      </c>
      <c r="P1742" s="70">
        <v>2.68844141058219</v>
      </c>
    </row>
    <row r="1743" hidden="1">
      <c r="A1743" s="67" t="s">
        <v>2503</v>
      </c>
      <c r="B1743" s="67" t="s">
        <v>268</v>
      </c>
      <c r="C1743" s="68">
        <v>0.5</v>
      </c>
      <c r="D1743" s="68">
        <v>1.0</v>
      </c>
      <c r="E1743" s="68">
        <v>4.0</v>
      </c>
      <c r="F1743" s="68">
        <v>1.0</v>
      </c>
      <c r="G1743" s="68">
        <v>1.07991001504809</v>
      </c>
      <c r="H1743" s="68">
        <v>1.4504242499467</v>
      </c>
      <c r="I1743" s="69">
        <v>44321.47515046296</v>
      </c>
      <c r="J1743" s="69">
        <v>44321.475277777776</v>
      </c>
      <c r="K1743">
        <f>AVERAGE(H1742:H1746)</f>
        <v>122.4583265</v>
      </c>
      <c r="L1743">
        <f>STDEV(H1742:H1746)</f>
        <v>77.76262533</v>
      </c>
      <c r="M1743" s="70">
        <v>1.4504242499467</v>
      </c>
      <c r="N1743" s="70">
        <v>1.4504242499467</v>
      </c>
      <c r="O1743" s="70">
        <v>1.07991001504809</v>
      </c>
      <c r="P1743" s="70">
        <v>1.07991001504809</v>
      </c>
    </row>
    <row r="1744" hidden="1">
      <c r="A1744" s="67" t="s">
        <v>2504</v>
      </c>
      <c r="B1744" s="67" t="s">
        <v>268</v>
      </c>
      <c r="C1744" s="68">
        <v>0.5</v>
      </c>
      <c r="D1744" s="68">
        <v>1.0</v>
      </c>
      <c r="E1744" s="68">
        <v>4.0</v>
      </c>
      <c r="F1744" s="68">
        <v>2.0</v>
      </c>
      <c r="G1744" s="68">
        <v>2.7543934298618</v>
      </c>
      <c r="H1744" s="68">
        <v>109.773716908036</v>
      </c>
      <c r="I1744" s="69">
        <v>44321.4759837963</v>
      </c>
      <c r="J1744" s="69">
        <v>44321.478796296295</v>
      </c>
      <c r="K1744">
        <f>AVERAGE(H1742:H1746)</f>
        <v>122.4583265</v>
      </c>
      <c r="L1744">
        <f>STDEV(H1742:H1746)</f>
        <v>77.76262533</v>
      </c>
      <c r="M1744" s="70">
        <v>109.773716908036</v>
      </c>
      <c r="N1744" s="70">
        <v>109.773716908036</v>
      </c>
      <c r="O1744" s="70">
        <v>2.7543934298618</v>
      </c>
      <c r="P1744" s="70">
        <v>2.7543934298618</v>
      </c>
    </row>
    <row r="1745" hidden="1">
      <c r="A1745" s="67" t="s">
        <v>2505</v>
      </c>
      <c r="B1745" s="67" t="s">
        <v>268</v>
      </c>
      <c r="C1745" s="68">
        <v>0.5</v>
      </c>
      <c r="D1745" s="68">
        <v>1.0</v>
      </c>
      <c r="E1745" s="68">
        <v>4.0</v>
      </c>
      <c r="F1745" s="68">
        <v>3.0</v>
      </c>
      <c r="G1745" s="68">
        <v>4.52269996549692</v>
      </c>
      <c r="H1745" s="68">
        <v>171.106276016937</v>
      </c>
      <c r="I1745" s="69">
        <v>44321.47950231482</v>
      </c>
      <c r="J1745" s="69">
        <v>44321.479583333334</v>
      </c>
      <c r="K1745">
        <f>AVERAGE(H1742:H1746)</f>
        <v>122.4583265</v>
      </c>
      <c r="L1745">
        <f>STDEV(H1742:H1746)</f>
        <v>77.76262533</v>
      </c>
      <c r="M1745" s="70">
        <v>171.106276016937</v>
      </c>
      <c r="N1745" s="70">
        <v>171.106276016937</v>
      </c>
      <c r="O1745" s="70">
        <v>4.52269996549692</v>
      </c>
      <c r="P1745" s="70">
        <v>4.52269996549692</v>
      </c>
    </row>
    <row r="1746" hidden="1">
      <c r="A1746" s="67" t="s">
        <v>2506</v>
      </c>
      <c r="B1746" s="67" t="s">
        <v>268</v>
      </c>
      <c r="C1746" s="68">
        <v>0.5</v>
      </c>
      <c r="D1746" s="68">
        <v>1.0</v>
      </c>
      <c r="E1746" s="68">
        <v>4.0</v>
      </c>
      <c r="F1746" s="68">
        <v>4.0</v>
      </c>
      <c r="G1746" s="68">
        <v>4.53481537478383</v>
      </c>
      <c r="H1746" s="68">
        <v>206.220031035799</v>
      </c>
      <c r="I1746" s="69">
        <v>44321.48028935185</v>
      </c>
      <c r="J1746" s="69">
        <v>44321.50295138889</v>
      </c>
      <c r="K1746">
        <f>AVERAGE(H1742:H1746)</f>
        <v>122.4583265</v>
      </c>
      <c r="L1746">
        <f>STDEV(H1742:H1746)</f>
        <v>77.76262533</v>
      </c>
      <c r="M1746" s="70">
        <v>206.220031035799</v>
      </c>
      <c r="N1746" s="70">
        <v>206.220031035799</v>
      </c>
      <c r="O1746" s="70">
        <v>4.53481537478383</v>
      </c>
      <c r="P1746" s="70">
        <v>4.53481537478383</v>
      </c>
    </row>
    <row r="1747" hidden="1">
      <c r="A1747" s="67" t="s">
        <v>2507</v>
      </c>
      <c r="B1747" s="67" t="s">
        <v>268</v>
      </c>
      <c r="C1747" s="68">
        <v>0.75</v>
      </c>
      <c r="D1747" s="68">
        <v>0.1</v>
      </c>
      <c r="E1747" s="68">
        <v>4.0</v>
      </c>
      <c r="F1747" s="68">
        <v>0.0</v>
      </c>
      <c r="G1747" s="68">
        <v>3.8310605138234</v>
      </c>
      <c r="H1747" s="68">
        <v>175.65530468845</v>
      </c>
      <c r="I1747" s="69">
        <v>44321.503657407404</v>
      </c>
      <c r="J1747" s="69">
        <v>44321.55509259259</v>
      </c>
      <c r="K1747">
        <f>AVERAGE(H1747:H1751)</f>
        <v>93.97949258</v>
      </c>
      <c r="L1747">
        <f>STDEV(H1747:H1751)</f>
        <v>77.96270823</v>
      </c>
      <c r="M1747" s="70">
        <v>175.65530468845</v>
      </c>
      <c r="N1747" s="70">
        <v>175.65530468845</v>
      </c>
      <c r="O1747" s="70">
        <v>3.8310605138234</v>
      </c>
      <c r="P1747" s="70">
        <v>3.8310605138234</v>
      </c>
    </row>
    <row r="1748" hidden="1">
      <c r="A1748" s="67" t="s">
        <v>2508</v>
      </c>
      <c r="B1748" s="67" t="s">
        <v>268</v>
      </c>
      <c r="C1748" s="68">
        <v>0.75</v>
      </c>
      <c r="D1748" s="68">
        <v>0.1</v>
      </c>
      <c r="E1748" s="68">
        <v>4.0</v>
      </c>
      <c r="F1748" s="68">
        <v>1.0</v>
      </c>
      <c r="G1748" s="68">
        <v>1.95864237770773</v>
      </c>
      <c r="H1748" s="68">
        <v>104.202373755009</v>
      </c>
      <c r="I1748" s="69">
        <v>44321.55579861111</v>
      </c>
      <c r="J1748" s="69">
        <v>44321.556284722225</v>
      </c>
      <c r="K1748">
        <f>AVERAGE(H1747:H1751)</f>
        <v>93.97949258</v>
      </c>
      <c r="L1748">
        <f>STDEV(H1747:H1751)</f>
        <v>77.96270823</v>
      </c>
      <c r="M1748" s="70">
        <v>104.202373755009</v>
      </c>
      <c r="N1748" s="70">
        <v>104.202373755009</v>
      </c>
      <c r="O1748" s="70">
        <v>1.95864237770773</v>
      </c>
      <c r="P1748" s="70">
        <v>1.95864237770773</v>
      </c>
    </row>
    <row r="1749" hidden="1">
      <c r="A1749" s="67" t="s">
        <v>2509</v>
      </c>
      <c r="B1749" s="67" t="s">
        <v>268</v>
      </c>
      <c r="C1749" s="68">
        <v>0.75</v>
      </c>
      <c r="D1749" s="68">
        <v>0.1</v>
      </c>
      <c r="E1749" s="68">
        <v>4.0</v>
      </c>
      <c r="F1749" s="68">
        <v>2.0</v>
      </c>
      <c r="G1749" s="68">
        <v>1.7312432092875</v>
      </c>
      <c r="H1749" s="68">
        <v>27.8969271806591</v>
      </c>
      <c r="I1749" s="69">
        <v>44321.55699074074</v>
      </c>
      <c r="J1749" s="69">
        <v>44321.557662037034</v>
      </c>
      <c r="K1749">
        <f>AVERAGE(H1747:H1751)</f>
        <v>93.97949258</v>
      </c>
      <c r="L1749">
        <f>STDEV(H1747:H1751)</f>
        <v>77.96270823</v>
      </c>
      <c r="M1749" s="70">
        <v>27.8969271806591</v>
      </c>
      <c r="N1749" s="70">
        <v>27.8969271806591</v>
      </c>
      <c r="O1749" s="70">
        <v>1.7312432092875</v>
      </c>
      <c r="P1749" s="70">
        <v>1.7312432092875</v>
      </c>
    </row>
    <row r="1750" hidden="1">
      <c r="A1750" s="67" t="s">
        <v>2510</v>
      </c>
      <c r="B1750" s="67" t="s">
        <v>268</v>
      </c>
      <c r="C1750" s="68">
        <v>0.75</v>
      </c>
      <c r="D1750" s="68">
        <v>0.1</v>
      </c>
      <c r="E1750" s="68">
        <v>4.0</v>
      </c>
      <c r="F1750" s="68">
        <v>3.0</v>
      </c>
      <c r="G1750" s="68">
        <v>4.78108739389043</v>
      </c>
      <c r="H1750" s="68">
        <v>161.187432776163</v>
      </c>
      <c r="I1750" s="69">
        <v>44321.55836805556</v>
      </c>
      <c r="J1750" s="69">
        <v>44321.55861111111</v>
      </c>
      <c r="K1750">
        <f>AVERAGE(H1747:H1751)</f>
        <v>93.97949258</v>
      </c>
      <c r="L1750">
        <f>STDEV(H1747:H1751)</f>
        <v>77.96270823</v>
      </c>
      <c r="M1750" s="70">
        <v>161.187432776163</v>
      </c>
      <c r="N1750" s="70">
        <v>161.187432776163</v>
      </c>
      <c r="O1750" s="70">
        <v>4.78108739389043</v>
      </c>
      <c r="P1750" s="70">
        <v>4.78108739389043</v>
      </c>
    </row>
    <row r="1751" hidden="1">
      <c r="A1751" s="67" t="s">
        <v>2511</v>
      </c>
      <c r="B1751" s="67" t="s">
        <v>268</v>
      </c>
      <c r="C1751" s="68">
        <v>0.75</v>
      </c>
      <c r="D1751" s="68">
        <v>0.1</v>
      </c>
      <c r="E1751" s="68">
        <v>4.0</v>
      </c>
      <c r="F1751" s="68">
        <v>4.0</v>
      </c>
      <c r="G1751" s="68">
        <v>0.739421948270547</v>
      </c>
      <c r="H1751" s="68">
        <v>0.95542451385423</v>
      </c>
      <c r="I1751" s="69">
        <v>44321.55931712963</v>
      </c>
      <c r="J1751" s="69">
        <v>44321.559537037036</v>
      </c>
      <c r="K1751">
        <f>AVERAGE(H1747:H1751)</f>
        <v>93.97949258</v>
      </c>
      <c r="L1751">
        <f>STDEV(H1747:H1751)</f>
        <v>77.96270823</v>
      </c>
      <c r="M1751" s="70">
        <v>0.95542451385423</v>
      </c>
      <c r="N1751" s="70">
        <v>0.95542451385423</v>
      </c>
      <c r="O1751" s="70">
        <v>0.739421948270547</v>
      </c>
      <c r="P1751" s="70">
        <v>0.739421948270547</v>
      </c>
    </row>
    <row r="1752" hidden="1">
      <c r="A1752" s="67" t="s">
        <v>2512</v>
      </c>
      <c r="B1752" s="67" t="s">
        <v>268</v>
      </c>
      <c r="C1752" s="68">
        <v>0.75</v>
      </c>
      <c r="D1752" s="68">
        <v>0.25</v>
      </c>
      <c r="E1752" s="68">
        <v>4.0</v>
      </c>
      <c r="F1752" s="68">
        <v>0.0</v>
      </c>
      <c r="G1752" s="68">
        <v>0.656736784704811</v>
      </c>
      <c r="H1752" s="68">
        <v>1.21690404053296</v>
      </c>
      <c r="I1752" s="69">
        <v>44321.56024305556</v>
      </c>
      <c r="J1752" s="69">
        <v>44321.56114583334</v>
      </c>
      <c r="K1752">
        <f>AVERAGE(H1752:H1756)</f>
        <v>42.86118887</v>
      </c>
      <c r="L1752">
        <f>STDEV(H1752:H1756)</f>
        <v>78.55091397</v>
      </c>
      <c r="M1752" s="70">
        <v>1.21690404053296</v>
      </c>
      <c r="N1752" s="70">
        <v>1.21690404053296</v>
      </c>
      <c r="O1752" s="70">
        <v>0.656736784704811</v>
      </c>
      <c r="P1752" s="70">
        <v>0.656736784704811</v>
      </c>
    </row>
    <row r="1753" hidden="1">
      <c r="A1753" s="67" t="s">
        <v>2513</v>
      </c>
      <c r="B1753" s="67" t="s">
        <v>268</v>
      </c>
      <c r="C1753" s="68">
        <v>0.75</v>
      </c>
      <c r="D1753" s="68">
        <v>0.25</v>
      </c>
      <c r="E1753" s="68">
        <v>4.0</v>
      </c>
      <c r="F1753" s="68">
        <v>1.0</v>
      </c>
      <c r="G1753" s="68">
        <v>4.147968799176</v>
      </c>
      <c r="H1753" s="68">
        <v>181.88495567988</v>
      </c>
      <c r="I1753" s="69">
        <v>44321.56185185185</v>
      </c>
      <c r="J1753" s="69">
        <v>44321.63146990741</v>
      </c>
      <c r="K1753">
        <f>AVERAGE(H1752:H1756)</f>
        <v>42.86118887</v>
      </c>
      <c r="L1753">
        <f>STDEV(H1752:H1756)</f>
        <v>78.55091397</v>
      </c>
      <c r="M1753" s="70">
        <v>181.88495567988</v>
      </c>
      <c r="N1753" s="70">
        <v>181.88495567988</v>
      </c>
      <c r="O1753" s="70">
        <v>4.147968799176</v>
      </c>
      <c r="P1753" s="70">
        <v>4.147968799176</v>
      </c>
    </row>
    <row r="1754" hidden="1">
      <c r="A1754" s="67" t="s">
        <v>2514</v>
      </c>
      <c r="B1754" s="67" t="s">
        <v>268</v>
      </c>
      <c r="C1754" s="68">
        <v>0.75</v>
      </c>
      <c r="D1754" s="68">
        <v>0.25</v>
      </c>
      <c r="E1754" s="68">
        <v>4.0</v>
      </c>
      <c r="F1754" s="68">
        <v>2.0</v>
      </c>
      <c r="G1754" s="68">
        <v>1.08099143800278</v>
      </c>
      <c r="H1754" s="68">
        <v>1.45115719930833</v>
      </c>
      <c r="I1754" s="69">
        <v>44321.63217592592</v>
      </c>
      <c r="J1754" s="69">
        <v>44321.63229166667</v>
      </c>
      <c r="K1754">
        <f>AVERAGE(H1752:H1756)</f>
        <v>42.86118887</v>
      </c>
      <c r="L1754">
        <f>STDEV(H1752:H1756)</f>
        <v>78.55091397</v>
      </c>
      <c r="M1754" s="70">
        <v>1.45115719930833</v>
      </c>
      <c r="N1754" s="70">
        <v>1.45115719930833</v>
      </c>
      <c r="O1754" s="70">
        <v>1.08099143800278</v>
      </c>
      <c r="P1754" s="70">
        <v>1.08099143800278</v>
      </c>
    </row>
    <row r="1755" hidden="1">
      <c r="A1755" s="67" t="s">
        <v>2515</v>
      </c>
      <c r="B1755" s="67" t="s">
        <v>268</v>
      </c>
      <c r="C1755" s="68">
        <v>0.75</v>
      </c>
      <c r="D1755" s="68">
        <v>0.25</v>
      </c>
      <c r="E1755" s="68">
        <v>4.0</v>
      </c>
      <c r="F1755" s="68">
        <v>3.0</v>
      </c>
      <c r="G1755" s="68">
        <v>1.09487060506055</v>
      </c>
      <c r="H1755" s="68">
        <v>1.87550721349451</v>
      </c>
      <c r="I1755" s="69">
        <v>44321.632997685185</v>
      </c>
      <c r="J1755" s="69">
        <v>44321.633043981485</v>
      </c>
      <c r="K1755">
        <f>AVERAGE(H1752:H1756)</f>
        <v>42.86118887</v>
      </c>
      <c r="L1755">
        <f>STDEV(H1752:H1756)</f>
        <v>78.55091397</v>
      </c>
      <c r="M1755" s="70">
        <v>1.87550721349451</v>
      </c>
      <c r="N1755" s="70">
        <v>1.87550721349451</v>
      </c>
      <c r="O1755" s="70">
        <v>1.09487060506055</v>
      </c>
      <c r="P1755" s="70">
        <v>1.09487060506055</v>
      </c>
    </row>
    <row r="1756" hidden="1">
      <c r="A1756" s="67" t="s">
        <v>2516</v>
      </c>
      <c r="B1756" s="67" t="s">
        <v>268</v>
      </c>
      <c r="C1756" s="68">
        <v>0.75</v>
      </c>
      <c r="D1756" s="68">
        <v>0.25</v>
      </c>
      <c r="E1756" s="68">
        <v>4.0</v>
      </c>
      <c r="F1756" s="68">
        <v>4.0</v>
      </c>
      <c r="G1756" s="68">
        <v>1.72958010528007</v>
      </c>
      <c r="H1756" s="68">
        <v>27.8774201931972</v>
      </c>
      <c r="I1756" s="69">
        <v>44321.63375</v>
      </c>
      <c r="J1756" s="69">
        <v>44321.63445601852</v>
      </c>
      <c r="K1756">
        <f>AVERAGE(H1752:H1756)</f>
        <v>42.86118887</v>
      </c>
      <c r="L1756">
        <f>STDEV(H1752:H1756)</f>
        <v>78.55091397</v>
      </c>
      <c r="M1756" s="70">
        <v>27.8774201931972</v>
      </c>
      <c r="N1756" s="70">
        <v>27.8774201931972</v>
      </c>
      <c r="O1756" s="70">
        <v>1.72958010528007</v>
      </c>
      <c r="P1756" s="70">
        <v>1.72958010528007</v>
      </c>
    </row>
    <row r="1757" hidden="1">
      <c r="A1757" s="67" t="s">
        <v>2517</v>
      </c>
      <c r="B1757" s="67" t="s">
        <v>268</v>
      </c>
      <c r="C1757" s="68">
        <v>0.75</v>
      </c>
      <c r="D1757" s="68">
        <v>0.5</v>
      </c>
      <c r="E1757" s="68">
        <v>4.0</v>
      </c>
      <c r="F1757" s="68">
        <v>0.0</v>
      </c>
      <c r="G1757" s="68">
        <v>0.475682450300472</v>
      </c>
      <c r="H1757" s="68">
        <v>3.55525208987167</v>
      </c>
      <c r="I1757" s="69">
        <v>44321.63516203704</v>
      </c>
      <c r="J1757" s="69">
        <v>44321.63581018519</v>
      </c>
      <c r="K1757">
        <f>AVERAGE(H1757:H1761)</f>
        <v>45.42805801</v>
      </c>
      <c r="L1757">
        <f>STDEV(H1757:H1761)</f>
        <v>83.68280173</v>
      </c>
      <c r="M1757" s="70">
        <v>3.55525208987167</v>
      </c>
      <c r="N1757" s="70">
        <v>3.55525208987167</v>
      </c>
      <c r="O1757" s="70">
        <v>0.475682450300472</v>
      </c>
      <c r="P1757" s="70">
        <v>0.475682450300472</v>
      </c>
    </row>
    <row r="1758" hidden="1">
      <c r="A1758" s="67" t="s">
        <v>2518</v>
      </c>
      <c r="B1758" s="67" t="s">
        <v>268</v>
      </c>
      <c r="C1758" s="68">
        <v>0.75</v>
      </c>
      <c r="D1758" s="68">
        <v>0.5</v>
      </c>
      <c r="E1758" s="68">
        <v>4.0</v>
      </c>
      <c r="F1758" s="68">
        <v>1.0</v>
      </c>
      <c r="G1758" s="68">
        <v>0.467489314643222</v>
      </c>
      <c r="H1758" s="68">
        <v>0.559611722484267</v>
      </c>
      <c r="I1758" s="69">
        <v>44321.636516203704</v>
      </c>
      <c r="J1758" s="69">
        <v>44321.636712962965</v>
      </c>
      <c r="K1758">
        <f>AVERAGE(H1757:H1761)</f>
        <v>45.42805801</v>
      </c>
      <c r="L1758">
        <f>STDEV(H1757:H1761)</f>
        <v>83.68280173</v>
      </c>
      <c r="M1758" s="70">
        <v>0.559611722484267</v>
      </c>
      <c r="N1758" s="70">
        <v>0.559611722484267</v>
      </c>
      <c r="O1758" s="70">
        <v>0.467489314643222</v>
      </c>
      <c r="P1758" s="70">
        <v>0.467489314643222</v>
      </c>
    </row>
    <row r="1759" hidden="1">
      <c r="A1759" s="67" t="s">
        <v>2519</v>
      </c>
      <c r="B1759" s="67" t="s">
        <v>268</v>
      </c>
      <c r="C1759" s="68">
        <v>0.75</v>
      </c>
      <c r="D1759" s="68">
        <v>0.5</v>
      </c>
      <c r="E1759" s="68">
        <v>4.0</v>
      </c>
      <c r="F1759" s="68">
        <v>2.0</v>
      </c>
      <c r="G1759" s="68">
        <v>4.62128857670838</v>
      </c>
      <c r="H1759" s="68">
        <v>193.717445030942</v>
      </c>
      <c r="I1759" s="69">
        <v>44321.63741898148</v>
      </c>
      <c r="J1759" s="69">
        <v>44321.67875</v>
      </c>
      <c r="K1759">
        <f>AVERAGE(H1757:H1761)</f>
        <v>45.42805801</v>
      </c>
      <c r="L1759">
        <f>STDEV(H1757:H1761)</f>
        <v>83.68280173</v>
      </c>
      <c r="M1759" s="70">
        <v>193.717445030942</v>
      </c>
      <c r="N1759" s="70">
        <v>193.717445030942</v>
      </c>
      <c r="O1759" s="70">
        <v>4.62128857670838</v>
      </c>
      <c r="P1759" s="70">
        <v>4.62128857670838</v>
      </c>
    </row>
    <row r="1760" hidden="1">
      <c r="A1760" s="67" t="s">
        <v>2520</v>
      </c>
      <c r="B1760" s="67" t="s">
        <v>268</v>
      </c>
      <c r="C1760" s="68">
        <v>0.75</v>
      </c>
      <c r="D1760" s="68">
        <v>0.5</v>
      </c>
      <c r="E1760" s="68">
        <v>4.0</v>
      </c>
      <c r="F1760" s="68">
        <v>3.0</v>
      </c>
      <c r="G1760" s="68">
        <v>0.658715752254227</v>
      </c>
      <c r="H1760" s="68">
        <v>1.22069023827145</v>
      </c>
      <c r="I1760" s="69">
        <v>44321.679456018515</v>
      </c>
      <c r="J1760" s="69">
        <v>44321.680289351854</v>
      </c>
      <c r="K1760">
        <f>AVERAGE(H1757:H1761)</f>
        <v>45.42805801</v>
      </c>
      <c r="L1760">
        <f>STDEV(H1757:H1761)</f>
        <v>83.68280173</v>
      </c>
      <c r="M1760" s="70">
        <v>1.22069023827145</v>
      </c>
      <c r="N1760" s="70">
        <v>1.22069023827145</v>
      </c>
      <c r="O1760" s="70">
        <v>0.658715752254227</v>
      </c>
      <c r="P1760" s="70">
        <v>0.658715752254227</v>
      </c>
    </row>
    <row r="1761" hidden="1">
      <c r="A1761" s="67" t="s">
        <v>2521</v>
      </c>
      <c r="B1761" s="67" t="s">
        <v>268</v>
      </c>
      <c r="C1761" s="68">
        <v>0.75</v>
      </c>
      <c r="D1761" s="68">
        <v>0.5</v>
      </c>
      <c r="E1761" s="68">
        <v>4.0</v>
      </c>
      <c r="F1761" s="68">
        <v>4.0</v>
      </c>
      <c r="G1761" s="68">
        <v>1.73141583597412</v>
      </c>
      <c r="H1761" s="68">
        <v>28.0872909482067</v>
      </c>
      <c r="I1761" s="69">
        <v>44321.68099537037</v>
      </c>
      <c r="J1761" s="69">
        <v>44321.68167824074</v>
      </c>
      <c r="K1761">
        <f>AVERAGE(H1757:H1761)</f>
        <v>45.42805801</v>
      </c>
      <c r="L1761">
        <f>STDEV(H1757:H1761)</f>
        <v>83.68280173</v>
      </c>
      <c r="M1761" s="70">
        <v>28.0872909482067</v>
      </c>
      <c r="N1761" s="70">
        <v>28.0872909482067</v>
      </c>
      <c r="O1761" s="70">
        <v>1.73141583597412</v>
      </c>
      <c r="P1761" s="70">
        <v>1.73141583597412</v>
      </c>
    </row>
    <row r="1762" hidden="1">
      <c r="A1762" s="67" t="s">
        <v>2522</v>
      </c>
      <c r="B1762" s="67" t="s">
        <v>268</v>
      </c>
      <c r="C1762" s="68">
        <v>0.75</v>
      </c>
      <c r="D1762" s="68">
        <v>0.75</v>
      </c>
      <c r="E1762" s="68">
        <v>4.0</v>
      </c>
      <c r="F1762" s="68">
        <v>0.0</v>
      </c>
      <c r="G1762" s="68">
        <v>0.469666814576258</v>
      </c>
      <c r="H1762" s="68">
        <v>3.8173734849944</v>
      </c>
      <c r="I1762" s="69">
        <v>44321.68238425926</v>
      </c>
      <c r="J1762" s="69">
        <v>44321.68289351852</v>
      </c>
      <c r="K1762">
        <f>AVERAGE(H1762:H1766)</f>
        <v>96.43723013</v>
      </c>
      <c r="L1762">
        <f>STDEV(H1762:H1766)</f>
        <v>83.6539948</v>
      </c>
      <c r="M1762" s="70">
        <v>3.8173734849944</v>
      </c>
      <c r="N1762" s="70">
        <v>3.8173734849944</v>
      </c>
      <c r="O1762" s="70">
        <v>0.469666814576258</v>
      </c>
      <c r="P1762" s="70">
        <v>0.469666814576258</v>
      </c>
    </row>
    <row r="1763" hidden="1">
      <c r="A1763" s="67" t="s">
        <v>2523</v>
      </c>
      <c r="B1763" s="67" t="s">
        <v>268</v>
      </c>
      <c r="C1763" s="68">
        <v>0.75</v>
      </c>
      <c r="D1763" s="68">
        <v>0.75</v>
      </c>
      <c r="E1763" s="68">
        <v>4.0</v>
      </c>
      <c r="F1763" s="68">
        <v>1.0</v>
      </c>
      <c r="G1763" s="68">
        <v>2.41120637050158</v>
      </c>
      <c r="H1763" s="68">
        <v>110.149301551625</v>
      </c>
      <c r="I1763" s="69">
        <v>44321.683599537035</v>
      </c>
      <c r="J1763" s="69">
        <v>44321.68578703704</v>
      </c>
      <c r="K1763">
        <f>AVERAGE(H1762:H1766)</f>
        <v>96.43723013</v>
      </c>
      <c r="L1763">
        <f>STDEV(H1762:H1766)</f>
        <v>83.6539948</v>
      </c>
      <c r="M1763" s="70">
        <v>110.149301551625</v>
      </c>
      <c r="N1763" s="70">
        <v>110.149301551625</v>
      </c>
      <c r="O1763" s="70">
        <v>2.41120637050158</v>
      </c>
      <c r="P1763" s="70">
        <v>2.41120637050158</v>
      </c>
    </row>
    <row r="1764" hidden="1">
      <c r="A1764" s="67" t="s">
        <v>2524</v>
      </c>
      <c r="B1764" s="67" t="s">
        <v>268</v>
      </c>
      <c r="C1764" s="68">
        <v>0.75</v>
      </c>
      <c r="D1764" s="68">
        <v>0.75</v>
      </c>
      <c r="E1764" s="68">
        <v>4.0</v>
      </c>
      <c r="F1764" s="68">
        <v>2.0</v>
      </c>
      <c r="G1764" s="68">
        <v>4.05754803684077</v>
      </c>
      <c r="H1764" s="68">
        <v>180.510933673033</v>
      </c>
      <c r="I1764" s="69">
        <v>44321.68649305555</v>
      </c>
      <c r="J1764" s="69">
        <v>44321.75246527778</v>
      </c>
      <c r="K1764">
        <f>AVERAGE(H1762:H1766)</f>
        <v>96.43723013</v>
      </c>
      <c r="L1764">
        <f>STDEV(H1762:H1766)</f>
        <v>83.6539948</v>
      </c>
      <c r="M1764" s="70">
        <v>180.510933673033</v>
      </c>
      <c r="N1764" s="70">
        <v>180.510933673033</v>
      </c>
      <c r="O1764" s="70">
        <v>4.05754803684077</v>
      </c>
      <c r="P1764" s="70">
        <v>4.05754803684077</v>
      </c>
    </row>
    <row r="1765" hidden="1">
      <c r="A1765" s="67" t="s">
        <v>2525</v>
      </c>
      <c r="B1765" s="67" t="s">
        <v>268</v>
      </c>
      <c r="C1765" s="68">
        <v>0.75</v>
      </c>
      <c r="D1765" s="68">
        <v>0.75</v>
      </c>
      <c r="E1765" s="68">
        <v>4.0</v>
      </c>
      <c r="F1765" s="68">
        <v>3.0</v>
      </c>
      <c r="G1765" s="68">
        <v>1.21703352778983</v>
      </c>
      <c r="H1765" s="68">
        <v>15.9319582041984</v>
      </c>
      <c r="I1765" s="69">
        <v>44321.753171296295</v>
      </c>
      <c r="J1765" s="69">
        <v>44321.75331018519</v>
      </c>
      <c r="K1765">
        <f>AVERAGE(H1762:H1766)</f>
        <v>96.43723013</v>
      </c>
      <c r="L1765">
        <f>STDEV(H1762:H1766)</f>
        <v>83.6539948</v>
      </c>
      <c r="M1765" s="70">
        <v>15.9319582041984</v>
      </c>
      <c r="N1765" s="70">
        <v>15.9319582041984</v>
      </c>
      <c r="O1765" s="70">
        <v>1.21703352778983</v>
      </c>
      <c r="P1765" s="70">
        <v>1.21703352778983</v>
      </c>
    </row>
    <row r="1766" hidden="1">
      <c r="A1766" s="67" t="s">
        <v>2526</v>
      </c>
      <c r="B1766" s="67" t="s">
        <v>268</v>
      </c>
      <c r="C1766" s="68">
        <v>0.75</v>
      </c>
      <c r="D1766" s="68">
        <v>0.75</v>
      </c>
      <c r="E1766" s="68">
        <v>4.0</v>
      </c>
      <c r="F1766" s="68">
        <v>4.0</v>
      </c>
      <c r="G1766" s="68">
        <v>4.5436761869075</v>
      </c>
      <c r="H1766" s="68">
        <v>171.776583746669</v>
      </c>
      <c r="I1766" s="69">
        <v>44321.754016203704</v>
      </c>
      <c r="J1766" s="69">
        <v>44321.75408564815</v>
      </c>
      <c r="K1766">
        <f>AVERAGE(H1762:H1766)</f>
        <v>96.43723013</v>
      </c>
      <c r="L1766">
        <f>STDEV(H1762:H1766)</f>
        <v>83.6539948</v>
      </c>
      <c r="M1766" s="70">
        <v>171.776583746669</v>
      </c>
      <c r="N1766" s="70">
        <v>171.776583746669</v>
      </c>
      <c r="O1766" s="70">
        <v>4.5436761869075</v>
      </c>
      <c r="P1766" s="70">
        <v>4.5436761869075</v>
      </c>
    </row>
    <row r="1767" hidden="1">
      <c r="A1767" s="67" t="s">
        <v>2527</v>
      </c>
      <c r="B1767" s="67" t="s">
        <v>268</v>
      </c>
      <c r="C1767" s="68">
        <v>0.75</v>
      </c>
      <c r="D1767" s="68">
        <v>1.0</v>
      </c>
      <c r="E1767" s="68">
        <v>4.0</v>
      </c>
      <c r="F1767" s="68">
        <v>0.0</v>
      </c>
      <c r="G1767" s="68">
        <v>2.49328034962596</v>
      </c>
      <c r="H1767" s="68">
        <v>131.969316164947</v>
      </c>
      <c r="I1767" s="69">
        <v>44321.754791666666</v>
      </c>
      <c r="J1767" s="69">
        <v>44321.75503472222</v>
      </c>
      <c r="K1767">
        <f>AVERAGE(H1767:H1771)</f>
        <v>99.27908904</v>
      </c>
      <c r="L1767">
        <f>STDEV(H1767:H1771)</f>
        <v>94.65526049</v>
      </c>
      <c r="M1767" s="70">
        <v>131.969316164947</v>
      </c>
      <c r="N1767" s="70">
        <v>131.969316164947</v>
      </c>
      <c r="O1767" s="70">
        <v>2.49328034962596</v>
      </c>
      <c r="P1767" s="70">
        <v>2.49328034962596</v>
      </c>
    </row>
    <row r="1768" hidden="1">
      <c r="A1768" s="67" t="s">
        <v>2528</v>
      </c>
      <c r="B1768" s="67" t="s">
        <v>268</v>
      </c>
      <c r="C1768" s="68">
        <v>0.75</v>
      </c>
      <c r="D1768" s="68">
        <v>1.0</v>
      </c>
      <c r="E1768" s="68">
        <v>4.0</v>
      </c>
      <c r="F1768" s="68">
        <v>1.0</v>
      </c>
      <c r="G1768" s="68">
        <v>3.28631485343359</v>
      </c>
      <c r="H1768" s="68">
        <v>151.054708074371</v>
      </c>
      <c r="I1768" s="69">
        <v>44321.755740740744</v>
      </c>
      <c r="J1768" s="69">
        <v>44321.8062037037</v>
      </c>
      <c r="K1768">
        <f>AVERAGE(H1767:H1771)</f>
        <v>99.27908904</v>
      </c>
      <c r="L1768">
        <f>STDEV(H1767:H1771)</f>
        <v>94.65526049</v>
      </c>
      <c r="M1768" s="70">
        <v>151.054708074371</v>
      </c>
      <c r="N1768" s="70">
        <v>151.054708074371</v>
      </c>
      <c r="O1768" s="70">
        <v>3.28631485343359</v>
      </c>
      <c r="P1768" s="70">
        <v>3.28631485343359</v>
      </c>
    </row>
    <row r="1769" hidden="1">
      <c r="A1769" s="67" t="s">
        <v>2529</v>
      </c>
      <c r="B1769" s="67" t="s">
        <v>268</v>
      </c>
      <c r="C1769" s="68">
        <v>0.75</v>
      </c>
      <c r="D1769" s="68">
        <v>1.0</v>
      </c>
      <c r="E1769" s="68">
        <v>4.0</v>
      </c>
      <c r="F1769" s="68">
        <v>2.0</v>
      </c>
      <c r="G1769" s="68">
        <v>0.736192093514763</v>
      </c>
      <c r="H1769" s="68">
        <v>0.950544336758399</v>
      </c>
      <c r="I1769" s="69">
        <v>44321.806909722225</v>
      </c>
      <c r="J1769" s="69">
        <v>44321.807118055556</v>
      </c>
      <c r="K1769">
        <f>AVERAGE(H1767:H1771)</f>
        <v>99.27908904</v>
      </c>
      <c r="L1769">
        <f>STDEV(H1767:H1771)</f>
        <v>94.65526049</v>
      </c>
      <c r="M1769" s="70">
        <v>0.950544336758399</v>
      </c>
      <c r="N1769" s="70">
        <v>0.950544336758399</v>
      </c>
      <c r="O1769" s="70">
        <v>0.736192093514763</v>
      </c>
      <c r="P1769" s="70">
        <v>0.736192093514763</v>
      </c>
    </row>
    <row r="1770" hidden="1">
      <c r="A1770" s="67" t="s">
        <v>2530</v>
      </c>
      <c r="B1770" s="67" t="s">
        <v>268</v>
      </c>
      <c r="C1770" s="68">
        <v>0.75</v>
      </c>
      <c r="D1770" s="68">
        <v>1.0</v>
      </c>
      <c r="E1770" s="68">
        <v>4.0</v>
      </c>
      <c r="F1770" s="68">
        <v>3.0</v>
      </c>
      <c r="G1770" s="68">
        <v>5.20407998283974</v>
      </c>
      <c r="H1770" s="68">
        <v>211.862030281098</v>
      </c>
      <c r="I1770" s="69">
        <v>44321.80782407407</v>
      </c>
      <c r="J1770" s="69">
        <v>44321.811215277776</v>
      </c>
      <c r="K1770">
        <f>AVERAGE(H1767:H1771)</f>
        <v>99.27908904</v>
      </c>
      <c r="L1770">
        <f>STDEV(H1767:H1771)</f>
        <v>94.65526049</v>
      </c>
      <c r="M1770" s="70">
        <v>211.862030281098</v>
      </c>
      <c r="N1770" s="70">
        <v>211.862030281098</v>
      </c>
      <c r="O1770" s="70">
        <v>5.20407998283974</v>
      </c>
      <c r="P1770" s="70">
        <v>5.20407998283974</v>
      </c>
    </row>
    <row r="1771" hidden="1">
      <c r="A1771" s="67" t="s">
        <v>2531</v>
      </c>
      <c r="B1771" s="67" t="s">
        <v>268</v>
      </c>
      <c r="C1771" s="68">
        <v>0.75</v>
      </c>
      <c r="D1771" s="68">
        <v>1.0</v>
      </c>
      <c r="E1771" s="68">
        <v>4.0</v>
      </c>
      <c r="F1771" s="68">
        <v>4.0</v>
      </c>
      <c r="G1771" s="68">
        <v>0.466491018990041</v>
      </c>
      <c r="H1771" s="68">
        <v>0.558846337991739</v>
      </c>
      <c r="I1771" s="69">
        <v>44321.8119212963</v>
      </c>
      <c r="J1771" s="69">
        <v>44321.81211805555</v>
      </c>
      <c r="K1771">
        <f>AVERAGE(H1767:H1771)</f>
        <v>99.27908904</v>
      </c>
      <c r="L1771">
        <f>STDEV(H1767:H1771)</f>
        <v>94.65526049</v>
      </c>
      <c r="M1771" s="70">
        <v>0.558846337991739</v>
      </c>
      <c r="N1771" s="70">
        <v>0.558846337991739</v>
      </c>
      <c r="O1771" s="70">
        <v>0.466491018990041</v>
      </c>
      <c r="P1771" s="70">
        <v>0.466491018990041</v>
      </c>
    </row>
    <row r="1772" hidden="1">
      <c r="A1772" s="67" t="s">
        <v>2532</v>
      </c>
      <c r="B1772" s="67" t="s">
        <v>268</v>
      </c>
      <c r="C1772" s="68">
        <v>1.0</v>
      </c>
      <c r="D1772" s="68">
        <v>0.1</v>
      </c>
      <c r="E1772" s="68">
        <v>4.0</v>
      </c>
      <c r="F1772" s="68">
        <v>0.0</v>
      </c>
      <c r="G1772" s="68">
        <v>0.708434806351277</v>
      </c>
      <c r="H1772" s="68">
        <v>0.945303375387014</v>
      </c>
      <c r="I1772" s="69">
        <v>44321.81283564815</v>
      </c>
      <c r="J1772" s="69">
        <v>44321.8130787037</v>
      </c>
      <c r="K1772">
        <f>AVERAGE(H1772:H1776)</f>
        <v>63.32007141</v>
      </c>
      <c r="L1772">
        <f>STDEV(H1772:H1776)</f>
        <v>86.61395796</v>
      </c>
      <c r="M1772" s="70">
        <v>0.945303375387014</v>
      </c>
      <c r="N1772" s="70">
        <v>0.945303375387014</v>
      </c>
      <c r="O1772" s="70">
        <v>0.708434806351277</v>
      </c>
      <c r="P1772" s="70">
        <v>0.708434806351277</v>
      </c>
    </row>
    <row r="1773" hidden="1">
      <c r="A1773" s="67" t="s">
        <v>2533</v>
      </c>
      <c r="B1773" s="67" t="s">
        <v>268</v>
      </c>
      <c r="C1773" s="68">
        <v>1.0</v>
      </c>
      <c r="D1773" s="68">
        <v>0.1</v>
      </c>
      <c r="E1773" s="68">
        <v>4.0</v>
      </c>
      <c r="F1773" s="68">
        <v>1.0</v>
      </c>
      <c r="G1773" s="68">
        <v>4.16163734353772</v>
      </c>
      <c r="H1773" s="68">
        <v>179.634740088639</v>
      </c>
      <c r="I1773" s="69">
        <v>44321.813784722224</v>
      </c>
      <c r="J1773" s="69">
        <v>44321.8762037037</v>
      </c>
      <c r="K1773">
        <f>AVERAGE(H1772:H1776)</f>
        <v>63.32007141</v>
      </c>
      <c r="L1773">
        <f>STDEV(H1772:H1776)</f>
        <v>86.61395796</v>
      </c>
      <c r="M1773" s="70">
        <v>179.634740088639</v>
      </c>
      <c r="N1773" s="70">
        <v>179.634740088639</v>
      </c>
      <c r="O1773" s="70">
        <v>4.16163734353772</v>
      </c>
      <c r="P1773" s="70">
        <v>4.16163734353772</v>
      </c>
    </row>
    <row r="1774" hidden="1">
      <c r="A1774" s="67" t="s">
        <v>2534</v>
      </c>
      <c r="B1774" s="67" t="s">
        <v>268</v>
      </c>
      <c r="C1774" s="68">
        <v>1.0</v>
      </c>
      <c r="D1774" s="68">
        <v>0.1</v>
      </c>
      <c r="E1774" s="68">
        <v>4.0</v>
      </c>
      <c r="F1774" s="68">
        <v>2.0</v>
      </c>
      <c r="G1774" s="68">
        <v>0.655968598911914</v>
      </c>
      <c r="H1774" s="68">
        <v>1.21611850295985</v>
      </c>
      <c r="I1774" s="69">
        <v>44321.876909722225</v>
      </c>
      <c r="J1774" s="69">
        <v>44321.87771990741</v>
      </c>
      <c r="K1774">
        <f>AVERAGE(H1772:H1776)</f>
        <v>63.32007141</v>
      </c>
      <c r="L1774">
        <f>STDEV(H1772:H1776)</f>
        <v>86.61395796</v>
      </c>
      <c r="M1774" s="70">
        <v>1.21611850295985</v>
      </c>
      <c r="N1774" s="70">
        <v>1.21611850295985</v>
      </c>
      <c r="O1774" s="70">
        <v>0.655968598911914</v>
      </c>
      <c r="P1774" s="70">
        <v>0.655968598911914</v>
      </c>
    </row>
    <row r="1775" hidden="1">
      <c r="A1775" s="67" t="s">
        <v>2535</v>
      </c>
      <c r="B1775" s="67" t="s">
        <v>268</v>
      </c>
      <c r="C1775" s="68">
        <v>1.0</v>
      </c>
      <c r="D1775" s="68">
        <v>0.1</v>
      </c>
      <c r="E1775" s="68">
        <v>4.0</v>
      </c>
      <c r="F1775" s="68">
        <v>3.0</v>
      </c>
      <c r="G1775" s="68">
        <v>2.53681272532025</v>
      </c>
      <c r="H1775" s="68">
        <v>133.348932854245</v>
      </c>
      <c r="I1775" s="69">
        <v>44321.87842592593</v>
      </c>
      <c r="J1775" s="69">
        <v>44321.87866898148</v>
      </c>
      <c r="K1775">
        <f>AVERAGE(H1772:H1776)</f>
        <v>63.32007141</v>
      </c>
      <c r="L1775">
        <f>STDEV(H1772:H1776)</f>
        <v>86.61395796</v>
      </c>
      <c r="M1775" s="70">
        <v>133.348932854245</v>
      </c>
      <c r="N1775" s="70">
        <v>133.348932854245</v>
      </c>
      <c r="O1775" s="70">
        <v>2.53681272532025</v>
      </c>
      <c r="P1775" s="70">
        <v>2.53681272532025</v>
      </c>
    </row>
    <row r="1776" hidden="1">
      <c r="A1776" s="67" t="s">
        <v>2536</v>
      </c>
      <c r="B1776" s="67" t="s">
        <v>268</v>
      </c>
      <c r="C1776" s="68">
        <v>1.0</v>
      </c>
      <c r="D1776" s="68">
        <v>0.1</v>
      </c>
      <c r="E1776" s="68">
        <v>4.0</v>
      </c>
      <c r="F1776" s="68">
        <v>4.0</v>
      </c>
      <c r="G1776" s="68">
        <v>1.08481939748021</v>
      </c>
      <c r="H1776" s="68">
        <v>1.45526223330832</v>
      </c>
      <c r="I1776" s="69">
        <v>44321.879375</v>
      </c>
      <c r="J1776" s="69">
        <v>44321.87949074074</v>
      </c>
      <c r="K1776">
        <f>AVERAGE(H1772:H1776)</f>
        <v>63.32007141</v>
      </c>
      <c r="L1776">
        <f>STDEV(H1772:H1776)</f>
        <v>86.61395796</v>
      </c>
      <c r="M1776" s="70">
        <v>1.45526223330832</v>
      </c>
      <c r="N1776" s="70">
        <v>1.45526223330832</v>
      </c>
      <c r="O1776" s="70">
        <v>1.08481939748021</v>
      </c>
      <c r="P1776" s="70">
        <v>1.08481939748021</v>
      </c>
    </row>
    <row r="1777" hidden="1">
      <c r="A1777" s="67" t="s">
        <v>2537</v>
      </c>
      <c r="B1777" s="67" t="s">
        <v>268</v>
      </c>
      <c r="C1777" s="68">
        <v>1.0</v>
      </c>
      <c r="D1777" s="68">
        <v>0.25</v>
      </c>
      <c r="E1777" s="68">
        <v>4.0</v>
      </c>
      <c r="F1777" s="68">
        <v>0.0</v>
      </c>
      <c r="G1777" s="68">
        <v>3.21478489435148</v>
      </c>
      <c r="H1777" s="68">
        <v>158.525774323706</v>
      </c>
      <c r="I1777" s="69">
        <v>44321.880208333336</v>
      </c>
      <c r="J1777" s="69">
        <v>44321.89879629629</v>
      </c>
      <c r="K1777">
        <f>AVERAGE(H1777:H1781)</f>
        <v>131.2826206</v>
      </c>
      <c r="L1777">
        <f>STDEV(H1777:H1781)</f>
        <v>68.1902908</v>
      </c>
      <c r="M1777" s="70">
        <v>158.525774323706</v>
      </c>
      <c r="N1777" s="70">
        <v>158.525774323706</v>
      </c>
      <c r="O1777" s="70">
        <v>3.21478489435148</v>
      </c>
      <c r="P1777" s="70">
        <v>3.21478489435148</v>
      </c>
    </row>
    <row r="1778" hidden="1">
      <c r="A1778" s="67" t="s">
        <v>2538</v>
      </c>
      <c r="B1778" s="67" t="s">
        <v>268</v>
      </c>
      <c r="C1778" s="68">
        <v>1.0</v>
      </c>
      <c r="D1778" s="68">
        <v>0.25</v>
      </c>
      <c r="E1778" s="68">
        <v>4.0</v>
      </c>
      <c r="F1778" s="68">
        <v>1.0</v>
      </c>
      <c r="G1778" s="68">
        <v>1.81635928767984</v>
      </c>
      <c r="H1778" s="68">
        <v>15.9164027209846</v>
      </c>
      <c r="I1778" s="69">
        <v>44321.899502314816</v>
      </c>
      <c r="J1778" s="69">
        <v>44321.89952546296</v>
      </c>
      <c r="K1778">
        <f>AVERAGE(H1777:H1781)</f>
        <v>131.2826206</v>
      </c>
      <c r="L1778">
        <f>STDEV(H1777:H1781)</f>
        <v>68.1902908</v>
      </c>
      <c r="M1778" s="70">
        <v>15.9164027209846</v>
      </c>
      <c r="N1778" s="70">
        <v>15.9164027209846</v>
      </c>
      <c r="O1778" s="70">
        <v>1.81635928767984</v>
      </c>
      <c r="P1778" s="70">
        <v>1.81635928767984</v>
      </c>
    </row>
    <row r="1779" hidden="1">
      <c r="A1779" s="67" t="s">
        <v>2539</v>
      </c>
      <c r="B1779" s="67" t="s">
        <v>268</v>
      </c>
      <c r="C1779" s="68">
        <v>1.0</v>
      </c>
      <c r="D1779" s="68">
        <v>0.25</v>
      </c>
      <c r="E1779" s="68">
        <v>4.0</v>
      </c>
      <c r="F1779" s="68">
        <v>2.0</v>
      </c>
      <c r="G1779" s="68">
        <v>3.18055199771391</v>
      </c>
      <c r="H1779" s="68">
        <v>134.751823252735</v>
      </c>
      <c r="I1779" s="69">
        <v>44321.90023148148</v>
      </c>
      <c r="J1779" s="69">
        <v>44321.91243055555</v>
      </c>
      <c r="K1779">
        <f>AVERAGE(H1777:H1781)</f>
        <v>131.2826206</v>
      </c>
      <c r="L1779">
        <f>STDEV(H1777:H1781)</f>
        <v>68.1902908</v>
      </c>
      <c r="M1779" s="70">
        <v>134.751823252735</v>
      </c>
      <c r="N1779" s="70">
        <v>134.751823252735</v>
      </c>
      <c r="O1779" s="70">
        <v>3.18055199771391</v>
      </c>
      <c r="P1779" s="70">
        <v>3.18055199771391</v>
      </c>
    </row>
    <row r="1780" hidden="1">
      <c r="A1780" s="67" t="s">
        <v>2540</v>
      </c>
      <c r="B1780" s="67" t="s">
        <v>268</v>
      </c>
      <c r="C1780" s="68">
        <v>1.0</v>
      </c>
      <c r="D1780" s="68">
        <v>0.25</v>
      </c>
      <c r="E1780" s="68">
        <v>4.0</v>
      </c>
      <c r="F1780" s="68">
        <v>3.0</v>
      </c>
      <c r="G1780" s="68">
        <v>4.71953689501484</v>
      </c>
      <c r="H1780" s="68">
        <v>151.781405426001</v>
      </c>
      <c r="I1780" s="69">
        <v>44321.913136574076</v>
      </c>
      <c r="J1780" s="69">
        <v>44321.91336805555</v>
      </c>
      <c r="K1780">
        <f>AVERAGE(H1777:H1781)</f>
        <v>131.2826206</v>
      </c>
      <c r="L1780">
        <f>STDEV(H1777:H1781)</f>
        <v>68.1902908</v>
      </c>
      <c r="M1780" s="70">
        <v>151.781405426001</v>
      </c>
      <c r="N1780" s="70">
        <v>151.781405426001</v>
      </c>
      <c r="O1780" s="70">
        <v>4.71953689501484</v>
      </c>
      <c r="P1780" s="70">
        <v>4.71953689501484</v>
      </c>
    </row>
    <row r="1781" hidden="1">
      <c r="A1781" s="67" t="s">
        <v>2541</v>
      </c>
      <c r="B1781" s="67" t="s">
        <v>268</v>
      </c>
      <c r="C1781" s="68">
        <v>1.0</v>
      </c>
      <c r="D1781" s="68">
        <v>0.25</v>
      </c>
      <c r="E1781" s="68">
        <v>4.0</v>
      </c>
      <c r="F1781" s="68">
        <v>4.0</v>
      </c>
      <c r="G1781" s="68">
        <v>3.64740460568053</v>
      </c>
      <c r="H1781" s="68">
        <v>195.437697081721</v>
      </c>
      <c r="I1781" s="69">
        <v>44321.914085648146</v>
      </c>
      <c r="J1781" s="69">
        <v>44321.91862268518</v>
      </c>
      <c r="K1781">
        <f>AVERAGE(H1777:H1781)</f>
        <v>131.2826206</v>
      </c>
      <c r="L1781">
        <f>STDEV(H1777:H1781)</f>
        <v>68.1902908</v>
      </c>
      <c r="M1781" s="70">
        <v>195.437697081721</v>
      </c>
      <c r="N1781" s="70">
        <v>195.437697081721</v>
      </c>
      <c r="O1781" s="70">
        <v>3.64740460568053</v>
      </c>
      <c r="P1781" s="70">
        <v>3.64740460568053</v>
      </c>
    </row>
    <row r="1782" hidden="1">
      <c r="A1782" s="67" t="s">
        <v>2542</v>
      </c>
      <c r="B1782" s="67" t="s">
        <v>268</v>
      </c>
      <c r="C1782" s="68">
        <v>1.0</v>
      </c>
      <c r="D1782" s="68">
        <v>0.5</v>
      </c>
      <c r="E1782" s="68">
        <v>4.0</v>
      </c>
      <c r="F1782" s="68">
        <v>0.0</v>
      </c>
      <c r="G1782" s="68">
        <v>4.77768105433788</v>
      </c>
      <c r="H1782" s="68">
        <v>161.088305480721</v>
      </c>
      <c r="I1782" s="69">
        <v>44321.919328703705</v>
      </c>
      <c r="J1782" s="69">
        <v>44321.91957175926</v>
      </c>
      <c r="K1782">
        <f>AVERAGE(H1782:H1786)</f>
        <v>101.5375211</v>
      </c>
      <c r="L1782">
        <f>STDEV(H1782:H1786)</f>
        <v>93.23505665</v>
      </c>
      <c r="M1782" s="70">
        <v>161.088305480721</v>
      </c>
      <c r="N1782" s="70">
        <v>161.088305480721</v>
      </c>
      <c r="O1782" s="70">
        <v>4.77768105433788</v>
      </c>
      <c r="P1782" s="70">
        <v>4.77768105433788</v>
      </c>
    </row>
    <row r="1783" hidden="1">
      <c r="A1783" s="67" t="s">
        <v>2543</v>
      </c>
      <c r="B1783" s="67" t="s">
        <v>268</v>
      </c>
      <c r="C1783" s="68">
        <v>1.0</v>
      </c>
      <c r="D1783" s="68">
        <v>0.5</v>
      </c>
      <c r="E1783" s="68">
        <v>4.0</v>
      </c>
      <c r="F1783" s="68">
        <v>1.0</v>
      </c>
      <c r="G1783" s="68">
        <v>0.707613078750997</v>
      </c>
      <c r="H1783" s="68">
        <v>0.944262486179971</v>
      </c>
      <c r="I1783" s="69">
        <v>44321.92028935185</v>
      </c>
      <c r="J1783" s="69">
        <v>44321.92053240741</v>
      </c>
      <c r="K1783">
        <f>AVERAGE(H1782:H1786)</f>
        <v>101.5375211</v>
      </c>
      <c r="L1783">
        <f>STDEV(H1782:H1786)</f>
        <v>93.23505665</v>
      </c>
      <c r="M1783" s="70">
        <v>0.944262486179971</v>
      </c>
      <c r="N1783" s="70">
        <v>0.944262486179971</v>
      </c>
      <c r="O1783" s="70">
        <v>0.707613078750997</v>
      </c>
      <c r="P1783" s="70">
        <v>0.707613078750997</v>
      </c>
    </row>
    <row r="1784" hidden="1">
      <c r="A1784" s="67" t="s">
        <v>2544</v>
      </c>
      <c r="B1784" s="67" t="s">
        <v>268</v>
      </c>
      <c r="C1784" s="68">
        <v>1.0</v>
      </c>
      <c r="D1784" s="68">
        <v>0.5</v>
      </c>
      <c r="E1784" s="68">
        <v>4.0</v>
      </c>
      <c r="F1784" s="68">
        <v>2.0</v>
      </c>
      <c r="G1784" s="68">
        <v>4.17352570616611</v>
      </c>
      <c r="H1784" s="68">
        <v>194.261970521614</v>
      </c>
      <c r="I1784" s="69">
        <v>44321.92123842592</v>
      </c>
      <c r="J1784" s="69">
        <v>44321.925405092596</v>
      </c>
      <c r="K1784">
        <f>AVERAGE(H1782:H1786)</f>
        <v>101.5375211</v>
      </c>
      <c r="L1784">
        <f>STDEV(H1782:H1786)</f>
        <v>93.23505665</v>
      </c>
      <c r="M1784" s="70">
        <v>194.261970521614</v>
      </c>
      <c r="N1784" s="70">
        <v>194.261970521614</v>
      </c>
      <c r="O1784" s="70">
        <v>4.17352570616611</v>
      </c>
      <c r="P1784" s="70">
        <v>4.17352570616611</v>
      </c>
    </row>
    <row r="1785" hidden="1">
      <c r="A1785" s="67" t="s">
        <v>2545</v>
      </c>
      <c r="B1785" s="67" t="s">
        <v>268</v>
      </c>
      <c r="C1785" s="68">
        <v>1.0</v>
      </c>
      <c r="D1785" s="68">
        <v>0.5</v>
      </c>
      <c r="E1785" s="68">
        <v>4.0</v>
      </c>
      <c r="F1785" s="68">
        <v>3.0</v>
      </c>
      <c r="G1785" s="68">
        <v>0.739421948270547</v>
      </c>
      <c r="H1785" s="68">
        <v>0.95542451385423</v>
      </c>
      <c r="I1785" s="69">
        <v>44321.92611111111</v>
      </c>
      <c r="J1785" s="69">
        <v>44321.92633101852</v>
      </c>
      <c r="K1785">
        <f>AVERAGE(H1782:H1786)</f>
        <v>101.5375211</v>
      </c>
      <c r="L1785">
        <f>STDEV(H1782:H1786)</f>
        <v>93.23505665</v>
      </c>
      <c r="M1785" s="70">
        <v>0.95542451385423</v>
      </c>
      <c r="N1785" s="70">
        <v>0.95542451385423</v>
      </c>
      <c r="O1785" s="70">
        <v>0.739421948270547</v>
      </c>
      <c r="P1785" s="70">
        <v>0.739421948270547</v>
      </c>
    </row>
    <row r="1786" hidden="1">
      <c r="A1786" s="67" t="s">
        <v>2546</v>
      </c>
      <c r="B1786" s="67" t="s">
        <v>268</v>
      </c>
      <c r="C1786" s="68">
        <v>1.0</v>
      </c>
      <c r="D1786" s="68">
        <v>0.5</v>
      </c>
      <c r="E1786" s="68">
        <v>4.0</v>
      </c>
      <c r="F1786" s="68">
        <v>4.0</v>
      </c>
      <c r="G1786" s="68">
        <v>3.30275635282587</v>
      </c>
      <c r="H1786" s="68">
        <v>150.437642603717</v>
      </c>
      <c r="I1786" s="69">
        <v>44321.927037037036</v>
      </c>
      <c r="J1786" s="69">
        <v>44321.984502314815</v>
      </c>
      <c r="K1786">
        <f>AVERAGE(H1782:H1786)</f>
        <v>101.5375211</v>
      </c>
      <c r="L1786">
        <f>STDEV(H1782:H1786)</f>
        <v>93.23505665</v>
      </c>
      <c r="M1786" s="70">
        <v>150.437642603717</v>
      </c>
      <c r="N1786" s="70">
        <v>150.437642603717</v>
      </c>
      <c r="O1786" s="70">
        <v>3.30275635282587</v>
      </c>
      <c r="P1786" s="70">
        <v>3.30275635282587</v>
      </c>
    </row>
    <row r="1787" hidden="1">
      <c r="A1787" s="67" t="s">
        <v>2547</v>
      </c>
      <c r="B1787" s="67" t="s">
        <v>268</v>
      </c>
      <c r="C1787" s="68">
        <v>1.0</v>
      </c>
      <c r="D1787" s="68">
        <v>0.75</v>
      </c>
      <c r="E1787" s="68">
        <v>4.0</v>
      </c>
      <c r="F1787" s="68">
        <v>0.0</v>
      </c>
      <c r="G1787" s="68">
        <v>0.70786192492695</v>
      </c>
      <c r="H1787" s="68">
        <v>0.944430038877449</v>
      </c>
      <c r="I1787" s="69">
        <v>44321.98520833333</v>
      </c>
      <c r="J1787" s="69">
        <v>44321.985451388886</v>
      </c>
      <c r="K1787">
        <f>AVERAGE(H1787:H1791)</f>
        <v>85.46898944</v>
      </c>
      <c r="L1787">
        <f>STDEV(H1787:H1791)</f>
        <v>95.06637033</v>
      </c>
      <c r="M1787" s="70">
        <v>0.944430038877449</v>
      </c>
      <c r="N1787" s="70">
        <v>0.944430038877449</v>
      </c>
      <c r="O1787" s="70">
        <v>0.70786192492695</v>
      </c>
      <c r="P1787" s="70">
        <v>0.70786192492695</v>
      </c>
    </row>
    <row r="1788" hidden="1">
      <c r="A1788" s="67" t="s">
        <v>2548</v>
      </c>
      <c r="B1788" s="67" t="s">
        <v>268</v>
      </c>
      <c r="C1788" s="68">
        <v>1.0</v>
      </c>
      <c r="D1788" s="68">
        <v>0.75</v>
      </c>
      <c r="E1788" s="68">
        <v>4.0</v>
      </c>
      <c r="F1788" s="68">
        <v>1.0</v>
      </c>
      <c r="G1788" s="68">
        <v>5.09772268538534</v>
      </c>
      <c r="H1788" s="68">
        <v>208.717685339347</v>
      </c>
      <c r="I1788" s="69">
        <v>44321.98615740741</v>
      </c>
      <c r="J1788" s="69">
        <v>44322.03465277778</v>
      </c>
      <c r="K1788">
        <f>AVERAGE(H1787:H1791)</f>
        <v>85.46898944</v>
      </c>
      <c r="L1788">
        <f>STDEV(H1787:H1791)</f>
        <v>95.06637033</v>
      </c>
      <c r="M1788" s="70">
        <v>208.717685339347</v>
      </c>
      <c r="N1788" s="70">
        <v>208.717685339347</v>
      </c>
      <c r="O1788" s="70">
        <v>5.09772268538534</v>
      </c>
      <c r="P1788" s="70">
        <v>5.09772268538534</v>
      </c>
    </row>
    <row r="1789" hidden="1">
      <c r="A1789" s="67" t="s">
        <v>2549</v>
      </c>
      <c r="B1789" s="67" t="s">
        <v>268</v>
      </c>
      <c r="C1789" s="68">
        <v>1.0</v>
      </c>
      <c r="D1789" s="68">
        <v>0.75</v>
      </c>
      <c r="E1789" s="68">
        <v>4.0</v>
      </c>
      <c r="F1789" s="68">
        <v>2.0</v>
      </c>
      <c r="G1789" s="68">
        <v>0.46446787747959</v>
      </c>
      <c r="H1789" s="68">
        <v>0.556805357253438</v>
      </c>
      <c r="I1789" s="69">
        <v>44322.035358796296</v>
      </c>
      <c r="J1789" s="69">
        <v>44322.03554398148</v>
      </c>
      <c r="K1789">
        <f>AVERAGE(H1787:H1791)</f>
        <v>85.46898944</v>
      </c>
      <c r="L1789">
        <f>STDEV(H1787:H1791)</f>
        <v>95.06637033</v>
      </c>
      <c r="M1789" s="70">
        <v>0.556805357253438</v>
      </c>
      <c r="N1789" s="70">
        <v>0.556805357253438</v>
      </c>
      <c r="O1789" s="70">
        <v>0.46446787747959</v>
      </c>
      <c r="P1789" s="70">
        <v>0.46446787747959</v>
      </c>
    </row>
    <row r="1790" hidden="1">
      <c r="A1790" s="67" t="s">
        <v>2550</v>
      </c>
      <c r="B1790" s="67" t="s">
        <v>268</v>
      </c>
      <c r="C1790" s="68">
        <v>1.0</v>
      </c>
      <c r="D1790" s="68">
        <v>0.75</v>
      </c>
      <c r="E1790" s="68">
        <v>4.0</v>
      </c>
      <c r="F1790" s="68">
        <v>3.0</v>
      </c>
      <c r="G1790" s="68">
        <v>4.78030381006863</v>
      </c>
      <c r="H1790" s="68">
        <v>161.189385020167</v>
      </c>
      <c r="I1790" s="69">
        <v>44322.03625</v>
      </c>
      <c r="J1790" s="69">
        <v>44322.03650462963</v>
      </c>
      <c r="K1790">
        <f>AVERAGE(H1787:H1791)</f>
        <v>85.46898944</v>
      </c>
      <c r="L1790">
        <f>STDEV(H1787:H1791)</f>
        <v>95.06637033</v>
      </c>
      <c r="M1790" s="70">
        <v>161.189385020167</v>
      </c>
      <c r="N1790" s="70">
        <v>161.189385020167</v>
      </c>
      <c r="O1790" s="70">
        <v>4.78030381006863</v>
      </c>
      <c r="P1790" s="70">
        <v>4.78030381006863</v>
      </c>
    </row>
    <row r="1791" hidden="1">
      <c r="A1791" s="67" t="s">
        <v>2551</v>
      </c>
      <c r="B1791" s="67" t="s">
        <v>268</v>
      </c>
      <c r="C1791" s="68">
        <v>1.0</v>
      </c>
      <c r="D1791" s="68">
        <v>0.75</v>
      </c>
      <c r="E1791" s="68">
        <v>4.0</v>
      </c>
      <c r="F1791" s="68">
        <v>4.0</v>
      </c>
      <c r="G1791" s="68">
        <v>1.32677483255478</v>
      </c>
      <c r="H1791" s="68">
        <v>55.936641437741</v>
      </c>
      <c r="I1791" s="69">
        <v>44322.037210648145</v>
      </c>
      <c r="J1791" s="69">
        <v>44322.05081018519</v>
      </c>
      <c r="K1791">
        <f>AVERAGE(H1787:H1791)</f>
        <v>85.46898944</v>
      </c>
      <c r="L1791">
        <f>STDEV(H1787:H1791)</f>
        <v>95.06637033</v>
      </c>
      <c r="M1791" s="70">
        <v>55.936641437741</v>
      </c>
      <c r="N1791" s="70">
        <v>55.936641437741</v>
      </c>
      <c r="O1791" s="70">
        <v>1.32677483255478</v>
      </c>
      <c r="P1791" s="70">
        <v>1.32677483255478</v>
      </c>
    </row>
    <row r="1792" hidden="1">
      <c r="A1792" s="67" t="s">
        <v>2552</v>
      </c>
      <c r="B1792" s="67" t="s">
        <v>268</v>
      </c>
      <c r="C1792" s="68">
        <v>1.0</v>
      </c>
      <c r="D1792" s="68">
        <v>1.0</v>
      </c>
      <c r="E1792" s="68">
        <v>4.0</v>
      </c>
      <c r="F1792" s="68">
        <v>0.0</v>
      </c>
      <c r="G1792" s="68">
        <v>1.21703352778983</v>
      </c>
      <c r="H1792" s="68">
        <v>15.9319582041984</v>
      </c>
      <c r="I1792" s="69">
        <v>44322.051516203705</v>
      </c>
      <c r="J1792" s="69">
        <v>44322.051666666666</v>
      </c>
      <c r="K1792">
        <f>AVERAGE(H1792:H1796)</f>
        <v>70.53566117</v>
      </c>
      <c r="L1792">
        <f>STDEV(H1792:H1796)</f>
        <v>78.33114806</v>
      </c>
      <c r="M1792" s="70">
        <v>15.9319582041984</v>
      </c>
      <c r="N1792" s="70">
        <v>15.9319582041984</v>
      </c>
      <c r="O1792" s="70">
        <v>1.21703352778983</v>
      </c>
      <c r="P1792" s="70">
        <v>1.21703352778983</v>
      </c>
    </row>
    <row r="1793" hidden="1">
      <c r="A1793" s="67" t="s">
        <v>2553</v>
      </c>
      <c r="B1793" s="67" t="s">
        <v>268</v>
      </c>
      <c r="C1793" s="68">
        <v>1.0</v>
      </c>
      <c r="D1793" s="68">
        <v>1.0</v>
      </c>
      <c r="E1793" s="68">
        <v>4.0</v>
      </c>
      <c r="F1793" s="68">
        <v>1.0</v>
      </c>
      <c r="G1793" s="68">
        <v>2.54417407836283</v>
      </c>
      <c r="H1793" s="68">
        <v>133.433911989087</v>
      </c>
      <c r="I1793" s="69">
        <v>44322.05237268518</v>
      </c>
      <c r="J1793" s="69">
        <v>44322.052615740744</v>
      </c>
      <c r="K1793">
        <f>AVERAGE(H1792:H1796)</f>
        <v>70.53566117</v>
      </c>
      <c r="L1793">
        <f>STDEV(H1792:H1796)</f>
        <v>78.33114806</v>
      </c>
      <c r="M1793" s="70">
        <v>133.433911989087</v>
      </c>
      <c r="N1793" s="70">
        <v>133.433911989087</v>
      </c>
      <c r="O1793" s="70">
        <v>2.54417407836283</v>
      </c>
      <c r="P1793" s="70">
        <v>2.54417407836283</v>
      </c>
    </row>
    <row r="1794" hidden="1">
      <c r="A1794" s="67" t="s">
        <v>2554</v>
      </c>
      <c r="B1794" s="67" t="s">
        <v>268</v>
      </c>
      <c r="C1794" s="68">
        <v>1.0</v>
      </c>
      <c r="D1794" s="68">
        <v>1.0</v>
      </c>
      <c r="E1794" s="68">
        <v>4.0</v>
      </c>
      <c r="F1794" s="68">
        <v>2.0</v>
      </c>
      <c r="G1794" s="68">
        <v>0.463883064978275</v>
      </c>
      <c r="H1794" s="68">
        <v>0.556393237464974</v>
      </c>
      <c r="I1794" s="69">
        <v>44322.05332175926</v>
      </c>
      <c r="J1794" s="69">
        <v>44322.053506944445</v>
      </c>
      <c r="K1794">
        <f>AVERAGE(H1792:H1796)</f>
        <v>70.53566117</v>
      </c>
      <c r="L1794">
        <f>STDEV(H1792:H1796)</f>
        <v>78.33114806</v>
      </c>
      <c r="M1794" s="70">
        <v>0.556393237464974</v>
      </c>
      <c r="N1794" s="70">
        <v>0.556393237464974</v>
      </c>
      <c r="O1794" s="70">
        <v>0.463883064978275</v>
      </c>
      <c r="P1794" s="70">
        <v>0.463883064978275</v>
      </c>
    </row>
    <row r="1795" hidden="1">
      <c r="A1795" s="67" t="s">
        <v>2555</v>
      </c>
      <c r="B1795" s="67" t="s">
        <v>268</v>
      </c>
      <c r="C1795" s="68">
        <v>1.0</v>
      </c>
      <c r="D1795" s="68">
        <v>1.0</v>
      </c>
      <c r="E1795" s="68">
        <v>4.0</v>
      </c>
      <c r="F1795" s="68">
        <v>3.0</v>
      </c>
      <c r="G1795" s="68">
        <v>1.72923534286118</v>
      </c>
      <c r="H1795" s="68">
        <v>27.8738702863004</v>
      </c>
      <c r="I1795" s="69">
        <v>44322.05421296296</v>
      </c>
      <c r="J1795" s="69">
        <v>44322.054918981485</v>
      </c>
      <c r="K1795">
        <f>AVERAGE(H1792:H1796)</f>
        <v>70.53566117</v>
      </c>
      <c r="L1795">
        <f>STDEV(H1792:H1796)</f>
        <v>78.33114806</v>
      </c>
      <c r="M1795" s="70">
        <v>27.8738702863004</v>
      </c>
      <c r="N1795" s="70">
        <v>27.8738702863004</v>
      </c>
      <c r="O1795" s="70">
        <v>1.72923534286118</v>
      </c>
      <c r="P1795" s="70">
        <v>1.72923534286118</v>
      </c>
    </row>
    <row r="1796" hidden="1">
      <c r="A1796" s="67" t="s">
        <v>2556</v>
      </c>
      <c r="B1796" s="67" t="s">
        <v>268</v>
      </c>
      <c r="C1796" s="68">
        <v>1.0</v>
      </c>
      <c r="D1796" s="68">
        <v>1.0</v>
      </c>
      <c r="E1796" s="68">
        <v>4.0</v>
      </c>
      <c r="F1796" s="68">
        <v>4.0</v>
      </c>
      <c r="G1796" s="68">
        <v>3.90195060597229</v>
      </c>
      <c r="H1796" s="68">
        <v>174.882172136775</v>
      </c>
      <c r="I1796" s="69">
        <v>44322.055625</v>
      </c>
      <c r="J1796" s="69">
        <v>44322.13366898148</v>
      </c>
      <c r="K1796">
        <f>AVERAGE(H1792:H1796)</f>
        <v>70.53566117</v>
      </c>
      <c r="L1796">
        <f>STDEV(H1792:H1796)</f>
        <v>78.33114806</v>
      </c>
      <c r="M1796" s="70">
        <v>174.882172136775</v>
      </c>
      <c r="N1796" s="70">
        <v>174.882172136775</v>
      </c>
      <c r="O1796" s="70">
        <v>3.90195060597229</v>
      </c>
      <c r="P1796" s="70">
        <v>3.90195060597229</v>
      </c>
    </row>
    <row r="1797" hidden="1">
      <c r="A1797" s="67" t="s">
        <v>2557</v>
      </c>
      <c r="B1797" s="67" t="s">
        <v>519</v>
      </c>
      <c r="C1797" s="68">
        <v>0.1</v>
      </c>
      <c r="D1797" s="68">
        <v>0.1</v>
      </c>
      <c r="E1797" s="68">
        <v>4.0</v>
      </c>
      <c r="F1797" s="68">
        <v>0.0</v>
      </c>
      <c r="G1797" s="68">
        <v>3.12436250216351</v>
      </c>
      <c r="H1797" s="68">
        <v>146.054527327667</v>
      </c>
      <c r="I1797" s="69">
        <v>44322.13438657407</v>
      </c>
      <c r="J1797" s="69">
        <v>44322.21703703704</v>
      </c>
      <c r="K1797">
        <f>AVERAGE(H1797:H1801)</f>
        <v>144.9058503</v>
      </c>
      <c r="L1797">
        <f>STDEV(H1797:H1801)</f>
        <v>142.1774391</v>
      </c>
      <c r="M1797" s="70">
        <v>146.054527327667</v>
      </c>
      <c r="N1797" s="70">
        <v>146.054527327667</v>
      </c>
      <c r="O1797" s="70">
        <v>3.12436250216351</v>
      </c>
      <c r="P1797" s="70">
        <v>3.12436250216351</v>
      </c>
    </row>
    <row r="1798" hidden="1">
      <c r="A1798" s="67" t="s">
        <v>2558</v>
      </c>
      <c r="B1798" s="67" t="s">
        <v>519</v>
      </c>
      <c r="C1798" s="68">
        <v>0.1</v>
      </c>
      <c r="D1798" s="68">
        <v>0.1</v>
      </c>
      <c r="E1798" s="68">
        <v>4.0</v>
      </c>
      <c r="F1798" s="68">
        <v>1.0</v>
      </c>
      <c r="G1798" s="68">
        <v>1.08195642263574</v>
      </c>
      <c r="H1798" s="68">
        <v>1.45236498839199</v>
      </c>
      <c r="I1798" s="69">
        <v>44322.21775462963</v>
      </c>
      <c r="J1798" s="69">
        <v>44322.21787037037</v>
      </c>
      <c r="K1798">
        <f>AVERAGE(H1797:H1801)</f>
        <v>144.9058503</v>
      </c>
      <c r="L1798">
        <f>STDEV(H1797:H1801)</f>
        <v>142.1774391</v>
      </c>
      <c r="M1798" s="70">
        <v>1.45236498839199</v>
      </c>
      <c r="N1798" s="70">
        <v>1.45236498839199</v>
      </c>
      <c r="O1798" s="70">
        <v>1.08195642263574</v>
      </c>
      <c r="P1798" s="70">
        <v>1.08195642263574</v>
      </c>
    </row>
    <row r="1799" hidden="1">
      <c r="A1799" s="67" t="s">
        <v>2559</v>
      </c>
      <c r="B1799" s="67" t="s">
        <v>519</v>
      </c>
      <c r="C1799" s="68">
        <v>0.1</v>
      </c>
      <c r="D1799" s="68">
        <v>0.1</v>
      </c>
      <c r="E1799" s="68">
        <v>4.0</v>
      </c>
      <c r="F1799" s="68">
        <v>2.0</v>
      </c>
      <c r="G1799" s="68">
        <v>1.44843303705473</v>
      </c>
      <c r="H1799" s="68">
        <v>23.4836219659708</v>
      </c>
      <c r="I1799" s="69">
        <v>44322.21857638889</v>
      </c>
      <c r="J1799" s="69">
        <v>44322.21884259259</v>
      </c>
      <c r="K1799">
        <f>AVERAGE(H1797:H1801)</f>
        <v>144.9058503</v>
      </c>
      <c r="L1799">
        <f>STDEV(H1797:H1801)</f>
        <v>142.1774391</v>
      </c>
      <c r="M1799" s="70">
        <v>23.4836219659708</v>
      </c>
      <c r="N1799" s="70">
        <v>23.4836219659708</v>
      </c>
      <c r="O1799" s="70">
        <v>1.44843303705473</v>
      </c>
      <c r="P1799" s="70">
        <v>1.44843303705473</v>
      </c>
    </row>
    <row r="1800" hidden="1">
      <c r="A1800" s="67" t="s">
        <v>2560</v>
      </c>
      <c r="B1800" s="67" t="s">
        <v>519</v>
      </c>
      <c r="C1800" s="68">
        <v>0.1</v>
      </c>
      <c r="D1800" s="68">
        <v>0.1</v>
      </c>
      <c r="E1800" s="68">
        <v>4.0</v>
      </c>
      <c r="F1800" s="68">
        <v>3.0</v>
      </c>
      <c r="G1800" s="68">
        <v>11.8341170262841</v>
      </c>
      <c r="H1800" s="68">
        <v>350.111520327017</v>
      </c>
      <c r="I1800" s="69">
        <v>44322.21954861111</v>
      </c>
      <c r="J1800" s="69">
        <v>44322.2196412037</v>
      </c>
      <c r="K1800">
        <f>AVERAGE(H1797:H1801)</f>
        <v>144.9058503</v>
      </c>
      <c r="L1800">
        <f>STDEV(H1797:H1801)</f>
        <v>142.1774391</v>
      </c>
      <c r="M1800" s="70">
        <v>350.111520327017</v>
      </c>
      <c r="N1800" s="70">
        <v>350.111520327017</v>
      </c>
      <c r="O1800" s="70">
        <v>11.8341170262841</v>
      </c>
      <c r="P1800" s="70">
        <v>11.8341170262841</v>
      </c>
    </row>
    <row r="1801" hidden="1">
      <c r="A1801" s="67" t="s">
        <v>2561</v>
      </c>
      <c r="B1801" s="67" t="s">
        <v>519</v>
      </c>
      <c r="C1801" s="68">
        <v>0.1</v>
      </c>
      <c r="D1801" s="68">
        <v>0.1</v>
      </c>
      <c r="E1801" s="68">
        <v>4.0</v>
      </c>
      <c r="F1801" s="68">
        <v>4.0</v>
      </c>
      <c r="G1801" s="68">
        <v>4.58446036724409</v>
      </c>
      <c r="H1801" s="68">
        <v>203.427216722674</v>
      </c>
      <c r="I1801" s="69">
        <v>44322.220358796294</v>
      </c>
      <c r="J1801" s="69">
        <v>44322.22133101852</v>
      </c>
      <c r="K1801">
        <f>AVERAGE(H1797:H1801)</f>
        <v>144.9058503</v>
      </c>
      <c r="L1801">
        <f>STDEV(H1797:H1801)</f>
        <v>142.1774391</v>
      </c>
      <c r="M1801" s="70">
        <v>203.427216722674</v>
      </c>
      <c r="N1801" s="70">
        <v>203.427216722674</v>
      </c>
      <c r="O1801" s="70">
        <v>4.58446036724409</v>
      </c>
      <c r="P1801" s="70">
        <v>4.58446036724409</v>
      </c>
    </row>
    <row r="1802" hidden="1">
      <c r="A1802" s="67" t="s">
        <v>2562</v>
      </c>
      <c r="B1802" s="67" t="s">
        <v>519</v>
      </c>
      <c r="C1802" s="68">
        <v>0.1</v>
      </c>
      <c r="D1802" s="68">
        <v>0.25</v>
      </c>
      <c r="E1802" s="68">
        <v>4.0</v>
      </c>
      <c r="F1802" s="68">
        <v>0.0</v>
      </c>
      <c r="G1802" s="68">
        <v>4.49345346579117</v>
      </c>
      <c r="H1802" s="68">
        <v>191.964790905279</v>
      </c>
      <c r="I1802" s="69">
        <v>44322.222037037034</v>
      </c>
      <c r="J1802" s="69">
        <v>44322.265069444446</v>
      </c>
      <c r="K1802">
        <f>AVERAGE(H1802:H1806)</f>
        <v>58.41394606</v>
      </c>
      <c r="L1802">
        <f>STDEV(H1802:H1806)</f>
        <v>80.71212253</v>
      </c>
      <c r="M1802" s="70">
        <v>191.964790905279</v>
      </c>
      <c r="N1802" s="70">
        <v>191.964790905279</v>
      </c>
      <c r="O1802" s="70">
        <v>4.49345346579117</v>
      </c>
      <c r="P1802" s="70">
        <v>4.49345346579117</v>
      </c>
    </row>
    <row r="1803" hidden="1">
      <c r="A1803" s="67" t="s">
        <v>2563</v>
      </c>
      <c r="B1803" s="67" t="s">
        <v>519</v>
      </c>
      <c r="C1803" s="68">
        <v>0.1</v>
      </c>
      <c r="D1803" s="68">
        <v>0.25</v>
      </c>
      <c r="E1803" s="68">
        <v>4.0</v>
      </c>
      <c r="F1803" s="68">
        <v>1.0</v>
      </c>
      <c r="G1803" s="68">
        <v>1.43640908815364</v>
      </c>
      <c r="H1803" s="68">
        <v>23.0724859087777</v>
      </c>
      <c r="I1803" s="69">
        <v>44322.26577546296</v>
      </c>
      <c r="J1803" s="69">
        <v>44322.26604166667</v>
      </c>
      <c r="K1803">
        <f>AVERAGE(H1802:H1806)</f>
        <v>58.41394606</v>
      </c>
      <c r="L1803">
        <f>STDEV(H1802:H1806)</f>
        <v>80.71212253</v>
      </c>
      <c r="M1803" s="70">
        <v>23.0724859087777</v>
      </c>
      <c r="N1803" s="70">
        <v>23.0724859087777</v>
      </c>
      <c r="O1803" s="70">
        <v>1.43640908815364</v>
      </c>
      <c r="P1803" s="70">
        <v>1.43640908815364</v>
      </c>
    </row>
    <row r="1804" hidden="1">
      <c r="A1804" s="67" t="s">
        <v>2564</v>
      </c>
      <c r="B1804" s="67" t="s">
        <v>519</v>
      </c>
      <c r="C1804" s="68">
        <v>0.1</v>
      </c>
      <c r="D1804" s="68">
        <v>0.25</v>
      </c>
      <c r="E1804" s="68">
        <v>4.0</v>
      </c>
      <c r="F1804" s="68">
        <v>2.0</v>
      </c>
      <c r="G1804" s="68">
        <v>0.500113944982707</v>
      </c>
      <c r="H1804" s="68">
        <v>0.896935091961762</v>
      </c>
      <c r="I1804" s="69">
        <v>44322.266747685186</v>
      </c>
      <c r="J1804" s="69">
        <v>44322.267175925925</v>
      </c>
      <c r="K1804">
        <f>AVERAGE(H1802:H1806)</f>
        <v>58.41394606</v>
      </c>
      <c r="L1804">
        <f>STDEV(H1802:H1806)</f>
        <v>80.71212253</v>
      </c>
      <c r="M1804" s="70">
        <v>0.896935091961762</v>
      </c>
      <c r="N1804" s="70">
        <v>0.896935091961762</v>
      </c>
      <c r="O1804" s="70">
        <v>0.500113944982707</v>
      </c>
      <c r="P1804" s="70">
        <v>0.500113944982707</v>
      </c>
    </row>
    <row r="1805" hidden="1">
      <c r="A1805" s="67" t="s">
        <v>2565</v>
      </c>
      <c r="B1805" s="67" t="s">
        <v>519</v>
      </c>
      <c r="C1805" s="68">
        <v>0.1</v>
      </c>
      <c r="D1805" s="68">
        <v>0.25</v>
      </c>
      <c r="E1805" s="68">
        <v>4.0</v>
      </c>
      <c r="F1805" s="68">
        <v>3.0</v>
      </c>
      <c r="G1805" s="68">
        <v>0.317145370870006</v>
      </c>
      <c r="H1805" s="68">
        <v>0.406115963760371</v>
      </c>
      <c r="I1805" s="69">
        <v>44322.26788194444</v>
      </c>
      <c r="J1805" s="69">
        <v>44322.26793981482</v>
      </c>
      <c r="K1805">
        <f>AVERAGE(H1802:H1806)</f>
        <v>58.41394606</v>
      </c>
      <c r="L1805">
        <f>STDEV(H1802:H1806)</f>
        <v>80.71212253</v>
      </c>
      <c r="M1805" s="70">
        <v>0.406115963760371</v>
      </c>
      <c r="N1805" s="70">
        <v>0.406115963760371</v>
      </c>
      <c r="O1805" s="70">
        <v>0.317145370870006</v>
      </c>
      <c r="P1805" s="70">
        <v>0.317145370870006</v>
      </c>
    </row>
    <row r="1806" hidden="1">
      <c r="A1806" s="67" t="s">
        <v>2566</v>
      </c>
      <c r="B1806" s="67" t="s">
        <v>519</v>
      </c>
      <c r="C1806" s="68">
        <v>0.1</v>
      </c>
      <c r="D1806" s="68">
        <v>0.25</v>
      </c>
      <c r="E1806" s="68">
        <v>4.0</v>
      </c>
      <c r="F1806" s="68">
        <v>4.0</v>
      </c>
      <c r="G1806" s="68">
        <v>1.93098085456103</v>
      </c>
      <c r="H1806" s="68">
        <v>75.7294024057989</v>
      </c>
      <c r="I1806" s="69">
        <v>44322.26865740741</v>
      </c>
      <c r="J1806" s="69">
        <v>44322.274097222224</v>
      </c>
      <c r="K1806">
        <f>AVERAGE(H1802:H1806)</f>
        <v>58.41394606</v>
      </c>
      <c r="L1806">
        <f>STDEV(H1802:H1806)</f>
        <v>80.71212253</v>
      </c>
      <c r="M1806" s="70">
        <v>75.7294024057989</v>
      </c>
      <c r="N1806" s="70">
        <v>75.7294024057989</v>
      </c>
      <c r="O1806" s="70">
        <v>1.93098085456103</v>
      </c>
      <c r="P1806" s="70">
        <v>1.93098085456103</v>
      </c>
    </row>
    <row r="1807" hidden="1">
      <c r="A1807" s="67" t="s">
        <v>2567</v>
      </c>
      <c r="B1807" s="67" t="s">
        <v>519</v>
      </c>
      <c r="C1807" s="68">
        <v>0.1</v>
      </c>
      <c r="D1807" s="68">
        <v>0.5</v>
      </c>
      <c r="E1807" s="68">
        <v>4.0</v>
      </c>
      <c r="F1807" s="68">
        <v>0.0</v>
      </c>
      <c r="G1807" s="68">
        <v>0.470275114529804</v>
      </c>
      <c r="H1807" s="68">
        <v>0.561714902354158</v>
      </c>
      <c r="I1807" s="69">
        <v>44322.27480324074</v>
      </c>
      <c r="J1807" s="69">
        <v>44322.274988425925</v>
      </c>
      <c r="K1807">
        <f>AVERAGE(H1807:H1811)</f>
        <v>105.451374</v>
      </c>
      <c r="L1807">
        <f>STDEV(H1807:H1811)</f>
        <v>99.27441534</v>
      </c>
      <c r="M1807" s="70">
        <v>0.561714902354158</v>
      </c>
      <c r="N1807" s="70">
        <v>0.561714902354158</v>
      </c>
      <c r="O1807" s="70">
        <v>0.470275114529804</v>
      </c>
      <c r="P1807" s="70">
        <v>0.470275114529804</v>
      </c>
    </row>
    <row r="1808" hidden="1">
      <c r="A1808" s="67" t="s">
        <v>2568</v>
      </c>
      <c r="B1808" s="67" t="s">
        <v>519</v>
      </c>
      <c r="C1808" s="68">
        <v>0.1</v>
      </c>
      <c r="D1808" s="68">
        <v>0.5</v>
      </c>
      <c r="E1808" s="68">
        <v>4.0</v>
      </c>
      <c r="F1808" s="68">
        <v>1.0</v>
      </c>
      <c r="G1808" s="68">
        <v>3.41909286452132</v>
      </c>
      <c r="H1808" s="68">
        <v>161.15400643238</v>
      </c>
      <c r="I1808" s="69">
        <v>44322.27569444444</v>
      </c>
      <c r="J1808" s="69">
        <v>44322.3521412037</v>
      </c>
      <c r="K1808">
        <f>AVERAGE(H1807:H1811)</f>
        <v>105.451374</v>
      </c>
      <c r="L1808">
        <f>STDEV(H1807:H1811)</f>
        <v>99.27441534</v>
      </c>
      <c r="M1808" s="70">
        <v>161.15400643238</v>
      </c>
      <c r="N1808" s="70">
        <v>161.15400643238</v>
      </c>
      <c r="O1808" s="70">
        <v>3.41909286452132</v>
      </c>
      <c r="P1808" s="70">
        <v>3.41909286452132</v>
      </c>
    </row>
    <row r="1809" hidden="1">
      <c r="A1809" s="67" t="s">
        <v>2569</v>
      </c>
      <c r="B1809" s="67" t="s">
        <v>519</v>
      </c>
      <c r="C1809" s="68">
        <v>0.1</v>
      </c>
      <c r="D1809" s="68">
        <v>0.5</v>
      </c>
      <c r="E1809" s="68">
        <v>4.0</v>
      </c>
      <c r="F1809" s="68">
        <v>2.0</v>
      </c>
      <c r="G1809" s="68">
        <v>2.8825711960885</v>
      </c>
      <c r="H1809" s="68">
        <v>146.588091400881</v>
      </c>
      <c r="I1809" s="69">
        <v>44322.352847222224</v>
      </c>
      <c r="J1809" s="69">
        <v>44322.354791666665</v>
      </c>
      <c r="K1809">
        <f>AVERAGE(H1807:H1811)</f>
        <v>105.451374</v>
      </c>
      <c r="L1809">
        <f>STDEV(H1807:H1811)</f>
        <v>99.27441534</v>
      </c>
      <c r="M1809" s="70">
        <v>146.588091400881</v>
      </c>
      <c r="N1809" s="70">
        <v>146.588091400881</v>
      </c>
      <c r="O1809" s="70">
        <v>2.8825711960885</v>
      </c>
      <c r="P1809" s="70">
        <v>2.8825711960885</v>
      </c>
    </row>
    <row r="1810" hidden="1">
      <c r="A1810" s="67" t="s">
        <v>2570</v>
      </c>
      <c r="B1810" s="67" t="s">
        <v>519</v>
      </c>
      <c r="C1810" s="68">
        <v>0.1</v>
      </c>
      <c r="D1810" s="68">
        <v>0.5</v>
      </c>
      <c r="E1810" s="68">
        <v>4.0</v>
      </c>
      <c r="F1810" s="68">
        <v>3.0</v>
      </c>
      <c r="G1810" s="68">
        <v>0.634710554728437</v>
      </c>
      <c r="H1810" s="68">
        <v>0.866259723810154</v>
      </c>
      <c r="I1810" s="69">
        <v>44322.35549768519</v>
      </c>
      <c r="J1810" s="69">
        <v>44322.35549768519</v>
      </c>
      <c r="K1810">
        <f>AVERAGE(H1807:H1811)</f>
        <v>105.451374</v>
      </c>
      <c r="L1810">
        <f>STDEV(H1807:H1811)</f>
        <v>99.27441534</v>
      </c>
      <c r="M1810" s="70">
        <v>0.866259723810154</v>
      </c>
      <c r="N1810" s="70">
        <v>0.866259723810154</v>
      </c>
      <c r="O1810" s="70">
        <v>0.634710554728437</v>
      </c>
      <c r="P1810" s="70">
        <v>0.634710554728437</v>
      </c>
    </row>
    <row r="1811" hidden="1">
      <c r="A1811" s="67" t="s">
        <v>2571</v>
      </c>
      <c r="B1811" s="67" t="s">
        <v>519</v>
      </c>
      <c r="C1811" s="68">
        <v>0.1</v>
      </c>
      <c r="D1811" s="68">
        <v>0.5</v>
      </c>
      <c r="E1811" s="68">
        <v>4.0</v>
      </c>
      <c r="F1811" s="68">
        <v>4.0</v>
      </c>
      <c r="G1811" s="68">
        <v>9.13585412202022</v>
      </c>
      <c r="H1811" s="68">
        <v>218.086797688575</v>
      </c>
      <c r="I1811" s="69">
        <v>44322.35621527778</v>
      </c>
      <c r="J1811" s="69">
        <v>44322.35633101852</v>
      </c>
      <c r="K1811">
        <f>AVERAGE(H1807:H1811)</f>
        <v>105.451374</v>
      </c>
      <c r="L1811">
        <f>STDEV(H1807:H1811)</f>
        <v>99.27441534</v>
      </c>
      <c r="M1811" s="70">
        <v>218.086797688575</v>
      </c>
      <c r="N1811" s="70">
        <v>218.086797688575</v>
      </c>
      <c r="O1811" s="70">
        <v>9.13585412202022</v>
      </c>
      <c r="P1811" s="70">
        <v>9.13585412202022</v>
      </c>
    </row>
    <row r="1812" hidden="1">
      <c r="A1812" s="67" t="s">
        <v>2572</v>
      </c>
      <c r="B1812" s="67" t="s">
        <v>519</v>
      </c>
      <c r="C1812" s="68">
        <v>0.1</v>
      </c>
      <c r="D1812" s="68">
        <v>0.75</v>
      </c>
      <c r="E1812" s="68">
        <v>4.0</v>
      </c>
      <c r="F1812" s="68">
        <v>0.0</v>
      </c>
      <c r="G1812" s="68">
        <v>7.92018308536611</v>
      </c>
      <c r="H1812" s="68">
        <v>277.380033370606</v>
      </c>
      <c r="I1812" s="69">
        <v>44322.357037037036</v>
      </c>
      <c r="J1812" s="69">
        <v>44322.35931712963</v>
      </c>
      <c r="K1812">
        <f>AVERAGE(H1812:H1816)</f>
        <v>118.0121979</v>
      </c>
      <c r="L1812">
        <f>STDEV(H1812:H1816)</f>
        <v>107.4412436</v>
      </c>
      <c r="M1812" s="70">
        <v>277.380033370606</v>
      </c>
      <c r="N1812" s="70">
        <v>277.380033370606</v>
      </c>
      <c r="O1812" s="70">
        <v>7.92018308536611</v>
      </c>
      <c r="P1812" s="70">
        <v>7.92018308536611</v>
      </c>
    </row>
    <row r="1813" hidden="1">
      <c r="A1813" s="67" t="s">
        <v>2573</v>
      </c>
      <c r="B1813" s="67" t="s">
        <v>519</v>
      </c>
      <c r="C1813" s="68">
        <v>0.1</v>
      </c>
      <c r="D1813" s="68">
        <v>0.75</v>
      </c>
      <c r="E1813" s="68">
        <v>4.0</v>
      </c>
      <c r="F1813" s="68">
        <v>1.0</v>
      </c>
      <c r="G1813" s="68">
        <v>2.64397974277779</v>
      </c>
      <c r="H1813" s="68">
        <v>4.14308284676004</v>
      </c>
      <c r="I1813" s="69">
        <v>44322.36002314815</v>
      </c>
      <c r="J1813" s="69">
        <v>44322.360127314816</v>
      </c>
      <c r="K1813">
        <f>AVERAGE(H1812:H1816)</f>
        <v>118.0121979</v>
      </c>
      <c r="L1813">
        <f>STDEV(H1812:H1816)</f>
        <v>107.4412436</v>
      </c>
      <c r="M1813" s="70">
        <v>4.14308284676004</v>
      </c>
      <c r="N1813" s="70">
        <v>4.14308284676004</v>
      </c>
      <c r="O1813" s="70">
        <v>2.64397974277779</v>
      </c>
      <c r="P1813" s="70">
        <v>2.64397974277779</v>
      </c>
    </row>
    <row r="1814" hidden="1">
      <c r="A1814" s="67" t="s">
        <v>2574</v>
      </c>
      <c r="B1814" s="67" t="s">
        <v>519</v>
      </c>
      <c r="C1814" s="68">
        <v>0.1</v>
      </c>
      <c r="D1814" s="68">
        <v>0.75</v>
      </c>
      <c r="E1814" s="68">
        <v>4.0</v>
      </c>
      <c r="F1814" s="68">
        <v>2.0</v>
      </c>
      <c r="G1814" s="68">
        <v>1.66953887114112</v>
      </c>
      <c r="H1814" s="68">
        <v>67.3303975403152</v>
      </c>
      <c r="I1814" s="69">
        <v>44322.36083333333</v>
      </c>
      <c r="J1814" s="69">
        <v>44322.3731712963</v>
      </c>
      <c r="K1814">
        <f>AVERAGE(H1812:H1816)</f>
        <v>118.0121979</v>
      </c>
      <c r="L1814">
        <f>STDEV(H1812:H1816)</f>
        <v>107.4412436</v>
      </c>
      <c r="M1814" s="70">
        <v>67.3303975403152</v>
      </c>
      <c r="N1814" s="70">
        <v>67.3303975403152</v>
      </c>
      <c r="O1814" s="70">
        <v>1.66953887114112</v>
      </c>
      <c r="P1814" s="70">
        <v>1.66953887114112</v>
      </c>
    </row>
    <row r="1815" hidden="1">
      <c r="A1815" s="67" t="s">
        <v>2575</v>
      </c>
      <c r="B1815" s="67" t="s">
        <v>519</v>
      </c>
      <c r="C1815" s="68">
        <v>0.1</v>
      </c>
      <c r="D1815" s="68">
        <v>0.75</v>
      </c>
      <c r="E1815" s="68">
        <v>4.0</v>
      </c>
      <c r="F1815" s="68">
        <v>3.0</v>
      </c>
      <c r="G1815" s="68">
        <v>1.35135249479007</v>
      </c>
      <c r="H1815" s="68">
        <v>69.4758399447292</v>
      </c>
      <c r="I1815" s="69">
        <v>44322.373877314814</v>
      </c>
      <c r="J1815" s="69">
        <v>44322.375081018516</v>
      </c>
      <c r="K1815">
        <f>AVERAGE(H1812:H1816)</f>
        <v>118.0121979</v>
      </c>
      <c r="L1815">
        <f>STDEV(H1812:H1816)</f>
        <v>107.4412436</v>
      </c>
      <c r="M1815" s="70">
        <v>69.4758399447292</v>
      </c>
      <c r="N1815" s="70">
        <v>69.4758399447292</v>
      </c>
      <c r="O1815" s="70">
        <v>1.35135249479007</v>
      </c>
      <c r="P1815" s="70">
        <v>1.35135249479007</v>
      </c>
    </row>
    <row r="1816" hidden="1">
      <c r="A1816" s="67" t="s">
        <v>2576</v>
      </c>
      <c r="B1816" s="67" t="s">
        <v>519</v>
      </c>
      <c r="C1816" s="68">
        <v>0.1</v>
      </c>
      <c r="D1816" s="68">
        <v>0.75</v>
      </c>
      <c r="E1816" s="68">
        <v>4.0</v>
      </c>
      <c r="F1816" s="68">
        <v>4.0</v>
      </c>
      <c r="G1816" s="68">
        <v>3.7896933143065</v>
      </c>
      <c r="H1816" s="68">
        <v>171.731635779218</v>
      </c>
      <c r="I1816" s="69">
        <v>44322.37578703704</v>
      </c>
      <c r="J1816" s="69">
        <v>44322.38652777778</v>
      </c>
      <c r="K1816">
        <f>AVERAGE(H1812:H1816)</f>
        <v>118.0121979</v>
      </c>
      <c r="L1816">
        <f>STDEV(H1812:H1816)</f>
        <v>107.4412436</v>
      </c>
      <c r="M1816" s="70">
        <v>171.731635779218</v>
      </c>
      <c r="N1816" s="70">
        <v>171.731635779218</v>
      </c>
      <c r="O1816" s="70">
        <v>3.7896933143065</v>
      </c>
      <c r="P1816" s="70">
        <v>3.7896933143065</v>
      </c>
    </row>
    <row r="1817" hidden="1">
      <c r="A1817" s="67" t="s">
        <v>2577</v>
      </c>
      <c r="B1817" s="67" t="s">
        <v>519</v>
      </c>
      <c r="C1817" s="68">
        <v>0.1</v>
      </c>
      <c r="D1817" s="68">
        <v>1.0</v>
      </c>
      <c r="E1817" s="68">
        <v>4.0</v>
      </c>
      <c r="F1817" s="68">
        <v>0.0</v>
      </c>
      <c r="G1817" s="68">
        <v>10.1105699664456</v>
      </c>
      <c r="H1817" s="68">
        <v>310.010711468741</v>
      </c>
      <c r="I1817" s="69">
        <v>44322.38724537037</v>
      </c>
      <c r="J1817" s="69">
        <v>44322.38737268518</v>
      </c>
      <c r="K1817">
        <f>AVERAGE(H1817:H1821)</f>
        <v>134.7809047</v>
      </c>
      <c r="L1817">
        <f>STDEV(H1817:H1821)</f>
        <v>134.2850695</v>
      </c>
      <c r="M1817" s="70">
        <v>310.010711468741</v>
      </c>
      <c r="N1817" s="70">
        <v>310.010711468741</v>
      </c>
      <c r="O1817" s="70">
        <v>10.1105699664456</v>
      </c>
      <c r="P1817" s="70">
        <v>10.1105699664456</v>
      </c>
    </row>
    <row r="1818" hidden="1">
      <c r="A1818" s="67" t="s">
        <v>2578</v>
      </c>
      <c r="B1818" s="67" t="s">
        <v>519</v>
      </c>
      <c r="C1818" s="68">
        <v>0.1</v>
      </c>
      <c r="D1818" s="68">
        <v>1.0</v>
      </c>
      <c r="E1818" s="68">
        <v>4.0</v>
      </c>
      <c r="F1818" s="68">
        <v>1.0</v>
      </c>
      <c r="G1818" s="68">
        <v>3.1846034269595</v>
      </c>
      <c r="H1818" s="68">
        <v>152.457889162616</v>
      </c>
      <c r="I1818" s="69">
        <v>44322.388090277775</v>
      </c>
      <c r="J1818" s="69">
        <v>44322.48693287037</v>
      </c>
      <c r="K1818">
        <f>AVERAGE(H1817:H1821)</f>
        <v>134.7809047</v>
      </c>
      <c r="L1818">
        <f>STDEV(H1817:H1821)</f>
        <v>134.2850695</v>
      </c>
      <c r="M1818" s="70">
        <v>152.457889162616</v>
      </c>
      <c r="N1818" s="70">
        <v>152.457889162616</v>
      </c>
      <c r="O1818" s="70">
        <v>3.1846034269595</v>
      </c>
      <c r="P1818" s="70">
        <v>3.1846034269595</v>
      </c>
    </row>
    <row r="1819" hidden="1">
      <c r="A1819" s="67" t="s">
        <v>2579</v>
      </c>
      <c r="B1819" s="67" t="s">
        <v>519</v>
      </c>
      <c r="C1819" s="68">
        <v>0.1</v>
      </c>
      <c r="D1819" s="68">
        <v>1.0</v>
      </c>
      <c r="E1819" s="68">
        <v>4.0</v>
      </c>
      <c r="F1819" s="68">
        <v>2.0</v>
      </c>
      <c r="G1819" s="68">
        <v>1.09023735721991</v>
      </c>
      <c r="H1819" s="68">
        <v>1.4618768840596</v>
      </c>
      <c r="I1819" s="69">
        <v>44322.48763888889</v>
      </c>
      <c r="J1819" s="69">
        <v>44322.48775462963</v>
      </c>
      <c r="K1819">
        <f>AVERAGE(H1817:H1821)</f>
        <v>134.7809047</v>
      </c>
      <c r="L1819">
        <f>STDEV(H1817:H1821)</f>
        <v>134.2850695</v>
      </c>
      <c r="M1819" s="70">
        <v>1.4618768840596</v>
      </c>
      <c r="N1819" s="70">
        <v>1.4618768840596</v>
      </c>
      <c r="O1819" s="70">
        <v>1.09023735721991</v>
      </c>
      <c r="P1819" s="70">
        <v>1.09023735721991</v>
      </c>
    </row>
    <row r="1820" hidden="1">
      <c r="A1820" s="67" t="s">
        <v>2580</v>
      </c>
      <c r="B1820" s="67" t="s">
        <v>519</v>
      </c>
      <c r="C1820" s="68">
        <v>0.1</v>
      </c>
      <c r="D1820" s="68">
        <v>1.0</v>
      </c>
      <c r="E1820" s="68">
        <v>4.0</v>
      </c>
      <c r="F1820" s="68">
        <v>3.0</v>
      </c>
      <c r="G1820" s="68">
        <v>0.8529450495274</v>
      </c>
      <c r="H1820" s="68">
        <v>1.15387631883834</v>
      </c>
      <c r="I1820" s="69">
        <v>44322.48846064815</v>
      </c>
      <c r="J1820" s="69">
        <v>44322.48868055556</v>
      </c>
      <c r="K1820">
        <f>AVERAGE(H1817:H1821)</f>
        <v>134.7809047</v>
      </c>
      <c r="L1820">
        <f>STDEV(H1817:H1821)</f>
        <v>134.2850695</v>
      </c>
      <c r="M1820" s="70">
        <v>1.15387631883834</v>
      </c>
      <c r="N1820" s="70">
        <v>1.15387631883834</v>
      </c>
      <c r="O1820" s="70">
        <v>0.8529450495274</v>
      </c>
      <c r="P1820" s="70">
        <v>0.8529450495274</v>
      </c>
    </row>
    <row r="1821" hidden="1">
      <c r="A1821" s="67" t="s">
        <v>2581</v>
      </c>
      <c r="B1821" s="67" t="s">
        <v>519</v>
      </c>
      <c r="C1821" s="68">
        <v>0.1</v>
      </c>
      <c r="D1821" s="68">
        <v>1.0</v>
      </c>
      <c r="E1821" s="68">
        <v>4.0</v>
      </c>
      <c r="F1821" s="68">
        <v>4.0</v>
      </c>
      <c r="G1821" s="68">
        <v>6.49796025570303</v>
      </c>
      <c r="H1821" s="68">
        <v>208.82016959889</v>
      </c>
      <c r="I1821" s="69">
        <v>44322.489386574074</v>
      </c>
      <c r="J1821" s="69">
        <v>44322.48950231481</v>
      </c>
      <c r="K1821">
        <f>AVERAGE(H1817:H1821)</f>
        <v>134.7809047</v>
      </c>
      <c r="L1821">
        <f>STDEV(H1817:H1821)</f>
        <v>134.2850695</v>
      </c>
      <c r="M1821" s="70">
        <v>208.82016959889</v>
      </c>
      <c r="N1821" s="70">
        <v>208.82016959889</v>
      </c>
      <c r="O1821" s="70">
        <v>6.49796025570303</v>
      </c>
      <c r="P1821" s="70">
        <v>6.49796025570303</v>
      </c>
    </row>
    <row r="1822" hidden="1">
      <c r="A1822" s="67" t="s">
        <v>2582</v>
      </c>
      <c r="B1822" s="67" t="s">
        <v>519</v>
      </c>
      <c r="C1822" s="68">
        <v>0.25</v>
      </c>
      <c r="D1822" s="68">
        <v>0.1</v>
      </c>
      <c r="E1822" s="68">
        <v>4.0</v>
      </c>
      <c r="F1822" s="68">
        <v>0.0</v>
      </c>
      <c r="G1822" s="68">
        <v>3.75677561527336</v>
      </c>
      <c r="H1822" s="68">
        <v>173.310926878619</v>
      </c>
      <c r="I1822" s="69">
        <v>44322.490208333336</v>
      </c>
      <c r="J1822" s="69">
        <v>44322.5447337963</v>
      </c>
      <c r="K1822">
        <f>AVERAGE(H1822:H1826)</f>
        <v>115.5670855</v>
      </c>
      <c r="L1822">
        <f>STDEV(H1822:H1826)</f>
        <v>63.50579575</v>
      </c>
      <c r="M1822" s="70">
        <v>173.310926878619</v>
      </c>
      <c r="N1822" s="70">
        <v>173.310926878619</v>
      </c>
      <c r="O1822" s="70">
        <v>3.75677561527336</v>
      </c>
      <c r="P1822" s="70">
        <v>3.75677561527336</v>
      </c>
    </row>
    <row r="1823" hidden="1">
      <c r="A1823" s="67" t="s">
        <v>2583</v>
      </c>
      <c r="B1823" s="67" t="s">
        <v>519</v>
      </c>
      <c r="C1823" s="68">
        <v>0.25</v>
      </c>
      <c r="D1823" s="68">
        <v>0.1</v>
      </c>
      <c r="E1823" s="68">
        <v>4.0</v>
      </c>
      <c r="F1823" s="68">
        <v>1.0</v>
      </c>
      <c r="G1823" s="68">
        <v>2.13717500341154</v>
      </c>
      <c r="H1823" s="68">
        <v>99.6272915889858</v>
      </c>
      <c r="I1823" s="69">
        <v>44322.545439814814</v>
      </c>
      <c r="J1823" s="69">
        <v>44322.546793981484</v>
      </c>
      <c r="K1823">
        <f>AVERAGE(H1822:H1826)</f>
        <v>115.5670855</v>
      </c>
      <c r="L1823">
        <f>STDEV(H1822:H1826)</f>
        <v>63.50579575</v>
      </c>
      <c r="M1823" s="70">
        <v>99.6272915889858</v>
      </c>
      <c r="N1823" s="70">
        <v>99.6272915889858</v>
      </c>
      <c r="O1823" s="70">
        <v>2.13717500341154</v>
      </c>
      <c r="P1823" s="70">
        <v>2.13717500341154</v>
      </c>
    </row>
    <row r="1824" hidden="1">
      <c r="A1824" s="67" t="s">
        <v>2584</v>
      </c>
      <c r="B1824" s="67" t="s">
        <v>519</v>
      </c>
      <c r="C1824" s="68">
        <v>0.25</v>
      </c>
      <c r="D1824" s="68">
        <v>0.1</v>
      </c>
      <c r="E1824" s="68">
        <v>4.0</v>
      </c>
      <c r="F1824" s="68">
        <v>2.0</v>
      </c>
      <c r="G1824" s="68">
        <v>3.8920479640315</v>
      </c>
      <c r="H1824" s="68">
        <v>159.333681990321</v>
      </c>
      <c r="I1824" s="69">
        <v>44322.5475</v>
      </c>
      <c r="J1824" s="69">
        <v>44322.5480787037</v>
      </c>
      <c r="K1824">
        <f>AVERAGE(H1822:H1826)</f>
        <v>115.5670855</v>
      </c>
      <c r="L1824">
        <f>STDEV(H1822:H1826)</f>
        <v>63.50579575</v>
      </c>
      <c r="M1824" s="70">
        <v>159.333681990321</v>
      </c>
      <c r="N1824" s="70">
        <v>159.333681990321</v>
      </c>
      <c r="O1824" s="70">
        <v>3.8920479640315</v>
      </c>
      <c r="P1824" s="70">
        <v>3.8920479640315</v>
      </c>
    </row>
    <row r="1825" hidden="1">
      <c r="A1825" s="67" t="s">
        <v>2585</v>
      </c>
      <c r="B1825" s="67" t="s">
        <v>519</v>
      </c>
      <c r="C1825" s="68">
        <v>0.25</v>
      </c>
      <c r="D1825" s="68">
        <v>0.1</v>
      </c>
      <c r="E1825" s="68">
        <v>4.0</v>
      </c>
      <c r="F1825" s="68">
        <v>3.0</v>
      </c>
      <c r="G1825" s="68">
        <v>0.931448108718372</v>
      </c>
      <c r="H1825" s="68">
        <v>13.7612856792798</v>
      </c>
      <c r="I1825" s="69">
        <v>44322.548784722225</v>
      </c>
      <c r="J1825" s="69">
        <v>44322.54887731482</v>
      </c>
      <c r="K1825">
        <f>AVERAGE(H1822:H1826)</f>
        <v>115.5670855</v>
      </c>
      <c r="L1825">
        <f>STDEV(H1822:H1826)</f>
        <v>63.50579575</v>
      </c>
      <c r="M1825" s="70">
        <v>13.7612856792798</v>
      </c>
      <c r="N1825" s="70">
        <v>13.7612856792798</v>
      </c>
      <c r="O1825" s="70">
        <v>0.931448108718372</v>
      </c>
      <c r="P1825" s="70">
        <v>0.931448108718372</v>
      </c>
    </row>
    <row r="1826" hidden="1">
      <c r="A1826" s="67" t="s">
        <v>2586</v>
      </c>
      <c r="B1826" s="67" t="s">
        <v>519</v>
      </c>
      <c r="C1826" s="68">
        <v>0.25</v>
      </c>
      <c r="D1826" s="68">
        <v>0.1</v>
      </c>
      <c r="E1826" s="68">
        <v>4.0</v>
      </c>
      <c r="F1826" s="68">
        <v>4.0</v>
      </c>
      <c r="G1826" s="68">
        <v>2.48906956651208</v>
      </c>
      <c r="H1826" s="68">
        <v>131.80224121552</v>
      </c>
      <c r="I1826" s="69">
        <v>44322.54958333333</v>
      </c>
      <c r="J1826" s="69">
        <v>44322.549837962964</v>
      </c>
      <c r="K1826">
        <f>AVERAGE(H1822:H1826)</f>
        <v>115.5670855</v>
      </c>
      <c r="L1826">
        <f>STDEV(H1822:H1826)</f>
        <v>63.50579575</v>
      </c>
      <c r="M1826" s="70">
        <v>131.80224121552</v>
      </c>
      <c r="N1826" s="70">
        <v>131.80224121552</v>
      </c>
      <c r="O1826" s="70">
        <v>2.48906956651208</v>
      </c>
      <c r="P1826" s="70">
        <v>2.48906956651208</v>
      </c>
    </row>
    <row r="1827" hidden="1">
      <c r="A1827" s="67" t="s">
        <v>2587</v>
      </c>
      <c r="B1827" s="67" t="s">
        <v>519</v>
      </c>
      <c r="C1827" s="68">
        <v>0.25</v>
      </c>
      <c r="D1827" s="68">
        <v>0.25</v>
      </c>
      <c r="E1827" s="68">
        <v>4.0</v>
      </c>
      <c r="F1827" s="68">
        <v>0.0</v>
      </c>
      <c r="G1827" s="68">
        <v>0.84548789308218</v>
      </c>
      <c r="H1827" s="68">
        <v>1.14526909868345</v>
      </c>
      <c r="I1827" s="69">
        <v>44322.55054398148</v>
      </c>
      <c r="J1827" s="69">
        <v>44322.550775462965</v>
      </c>
      <c r="K1827">
        <f>AVERAGE(H1827:H1831)</f>
        <v>104.4594677</v>
      </c>
      <c r="L1827">
        <f>STDEV(H1827:H1831)</f>
        <v>70.12620997</v>
      </c>
      <c r="M1827" s="70">
        <v>1.14526909868345</v>
      </c>
      <c r="N1827" s="70">
        <v>1.14526909868345</v>
      </c>
      <c r="O1827" s="70">
        <v>0.84548789308218</v>
      </c>
      <c r="P1827" s="70">
        <v>0.84548789308218</v>
      </c>
    </row>
    <row r="1828" hidden="1">
      <c r="A1828" s="67" t="s">
        <v>2588</v>
      </c>
      <c r="B1828" s="67" t="s">
        <v>519</v>
      </c>
      <c r="C1828" s="68">
        <v>0.25</v>
      </c>
      <c r="D1828" s="68">
        <v>0.25</v>
      </c>
      <c r="E1828" s="68">
        <v>4.0</v>
      </c>
      <c r="F1828" s="68">
        <v>1.0</v>
      </c>
      <c r="G1828" s="68">
        <v>4.92195699205616</v>
      </c>
      <c r="H1828" s="68">
        <v>150.107311472884</v>
      </c>
      <c r="I1828" s="69">
        <v>44322.55148148148</v>
      </c>
      <c r="J1828" s="69">
        <v>44322.55179398148</v>
      </c>
      <c r="K1828">
        <f>AVERAGE(H1827:H1831)</f>
        <v>104.4594677</v>
      </c>
      <c r="L1828">
        <f>STDEV(H1827:H1831)</f>
        <v>70.12620997</v>
      </c>
      <c r="M1828" s="70">
        <v>150.107311472884</v>
      </c>
      <c r="N1828" s="70">
        <v>150.107311472884</v>
      </c>
      <c r="O1828" s="70">
        <v>4.92195699205616</v>
      </c>
      <c r="P1828" s="70">
        <v>4.92195699205616</v>
      </c>
    </row>
    <row r="1829" hidden="1">
      <c r="A1829" s="67" t="s">
        <v>2589</v>
      </c>
      <c r="B1829" s="67" t="s">
        <v>519</v>
      </c>
      <c r="C1829" s="68">
        <v>0.25</v>
      </c>
      <c r="D1829" s="68">
        <v>0.25</v>
      </c>
      <c r="E1829" s="68">
        <v>4.0</v>
      </c>
      <c r="F1829" s="68">
        <v>2.0</v>
      </c>
      <c r="G1829" s="68">
        <v>2.8543296827781</v>
      </c>
      <c r="H1829" s="68">
        <v>123.180287057948</v>
      </c>
      <c r="I1829" s="69">
        <v>44322.5525</v>
      </c>
      <c r="J1829" s="69">
        <v>44322.552766203706</v>
      </c>
      <c r="K1829">
        <f>AVERAGE(H1827:H1831)</f>
        <v>104.4594677</v>
      </c>
      <c r="L1829">
        <f>STDEV(H1827:H1831)</f>
        <v>70.12620997</v>
      </c>
      <c r="M1829" s="70">
        <v>123.180287057948</v>
      </c>
      <c r="N1829" s="70">
        <v>123.180287057948</v>
      </c>
      <c r="O1829" s="70">
        <v>2.8543296827781</v>
      </c>
      <c r="P1829" s="70">
        <v>2.8543296827781</v>
      </c>
    </row>
    <row r="1830" hidden="1">
      <c r="A1830" s="67" t="s">
        <v>2590</v>
      </c>
      <c r="B1830" s="67" t="s">
        <v>519</v>
      </c>
      <c r="C1830" s="68">
        <v>0.25</v>
      </c>
      <c r="D1830" s="68">
        <v>0.25</v>
      </c>
      <c r="E1830" s="68">
        <v>4.0</v>
      </c>
      <c r="F1830" s="68">
        <v>3.0</v>
      </c>
      <c r="G1830" s="68">
        <v>3.8240929575095</v>
      </c>
      <c r="H1830" s="68">
        <v>177.804053587314</v>
      </c>
      <c r="I1830" s="69">
        <v>44322.55347222222</v>
      </c>
      <c r="J1830" s="69">
        <v>44322.605775462966</v>
      </c>
      <c r="K1830">
        <f>AVERAGE(H1827:H1831)</f>
        <v>104.4594677</v>
      </c>
      <c r="L1830">
        <f>STDEV(H1827:H1831)</f>
        <v>70.12620997</v>
      </c>
      <c r="M1830" s="70">
        <v>177.804053587314</v>
      </c>
      <c r="N1830" s="70">
        <v>177.804053587314</v>
      </c>
      <c r="O1830" s="70">
        <v>3.8240929575095</v>
      </c>
      <c r="P1830" s="70">
        <v>3.8240929575095</v>
      </c>
    </row>
    <row r="1831" hidden="1">
      <c r="A1831" s="67" t="s">
        <v>2591</v>
      </c>
      <c r="B1831" s="67" t="s">
        <v>519</v>
      </c>
      <c r="C1831" s="68">
        <v>0.25</v>
      </c>
      <c r="D1831" s="68">
        <v>0.25</v>
      </c>
      <c r="E1831" s="68">
        <v>4.0</v>
      </c>
      <c r="F1831" s="68">
        <v>4.0</v>
      </c>
      <c r="G1831" s="68">
        <v>1.36754830954281</v>
      </c>
      <c r="H1831" s="68">
        <v>70.0604172749142</v>
      </c>
      <c r="I1831" s="69">
        <v>44322.60648148148</v>
      </c>
      <c r="J1831" s="69">
        <v>44322.60763888889</v>
      </c>
      <c r="K1831">
        <f>AVERAGE(H1827:H1831)</f>
        <v>104.4594677</v>
      </c>
      <c r="L1831">
        <f>STDEV(H1827:H1831)</f>
        <v>70.12620997</v>
      </c>
      <c r="M1831" s="70">
        <v>70.0604172749142</v>
      </c>
      <c r="N1831" s="70">
        <v>70.0604172749142</v>
      </c>
      <c r="O1831" s="70">
        <v>1.36754830954281</v>
      </c>
      <c r="P1831" s="70">
        <v>1.36754830954281</v>
      </c>
    </row>
    <row r="1832" hidden="1">
      <c r="A1832" s="67" t="s">
        <v>2592</v>
      </c>
      <c r="B1832" s="67" t="s">
        <v>519</v>
      </c>
      <c r="C1832" s="68">
        <v>0.25</v>
      </c>
      <c r="D1832" s="68">
        <v>0.5</v>
      </c>
      <c r="E1832" s="68">
        <v>4.0</v>
      </c>
      <c r="F1832" s="68">
        <v>0.0</v>
      </c>
      <c r="G1832" s="68">
        <v>6.35949699865281</v>
      </c>
      <c r="H1832" s="68">
        <v>173.169796483615</v>
      </c>
      <c r="I1832" s="69">
        <v>44322.60834490741</v>
      </c>
      <c r="J1832" s="69">
        <v>44322.60841435185</v>
      </c>
      <c r="K1832">
        <f>AVERAGE(H1832:H1836)</f>
        <v>160.4110699</v>
      </c>
      <c r="L1832">
        <f>STDEV(H1832:H1836)</f>
        <v>33.80703287</v>
      </c>
      <c r="M1832" s="70">
        <v>173.169796483615</v>
      </c>
      <c r="N1832" s="70">
        <v>173.169796483615</v>
      </c>
      <c r="O1832" s="70">
        <v>6.35949699865281</v>
      </c>
      <c r="P1832" s="70">
        <v>6.35949699865281</v>
      </c>
    </row>
    <row r="1833" hidden="1">
      <c r="A1833" s="67" t="s">
        <v>2593</v>
      </c>
      <c r="B1833" s="67" t="s">
        <v>519</v>
      </c>
      <c r="C1833" s="68">
        <v>0.25</v>
      </c>
      <c r="D1833" s="68">
        <v>0.5</v>
      </c>
      <c r="E1833" s="68">
        <v>4.0</v>
      </c>
      <c r="F1833" s="68">
        <v>1.0</v>
      </c>
      <c r="G1833" s="68">
        <v>2.28704983527258</v>
      </c>
      <c r="H1833" s="68">
        <v>117.644414304412</v>
      </c>
      <c r="I1833" s="69">
        <v>44322.60912037037</v>
      </c>
      <c r="J1833" s="69">
        <v>44322.622407407405</v>
      </c>
      <c r="K1833">
        <f>AVERAGE(H1832:H1836)</f>
        <v>160.4110699</v>
      </c>
      <c r="L1833">
        <f>STDEV(H1832:H1836)</f>
        <v>33.80703287</v>
      </c>
      <c r="M1833" s="70">
        <v>117.644414304412</v>
      </c>
      <c r="N1833" s="70">
        <v>117.644414304412</v>
      </c>
      <c r="O1833" s="70">
        <v>2.28704983527258</v>
      </c>
      <c r="P1833" s="70">
        <v>2.28704983527258</v>
      </c>
    </row>
    <row r="1834" hidden="1">
      <c r="A1834" s="67" t="s">
        <v>2594</v>
      </c>
      <c r="B1834" s="67" t="s">
        <v>519</v>
      </c>
      <c r="C1834" s="68">
        <v>0.25</v>
      </c>
      <c r="D1834" s="68">
        <v>0.5</v>
      </c>
      <c r="E1834" s="68">
        <v>4.0</v>
      </c>
      <c r="F1834" s="68">
        <v>2.0</v>
      </c>
      <c r="G1834" s="68">
        <v>2.52325152534435</v>
      </c>
      <c r="H1834" s="68">
        <v>133.13444606013</v>
      </c>
      <c r="I1834" s="69">
        <v>44322.62311342593</v>
      </c>
      <c r="J1834" s="69">
        <v>44322.62335648148</v>
      </c>
      <c r="K1834">
        <f>AVERAGE(H1832:H1836)</f>
        <v>160.4110699</v>
      </c>
      <c r="L1834">
        <f>STDEV(H1832:H1836)</f>
        <v>33.80703287</v>
      </c>
      <c r="M1834" s="70">
        <v>133.13444606013</v>
      </c>
      <c r="N1834" s="70">
        <v>133.13444606013</v>
      </c>
      <c r="O1834" s="70">
        <v>2.52325152534435</v>
      </c>
      <c r="P1834" s="70">
        <v>2.52325152534435</v>
      </c>
    </row>
    <row r="1835" hidden="1">
      <c r="A1835" s="67" t="s">
        <v>2595</v>
      </c>
      <c r="B1835" s="67" t="s">
        <v>519</v>
      </c>
      <c r="C1835" s="68">
        <v>0.25</v>
      </c>
      <c r="D1835" s="68">
        <v>0.5</v>
      </c>
      <c r="E1835" s="68">
        <v>4.0</v>
      </c>
      <c r="F1835" s="68">
        <v>3.0</v>
      </c>
      <c r="G1835" s="68">
        <v>7.8130269927959</v>
      </c>
      <c r="H1835" s="68">
        <v>198.930485419948</v>
      </c>
      <c r="I1835" s="69">
        <v>44322.6240625</v>
      </c>
      <c r="J1835" s="69">
        <v>44322.62422453704</v>
      </c>
      <c r="K1835">
        <f>AVERAGE(H1832:H1836)</f>
        <v>160.4110699</v>
      </c>
      <c r="L1835">
        <f>STDEV(H1832:H1836)</f>
        <v>33.80703287</v>
      </c>
      <c r="M1835" s="70">
        <v>198.930485419948</v>
      </c>
      <c r="N1835" s="70">
        <v>198.930485419948</v>
      </c>
      <c r="O1835" s="70">
        <v>7.8130269927959</v>
      </c>
      <c r="P1835" s="70">
        <v>7.8130269927959</v>
      </c>
    </row>
    <row r="1836" hidden="1">
      <c r="A1836" s="67" t="s">
        <v>2596</v>
      </c>
      <c r="B1836" s="67" t="s">
        <v>519</v>
      </c>
      <c r="C1836" s="68">
        <v>0.25</v>
      </c>
      <c r="D1836" s="68">
        <v>0.5</v>
      </c>
      <c r="E1836" s="68">
        <v>4.0</v>
      </c>
      <c r="F1836" s="68">
        <v>4.0</v>
      </c>
      <c r="G1836" s="68">
        <v>3.76499924568681</v>
      </c>
      <c r="H1836" s="68">
        <v>179.17620700543</v>
      </c>
      <c r="I1836" s="69">
        <v>44322.624930555554</v>
      </c>
      <c r="J1836" s="69">
        <v>44322.673055555555</v>
      </c>
      <c r="K1836">
        <f>AVERAGE(H1832:H1836)</f>
        <v>160.4110699</v>
      </c>
      <c r="L1836">
        <f>STDEV(H1832:H1836)</f>
        <v>33.80703287</v>
      </c>
      <c r="M1836" s="70">
        <v>179.17620700543</v>
      </c>
      <c r="N1836" s="70">
        <v>179.17620700543</v>
      </c>
      <c r="O1836" s="70">
        <v>3.76499924568681</v>
      </c>
      <c r="P1836" s="70">
        <v>3.76499924568681</v>
      </c>
    </row>
    <row r="1837" hidden="1">
      <c r="A1837" s="67" t="s">
        <v>2597</v>
      </c>
      <c r="B1837" s="67" t="s">
        <v>519</v>
      </c>
      <c r="C1837" s="68">
        <v>0.25</v>
      </c>
      <c r="D1837" s="68">
        <v>0.75</v>
      </c>
      <c r="E1837" s="68">
        <v>4.0</v>
      </c>
      <c r="F1837" s="68">
        <v>0.0</v>
      </c>
      <c r="G1837" s="68">
        <v>1.35311157350063</v>
      </c>
      <c r="H1837" s="68">
        <v>69.6554689682142</v>
      </c>
      <c r="I1837" s="69">
        <v>44322.67376157407</v>
      </c>
      <c r="J1837" s="69">
        <v>44322.67497685185</v>
      </c>
      <c r="K1837">
        <f>AVERAGE(H1837:H1841)</f>
        <v>153.1705022</v>
      </c>
      <c r="L1837">
        <f>STDEV(H1837:H1841)</f>
        <v>51.16010673</v>
      </c>
      <c r="M1837" s="70">
        <v>69.6554689682142</v>
      </c>
      <c r="N1837" s="70">
        <v>69.6554689682142</v>
      </c>
      <c r="O1837" s="70">
        <v>1.35311157350063</v>
      </c>
      <c r="P1837" s="70">
        <v>1.35311157350063</v>
      </c>
    </row>
    <row r="1838" hidden="1">
      <c r="A1838" s="67" t="s">
        <v>2598</v>
      </c>
      <c r="B1838" s="67" t="s">
        <v>519</v>
      </c>
      <c r="C1838" s="68">
        <v>0.25</v>
      </c>
      <c r="D1838" s="68">
        <v>0.75</v>
      </c>
      <c r="E1838" s="68">
        <v>4.0</v>
      </c>
      <c r="F1838" s="68">
        <v>1.0</v>
      </c>
      <c r="G1838" s="68">
        <v>5.23671647206678</v>
      </c>
      <c r="H1838" s="68">
        <v>161.93967537023</v>
      </c>
      <c r="I1838" s="69">
        <v>44322.67568287037</v>
      </c>
      <c r="J1838" s="69">
        <v>44322.67587962963</v>
      </c>
      <c r="K1838">
        <f>AVERAGE(H1837:H1841)</f>
        <v>153.1705022</v>
      </c>
      <c r="L1838">
        <f>STDEV(H1837:H1841)</f>
        <v>51.16010673</v>
      </c>
      <c r="M1838" s="70">
        <v>161.93967537023</v>
      </c>
      <c r="N1838" s="70">
        <v>161.93967537023</v>
      </c>
      <c r="O1838" s="70">
        <v>5.23671647206678</v>
      </c>
      <c r="P1838" s="70">
        <v>5.23671647206678</v>
      </c>
    </row>
    <row r="1839" hidden="1">
      <c r="A1839" s="67" t="s">
        <v>2599</v>
      </c>
      <c r="B1839" s="67" t="s">
        <v>519</v>
      </c>
      <c r="C1839" s="68">
        <v>0.25</v>
      </c>
      <c r="D1839" s="68">
        <v>0.75</v>
      </c>
      <c r="E1839" s="68">
        <v>4.0</v>
      </c>
      <c r="F1839" s="68">
        <v>2.0</v>
      </c>
      <c r="G1839" s="68">
        <v>7.92021970086904</v>
      </c>
      <c r="H1839" s="68">
        <v>209.357639243083</v>
      </c>
      <c r="I1839" s="69">
        <v>44322.67658564815</v>
      </c>
      <c r="J1839" s="69">
        <v>44322.676770833335</v>
      </c>
      <c r="K1839">
        <f>AVERAGE(H1837:H1841)</f>
        <v>153.1705022</v>
      </c>
      <c r="L1839">
        <f>STDEV(H1837:H1841)</f>
        <v>51.16010673</v>
      </c>
      <c r="M1839" s="70">
        <v>209.357639243083</v>
      </c>
      <c r="N1839" s="70">
        <v>209.357639243083</v>
      </c>
      <c r="O1839" s="70">
        <v>7.92021970086904</v>
      </c>
      <c r="P1839" s="70">
        <v>7.92021970086904</v>
      </c>
    </row>
    <row r="1840" hidden="1">
      <c r="A1840" s="67" t="s">
        <v>2600</v>
      </c>
      <c r="B1840" s="67" t="s">
        <v>519</v>
      </c>
      <c r="C1840" s="68">
        <v>0.25</v>
      </c>
      <c r="D1840" s="68">
        <v>0.75</v>
      </c>
      <c r="E1840" s="68">
        <v>4.0</v>
      </c>
      <c r="F1840" s="68">
        <v>3.0</v>
      </c>
      <c r="G1840" s="68">
        <v>3.92875862558933</v>
      </c>
      <c r="H1840" s="68">
        <v>169.10416461161</v>
      </c>
      <c r="I1840" s="69">
        <v>44322.67747685185</v>
      </c>
      <c r="J1840" s="69">
        <v>44322.687002314815</v>
      </c>
      <c r="K1840">
        <f>AVERAGE(H1837:H1841)</f>
        <v>153.1705022</v>
      </c>
      <c r="L1840">
        <f>STDEV(H1837:H1841)</f>
        <v>51.16010673</v>
      </c>
      <c r="M1840" s="70">
        <v>169.10416461161</v>
      </c>
      <c r="N1840" s="70">
        <v>169.10416461161</v>
      </c>
      <c r="O1840" s="70">
        <v>3.92875862558933</v>
      </c>
      <c r="P1840" s="70">
        <v>3.92875862558933</v>
      </c>
    </row>
    <row r="1841" hidden="1">
      <c r="A1841" s="67" t="s">
        <v>2601</v>
      </c>
      <c r="B1841" s="67" t="s">
        <v>519</v>
      </c>
      <c r="C1841" s="68">
        <v>0.25</v>
      </c>
      <c r="D1841" s="68">
        <v>0.75</v>
      </c>
      <c r="E1841" s="68">
        <v>4.0</v>
      </c>
      <c r="F1841" s="68">
        <v>4.0</v>
      </c>
      <c r="G1841" s="68">
        <v>2.85330696911632</v>
      </c>
      <c r="H1841" s="68">
        <v>155.795562735184</v>
      </c>
      <c r="I1841" s="69">
        <v>44322.68770833333</v>
      </c>
      <c r="J1841" s="69">
        <v>44322.71774305555</v>
      </c>
      <c r="K1841">
        <f>AVERAGE(H1837:H1841)</f>
        <v>153.1705022</v>
      </c>
      <c r="L1841">
        <f>STDEV(H1837:H1841)</f>
        <v>51.16010673</v>
      </c>
      <c r="M1841" s="70">
        <v>155.795562735184</v>
      </c>
      <c r="N1841" s="70">
        <v>155.795562735184</v>
      </c>
      <c r="O1841" s="70">
        <v>2.85330696911632</v>
      </c>
      <c r="P1841" s="70">
        <v>2.85330696911632</v>
      </c>
    </row>
    <row r="1842" hidden="1">
      <c r="A1842" s="67" t="s">
        <v>2602</v>
      </c>
      <c r="B1842" s="67" t="s">
        <v>519</v>
      </c>
      <c r="C1842" s="68">
        <v>0.25</v>
      </c>
      <c r="D1842" s="68">
        <v>1.0</v>
      </c>
      <c r="E1842" s="68">
        <v>4.0</v>
      </c>
      <c r="F1842" s="68">
        <v>0.0</v>
      </c>
      <c r="G1842" s="68">
        <v>3.5417338884745</v>
      </c>
      <c r="H1842" s="68">
        <v>164.141745802636</v>
      </c>
      <c r="I1842" s="69">
        <v>44322.71844907408</v>
      </c>
      <c r="J1842" s="69">
        <v>44322.76225694444</v>
      </c>
      <c r="K1842">
        <f>AVERAGE(H1842:H1846)</f>
        <v>132.2886333</v>
      </c>
      <c r="L1842">
        <f>STDEV(H1842:H1846)</f>
        <v>94.06980233</v>
      </c>
      <c r="M1842" s="70">
        <v>164.141745802636</v>
      </c>
      <c r="N1842" s="70">
        <v>164.141745802636</v>
      </c>
      <c r="O1842" s="70">
        <v>3.5417338884745</v>
      </c>
      <c r="P1842" s="70">
        <v>3.5417338884745</v>
      </c>
    </row>
    <row r="1843" hidden="1">
      <c r="A1843" s="67" t="s">
        <v>2603</v>
      </c>
      <c r="B1843" s="67" t="s">
        <v>519</v>
      </c>
      <c r="C1843" s="68">
        <v>0.25</v>
      </c>
      <c r="D1843" s="68">
        <v>1.0</v>
      </c>
      <c r="E1843" s="68">
        <v>4.0</v>
      </c>
      <c r="F1843" s="68">
        <v>1.0</v>
      </c>
      <c r="G1843" s="68">
        <v>5.11721394599982</v>
      </c>
      <c r="H1843" s="68">
        <v>214.014678743613</v>
      </c>
      <c r="I1843" s="69">
        <v>44322.762974537036</v>
      </c>
      <c r="J1843" s="69">
        <v>44322.76383101852</v>
      </c>
      <c r="K1843">
        <f>AVERAGE(H1842:H1846)</f>
        <v>132.2886333</v>
      </c>
      <c r="L1843">
        <f>STDEV(H1842:H1846)</f>
        <v>94.06980233</v>
      </c>
      <c r="M1843" s="70">
        <v>214.014678743613</v>
      </c>
      <c r="N1843" s="70">
        <v>214.014678743613</v>
      </c>
      <c r="O1843" s="70">
        <v>5.11721394599982</v>
      </c>
      <c r="P1843" s="70">
        <v>5.11721394599982</v>
      </c>
    </row>
    <row r="1844" hidden="1">
      <c r="A1844" s="67" t="s">
        <v>2604</v>
      </c>
      <c r="B1844" s="67" t="s">
        <v>519</v>
      </c>
      <c r="C1844" s="68">
        <v>0.25</v>
      </c>
      <c r="D1844" s="68">
        <v>1.0</v>
      </c>
      <c r="E1844" s="68">
        <v>4.0</v>
      </c>
      <c r="F1844" s="68">
        <v>2.0</v>
      </c>
      <c r="G1844" s="68">
        <v>0.71205655889852</v>
      </c>
      <c r="H1844" s="68">
        <v>0.948977832482219</v>
      </c>
      <c r="I1844" s="69">
        <v>44322.76453703704</v>
      </c>
      <c r="J1844" s="69">
        <v>44322.76478009259</v>
      </c>
      <c r="K1844">
        <f>AVERAGE(H1842:H1846)</f>
        <v>132.2886333</v>
      </c>
      <c r="L1844">
        <f>STDEV(H1842:H1846)</f>
        <v>94.06980233</v>
      </c>
      <c r="M1844" s="70">
        <v>0.948977832482219</v>
      </c>
      <c r="N1844" s="70">
        <v>0.948977832482219</v>
      </c>
      <c r="O1844" s="70">
        <v>0.71205655889852</v>
      </c>
      <c r="P1844" s="70">
        <v>0.71205655889852</v>
      </c>
    </row>
    <row r="1845" hidden="1">
      <c r="A1845" s="67" t="s">
        <v>2605</v>
      </c>
      <c r="B1845" s="67" t="s">
        <v>519</v>
      </c>
      <c r="C1845" s="68">
        <v>0.25</v>
      </c>
      <c r="D1845" s="68">
        <v>1.0</v>
      </c>
      <c r="E1845" s="68">
        <v>4.0</v>
      </c>
      <c r="F1845" s="68">
        <v>3.0</v>
      </c>
      <c r="G1845" s="68">
        <v>1.3507722819561</v>
      </c>
      <c r="H1845" s="68">
        <v>69.4230778280268</v>
      </c>
      <c r="I1845" s="69">
        <v>44322.765497685185</v>
      </c>
      <c r="J1845" s="69">
        <v>44322.76665509259</v>
      </c>
      <c r="K1845">
        <f>AVERAGE(H1842:H1846)</f>
        <v>132.2886333</v>
      </c>
      <c r="L1845">
        <f>STDEV(H1842:H1846)</f>
        <v>94.06980233</v>
      </c>
      <c r="M1845" s="70">
        <v>69.4230778280268</v>
      </c>
      <c r="N1845" s="70">
        <v>69.4230778280268</v>
      </c>
      <c r="O1845" s="70">
        <v>1.3507722819561</v>
      </c>
      <c r="P1845" s="70">
        <v>1.3507722819561</v>
      </c>
    </row>
    <row r="1846" hidden="1">
      <c r="A1846" s="67" t="s">
        <v>2606</v>
      </c>
      <c r="B1846" s="67" t="s">
        <v>519</v>
      </c>
      <c r="C1846" s="68">
        <v>0.25</v>
      </c>
      <c r="D1846" s="68">
        <v>1.0</v>
      </c>
      <c r="E1846" s="68">
        <v>4.0</v>
      </c>
      <c r="F1846" s="68">
        <v>4.0</v>
      </c>
      <c r="G1846" s="68">
        <v>7.42545356017624</v>
      </c>
      <c r="H1846" s="68">
        <v>212.914686140812</v>
      </c>
      <c r="I1846" s="69">
        <v>44322.76736111111</v>
      </c>
      <c r="J1846" s="69">
        <v>44322.767488425925</v>
      </c>
      <c r="K1846">
        <f>AVERAGE(H1842:H1846)</f>
        <v>132.2886333</v>
      </c>
      <c r="L1846">
        <f>STDEV(H1842:H1846)</f>
        <v>94.06980233</v>
      </c>
      <c r="M1846" s="70">
        <v>212.914686140812</v>
      </c>
      <c r="N1846" s="70">
        <v>212.914686140812</v>
      </c>
      <c r="O1846" s="70">
        <v>7.42545356017624</v>
      </c>
      <c r="P1846" s="70">
        <v>7.42545356017624</v>
      </c>
    </row>
    <row r="1847" hidden="1">
      <c r="A1847" s="67" t="s">
        <v>2607</v>
      </c>
      <c r="B1847" s="67" t="s">
        <v>519</v>
      </c>
      <c r="C1847" s="68">
        <v>0.5</v>
      </c>
      <c r="D1847" s="68">
        <v>0.1</v>
      </c>
      <c r="E1847" s="68">
        <v>4.0</v>
      </c>
      <c r="F1847" s="68">
        <v>0.0</v>
      </c>
      <c r="G1847" s="68">
        <v>3.12603613914161</v>
      </c>
      <c r="H1847" s="68">
        <v>157.855040308095</v>
      </c>
      <c r="I1847" s="69">
        <v>44322.76819444444</v>
      </c>
      <c r="J1847" s="69">
        <v>44322.81630787037</v>
      </c>
      <c r="K1847">
        <f>AVERAGE(H1847:H1851)</f>
        <v>121.7828634</v>
      </c>
      <c r="L1847">
        <f>STDEV(H1847:H1851)</f>
        <v>73.45700144</v>
      </c>
      <c r="M1847" s="70">
        <v>157.855040308095</v>
      </c>
      <c r="N1847" s="70">
        <v>157.855040308095</v>
      </c>
      <c r="O1847" s="70">
        <v>3.12603613914161</v>
      </c>
      <c r="P1847" s="70">
        <v>3.12603613914161</v>
      </c>
    </row>
    <row r="1848" hidden="1">
      <c r="A1848" s="67" t="s">
        <v>2608</v>
      </c>
      <c r="B1848" s="67" t="s">
        <v>519</v>
      </c>
      <c r="C1848" s="68">
        <v>0.5</v>
      </c>
      <c r="D1848" s="68">
        <v>0.1</v>
      </c>
      <c r="E1848" s="68">
        <v>4.0</v>
      </c>
      <c r="F1848" s="68">
        <v>1.0</v>
      </c>
      <c r="G1848" s="68">
        <v>2.37750682626289</v>
      </c>
      <c r="H1848" s="68">
        <v>107.913715862653</v>
      </c>
      <c r="I1848" s="69">
        <v>44322.81701388889</v>
      </c>
      <c r="J1848" s="69">
        <v>44322.81928240741</v>
      </c>
      <c r="K1848">
        <f>AVERAGE(H1847:H1851)</f>
        <v>121.7828634</v>
      </c>
      <c r="L1848">
        <f>STDEV(H1847:H1851)</f>
        <v>73.45700144</v>
      </c>
      <c r="M1848" s="70">
        <v>107.913715862653</v>
      </c>
      <c r="N1848" s="70">
        <v>107.913715862653</v>
      </c>
      <c r="O1848" s="70">
        <v>2.37750682626289</v>
      </c>
      <c r="P1848" s="70">
        <v>2.37750682626289</v>
      </c>
    </row>
    <row r="1849" hidden="1">
      <c r="A1849" s="67" t="s">
        <v>2609</v>
      </c>
      <c r="B1849" s="67" t="s">
        <v>519</v>
      </c>
      <c r="C1849" s="68">
        <v>0.5</v>
      </c>
      <c r="D1849" s="68">
        <v>0.1</v>
      </c>
      <c r="E1849" s="68">
        <v>4.0</v>
      </c>
      <c r="F1849" s="68">
        <v>2.0</v>
      </c>
      <c r="G1849" s="68">
        <v>4.70650601105921</v>
      </c>
      <c r="H1849" s="68">
        <v>186.293054131804</v>
      </c>
      <c r="I1849" s="69">
        <v>44322.81998842592</v>
      </c>
      <c r="J1849" s="69">
        <v>44322.822534722225</v>
      </c>
      <c r="K1849">
        <f>AVERAGE(H1847:H1851)</f>
        <v>121.7828634</v>
      </c>
      <c r="L1849">
        <f>STDEV(H1847:H1851)</f>
        <v>73.45700144</v>
      </c>
      <c r="M1849" s="70">
        <v>186.293054131804</v>
      </c>
      <c r="N1849" s="70">
        <v>186.293054131804</v>
      </c>
      <c r="O1849" s="70">
        <v>4.70650601105921</v>
      </c>
      <c r="P1849" s="70">
        <v>4.70650601105921</v>
      </c>
    </row>
    <row r="1850" hidden="1">
      <c r="A1850" s="67" t="s">
        <v>2610</v>
      </c>
      <c r="B1850" s="67" t="s">
        <v>519</v>
      </c>
      <c r="C1850" s="68">
        <v>0.5</v>
      </c>
      <c r="D1850" s="68">
        <v>0.1</v>
      </c>
      <c r="E1850" s="68">
        <v>4.0</v>
      </c>
      <c r="F1850" s="68">
        <v>3.0</v>
      </c>
      <c r="G1850" s="68">
        <v>3.73584774217266</v>
      </c>
      <c r="H1850" s="68">
        <v>156.429500165003</v>
      </c>
      <c r="I1850" s="69">
        <v>44322.82324074074</v>
      </c>
      <c r="J1850" s="69">
        <v>44322.82357638889</v>
      </c>
      <c r="K1850">
        <f>AVERAGE(H1847:H1851)</f>
        <v>121.7828634</v>
      </c>
      <c r="L1850">
        <f>STDEV(H1847:H1851)</f>
        <v>73.45700144</v>
      </c>
      <c r="M1850" s="70">
        <v>156.429500165003</v>
      </c>
      <c r="N1850" s="70">
        <v>156.429500165003</v>
      </c>
      <c r="O1850" s="70">
        <v>3.73584774217266</v>
      </c>
      <c r="P1850" s="70">
        <v>3.73584774217266</v>
      </c>
    </row>
    <row r="1851" hidden="1">
      <c r="A1851" s="67" t="s">
        <v>2611</v>
      </c>
      <c r="B1851" s="67" t="s">
        <v>519</v>
      </c>
      <c r="C1851" s="68">
        <v>0.5</v>
      </c>
      <c r="D1851" s="68">
        <v>0.1</v>
      </c>
      <c r="E1851" s="68">
        <v>4.0</v>
      </c>
      <c r="F1851" s="68">
        <v>4.0</v>
      </c>
      <c r="G1851" s="68">
        <v>0.208852078386303</v>
      </c>
      <c r="H1851" s="68">
        <v>0.423006392494554</v>
      </c>
      <c r="I1851" s="69">
        <v>44322.82429398148</v>
      </c>
      <c r="J1851" s="69">
        <v>44322.82434027778</v>
      </c>
      <c r="K1851">
        <f>AVERAGE(H1847:H1851)</f>
        <v>121.7828634</v>
      </c>
      <c r="L1851">
        <f>STDEV(H1847:H1851)</f>
        <v>73.45700144</v>
      </c>
      <c r="M1851" s="70">
        <v>0.423006392494554</v>
      </c>
      <c r="N1851" s="70">
        <v>0.423006392494554</v>
      </c>
      <c r="O1851" s="70">
        <v>0.208852078386303</v>
      </c>
      <c r="P1851" s="70">
        <v>0.208852078386303</v>
      </c>
    </row>
    <row r="1852" hidden="1">
      <c r="A1852" s="67" t="s">
        <v>2612</v>
      </c>
      <c r="B1852" s="67" t="s">
        <v>519</v>
      </c>
      <c r="C1852" s="68">
        <v>0.5</v>
      </c>
      <c r="D1852" s="68">
        <v>0.25</v>
      </c>
      <c r="E1852" s="68">
        <v>4.0</v>
      </c>
      <c r="F1852" s="68">
        <v>0.0</v>
      </c>
      <c r="G1852" s="68">
        <v>5.60284382659997</v>
      </c>
      <c r="H1852" s="68">
        <v>173.55019387599</v>
      </c>
      <c r="I1852" s="69">
        <v>44322.8250462963</v>
      </c>
      <c r="J1852" s="69">
        <v>44322.825208333335</v>
      </c>
      <c r="K1852">
        <f>AVERAGE(H1852:H1856)</f>
        <v>107.1936136</v>
      </c>
      <c r="L1852">
        <f>STDEV(H1852:H1856)</f>
        <v>92.72884105</v>
      </c>
      <c r="M1852" s="70">
        <v>173.55019387599</v>
      </c>
      <c r="N1852" s="70">
        <v>173.55019387599</v>
      </c>
      <c r="O1852" s="70">
        <v>5.60284382659997</v>
      </c>
      <c r="P1852" s="70">
        <v>5.60284382659997</v>
      </c>
    </row>
    <row r="1853" hidden="1">
      <c r="A1853" s="67" t="s">
        <v>2613</v>
      </c>
      <c r="B1853" s="67" t="s">
        <v>519</v>
      </c>
      <c r="C1853" s="68">
        <v>0.5</v>
      </c>
      <c r="D1853" s="68">
        <v>0.25</v>
      </c>
      <c r="E1853" s="68">
        <v>4.0</v>
      </c>
      <c r="F1853" s="68">
        <v>1.0</v>
      </c>
      <c r="G1853" s="68">
        <v>0.615239242292452</v>
      </c>
      <c r="H1853" s="68">
        <v>11.0159573517888</v>
      </c>
      <c r="I1853" s="69">
        <v>44322.82591435185</v>
      </c>
      <c r="J1853" s="69">
        <v>44322.82667824074</v>
      </c>
      <c r="K1853">
        <f>AVERAGE(H1852:H1856)</f>
        <v>107.1936136</v>
      </c>
      <c r="L1853">
        <f>STDEV(H1852:H1856)</f>
        <v>92.72884105</v>
      </c>
      <c r="M1853" s="70">
        <v>11.0159573517888</v>
      </c>
      <c r="N1853" s="70">
        <v>11.0159573517888</v>
      </c>
      <c r="O1853" s="70">
        <v>0.615239242292452</v>
      </c>
      <c r="P1853" s="70">
        <v>0.615239242292452</v>
      </c>
    </row>
    <row r="1854" hidden="1">
      <c r="A1854" s="67" t="s">
        <v>2614</v>
      </c>
      <c r="B1854" s="67" t="s">
        <v>519</v>
      </c>
      <c r="C1854" s="68">
        <v>0.5</v>
      </c>
      <c r="D1854" s="68">
        <v>0.25</v>
      </c>
      <c r="E1854" s="68">
        <v>4.0</v>
      </c>
      <c r="F1854" s="68">
        <v>2.0</v>
      </c>
      <c r="G1854" s="68">
        <v>4.85827352911536</v>
      </c>
      <c r="H1854" s="68">
        <v>181.521859391368</v>
      </c>
      <c r="I1854" s="69">
        <v>44322.82738425926</v>
      </c>
      <c r="J1854" s="69">
        <v>44322.8296875</v>
      </c>
      <c r="K1854">
        <f>AVERAGE(H1852:H1856)</f>
        <v>107.1936136</v>
      </c>
      <c r="L1854">
        <f>STDEV(H1852:H1856)</f>
        <v>92.72884105</v>
      </c>
      <c r="M1854" s="70">
        <v>181.521859391368</v>
      </c>
      <c r="N1854" s="70">
        <v>181.521859391368</v>
      </c>
      <c r="O1854" s="70">
        <v>4.85827352911536</v>
      </c>
      <c r="P1854" s="70">
        <v>4.85827352911536</v>
      </c>
    </row>
    <row r="1855" hidden="1">
      <c r="A1855" s="67" t="s">
        <v>2615</v>
      </c>
      <c r="B1855" s="67" t="s">
        <v>519</v>
      </c>
      <c r="C1855" s="68">
        <v>0.5</v>
      </c>
      <c r="D1855" s="68">
        <v>0.25</v>
      </c>
      <c r="E1855" s="68">
        <v>4.0</v>
      </c>
      <c r="F1855" s="68">
        <v>3.0</v>
      </c>
      <c r="G1855" s="68">
        <v>0.480350647483117</v>
      </c>
      <c r="H1855" s="68">
        <v>0.601181363362065</v>
      </c>
      <c r="I1855" s="69">
        <v>44322.830405092594</v>
      </c>
      <c r="J1855" s="69">
        <v>44322.83078703703</v>
      </c>
      <c r="K1855">
        <f>AVERAGE(H1852:H1856)</f>
        <v>107.1936136</v>
      </c>
      <c r="L1855">
        <f>STDEV(H1852:H1856)</f>
        <v>92.72884105</v>
      </c>
      <c r="M1855" s="70">
        <v>0.601181363362065</v>
      </c>
      <c r="N1855" s="70">
        <v>0.601181363362065</v>
      </c>
      <c r="O1855" s="70">
        <v>0.480350647483117</v>
      </c>
      <c r="P1855" s="70">
        <v>0.480350647483117</v>
      </c>
    </row>
    <row r="1856" hidden="1">
      <c r="A1856" s="67" t="s">
        <v>2616</v>
      </c>
      <c r="B1856" s="67" t="s">
        <v>519</v>
      </c>
      <c r="C1856" s="68">
        <v>0.5</v>
      </c>
      <c r="D1856" s="68">
        <v>0.25</v>
      </c>
      <c r="E1856" s="68">
        <v>4.0</v>
      </c>
      <c r="F1856" s="68">
        <v>4.0</v>
      </c>
      <c r="G1856" s="68">
        <v>3.41798361370922</v>
      </c>
      <c r="H1856" s="68">
        <v>169.278875999202</v>
      </c>
      <c r="I1856" s="69">
        <v>44322.83149305556</v>
      </c>
      <c r="J1856" s="69">
        <v>44322.879270833335</v>
      </c>
      <c r="K1856">
        <f>AVERAGE(H1852:H1856)</f>
        <v>107.1936136</v>
      </c>
      <c r="L1856">
        <f>STDEV(H1852:H1856)</f>
        <v>92.72884105</v>
      </c>
      <c r="M1856" s="70">
        <v>169.278875999202</v>
      </c>
      <c r="N1856" s="70">
        <v>169.278875999202</v>
      </c>
      <c r="O1856" s="70">
        <v>3.41798361370922</v>
      </c>
      <c r="P1856" s="70">
        <v>3.41798361370922</v>
      </c>
    </row>
    <row r="1857" hidden="1">
      <c r="A1857" s="67" t="s">
        <v>2617</v>
      </c>
      <c r="B1857" s="67" t="s">
        <v>519</v>
      </c>
      <c r="C1857" s="68">
        <v>0.5</v>
      </c>
      <c r="D1857" s="68">
        <v>0.5</v>
      </c>
      <c r="E1857" s="68">
        <v>4.0</v>
      </c>
      <c r="F1857" s="68">
        <v>0.0</v>
      </c>
      <c r="G1857" s="68">
        <v>2.43615698495077</v>
      </c>
      <c r="H1857" s="68">
        <v>107.397901592698</v>
      </c>
      <c r="I1857" s="69">
        <v>44322.87997685185</v>
      </c>
      <c r="J1857" s="69">
        <v>44322.8803125</v>
      </c>
      <c r="K1857">
        <f>AVERAGE(H1857:H1861)</f>
        <v>100.1636837</v>
      </c>
      <c r="L1857">
        <f>STDEV(H1857:H1861)</f>
        <v>97.8435954</v>
      </c>
      <c r="M1857" s="70">
        <v>107.397901592698</v>
      </c>
      <c r="N1857" s="70">
        <v>107.397901592698</v>
      </c>
      <c r="O1857" s="70">
        <v>2.43615698495077</v>
      </c>
      <c r="P1857" s="70">
        <v>2.43615698495077</v>
      </c>
    </row>
    <row r="1858" hidden="1">
      <c r="A1858" s="67" t="s">
        <v>2618</v>
      </c>
      <c r="B1858" s="67" t="s">
        <v>519</v>
      </c>
      <c r="C1858" s="68">
        <v>0.5</v>
      </c>
      <c r="D1858" s="68">
        <v>0.5</v>
      </c>
      <c r="E1858" s="68">
        <v>4.0</v>
      </c>
      <c r="F1858" s="68">
        <v>1.0</v>
      </c>
      <c r="G1858" s="68">
        <v>3.63989662177519</v>
      </c>
      <c r="H1858" s="68">
        <v>171.61086033335</v>
      </c>
      <c r="I1858" s="69">
        <v>44322.88101851852</v>
      </c>
      <c r="J1858" s="69">
        <v>44322.947916666664</v>
      </c>
      <c r="K1858">
        <f>AVERAGE(H1857:H1861)</f>
        <v>100.1636837</v>
      </c>
      <c r="L1858">
        <f>STDEV(H1857:H1861)</f>
        <v>97.8435954</v>
      </c>
      <c r="M1858" s="70">
        <v>171.61086033335</v>
      </c>
      <c r="N1858" s="70">
        <v>171.61086033335</v>
      </c>
      <c r="O1858" s="70">
        <v>3.63989662177519</v>
      </c>
      <c r="P1858" s="70">
        <v>3.63989662177519</v>
      </c>
    </row>
    <row r="1859" hidden="1">
      <c r="A1859" s="67" t="s">
        <v>2619</v>
      </c>
      <c r="B1859" s="67" t="s">
        <v>519</v>
      </c>
      <c r="C1859" s="68">
        <v>0.5</v>
      </c>
      <c r="D1859" s="68">
        <v>0.5</v>
      </c>
      <c r="E1859" s="68">
        <v>4.0</v>
      </c>
      <c r="F1859" s="68">
        <v>2.0</v>
      </c>
      <c r="G1859" s="68">
        <v>0.337150655438601</v>
      </c>
      <c r="H1859" s="68">
        <v>0.425622226960992</v>
      </c>
      <c r="I1859" s="69">
        <v>44322.94862268519</v>
      </c>
      <c r="J1859" s="69">
        <v>44322.94869212963</v>
      </c>
      <c r="K1859">
        <f>AVERAGE(H1857:H1861)</f>
        <v>100.1636837</v>
      </c>
      <c r="L1859">
        <f>STDEV(H1857:H1861)</f>
        <v>97.8435954</v>
      </c>
      <c r="M1859" s="70">
        <v>0.425622226960992</v>
      </c>
      <c r="N1859" s="70">
        <v>0.425622226960992</v>
      </c>
      <c r="O1859" s="70">
        <v>0.337150655438601</v>
      </c>
      <c r="P1859" s="70">
        <v>0.337150655438601</v>
      </c>
    </row>
    <row r="1860" hidden="1">
      <c r="A1860" s="67" t="s">
        <v>2620</v>
      </c>
      <c r="B1860" s="67" t="s">
        <v>519</v>
      </c>
      <c r="C1860" s="68">
        <v>0.5</v>
      </c>
      <c r="D1860" s="68">
        <v>0.5</v>
      </c>
      <c r="E1860" s="68">
        <v>4.0</v>
      </c>
      <c r="F1860" s="68">
        <v>3.0</v>
      </c>
      <c r="G1860" s="68">
        <v>0.481892255331228</v>
      </c>
      <c r="H1860" s="68">
        <v>3.53075732850614</v>
      </c>
      <c r="I1860" s="69">
        <v>44322.94939814815</v>
      </c>
      <c r="J1860" s="69">
        <v>44322.9500462963</v>
      </c>
      <c r="K1860">
        <f>AVERAGE(H1857:H1861)</f>
        <v>100.1636837</v>
      </c>
      <c r="L1860">
        <f>STDEV(H1857:H1861)</f>
        <v>97.8435954</v>
      </c>
      <c r="M1860" s="70">
        <v>3.53075732850614</v>
      </c>
      <c r="N1860" s="70">
        <v>3.53075732850614</v>
      </c>
      <c r="O1860" s="70">
        <v>0.481892255331228</v>
      </c>
      <c r="P1860" s="70">
        <v>0.481892255331228</v>
      </c>
    </row>
    <row r="1861" hidden="1">
      <c r="A1861" s="67" t="s">
        <v>2621</v>
      </c>
      <c r="B1861" s="67" t="s">
        <v>519</v>
      </c>
      <c r="C1861" s="68">
        <v>0.5</v>
      </c>
      <c r="D1861" s="68">
        <v>0.5</v>
      </c>
      <c r="E1861" s="68">
        <v>4.0</v>
      </c>
      <c r="F1861" s="68">
        <v>4.0</v>
      </c>
      <c r="G1861" s="68">
        <v>9.11435681090968</v>
      </c>
      <c r="H1861" s="68">
        <v>217.853276797475</v>
      </c>
      <c r="I1861" s="69">
        <v>44322.95076388889</v>
      </c>
      <c r="J1861" s="69">
        <v>44322.95087962963</v>
      </c>
      <c r="K1861">
        <f>AVERAGE(H1857:H1861)</f>
        <v>100.1636837</v>
      </c>
      <c r="L1861">
        <f>STDEV(H1857:H1861)</f>
        <v>97.8435954</v>
      </c>
      <c r="M1861" s="70">
        <v>217.853276797475</v>
      </c>
      <c r="N1861" s="70">
        <v>217.853276797475</v>
      </c>
      <c r="O1861" s="70">
        <v>9.11435681090968</v>
      </c>
      <c r="P1861" s="70">
        <v>9.11435681090968</v>
      </c>
    </row>
    <row r="1862" hidden="1">
      <c r="A1862" s="67" t="s">
        <v>2622</v>
      </c>
      <c r="B1862" s="67" t="s">
        <v>519</v>
      </c>
      <c r="C1862" s="68">
        <v>0.5</v>
      </c>
      <c r="D1862" s="68">
        <v>0.75</v>
      </c>
      <c r="E1862" s="68">
        <v>4.0</v>
      </c>
      <c r="F1862" s="68">
        <v>0.0</v>
      </c>
      <c r="G1862" s="68">
        <v>1.95028220463867</v>
      </c>
      <c r="H1862" s="68">
        <v>95.8365675767562</v>
      </c>
      <c r="I1862" s="69">
        <v>44322.951585648145</v>
      </c>
      <c r="J1862" s="69">
        <v>44322.952314814815</v>
      </c>
      <c r="K1862">
        <f>AVERAGE(H1862:H1866)</f>
        <v>85.19841448</v>
      </c>
      <c r="L1862">
        <f>STDEV(H1862:H1866)</f>
        <v>82.55602183</v>
      </c>
      <c r="M1862" s="70">
        <v>95.8365675767562</v>
      </c>
      <c r="N1862" s="70">
        <v>95.8365675767562</v>
      </c>
      <c r="O1862" s="70">
        <v>1.95028220463867</v>
      </c>
      <c r="P1862" s="70">
        <v>1.95028220463867</v>
      </c>
    </row>
    <row r="1863" hidden="1">
      <c r="A1863" s="67" t="s">
        <v>2623</v>
      </c>
      <c r="B1863" s="67" t="s">
        <v>519</v>
      </c>
      <c r="C1863" s="68">
        <v>0.5</v>
      </c>
      <c r="D1863" s="68">
        <v>0.75</v>
      </c>
      <c r="E1863" s="68">
        <v>4.0</v>
      </c>
      <c r="F1863" s="68">
        <v>1.0</v>
      </c>
      <c r="G1863" s="68">
        <v>0.71296019176118</v>
      </c>
      <c r="H1863" s="68">
        <v>0.949542446385307</v>
      </c>
      <c r="I1863" s="69">
        <v>44322.95302083333</v>
      </c>
      <c r="J1863" s="69">
        <v>44322.95327546296</v>
      </c>
      <c r="K1863">
        <f>AVERAGE(H1862:H1866)</f>
        <v>85.19841448</v>
      </c>
      <c r="L1863">
        <f>STDEV(H1862:H1866)</f>
        <v>82.55602183</v>
      </c>
      <c r="M1863" s="70">
        <v>0.949542446385307</v>
      </c>
      <c r="N1863" s="70">
        <v>0.949542446385307</v>
      </c>
      <c r="O1863" s="70">
        <v>0.71296019176118</v>
      </c>
      <c r="P1863" s="70">
        <v>0.71296019176118</v>
      </c>
    </row>
    <row r="1864" hidden="1">
      <c r="A1864" s="67" t="s">
        <v>2624</v>
      </c>
      <c r="B1864" s="67" t="s">
        <v>519</v>
      </c>
      <c r="C1864" s="68">
        <v>0.5</v>
      </c>
      <c r="D1864" s="68">
        <v>0.75</v>
      </c>
      <c r="E1864" s="68">
        <v>4.0</v>
      </c>
      <c r="F1864" s="68">
        <v>2.0</v>
      </c>
      <c r="G1864" s="68">
        <v>3.98028348586082</v>
      </c>
      <c r="H1864" s="68">
        <v>180.953141062721</v>
      </c>
      <c r="I1864" s="69">
        <v>44322.95398148148</v>
      </c>
      <c r="J1864" s="69">
        <v>44323.00063657408</v>
      </c>
      <c r="K1864">
        <f>AVERAGE(H1862:H1866)</f>
        <v>85.19841448</v>
      </c>
      <c r="L1864">
        <f>STDEV(H1862:H1866)</f>
        <v>82.55602183</v>
      </c>
      <c r="M1864" s="70">
        <v>180.953141062721</v>
      </c>
      <c r="N1864" s="70">
        <v>180.953141062721</v>
      </c>
      <c r="O1864" s="70">
        <v>3.98028348586082</v>
      </c>
      <c r="P1864" s="70">
        <v>3.98028348586082</v>
      </c>
    </row>
    <row r="1865" hidden="1">
      <c r="A1865" s="67" t="s">
        <v>2625</v>
      </c>
      <c r="B1865" s="67" t="s">
        <v>519</v>
      </c>
      <c r="C1865" s="68">
        <v>0.5</v>
      </c>
      <c r="D1865" s="68">
        <v>0.75</v>
      </c>
      <c r="E1865" s="68">
        <v>4.0</v>
      </c>
      <c r="F1865" s="68">
        <v>3.0</v>
      </c>
      <c r="G1865" s="68">
        <v>0.851606616086179</v>
      </c>
      <c r="H1865" s="68">
        <v>1.19905632192547</v>
      </c>
      <c r="I1865" s="69">
        <v>44323.00134259259</v>
      </c>
      <c r="J1865" s="69">
        <v>44323.00162037037</v>
      </c>
      <c r="K1865">
        <f>AVERAGE(H1862:H1866)</f>
        <v>85.19841448</v>
      </c>
      <c r="L1865">
        <f>STDEV(H1862:H1866)</f>
        <v>82.55602183</v>
      </c>
      <c r="M1865" s="70">
        <v>1.19905632192547</v>
      </c>
      <c r="N1865" s="70">
        <v>1.19905632192547</v>
      </c>
      <c r="O1865" s="70">
        <v>0.851606616086179</v>
      </c>
      <c r="P1865" s="70">
        <v>0.851606616086179</v>
      </c>
    </row>
    <row r="1866" hidden="1">
      <c r="A1866" s="67" t="s">
        <v>2626</v>
      </c>
      <c r="B1866" s="67" t="s">
        <v>519</v>
      </c>
      <c r="C1866" s="68">
        <v>0.5</v>
      </c>
      <c r="D1866" s="68">
        <v>0.75</v>
      </c>
      <c r="E1866" s="68">
        <v>4.0</v>
      </c>
      <c r="F1866" s="68">
        <v>4.0</v>
      </c>
      <c r="G1866" s="68">
        <v>3.55055501913323</v>
      </c>
      <c r="H1866" s="68">
        <v>147.053765004748</v>
      </c>
      <c r="I1866" s="69">
        <v>44323.00232638889</v>
      </c>
      <c r="J1866" s="69">
        <v>44323.00315972222</v>
      </c>
      <c r="K1866">
        <f>AVERAGE(H1862:H1866)</f>
        <v>85.19841448</v>
      </c>
      <c r="L1866">
        <f>STDEV(H1862:H1866)</f>
        <v>82.55602183</v>
      </c>
      <c r="M1866" s="70">
        <v>147.053765004748</v>
      </c>
      <c r="N1866" s="70">
        <v>147.053765004748</v>
      </c>
      <c r="O1866" s="70">
        <v>3.55055501913323</v>
      </c>
      <c r="P1866" s="70">
        <v>3.55055501913323</v>
      </c>
    </row>
    <row r="1867" hidden="1">
      <c r="A1867" s="67" t="s">
        <v>2627</v>
      </c>
      <c r="B1867" s="67" t="s">
        <v>519</v>
      </c>
      <c r="C1867" s="68">
        <v>0.5</v>
      </c>
      <c r="D1867" s="68">
        <v>1.0</v>
      </c>
      <c r="E1867" s="68">
        <v>4.0</v>
      </c>
      <c r="F1867" s="68">
        <v>0.0</v>
      </c>
      <c r="G1867" s="68">
        <v>0.713176031857099</v>
      </c>
      <c r="H1867" s="68">
        <v>0.950203195938262</v>
      </c>
      <c r="I1867" s="69">
        <v>44323.00386574074</v>
      </c>
      <c r="J1867" s="69">
        <v>44323.004108796296</v>
      </c>
      <c r="K1867">
        <f>AVERAGE(H1867:H1871)</f>
        <v>115.4363143</v>
      </c>
      <c r="L1867">
        <f>STDEV(H1867:H1871)</f>
        <v>73.8847132</v>
      </c>
      <c r="M1867" s="70">
        <v>0.950203195938262</v>
      </c>
      <c r="N1867" s="70">
        <v>0.950203195938262</v>
      </c>
      <c r="O1867" s="70">
        <v>0.713176031857099</v>
      </c>
      <c r="P1867" s="70">
        <v>0.713176031857099</v>
      </c>
    </row>
    <row r="1868" hidden="1">
      <c r="A1868" s="67" t="s">
        <v>2628</v>
      </c>
      <c r="B1868" s="67" t="s">
        <v>519</v>
      </c>
      <c r="C1868" s="68">
        <v>0.5</v>
      </c>
      <c r="D1868" s="68">
        <v>1.0</v>
      </c>
      <c r="E1868" s="68">
        <v>4.0</v>
      </c>
      <c r="F1868" s="68">
        <v>1.0</v>
      </c>
      <c r="G1868" s="68">
        <v>1.55022049168715</v>
      </c>
      <c r="H1868" s="68">
        <v>87.9184485723394</v>
      </c>
      <c r="I1868" s="69">
        <v>44323.00481481481</v>
      </c>
      <c r="J1868" s="69">
        <v>44323.007881944446</v>
      </c>
      <c r="K1868">
        <f>AVERAGE(H1867:H1871)</f>
        <v>115.4363143</v>
      </c>
      <c r="L1868">
        <f>STDEV(H1867:H1871)</f>
        <v>73.8847132</v>
      </c>
      <c r="M1868" s="70">
        <v>87.9184485723394</v>
      </c>
      <c r="N1868" s="70">
        <v>87.9184485723394</v>
      </c>
      <c r="O1868" s="70">
        <v>1.55022049168715</v>
      </c>
      <c r="P1868" s="70">
        <v>1.55022049168715</v>
      </c>
    </row>
    <row r="1869" hidden="1">
      <c r="A1869" s="67" t="s">
        <v>2629</v>
      </c>
      <c r="B1869" s="67" t="s">
        <v>519</v>
      </c>
      <c r="C1869" s="68">
        <v>0.5</v>
      </c>
      <c r="D1869" s="68">
        <v>1.0</v>
      </c>
      <c r="E1869" s="68">
        <v>4.0</v>
      </c>
      <c r="F1869" s="68">
        <v>2.0</v>
      </c>
      <c r="G1869" s="68">
        <v>5.52817889927678</v>
      </c>
      <c r="H1869" s="68">
        <v>171.406797092905</v>
      </c>
      <c r="I1869" s="69">
        <v>44323.00858796296</v>
      </c>
      <c r="J1869" s="69">
        <v>44323.00875</v>
      </c>
      <c r="K1869">
        <f>AVERAGE(H1867:H1871)</f>
        <v>115.4363143</v>
      </c>
      <c r="L1869">
        <f>STDEV(H1867:H1871)</f>
        <v>73.8847132</v>
      </c>
      <c r="M1869" s="70">
        <v>171.406797092905</v>
      </c>
      <c r="N1869" s="70">
        <v>171.406797092905</v>
      </c>
      <c r="O1869" s="70">
        <v>5.52817889927678</v>
      </c>
      <c r="P1869" s="70">
        <v>5.52817889927678</v>
      </c>
    </row>
    <row r="1870" hidden="1">
      <c r="A1870" s="67" t="s">
        <v>2630</v>
      </c>
      <c r="B1870" s="67" t="s">
        <v>519</v>
      </c>
      <c r="C1870" s="68">
        <v>0.5</v>
      </c>
      <c r="D1870" s="68">
        <v>1.0</v>
      </c>
      <c r="E1870" s="68">
        <v>4.0</v>
      </c>
      <c r="F1870" s="68">
        <v>3.0</v>
      </c>
      <c r="G1870" s="68">
        <v>4.64838106259208</v>
      </c>
      <c r="H1870" s="68">
        <v>134.600128541548</v>
      </c>
      <c r="I1870" s="69">
        <v>44323.00945601852</v>
      </c>
      <c r="J1870" s="69">
        <v>44323.00976851852</v>
      </c>
      <c r="K1870">
        <f>AVERAGE(H1867:H1871)</f>
        <v>115.4363143</v>
      </c>
      <c r="L1870">
        <f>STDEV(H1867:H1871)</f>
        <v>73.8847132</v>
      </c>
      <c r="M1870" s="70">
        <v>134.600128541548</v>
      </c>
      <c r="N1870" s="70">
        <v>134.600128541548</v>
      </c>
      <c r="O1870" s="70">
        <v>4.64838106259208</v>
      </c>
      <c r="P1870" s="70">
        <v>4.64838106259208</v>
      </c>
    </row>
    <row r="1871" hidden="1">
      <c r="A1871" s="67" t="s">
        <v>2631</v>
      </c>
      <c r="B1871" s="67" t="s">
        <v>519</v>
      </c>
      <c r="C1871" s="68">
        <v>0.5</v>
      </c>
      <c r="D1871" s="68">
        <v>1.0</v>
      </c>
      <c r="E1871" s="68">
        <v>4.0</v>
      </c>
      <c r="F1871" s="68">
        <v>4.0</v>
      </c>
      <c r="G1871" s="68">
        <v>3.93019614966064</v>
      </c>
      <c r="H1871" s="68">
        <v>182.3059941768</v>
      </c>
      <c r="I1871" s="69">
        <v>44323.01047453703</v>
      </c>
      <c r="J1871" s="69">
        <v>44323.067824074074</v>
      </c>
      <c r="K1871">
        <f>AVERAGE(H1867:H1871)</f>
        <v>115.4363143</v>
      </c>
      <c r="L1871">
        <f>STDEV(H1867:H1871)</f>
        <v>73.8847132</v>
      </c>
      <c r="M1871" s="70">
        <v>182.3059941768</v>
      </c>
      <c r="N1871" s="70">
        <v>182.3059941768</v>
      </c>
      <c r="O1871" s="70">
        <v>3.93019614966064</v>
      </c>
      <c r="P1871" s="70">
        <v>3.93019614966064</v>
      </c>
    </row>
    <row r="1872" hidden="1">
      <c r="A1872" s="67" t="s">
        <v>2632</v>
      </c>
      <c r="B1872" s="67" t="s">
        <v>519</v>
      </c>
      <c r="C1872" s="68">
        <v>0.75</v>
      </c>
      <c r="D1872" s="68">
        <v>0.1</v>
      </c>
      <c r="E1872" s="68">
        <v>4.0</v>
      </c>
      <c r="F1872" s="68">
        <v>0.0</v>
      </c>
      <c r="G1872" s="68">
        <v>5.96301572164564</v>
      </c>
      <c r="H1872" s="68">
        <v>183.037978806761</v>
      </c>
      <c r="I1872" s="69">
        <v>44323.06853009259</v>
      </c>
      <c r="J1872" s="69">
        <v>44323.06868055555</v>
      </c>
      <c r="K1872">
        <f>AVERAGE(H1872:H1876)</f>
        <v>145.1257043</v>
      </c>
      <c r="L1872">
        <f>STDEV(H1872:H1876)</f>
        <v>98.80626981</v>
      </c>
      <c r="M1872" s="70">
        <v>183.037978806761</v>
      </c>
      <c r="N1872" s="70">
        <v>183.037978806761</v>
      </c>
      <c r="O1872" s="70">
        <v>5.96301572164564</v>
      </c>
      <c r="P1872" s="70">
        <v>5.96301572164564</v>
      </c>
    </row>
    <row r="1873" hidden="1">
      <c r="A1873" s="67" t="s">
        <v>2633</v>
      </c>
      <c r="B1873" s="67" t="s">
        <v>519</v>
      </c>
      <c r="C1873" s="68">
        <v>0.75</v>
      </c>
      <c r="D1873" s="68">
        <v>0.1</v>
      </c>
      <c r="E1873" s="68">
        <v>4.0</v>
      </c>
      <c r="F1873" s="68">
        <v>1.0</v>
      </c>
      <c r="G1873" s="68">
        <v>2.6308159782114</v>
      </c>
      <c r="H1873" s="68">
        <v>121.107551330444</v>
      </c>
      <c r="I1873" s="69">
        <v>44323.069386574076</v>
      </c>
      <c r="J1873" s="69">
        <v>44323.07100694445</v>
      </c>
      <c r="K1873">
        <f>AVERAGE(H1872:H1876)</f>
        <v>145.1257043</v>
      </c>
      <c r="L1873">
        <f>STDEV(H1872:H1876)</f>
        <v>98.80626981</v>
      </c>
      <c r="M1873" s="70">
        <v>121.107551330444</v>
      </c>
      <c r="N1873" s="70">
        <v>121.107551330444</v>
      </c>
      <c r="O1873" s="70">
        <v>2.6308159782114</v>
      </c>
      <c r="P1873" s="70">
        <v>2.6308159782114</v>
      </c>
    </row>
    <row r="1874" hidden="1">
      <c r="A1874" s="67" t="s">
        <v>2634</v>
      </c>
      <c r="B1874" s="67" t="s">
        <v>519</v>
      </c>
      <c r="C1874" s="68">
        <v>0.75</v>
      </c>
      <c r="D1874" s="68">
        <v>0.1</v>
      </c>
      <c r="E1874" s="68">
        <v>4.0</v>
      </c>
      <c r="F1874" s="68">
        <v>2.0</v>
      </c>
      <c r="G1874" s="68">
        <v>2.70795760000253</v>
      </c>
      <c r="H1874" s="68">
        <v>143.375210352987</v>
      </c>
      <c r="I1874" s="69">
        <v>44323.07171296296</v>
      </c>
      <c r="J1874" s="69">
        <v>44323.138715277775</v>
      </c>
      <c r="K1874">
        <f>AVERAGE(H1872:H1876)</f>
        <v>145.1257043</v>
      </c>
      <c r="L1874">
        <f>STDEV(H1872:H1876)</f>
        <v>98.80626981</v>
      </c>
      <c r="M1874" s="70">
        <v>143.375210352987</v>
      </c>
      <c r="N1874" s="70">
        <v>143.375210352987</v>
      </c>
      <c r="O1874" s="70">
        <v>2.70795760000253</v>
      </c>
      <c r="P1874" s="70">
        <v>2.70795760000253</v>
      </c>
    </row>
    <row r="1875" hidden="1">
      <c r="A1875" s="67" t="s">
        <v>2635</v>
      </c>
      <c r="B1875" s="67" t="s">
        <v>519</v>
      </c>
      <c r="C1875" s="68">
        <v>0.75</v>
      </c>
      <c r="D1875" s="68">
        <v>0.1</v>
      </c>
      <c r="E1875" s="68">
        <v>4.0</v>
      </c>
      <c r="F1875" s="68">
        <v>3.0</v>
      </c>
      <c r="G1875" s="68">
        <v>9.22591389861301</v>
      </c>
      <c r="H1875" s="68">
        <v>274.994512754313</v>
      </c>
      <c r="I1875" s="69">
        <v>44323.1394212963</v>
      </c>
      <c r="J1875" s="69">
        <v>44323.14005787037</v>
      </c>
      <c r="K1875">
        <f>AVERAGE(H1872:H1876)</f>
        <v>145.1257043</v>
      </c>
      <c r="L1875">
        <f>STDEV(H1872:H1876)</f>
        <v>98.80626981</v>
      </c>
      <c r="M1875" s="70">
        <v>274.994512754313</v>
      </c>
      <c r="N1875" s="70">
        <v>274.994512754313</v>
      </c>
      <c r="O1875" s="70">
        <v>9.22591389861301</v>
      </c>
      <c r="P1875" s="70">
        <v>9.22591389861301</v>
      </c>
    </row>
    <row r="1876" hidden="1">
      <c r="A1876" s="67" t="s">
        <v>2636</v>
      </c>
      <c r="B1876" s="67" t="s">
        <v>519</v>
      </c>
      <c r="C1876" s="68">
        <v>0.75</v>
      </c>
      <c r="D1876" s="68">
        <v>0.1</v>
      </c>
      <c r="E1876" s="68">
        <v>4.0</v>
      </c>
      <c r="F1876" s="68">
        <v>4.0</v>
      </c>
      <c r="G1876" s="68">
        <v>1.21245167367686</v>
      </c>
      <c r="H1876" s="68">
        <v>3.11326841398165</v>
      </c>
      <c r="I1876" s="69">
        <v>44323.14076388889</v>
      </c>
      <c r="J1876" s="69">
        <v>44323.14082175926</v>
      </c>
      <c r="K1876">
        <f>AVERAGE(H1872:H1876)</f>
        <v>145.1257043</v>
      </c>
      <c r="L1876">
        <f>STDEV(H1872:H1876)</f>
        <v>98.80626981</v>
      </c>
      <c r="M1876" s="70">
        <v>3.11326841398165</v>
      </c>
      <c r="N1876" s="70">
        <v>3.11326841398165</v>
      </c>
      <c r="O1876" s="70">
        <v>1.21245167367686</v>
      </c>
      <c r="P1876" s="70">
        <v>1.21245167367686</v>
      </c>
    </row>
    <row r="1877" hidden="1">
      <c r="A1877" s="67" t="s">
        <v>2637</v>
      </c>
      <c r="B1877" s="67" t="s">
        <v>519</v>
      </c>
      <c r="C1877" s="68">
        <v>0.75</v>
      </c>
      <c r="D1877" s="68">
        <v>0.25</v>
      </c>
      <c r="E1877" s="68">
        <v>4.0</v>
      </c>
      <c r="F1877" s="68">
        <v>0.0</v>
      </c>
      <c r="G1877" s="68">
        <v>1.97635528295049</v>
      </c>
      <c r="H1877" s="68">
        <v>90.8979283389485</v>
      </c>
      <c r="I1877" s="69">
        <v>44323.14152777778</v>
      </c>
      <c r="J1877" s="69">
        <v>44323.14225694445</v>
      </c>
      <c r="K1877">
        <f>AVERAGE(H1877:H1881)</f>
        <v>137.889955</v>
      </c>
      <c r="L1877">
        <f>STDEV(H1877:H1881)</f>
        <v>33.14378002</v>
      </c>
      <c r="M1877" s="70">
        <v>90.8979283389485</v>
      </c>
      <c r="N1877" s="70">
        <v>90.8979283389485</v>
      </c>
      <c r="O1877" s="70">
        <v>1.97635528295049</v>
      </c>
      <c r="P1877" s="70">
        <v>1.97635528295049</v>
      </c>
    </row>
    <row r="1878" hidden="1">
      <c r="A1878" s="67" t="s">
        <v>2638</v>
      </c>
      <c r="B1878" s="67" t="s">
        <v>519</v>
      </c>
      <c r="C1878" s="68">
        <v>0.75</v>
      </c>
      <c r="D1878" s="68">
        <v>0.25</v>
      </c>
      <c r="E1878" s="68">
        <v>4.0</v>
      </c>
      <c r="F1878" s="68">
        <v>1.0</v>
      </c>
      <c r="G1878" s="68">
        <v>4.48776892109742</v>
      </c>
      <c r="H1878" s="68">
        <v>177.128602041641</v>
      </c>
      <c r="I1878" s="69">
        <v>44323.142962962964</v>
      </c>
      <c r="J1878" s="69">
        <v>44323.14461805556</v>
      </c>
      <c r="K1878">
        <f>AVERAGE(H1877:H1881)</f>
        <v>137.889955</v>
      </c>
      <c r="L1878">
        <f>STDEV(H1877:H1881)</f>
        <v>33.14378002</v>
      </c>
      <c r="M1878" s="70">
        <v>177.128602041641</v>
      </c>
      <c r="N1878" s="70">
        <v>177.128602041641</v>
      </c>
      <c r="O1878" s="70">
        <v>4.48776892109742</v>
      </c>
      <c r="P1878" s="70">
        <v>4.48776892109742</v>
      </c>
    </row>
    <row r="1879" hidden="1">
      <c r="A1879" s="67" t="s">
        <v>2639</v>
      </c>
      <c r="B1879" s="67" t="s">
        <v>519</v>
      </c>
      <c r="C1879" s="68">
        <v>0.75</v>
      </c>
      <c r="D1879" s="68">
        <v>0.25</v>
      </c>
      <c r="E1879" s="68">
        <v>4.0</v>
      </c>
      <c r="F1879" s="68">
        <v>2.0</v>
      </c>
      <c r="G1879" s="68">
        <v>5.07008993226103</v>
      </c>
      <c r="H1879" s="68">
        <v>128.207732374316</v>
      </c>
      <c r="I1879" s="69">
        <v>44323.145324074074</v>
      </c>
      <c r="J1879" s="69">
        <v>44323.14549768518</v>
      </c>
      <c r="K1879">
        <f>AVERAGE(H1877:H1881)</f>
        <v>137.889955</v>
      </c>
      <c r="L1879">
        <f>STDEV(H1877:H1881)</f>
        <v>33.14378002</v>
      </c>
      <c r="M1879" s="70">
        <v>128.207732374316</v>
      </c>
      <c r="N1879" s="70">
        <v>128.207732374316</v>
      </c>
      <c r="O1879" s="70">
        <v>5.07008993226103</v>
      </c>
      <c r="P1879" s="70">
        <v>5.07008993226103</v>
      </c>
    </row>
    <row r="1880" hidden="1">
      <c r="A1880" s="67" t="s">
        <v>2640</v>
      </c>
      <c r="B1880" s="67" t="s">
        <v>519</v>
      </c>
      <c r="C1880" s="68">
        <v>0.75</v>
      </c>
      <c r="D1880" s="68">
        <v>0.25</v>
      </c>
      <c r="E1880" s="68">
        <v>4.0</v>
      </c>
      <c r="F1880" s="68">
        <v>3.0</v>
      </c>
      <c r="G1880" s="68">
        <v>6.2536338220425</v>
      </c>
      <c r="H1880" s="68">
        <v>132.459026725948</v>
      </c>
      <c r="I1880" s="69">
        <v>44323.146203703705</v>
      </c>
      <c r="J1880" s="69">
        <v>44323.14623842593</v>
      </c>
      <c r="K1880">
        <f>AVERAGE(H1877:H1881)</f>
        <v>137.889955</v>
      </c>
      <c r="L1880">
        <f>STDEV(H1877:H1881)</f>
        <v>33.14378002</v>
      </c>
      <c r="M1880" s="70">
        <v>132.459026725948</v>
      </c>
      <c r="N1880" s="70">
        <v>132.459026725948</v>
      </c>
      <c r="O1880" s="70">
        <v>6.2536338220425</v>
      </c>
      <c r="P1880" s="70">
        <v>6.2536338220425</v>
      </c>
    </row>
    <row r="1881" hidden="1">
      <c r="A1881" s="67" t="s">
        <v>2641</v>
      </c>
      <c r="B1881" s="67" t="s">
        <v>519</v>
      </c>
      <c r="C1881" s="68">
        <v>0.75</v>
      </c>
      <c r="D1881" s="68">
        <v>0.25</v>
      </c>
      <c r="E1881" s="68">
        <v>4.0</v>
      </c>
      <c r="F1881" s="68">
        <v>4.0</v>
      </c>
      <c r="G1881" s="68">
        <v>3.09405517976735</v>
      </c>
      <c r="H1881" s="68">
        <v>160.756485283845</v>
      </c>
      <c r="I1881" s="69">
        <v>44323.146944444445</v>
      </c>
      <c r="J1881" s="69">
        <v>44323.20106481481</v>
      </c>
      <c r="K1881">
        <f>AVERAGE(H1877:H1881)</f>
        <v>137.889955</v>
      </c>
      <c r="L1881">
        <f>STDEV(H1877:H1881)</f>
        <v>33.14378002</v>
      </c>
      <c r="M1881" s="70">
        <v>160.756485283845</v>
      </c>
      <c r="N1881" s="70">
        <v>160.756485283845</v>
      </c>
      <c r="O1881" s="70">
        <v>3.09405517976735</v>
      </c>
      <c r="P1881" s="70">
        <v>3.09405517976735</v>
      </c>
    </row>
    <row r="1882" hidden="1">
      <c r="A1882" s="67" t="s">
        <v>2642</v>
      </c>
      <c r="B1882" s="67" t="s">
        <v>519</v>
      </c>
      <c r="C1882" s="68">
        <v>0.75</v>
      </c>
      <c r="D1882" s="68">
        <v>0.5</v>
      </c>
      <c r="E1882" s="68">
        <v>4.0</v>
      </c>
      <c r="F1882" s="68">
        <v>0.0</v>
      </c>
      <c r="G1882" s="68">
        <v>3.37862692048136</v>
      </c>
      <c r="H1882" s="68">
        <v>167.410767202419</v>
      </c>
      <c r="I1882" s="69">
        <v>44323.20177083334</v>
      </c>
      <c r="J1882" s="69">
        <v>44323.255381944444</v>
      </c>
      <c r="K1882">
        <f>AVERAGE(H1882:H1886)</f>
        <v>109.2192783</v>
      </c>
      <c r="L1882">
        <f>STDEV(H1882:H1886)</f>
        <v>101.5007228</v>
      </c>
      <c r="M1882" s="70">
        <v>167.410767202419</v>
      </c>
      <c r="N1882" s="70">
        <v>167.410767202419</v>
      </c>
      <c r="O1882" s="70">
        <v>3.37862692048136</v>
      </c>
      <c r="P1882" s="70">
        <v>3.37862692048136</v>
      </c>
    </row>
    <row r="1883" hidden="1">
      <c r="A1883" s="67" t="s">
        <v>2643</v>
      </c>
      <c r="B1883" s="67" t="s">
        <v>519</v>
      </c>
      <c r="C1883" s="68">
        <v>0.75</v>
      </c>
      <c r="D1883" s="68">
        <v>0.5</v>
      </c>
      <c r="E1883" s="68">
        <v>4.0</v>
      </c>
      <c r="F1883" s="68">
        <v>1.0</v>
      </c>
      <c r="G1883" s="68">
        <v>3.50054086041703</v>
      </c>
      <c r="H1883" s="68">
        <v>157.265430117568</v>
      </c>
      <c r="I1883" s="69">
        <v>44323.25608796296</v>
      </c>
      <c r="J1883" s="69">
        <v>44323.259247685186</v>
      </c>
      <c r="K1883">
        <f>AVERAGE(H1882:H1886)</f>
        <v>109.2192783</v>
      </c>
      <c r="L1883">
        <f>STDEV(H1882:H1886)</f>
        <v>101.5007228</v>
      </c>
      <c r="M1883" s="70">
        <v>157.265430117568</v>
      </c>
      <c r="N1883" s="70">
        <v>157.265430117568</v>
      </c>
      <c r="O1883" s="70">
        <v>3.50054086041703</v>
      </c>
      <c r="P1883" s="70">
        <v>3.50054086041703</v>
      </c>
    </row>
    <row r="1884" hidden="1">
      <c r="A1884" s="67" t="s">
        <v>2644</v>
      </c>
      <c r="B1884" s="67" t="s">
        <v>519</v>
      </c>
      <c r="C1884" s="68">
        <v>0.75</v>
      </c>
      <c r="D1884" s="68">
        <v>0.5</v>
      </c>
      <c r="E1884" s="68">
        <v>4.0</v>
      </c>
      <c r="F1884" s="68">
        <v>2.0</v>
      </c>
      <c r="G1884" s="68">
        <v>0.502953193928029</v>
      </c>
      <c r="H1884" s="68">
        <v>1.60382620106283</v>
      </c>
      <c r="I1884" s="69">
        <v>44323.25996527778</v>
      </c>
      <c r="J1884" s="69">
        <v>44323.260150462964</v>
      </c>
      <c r="K1884">
        <f>AVERAGE(H1882:H1886)</f>
        <v>109.2192783</v>
      </c>
      <c r="L1884">
        <f>STDEV(H1882:H1886)</f>
        <v>101.5007228</v>
      </c>
      <c r="M1884" s="70">
        <v>1.60382620106283</v>
      </c>
      <c r="N1884" s="70">
        <v>1.60382620106283</v>
      </c>
      <c r="O1884" s="70">
        <v>0.502953193928029</v>
      </c>
      <c r="P1884" s="70">
        <v>0.502953193928029</v>
      </c>
    </row>
    <row r="1885" hidden="1">
      <c r="A1885" s="67" t="s">
        <v>2645</v>
      </c>
      <c r="B1885" s="67" t="s">
        <v>519</v>
      </c>
      <c r="C1885" s="68">
        <v>0.75</v>
      </c>
      <c r="D1885" s="68">
        <v>0.5</v>
      </c>
      <c r="E1885" s="68">
        <v>4.0</v>
      </c>
      <c r="F1885" s="68">
        <v>3.0</v>
      </c>
      <c r="G1885" s="68">
        <v>9.22133508648736</v>
      </c>
      <c r="H1885" s="68">
        <v>219.299385905833</v>
      </c>
      <c r="I1885" s="69">
        <v>44323.26085648148</v>
      </c>
      <c r="J1885" s="69">
        <v>44323.26097222222</v>
      </c>
      <c r="K1885">
        <f>AVERAGE(H1882:H1886)</f>
        <v>109.2192783</v>
      </c>
      <c r="L1885">
        <f>STDEV(H1882:H1886)</f>
        <v>101.5007228</v>
      </c>
      <c r="M1885" s="70">
        <v>219.299385905833</v>
      </c>
      <c r="N1885" s="70">
        <v>219.299385905833</v>
      </c>
      <c r="O1885" s="70">
        <v>9.22133508648736</v>
      </c>
      <c r="P1885" s="70">
        <v>9.22133508648736</v>
      </c>
    </row>
    <row r="1886" hidden="1">
      <c r="A1886" s="67" t="s">
        <v>2646</v>
      </c>
      <c r="B1886" s="67" t="s">
        <v>519</v>
      </c>
      <c r="C1886" s="68">
        <v>0.75</v>
      </c>
      <c r="D1886" s="68">
        <v>0.5</v>
      </c>
      <c r="E1886" s="68">
        <v>4.0</v>
      </c>
      <c r="F1886" s="68">
        <v>4.0</v>
      </c>
      <c r="G1886" s="68">
        <v>0.435867006406698</v>
      </c>
      <c r="H1886" s="68">
        <v>0.51698199218133</v>
      </c>
      <c r="I1886" s="69">
        <v>44323.26167824074</v>
      </c>
      <c r="J1886" s="69">
        <v>44323.26180555556</v>
      </c>
      <c r="K1886">
        <f>AVERAGE(H1882:H1886)</f>
        <v>109.2192783</v>
      </c>
      <c r="L1886">
        <f>STDEV(H1882:H1886)</f>
        <v>101.5007228</v>
      </c>
      <c r="M1886" s="70">
        <v>0.51698199218133</v>
      </c>
      <c r="N1886" s="70">
        <v>0.51698199218133</v>
      </c>
      <c r="O1886" s="70">
        <v>0.435867006406698</v>
      </c>
      <c r="P1886" s="70">
        <v>0.435867006406698</v>
      </c>
    </row>
    <row r="1887" hidden="1">
      <c r="A1887" s="67" t="s">
        <v>2647</v>
      </c>
      <c r="B1887" s="67" t="s">
        <v>519</v>
      </c>
      <c r="C1887" s="68">
        <v>0.75</v>
      </c>
      <c r="D1887" s="68">
        <v>0.75</v>
      </c>
      <c r="E1887" s="68">
        <v>4.0</v>
      </c>
      <c r="F1887" s="68">
        <v>0.0</v>
      </c>
      <c r="G1887" s="68">
        <v>3.85254418781493</v>
      </c>
      <c r="H1887" s="68">
        <v>148.159708955303</v>
      </c>
      <c r="I1887" s="69">
        <v>44323.262511574074</v>
      </c>
      <c r="J1887" s="69">
        <v>44323.26292824074</v>
      </c>
      <c r="K1887">
        <f>AVERAGE(H1887:H1891)</f>
        <v>158.7783426</v>
      </c>
      <c r="L1887">
        <f>STDEV(H1887:H1891)</f>
        <v>112.086717</v>
      </c>
      <c r="M1887" s="70">
        <v>148.159708955303</v>
      </c>
      <c r="N1887" s="70">
        <v>148.159708955303</v>
      </c>
      <c r="O1887" s="70">
        <v>3.85254418781493</v>
      </c>
      <c r="P1887" s="70">
        <v>3.85254418781493</v>
      </c>
    </row>
    <row r="1888" hidden="1">
      <c r="A1888" s="67" t="s">
        <v>2648</v>
      </c>
      <c r="B1888" s="67" t="s">
        <v>519</v>
      </c>
      <c r="C1888" s="68">
        <v>0.75</v>
      </c>
      <c r="D1888" s="68">
        <v>0.75</v>
      </c>
      <c r="E1888" s="68">
        <v>4.0</v>
      </c>
      <c r="F1888" s="68">
        <v>1.0</v>
      </c>
      <c r="G1888" s="68">
        <v>3.32092582272929</v>
      </c>
      <c r="H1888" s="68">
        <v>162.789317669487</v>
      </c>
      <c r="I1888" s="69">
        <v>44323.26363425926</v>
      </c>
      <c r="J1888" s="69">
        <v>44323.34050925926</v>
      </c>
      <c r="K1888">
        <f>AVERAGE(H1887:H1891)</f>
        <v>158.7783426</v>
      </c>
      <c r="L1888">
        <f>STDEV(H1887:H1891)</f>
        <v>112.086717</v>
      </c>
      <c r="M1888" s="70">
        <v>162.789317669487</v>
      </c>
      <c r="N1888" s="70">
        <v>162.789317669487</v>
      </c>
      <c r="O1888" s="70">
        <v>3.32092582272929</v>
      </c>
      <c r="P1888" s="70">
        <v>3.32092582272929</v>
      </c>
    </row>
    <row r="1889" hidden="1">
      <c r="A1889" s="67" t="s">
        <v>2649</v>
      </c>
      <c r="B1889" s="67" t="s">
        <v>519</v>
      </c>
      <c r="C1889" s="68">
        <v>0.75</v>
      </c>
      <c r="D1889" s="68">
        <v>0.75</v>
      </c>
      <c r="E1889" s="68">
        <v>4.0</v>
      </c>
      <c r="F1889" s="68">
        <v>2.0</v>
      </c>
      <c r="G1889" s="68">
        <v>10.4270962533551</v>
      </c>
      <c r="H1889" s="68">
        <v>316.939179781869</v>
      </c>
      <c r="I1889" s="69">
        <v>44323.341215277775</v>
      </c>
      <c r="J1889" s="69">
        <v>44323.34123842593</v>
      </c>
      <c r="K1889">
        <f>AVERAGE(H1887:H1891)</f>
        <v>158.7783426</v>
      </c>
      <c r="L1889">
        <f>STDEV(H1887:H1891)</f>
        <v>112.086717</v>
      </c>
      <c r="M1889" s="70">
        <v>316.939179781869</v>
      </c>
      <c r="N1889" s="70">
        <v>316.939179781869</v>
      </c>
      <c r="O1889" s="70">
        <v>10.4270962533551</v>
      </c>
      <c r="P1889" s="70">
        <v>10.4270962533551</v>
      </c>
    </row>
    <row r="1890" hidden="1">
      <c r="A1890" s="67" t="s">
        <v>2650</v>
      </c>
      <c r="B1890" s="67" t="s">
        <v>519</v>
      </c>
      <c r="C1890" s="68">
        <v>0.75</v>
      </c>
      <c r="D1890" s="68">
        <v>0.75</v>
      </c>
      <c r="E1890" s="68">
        <v>4.0</v>
      </c>
      <c r="F1890" s="68">
        <v>3.0</v>
      </c>
      <c r="G1890" s="68">
        <v>0.371406866845894</v>
      </c>
      <c r="H1890" s="68">
        <v>0.461303059032117</v>
      </c>
      <c r="I1890" s="69">
        <v>44323.341944444444</v>
      </c>
      <c r="J1890" s="69">
        <v>44323.342199074075</v>
      </c>
      <c r="K1890">
        <f>AVERAGE(H1887:H1891)</f>
        <v>158.7783426</v>
      </c>
      <c r="L1890">
        <f>STDEV(H1887:H1891)</f>
        <v>112.086717</v>
      </c>
      <c r="M1890" s="70">
        <v>0.461303059032117</v>
      </c>
      <c r="N1890" s="70">
        <v>0.461303059032117</v>
      </c>
      <c r="O1890" s="70">
        <v>0.371406866845894</v>
      </c>
      <c r="P1890" s="70">
        <v>0.371406866845894</v>
      </c>
    </row>
    <row r="1891" hidden="1">
      <c r="A1891" s="67" t="s">
        <v>2651</v>
      </c>
      <c r="B1891" s="67" t="s">
        <v>519</v>
      </c>
      <c r="C1891" s="68">
        <v>0.75</v>
      </c>
      <c r="D1891" s="68">
        <v>0.75</v>
      </c>
      <c r="E1891" s="68">
        <v>4.0</v>
      </c>
      <c r="F1891" s="68">
        <v>4.0</v>
      </c>
      <c r="G1891" s="68">
        <v>5.45492155417646</v>
      </c>
      <c r="H1891" s="68">
        <v>165.542203619158</v>
      </c>
      <c r="I1891" s="69">
        <v>44323.34290509259</v>
      </c>
      <c r="J1891" s="69">
        <v>44323.34307870371</v>
      </c>
      <c r="K1891">
        <f>AVERAGE(H1887:H1891)</f>
        <v>158.7783426</v>
      </c>
      <c r="L1891">
        <f>STDEV(H1887:H1891)</f>
        <v>112.086717</v>
      </c>
      <c r="M1891" s="70">
        <v>165.542203619158</v>
      </c>
      <c r="N1891" s="70">
        <v>165.542203619158</v>
      </c>
      <c r="O1891" s="70">
        <v>5.45492155417646</v>
      </c>
      <c r="P1891" s="70">
        <v>5.45492155417646</v>
      </c>
    </row>
    <row r="1892" hidden="1">
      <c r="A1892" s="67" t="s">
        <v>2652</v>
      </c>
      <c r="B1892" s="67" t="s">
        <v>519</v>
      </c>
      <c r="C1892" s="68">
        <v>0.75</v>
      </c>
      <c r="D1892" s="68">
        <v>1.0</v>
      </c>
      <c r="E1892" s="68">
        <v>4.0</v>
      </c>
      <c r="F1892" s="68">
        <v>0.0</v>
      </c>
      <c r="G1892" s="68">
        <v>3.11191401866098</v>
      </c>
      <c r="H1892" s="68">
        <v>156.249953388095</v>
      </c>
      <c r="I1892" s="69">
        <v>44323.34378472222</v>
      </c>
      <c r="J1892" s="69">
        <v>44323.43082175926</v>
      </c>
      <c r="K1892">
        <f>AVERAGE(H1892:H1896)</f>
        <v>146.1164815</v>
      </c>
      <c r="L1892">
        <f>STDEV(H1892:H1896)</f>
        <v>84.08438717</v>
      </c>
      <c r="M1892" s="70">
        <v>156.249953388095</v>
      </c>
      <c r="N1892" s="70">
        <v>156.249953388095</v>
      </c>
      <c r="O1892" s="70">
        <v>3.11191401866098</v>
      </c>
      <c r="P1892" s="70">
        <v>3.11191401866098</v>
      </c>
    </row>
    <row r="1893" hidden="1">
      <c r="A1893" s="67" t="s">
        <v>2653</v>
      </c>
      <c r="B1893" s="67" t="s">
        <v>519</v>
      </c>
      <c r="C1893" s="68">
        <v>0.75</v>
      </c>
      <c r="D1893" s="68">
        <v>1.0</v>
      </c>
      <c r="E1893" s="68">
        <v>4.0</v>
      </c>
      <c r="F1893" s="68">
        <v>1.0</v>
      </c>
      <c r="G1893" s="68">
        <v>12.0803310655271</v>
      </c>
      <c r="H1893" s="68">
        <v>208.654672787026</v>
      </c>
      <c r="I1893" s="69">
        <v>44323.43152777778</v>
      </c>
      <c r="J1893" s="69">
        <v>44323.4315625</v>
      </c>
      <c r="K1893">
        <f>AVERAGE(H1892:H1896)</f>
        <v>146.1164815</v>
      </c>
      <c r="L1893">
        <f>STDEV(H1892:H1896)</f>
        <v>84.08438717</v>
      </c>
      <c r="M1893" s="70">
        <v>208.654672787026</v>
      </c>
      <c r="N1893" s="70">
        <v>208.654672787026</v>
      </c>
      <c r="O1893" s="70">
        <v>12.0803310655271</v>
      </c>
      <c r="P1893" s="70">
        <v>12.0803310655271</v>
      </c>
    </row>
    <row r="1894" hidden="1">
      <c r="A1894" s="67" t="s">
        <v>2654</v>
      </c>
      <c r="B1894" s="67" t="s">
        <v>519</v>
      </c>
      <c r="C1894" s="68">
        <v>0.75</v>
      </c>
      <c r="D1894" s="68">
        <v>1.0</v>
      </c>
      <c r="E1894" s="68">
        <v>4.0</v>
      </c>
      <c r="F1894" s="68">
        <v>2.0</v>
      </c>
      <c r="G1894" s="68">
        <v>0.159200655745664</v>
      </c>
      <c r="H1894" s="68">
        <v>0.327598634476719</v>
      </c>
      <c r="I1894" s="69">
        <v>44323.432280092595</v>
      </c>
      <c r="J1894" s="69">
        <v>44323.432291666664</v>
      </c>
      <c r="K1894">
        <f>AVERAGE(H1892:H1896)</f>
        <v>146.1164815</v>
      </c>
      <c r="L1894">
        <f>STDEV(H1892:H1896)</f>
        <v>84.08438717</v>
      </c>
      <c r="M1894" s="70">
        <v>0.327598634476719</v>
      </c>
      <c r="N1894" s="70">
        <v>0.327598634476719</v>
      </c>
      <c r="O1894" s="70">
        <v>0.159200655745664</v>
      </c>
      <c r="P1894" s="70">
        <v>0.159200655745664</v>
      </c>
    </row>
    <row r="1895" hidden="1">
      <c r="A1895" s="67" t="s">
        <v>2655</v>
      </c>
      <c r="B1895" s="67" t="s">
        <v>519</v>
      </c>
      <c r="C1895" s="68">
        <v>0.75</v>
      </c>
      <c r="D1895" s="68">
        <v>1.0</v>
      </c>
      <c r="E1895" s="68">
        <v>4.0</v>
      </c>
      <c r="F1895" s="68">
        <v>3.0</v>
      </c>
      <c r="G1895" s="68">
        <v>6.13353560743597</v>
      </c>
      <c r="H1895" s="68">
        <v>195.705090701946</v>
      </c>
      <c r="I1895" s="69">
        <v>44323.43299768519</v>
      </c>
      <c r="J1895" s="69">
        <v>44323.43304398148</v>
      </c>
      <c r="K1895">
        <f>AVERAGE(H1892:H1896)</f>
        <v>146.1164815</v>
      </c>
      <c r="L1895">
        <f>STDEV(H1892:H1896)</f>
        <v>84.08438717</v>
      </c>
      <c r="M1895" s="70">
        <v>195.705090701946</v>
      </c>
      <c r="N1895" s="70">
        <v>195.705090701946</v>
      </c>
      <c r="O1895" s="70">
        <v>6.13353560743597</v>
      </c>
      <c r="P1895" s="70">
        <v>6.13353560743597</v>
      </c>
    </row>
    <row r="1896" hidden="1">
      <c r="A1896" s="67" t="s">
        <v>2656</v>
      </c>
      <c r="B1896" s="67" t="s">
        <v>519</v>
      </c>
      <c r="C1896" s="68">
        <v>0.75</v>
      </c>
      <c r="D1896" s="68">
        <v>1.0</v>
      </c>
      <c r="E1896" s="68">
        <v>4.0</v>
      </c>
      <c r="F1896" s="68">
        <v>4.0</v>
      </c>
      <c r="G1896" s="68">
        <v>5.41606119858966</v>
      </c>
      <c r="H1896" s="68">
        <v>169.645092041061</v>
      </c>
      <c r="I1896" s="69">
        <v>44323.43375</v>
      </c>
      <c r="J1896" s="69">
        <v>44323.43388888889</v>
      </c>
      <c r="K1896">
        <f>AVERAGE(H1892:H1896)</f>
        <v>146.1164815</v>
      </c>
      <c r="L1896">
        <f>STDEV(H1892:H1896)</f>
        <v>84.08438717</v>
      </c>
      <c r="M1896" s="70">
        <v>169.645092041061</v>
      </c>
      <c r="N1896" s="70">
        <v>169.645092041061</v>
      </c>
      <c r="O1896" s="70">
        <v>5.41606119858966</v>
      </c>
      <c r="P1896" s="70">
        <v>5.41606119858966</v>
      </c>
    </row>
    <row r="1897" hidden="1">
      <c r="A1897" s="67" t="s">
        <v>2657</v>
      </c>
      <c r="B1897" s="67" t="s">
        <v>519</v>
      </c>
      <c r="C1897" s="68">
        <v>1.0</v>
      </c>
      <c r="D1897" s="68">
        <v>0.1</v>
      </c>
      <c r="E1897" s="68">
        <v>4.0</v>
      </c>
      <c r="F1897" s="68">
        <v>0.0</v>
      </c>
      <c r="G1897" s="68">
        <v>9.55994366398335</v>
      </c>
      <c r="H1897" s="68">
        <v>272.547587491879</v>
      </c>
      <c r="I1897" s="69">
        <v>44323.43460648148</v>
      </c>
      <c r="J1897" s="69">
        <v>44323.43534722222</v>
      </c>
      <c r="K1897">
        <f>AVERAGE(H1897:H1901)</f>
        <v>109.6456006</v>
      </c>
      <c r="L1897">
        <f>STDEV(H1897:H1901)</f>
        <v>113.9549289</v>
      </c>
      <c r="M1897" s="70">
        <v>272.547587491879</v>
      </c>
      <c r="N1897" s="70">
        <v>272.547587491879</v>
      </c>
      <c r="O1897" s="70">
        <v>9.55994366398335</v>
      </c>
      <c r="P1897" s="70">
        <v>9.55994366398335</v>
      </c>
    </row>
    <row r="1898" hidden="1">
      <c r="A1898" s="67" t="s">
        <v>2658</v>
      </c>
      <c r="B1898" s="67" t="s">
        <v>519</v>
      </c>
      <c r="C1898" s="68">
        <v>1.0</v>
      </c>
      <c r="D1898" s="68">
        <v>0.1</v>
      </c>
      <c r="E1898" s="68">
        <v>4.0</v>
      </c>
      <c r="F1898" s="68">
        <v>1.0</v>
      </c>
      <c r="G1898" s="68">
        <v>3.61360680293045</v>
      </c>
      <c r="H1898" s="68">
        <v>139.262029176701</v>
      </c>
      <c r="I1898" s="69">
        <v>44323.43605324074</v>
      </c>
      <c r="J1898" s="69">
        <v>44323.436527777776</v>
      </c>
      <c r="K1898">
        <f>AVERAGE(H1897:H1901)</f>
        <v>109.6456006</v>
      </c>
      <c r="L1898">
        <f>STDEV(H1897:H1901)</f>
        <v>113.9549289</v>
      </c>
      <c r="M1898" s="70">
        <v>139.262029176701</v>
      </c>
      <c r="N1898" s="70">
        <v>139.262029176701</v>
      </c>
      <c r="O1898" s="70">
        <v>3.61360680293045</v>
      </c>
      <c r="P1898" s="70">
        <v>3.61360680293045</v>
      </c>
    </row>
    <row r="1899" hidden="1">
      <c r="A1899" s="67" t="s">
        <v>2659</v>
      </c>
      <c r="B1899" s="67" t="s">
        <v>519</v>
      </c>
      <c r="C1899" s="68">
        <v>1.0</v>
      </c>
      <c r="D1899" s="68">
        <v>0.1</v>
      </c>
      <c r="E1899" s="68">
        <v>4.0</v>
      </c>
      <c r="F1899" s="68">
        <v>2.0</v>
      </c>
      <c r="G1899" s="68">
        <v>0.283926328030695</v>
      </c>
      <c r="H1899" s="68">
        <v>0.355189026243673</v>
      </c>
      <c r="I1899" s="69">
        <v>44323.4372337963</v>
      </c>
      <c r="J1899" s="69">
        <v>44323.43733796296</v>
      </c>
      <c r="K1899">
        <f>AVERAGE(H1897:H1901)</f>
        <v>109.6456006</v>
      </c>
      <c r="L1899">
        <f>STDEV(H1897:H1901)</f>
        <v>113.9549289</v>
      </c>
      <c r="M1899" s="70">
        <v>0.355189026243673</v>
      </c>
      <c r="N1899" s="70">
        <v>0.355189026243673</v>
      </c>
      <c r="O1899" s="70">
        <v>0.283926328030695</v>
      </c>
      <c r="P1899" s="70">
        <v>0.283926328030695</v>
      </c>
    </row>
    <row r="1900" hidden="1">
      <c r="A1900" s="67" t="s">
        <v>2660</v>
      </c>
      <c r="B1900" s="67" t="s">
        <v>519</v>
      </c>
      <c r="C1900" s="68">
        <v>1.0</v>
      </c>
      <c r="D1900" s="68">
        <v>0.1</v>
      </c>
      <c r="E1900" s="68">
        <v>4.0</v>
      </c>
      <c r="F1900" s="68">
        <v>3.0</v>
      </c>
      <c r="G1900" s="68">
        <v>0.397432755899369</v>
      </c>
      <c r="H1900" s="68">
        <v>0.500610659693787</v>
      </c>
      <c r="I1900" s="69">
        <v>44323.438043981485</v>
      </c>
      <c r="J1900" s="69">
        <v>44323.43814814815</v>
      </c>
      <c r="K1900">
        <f>AVERAGE(H1897:H1901)</f>
        <v>109.6456006</v>
      </c>
      <c r="L1900">
        <f>STDEV(H1897:H1901)</f>
        <v>113.9549289</v>
      </c>
      <c r="M1900" s="70">
        <v>0.500610659693787</v>
      </c>
      <c r="N1900" s="70">
        <v>0.500610659693787</v>
      </c>
      <c r="O1900" s="70">
        <v>0.397432755899369</v>
      </c>
      <c r="P1900" s="70">
        <v>0.397432755899369</v>
      </c>
    </row>
    <row r="1901" hidden="1">
      <c r="A1901" s="67" t="s">
        <v>2661</v>
      </c>
      <c r="B1901" s="67" t="s">
        <v>519</v>
      </c>
      <c r="C1901" s="68">
        <v>1.0</v>
      </c>
      <c r="D1901" s="68">
        <v>0.1</v>
      </c>
      <c r="E1901" s="68">
        <v>4.0</v>
      </c>
      <c r="F1901" s="68">
        <v>4.0</v>
      </c>
      <c r="G1901" s="68">
        <v>2.70530001403911</v>
      </c>
      <c r="H1901" s="68">
        <v>135.562586835463</v>
      </c>
      <c r="I1901" s="69">
        <v>44323.43886574074</v>
      </c>
      <c r="J1901" s="69">
        <v>44323.504641203705</v>
      </c>
      <c r="K1901">
        <f>AVERAGE(H1897:H1901)</f>
        <v>109.6456006</v>
      </c>
      <c r="L1901">
        <f>STDEV(H1897:H1901)</f>
        <v>113.9549289</v>
      </c>
      <c r="M1901" s="70">
        <v>135.562586835463</v>
      </c>
      <c r="N1901" s="70">
        <v>135.562586835463</v>
      </c>
      <c r="O1901" s="70">
        <v>2.70530001403911</v>
      </c>
      <c r="P1901" s="70">
        <v>2.70530001403911</v>
      </c>
    </row>
    <row r="1902" hidden="1">
      <c r="A1902" s="67" t="s">
        <v>2662</v>
      </c>
      <c r="B1902" s="67" t="s">
        <v>519</v>
      </c>
      <c r="C1902" s="68">
        <v>1.0</v>
      </c>
      <c r="D1902" s="68">
        <v>0.25</v>
      </c>
      <c r="E1902" s="68">
        <v>4.0</v>
      </c>
      <c r="F1902" s="68">
        <v>0.0</v>
      </c>
      <c r="G1902" s="68">
        <v>7.13101587221336</v>
      </c>
      <c r="H1902" s="68">
        <v>209.146601962843</v>
      </c>
      <c r="I1902" s="69">
        <v>44323.50534722222</v>
      </c>
      <c r="J1902" s="69">
        <v>44323.50556712963</v>
      </c>
      <c r="K1902">
        <f>AVERAGE(H1902:H1906)</f>
        <v>109.2669244</v>
      </c>
      <c r="L1902">
        <f>STDEV(H1902:H1906)</f>
        <v>91.60167946</v>
      </c>
      <c r="M1902" s="70">
        <v>209.146601962843</v>
      </c>
      <c r="N1902" s="70">
        <v>209.146601962843</v>
      </c>
      <c r="O1902" s="70">
        <v>7.13101587221336</v>
      </c>
      <c r="P1902" s="70">
        <v>7.13101587221336</v>
      </c>
    </row>
    <row r="1903" hidden="1">
      <c r="A1903" s="67" t="s">
        <v>2663</v>
      </c>
      <c r="B1903" s="67" t="s">
        <v>519</v>
      </c>
      <c r="C1903" s="68">
        <v>1.0</v>
      </c>
      <c r="D1903" s="68">
        <v>0.25</v>
      </c>
      <c r="E1903" s="68">
        <v>4.0</v>
      </c>
      <c r="F1903" s="68">
        <v>1.0</v>
      </c>
      <c r="G1903" s="68">
        <v>0.423234559222296</v>
      </c>
      <c r="H1903" s="68">
        <v>0.761690383344015</v>
      </c>
      <c r="I1903" s="69">
        <v>44323.506273148145</v>
      </c>
      <c r="J1903" s="69">
        <v>44323.50628472222</v>
      </c>
      <c r="K1903">
        <f>AVERAGE(H1902:H1906)</f>
        <v>109.2669244</v>
      </c>
      <c r="L1903">
        <f>STDEV(H1902:H1906)</f>
        <v>91.60167946</v>
      </c>
      <c r="M1903" s="70">
        <v>0.761690383344015</v>
      </c>
      <c r="N1903" s="70">
        <v>0.761690383344015</v>
      </c>
      <c r="O1903" s="70">
        <v>0.423234559222296</v>
      </c>
      <c r="P1903" s="70">
        <v>0.423234559222296</v>
      </c>
    </row>
    <row r="1904" hidden="1">
      <c r="A1904" s="67" t="s">
        <v>2664</v>
      </c>
      <c r="B1904" s="67" t="s">
        <v>519</v>
      </c>
      <c r="C1904" s="68">
        <v>1.0</v>
      </c>
      <c r="D1904" s="68">
        <v>0.25</v>
      </c>
      <c r="E1904" s="68">
        <v>4.0</v>
      </c>
      <c r="F1904" s="68">
        <v>2.0</v>
      </c>
      <c r="G1904" s="68">
        <v>1.53814829727943</v>
      </c>
      <c r="H1904" s="68">
        <v>25.211562959085</v>
      </c>
      <c r="I1904" s="69">
        <v>44323.50699074074</v>
      </c>
      <c r="J1904" s="69">
        <v>44323.50728009259</v>
      </c>
      <c r="K1904">
        <f>AVERAGE(H1902:H1906)</f>
        <v>109.2669244</v>
      </c>
      <c r="L1904">
        <f>STDEV(H1902:H1906)</f>
        <v>91.60167946</v>
      </c>
      <c r="M1904" s="70">
        <v>25.211562959085</v>
      </c>
      <c r="N1904" s="70">
        <v>25.211562959085</v>
      </c>
      <c r="O1904" s="70">
        <v>1.53814829727943</v>
      </c>
      <c r="P1904" s="70">
        <v>1.53814829727943</v>
      </c>
    </row>
    <row r="1905" hidden="1">
      <c r="A1905" s="67" t="s">
        <v>2665</v>
      </c>
      <c r="B1905" s="67" t="s">
        <v>519</v>
      </c>
      <c r="C1905" s="68">
        <v>1.0</v>
      </c>
      <c r="D1905" s="68">
        <v>0.25</v>
      </c>
      <c r="E1905" s="68">
        <v>4.0</v>
      </c>
      <c r="F1905" s="68">
        <v>3.0</v>
      </c>
      <c r="G1905" s="68">
        <v>2.91293039934674</v>
      </c>
      <c r="H1905" s="68">
        <v>140.541613230882</v>
      </c>
      <c r="I1905" s="69">
        <v>44323.50798611111</v>
      </c>
      <c r="J1905" s="69">
        <v>44323.508425925924</v>
      </c>
      <c r="K1905">
        <f>AVERAGE(H1902:H1906)</f>
        <v>109.2669244</v>
      </c>
      <c r="L1905">
        <f>STDEV(H1902:H1906)</f>
        <v>91.60167946</v>
      </c>
      <c r="M1905" s="70">
        <v>140.541613230882</v>
      </c>
      <c r="N1905" s="70">
        <v>140.541613230882</v>
      </c>
      <c r="O1905" s="70">
        <v>2.91293039934674</v>
      </c>
      <c r="P1905" s="70">
        <v>2.91293039934674</v>
      </c>
    </row>
    <row r="1906" hidden="1">
      <c r="A1906" s="67" t="s">
        <v>2666</v>
      </c>
      <c r="B1906" s="67" t="s">
        <v>519</v>
      </c>
      <c r="C1906" s="68">
        <v>1.0</v>
      </c>
      <c r="D1906" s="68">
        <v>0.25</v>
      </c>
      <c r="E1906" s="68">
        <v>4.0</v>
      </c>
      <c r="F1906" s="68">
        <v>4.0</v>
      </c>
      <c r="G1906" s="68">
        <v>3.45299052581452</v>
      </c>
      <c r="H1906" s="68">
        <v>170.67315351474</v>
      </c>
      <c r="I1906" s="69">
        <v>44323.50913194445</v>
      </c>
      <c r="J1906" s="69">
        <v>44323.58415509259</v>
      </c>
      <c r="K1906">
        <f>AVERAGE(H1902:H1906)</f>
        <v>109.2669244</v>
      </c>
      <c r="L1906">
        <f>STDEV(H1902:H1906)</f>
        <v>91.60167946</v>
      </c>
      <c r="M1906" s="70">
        <v>170.67315351474</v>
      </c>
      <c r="N1906" s="70">
        <v>170.67315351474</v>
      </c>
      <c r="O1906" s="70">
        <v>3.45299052581452</v>
      </c>
      <c r="P1906" s="70">
        <v>3.45299052581452</v>
      </c>
    </row>
    <row r="1907" hidden="1">
      <c r="A1907" s="67" t="s">
        <v>2667</v>
      </c>
      <c r="B1907" s="67" t="s">
        <v>519</v>
      </c>
      <c r="C1907" s="68">
        <v>1.0</v>
      </c>
      <c r="D1907" s="68">
        <v>0.5</v>
      </c>
      <c r="E1907" s="68">
        <v>4.0</v>
      </c>
      <c r="F1907" s="68">
        <v>0.0</v>
      </c>
      <c r="G1907" s="68">
        <v>4.52360178659441</v>
      </c>
      <c r="H1907" s="68">
        <v>202.649109423951</v>
      </c>
      <c r="I1907" s="69">
        <v>44323.584861111114</v>
      </c>
      <c r="J1907" s="69">
        <v>44323.58837962963</v>
      </c>
      <c r="K1907">
        <f>AVERAGE(H1907:H1911)</f>
        <v>138.9795498</v>
      </c>
      <c r="L1907">
        <f>STDEV(H1907:H1911)</f>
        <v>79.5417999</v>
      </c>
      <c r="M1907" s="70">
        <v>202.649109423951</v>
      </c>
      <c r="N1907" s="70">
        <v>202.649109423951</v>
      </c>
      <c r="O1907" s="70">
        <v>4.52360178659441</v>
      </c>
      <c r="P1907" s="70">
        <v>4.52360178659441</v>
      </c>
    </row>
    <row r="1908" hidden="1">
      <c r="A1908" s="67" t="s">
        <v>2668</v>
      </c>
      <c r="B1908" s="67" t="s">
        <v>519</v>
      </c>
      <c r="C1908" s="68">
        <v>1.0</v>
      </c>
      <c r="D1908" s="68">
        <v>0.5</v>
      </c>
      <c r="E1908" s="68">
        <v>4.0</v>
      </c>
      <c r="F1908" s="68">
        <v>1.0</v>
      </c>
      <c r="G1908" s="68">
        <v>3.03327443654724</v>
      </c>
      <c r="H1908" s="68">
        <v>149.669573611557</v>
      </c>
      <c r="I1908" s="69">
        <v>44323.58908564815</v>
      </c>
      <c r="J1908" s="69">
        <v>44323.61378472222</v>
      </c>
      <c r="K1908">
        <f>AVERAGE(H1907:H1911)</f>
        <v>138.9795498</v>
      </c>
      <c r="L1908">
        <f>STDEV(H1907:H1911)</f>
        <v>79.5417999</v>
      </c>
      <c r="M1908" s="70">
        <v>149.669573611557</v>
      </c>
      <c r="N1908" s="70">
        <v>149.669573611557</v>
      </c>
      <c r="O1908" s="70">
        <v>3.03327443654724</v>
      </c>
      <c r="P1908" s="70">
        <v>3.03327443654724</v>
      </c>
    </row>
    <row r="1909" hidden="1">
      <c r="A1909" s="67" t="s">
        <v>2669</v>
      </c>
      <c r="B1909" s="67" t="s">
        <v>519</v>
      </c>
      <c r="C1909" s="68">
        <v>1.0</v>
      </c>
      <c r="D1909" s="68">
        <v>0.5</v>
      </c>
      <c r="E1909" s="68">
        <v>4.0</v>
      </c>
      <c r="F1909" s="68">
        <v>2.0</v>
      </c>
      <c r="G1909" s="68">
        <v>5.55325623089374</v>
      </c>
      <c r="H1909" s="68">
        <v>168.893184854496</v>
      </c>
      <c r="I1909" s="69">
        <v>44323.61449074074</v>
      </c>
      <c r="J1909" s="69">
        <v>44323.61467592593</v>
      </c>
      <c r="K1909">
        <f>AVERAGE(H1907:H1911)</f>
        <v>138.9795498</v>
      </c>
      <c r="L1909">
        <f>STDEV(H1907:H1911)</f>
        <v>79.5417999</v>
      </c>
      <c r="M1909" s="70">
        <v>168.893184854496</v>
      </c>
      <c r="N1909" s="70">
        <v>168.893184854496</v>
      </c>
      <c r="O1909" s="70">
        <v>5.55325623089374</v>
      </c>
      <c r="P1909" s="70">
        <v>5.55325623089374</v>
      </c>
    </row>
    <row r="1910" hidden="1">
      <c r="A1910" s="67" t="s">
        <v>2670</v>
      </c>
      <c r="B1910" s="67" t="s">
        <v>519</v>
      </c>
      <c r="C1910" s="68">
        <v>1.0</v>
      </c>
      <c r="D1910" s="68">
        <v>0.5</v>
      </c>
      <c r="E1910" s="68">
        <v>4.0</v>
      </c>
      <c r="F1910" s="68">
        <v>3.0</v>
      </c>
      <c r="G1910" s="68">
        <v>0.642690819389516</v>
      </c>
      <c r="H1910" s="68">
        <v>0.795788730162925</v>
      </c>
      <c r="I1910" s="69">
        <v>44323.615381944444</v>
      </c>
      <c r="J1910" s="69">
        <v>44323.61613425926</v>
      </c>
      <c r="K1910">
        <f>AVERAGE(H1907:H1911)</f>
        <v>138.9795498</v>
      </c>
      <c r="L1910">
        <f>STDEV(H1907:H1911)</f>
        <v>79.5417999</v>
      </c>
      <c r="M1910" s="70">
        <v>0.795788730162925</v>
      </c>
      <c r="N1910" s="70">
        <v>0.795788730162925</v>
      </c>
      <c r="O1910" s="70">
        <v>0.642690819389516</v>
      </c>
      <c r="P1910" s="70">
        <v>0.642690819389516</v>
      </c>
    </row>
    <row r="1911" hidden="1">
      <c r="A1911" s="67" t="s">
        <v>2671</v>
      </c>
      <c r="B1911" s="67" t="s">
        <v>519</v>
      </c>
      <c r="C1911" s="68">
        <v>1.0</v>
      </c>
      <c r="D1911" s="68">
        <v>0.5</v>
      </c>
      <c r="E1911" s="68">
        <v>4.0</v>
      </c>
      <c r="F1911" s="68">
        <v>4.0</v>
      </c>
      <c r="G1911" s="68">
        <v>5.88030952473025</v>
      </c>
      <c r="H1911" s="68">
        <v>172.89009250988</v>
      </c>
      <c r="I1911" s="69">
        <v>44323.61684027778</v>
      </c>
      <c r="J1911" s="69">
        <v>44323.61704861111</v>
      </c>
      <c r="K1911">
        <f>AVERAGE(H1907:H1911)</f>
        <v>138.9795498</v>
      </c>
      <c r="L1911">
        <f>STDEV(H1907:H1911)</f>
        <v>79.5417999</v>
      </c>
      <c r="M1911" s="70">
        <v>172.89009250988</v>
      </c>
      <c r="N1911" s="70">
        <v>172.89009250988</v>
      </c>
      <c r="O1911" s="70">
        <v>5.88030952473025</v>
      </c>
      <c r="P1911" s="70">
        <v>5.88030952473025</v>
      </c>
    </row>
    <row r="1912" hidden="1">
      <c r="A1912" s="67" t="s">
        <v>2672</v>
      </c>
      <c r="B1912" s="67" t="s">
        <v>519</v>
      </c>
      <c r="C1912" s="68">
        <v>1.0</v>
      </c>
      <c r="D1912" s="68">
        <v>0.75</v>
      </c>
      <c r="E1912" s="68">
        <v>4.0</v>
      </c>
      <c r="F1912" s="68">
        <v>0.0</v>
      </c>
      <c r="G1912" s="68">
        <v>3.46143405388104</v>
      </c>
      <c r="H1912" s="68">
        <v>167.461213230693</v>
      </c>
      <c r="I1912" s="69">
        <v>44323.61775462963</v>
      </c>
      <c r="J1912" s="69">
        <v>44323.68587962963</v>
      </c>
      <c r="K1912">
        <f>AVERAGE(H1912:H1916)</f>
        <v>141.7420609</v>
      </c>
      <c r="L1912">
        <f>STDEV(H1912:H1916)</f>
        <v>82.65551366</v>
      </c>
      <c r="M1912" s="70">
        <v>167.461213230693</v>
      </c>
      <c r="N1912" s="70">
        <v>167.461213230693</v>
      </c>
      <c r="O1912" s="70">
        <v>3.46143405388104</v>
      </c>
      <c r="P1912" s="70">
        <v>3.46143405388104</v>
      </c>
    </row>
    <row r="1913" hidden="1">
      <c r="A1913" s="67" t="s">
        <v>2673</v>
      </c>
      <c r="B1913" s="67" t="s">
        <v>519</v>
      </c>
      <c r="C1913" s="68">
        <v>1.0</v>
      </c>
      <c r="D1913" s="68">
        <v>0.75</v>
      </c>
      <c r="E1913" s="68">
        <v>4.0</v>
      </c>
      <c r="F1913" s="68">
        <v>1.0</v>
      </c>
      <c r="G1913" s="68">
        <v>0.641688422657327</v>
      </c>
      <c r="H1913" s="68">
        <v>0.794370109497855</v>
      </c>
      <c r="I1913" s="69">
        <v>44323.686585648145</v>
      </c>
      <c r="J1913" s="69">
        <v>44323.68732638889</v>
      </c>
      <c r="K1913">
        <f>AVERAGE(H1912:H1916)</f>
        <v>141.7420609</v>
      </c>
      <c r="L1913">
        <f>STDEV(H1912:H1916)</f>
        <v>82.65551366</v>
      </c>
      <c r="M1913" s="70">
        <v>0.794370109497855</v>
      </c>
      <c r="N1913" s="70">
        <v>0.794370109497855</v>
      </c>
      <c r="O1913" s="70">
        <v>0.641688422657327</v>
      </c>
      <c r="P1913" s="70">
        <v>0.641688422657327</v>
      </c>
    </row>
    <row r="1914" hidden="1">
      <c r="A1914" s="67" t="s">
        <v>2674</v>
      </c>
      <c r="B1914" s="67" t="s">
        <v>519</v>
      </c>
      <c r="C1914" s="68">
        <v>1.0</v>
      </c>
      <c r="D1914" s="68">
        <v>0.75</v>
      </c>
      <c r="E1914" s="68">
        <v>4.0</v>
      </c>
      <c r="F1914" s="68">
        <v>2.0</v>
      </c>
      <c r="G1914" s="68">
        <v>5.37892725049585</v>
      </c>
      <c r="H1914" s="68">
        <v>155.233871358485</v>
      </c>
      <c r="I1914" s="69">
        <v>44323.68803240741</v>
      </c>
      <c r="J1914" s="69">
        <v>44323.688113425924</v>
      </c>
      <c r="K1914">
        <f>AVERAGE(H1912:H1916)</f>
        <v>141.7420609</v>
      </c>
      <c r="L1914">
        <f>STDEV(H1912:H1916)</f>
        <v>82.65551366</v>
      </c>
      <c r="M1914" s="70">
        <v>155.233871358485</v>
      </c>
      <c r="N1914" s="70">
        <v>155.233871358485</v>
      </c>
      <c r="O1914" s="70">
        <v>5.37892725049585</v>
      </c>
      <c r="P1914" s="70">
        <v>5.37892725049585</v>
      </c>
    </row>
    <row r="1915" hidden="1">
      <c r="A1915" s="67" t="s">
        <v>2675</v>
      </c>
      <c r="B1915" s="67" t="s">
        <v>519</v>
      </c>
      <c r="C1915" s="68">
        <v>1.0</v>
      </c>
      <c r="D1915" s="68">
        <v>0.75</v>
      </c>
      <c r="E1915" s="68">
        <v>4.0</v>
      </c>
      <c r="F1915" s="68">
        <v>3.0</v>
      </c>
      <c r="G1915" s="68">
        <v>9.22716344193745</v>
      </c>
      <c r="H1915" s="68">
        <v>219.469311289444</v>
      </c>
      <c r="I1915" s="69">
        <v>44323.68883101852</v>
      </c>
      <c r="J1915" s="69">
        <v>44323.688935185186</v>
      </c>
      <c r="K1915">
        <f>AVERAGE(H1912:H1916)</f>
        <v>141.7420609</v>
      </c>
      <c r="L1915">
        <f>STDEV(H1912:H1916)</f>
        <v>82.65551366</v>
      </c>
      <c r="M1915" s="70">
        <v>219.469311289444</v>
      </c>
      <c r="N1915" s="70">
        <v>219.469311289444</v>
      </c>
      <c r="O1915" s="70">
        <v>9.22716344193745</v>
      </c>
      <c r="P1915" s="70">
        <v>9.22716344193745</v>
      </c>
    </row>
    <row r="1916" hidden="1">
      <c r="A1916" s="67" t="s">
        <v>2676</v>
      </c>
      <c r="B1916" s="67" t="s">
        <v>519</v>
      </c>
      <c r="C1916" s="68">
        <v>1.0</v>
      </c>
      <c r="D1916" s="68">
        <v>0.75</v>
      </c>
      <c r="E1916" s="68">
        <v>4.0</v>
      </c>
      <c r="F1916" s="68">
        <v>4.0</v>
      </c>
      <c r="G1916" s="68">
        <v>4.44932793271963</v>
      </c>
      <c r="H1916" s="68">
        <v>165.751538563331</v>
      </c>
      <c r="I1916" s="69">
        <v>44323.6896412037</v>
      </c>
      <c r="J1916" s="69">
        <v>44323.68971064815</v>
      </c>
      <c r="K1916">
        <f>AVERAGE(H1912:H1916)</f>
        <v>141.7420609</v>
      </c>
      <c r="L1916">
        <f>STDEV(H1912:H1916)</f>
        <v>82.65551366</v>
      </c>
      <c r="M1916" s="70">
        <v>165.751538563331</v>
      </c>
      <c r="N1916" s="70">
        <v>165.751538563331</v>
      </c>
      <c r="O1916" s="70">
        <v>4.44932793271963</v>
      </c>
      <c r="P1916" s="70">
        <v>4.44932793271963</v>
      </c>
    </row>
    <row r="1917" hidden="1">
      <c r="A1917" s="67" t="s">
        <v>2677</v>
      </c>
      <c r="B1917" s="67" t="s">
        <v>519</v>
      </c>
      <c r="C1917" s="68">
        <v>1.0</v>
      </c>
      <c r="D1917" s="68">
        <v>1.0</v>
      </c>
      <c r="E1917" s="68">
        <v>4.0</v>
      </c>
      <c r="F1917" s="68">
        <v>0.0</v>
      </c>
      <c r="G1917" s="68">
        <v>0.481216991213257</v>
      </c>
      <c r="H1917" s="68">
        <v>0.681125972785241</v>
      </c>
      <c r="I1917" s="69">
        <v>44323.69042824074</v>
      </c>
      <c r="J1917" s="69">
        <v>44323.69042824074</v>
      </c>
      <c r="K1917">
        <f>AVERAGE(H1917:H1921)</f>
        <v>143.3170447</v>
      </c>
      <c r="L1917">
        <f>STDEV(H1917:H1921)</f>
        <v>83.76038585</v>
      </c>
      <c r="M1917" s="70">
        <v>0.681125972785241</v>
      </c>
      <c r="N1917" s="70">
        <v>0.681125972785241</v>
      </c>
      <c r="O1917" s="70">
        <v>0.481216991213257</v>
      </c>
      <c r="P1917" s="70">
        <v>0.481216991213257</v>
      </c>
    </row>
    <row r="1918" hidden="1">
      <c r="A1918" s="67" t="s">
        <v>2678</v>
      </c>
      <c r="B1918" s="67" t="s">
        <v>519</v>
      </c>
      <c r="C1918" s="68">
        <v>1.0</v>
      </c>
      <c r="D1918" s="68">
        <v>1.0</v>
      </c>
      <c r="E1918" s="68">
        <v>4.0</v>
      </c>
      <c r="F1918" s="68">
        <v>1.0</v>
      </c>
      <c r="G1918" s="68">
        <v>6.28872957780537</v>
      </c>
      <c r="H1918" s="68">
        <v>172.578666440902</v>
      </c>
      <c r="I1918" s="69">
        <v>44323.69113425926</v>
      </c>
      <c r="J1918" s="69">
        <v>44323.691203703704</v>
      </c>
      <c r="K1918">
        <f>AVERAGE(H1917:H1921)</f>
        <v>143.3170447</v>
      </c>
      <c r="L1918">
        <f>STDEV(H1917:H1921)</f>
        <v>83.76038585</v>
      </c>
      <c r="M1918" s="70">
        <v>172.578666440902</v>
      </c>
      <c r="N1918" s="70">
        <v>172.578666440902</v>
      </c>
      <c r="O1918" s="70">
        <v>6.28872957780537</v>
      </c>
      <c r="P1918" s="70">
        <v>6.28872957780537</v>
      </c>
    </row>
    <row r="1919" hidden="1">
      <c r="A1919" s="67" t="s">
        <v>2679</v>
      </c>
      <c r="B1919" s="67" t="s">
        <v>519</v>
      </c>
      <c r="C1919" s="68">
        <v>1.0</v>
      </c>
      <c r="D1919" s="68">
        <v>1.0</v>
      </c>
      <c r="E1919" s="68">
        <v>4.0</v>
      </c>
      <c r="F1919" s="68">
        <v>2.0</v>
      </c>
      <c r="G1919" s="68">
        <v>9.4515330006618</v>
      </c>
      <c r="H1919" s="68">
        <v>222.281146890041</v>
      </c>
      <c r="I1919" s="69">
        <v>44323.69190972222</v>
      </c>
      <c r="J1919" s="69">
        <v>44323.69201388889</v>
      </c>
      <c r="K1919">
        <f>AVERAGE(H1917:H1921)</f>
        <v>143.3170447</v>
      </c>
      <c r="L1919">
        <f>STDEV(H1917:H1921)</f>
        <v>83.76038585</v>
      </c>
      <c r="M1919" s="70">
        <v>222.281146890041</v>
      </c>
      <c r="N1919" s="70">
        <v>222.281146890041</v>
      </c>
      <c r="O1919" s="70">
        <v>9.4515330006618</v>
      </c>
      <c r="P1919" s="70">
        <v>9.4515330006618</v>
      </c>
    </row>
    <row r="1920" hidden="1">
      <c r="A1920" s="67" t="s">
        <v>2680</v>
      </c>
      <c r="B1920" s="67" t="s">
        <v>519</v>
      </c>
      <c r="C1920" s="68">
        <v>1.0</v>
      </c>
      <c r="D1920" s="68">
        <v>1.0</v>
      </c>
      <c r="E1920" s="68">
        <v>4.0</v>
      </c>
      <c r="F1920" s="68">
        <v>3.0</v>
      </c>
      <c r="G1920" s="68">
        <v>4.39578676306153</v>
      </c>
      <c r="H1920" s="68">
        <v>164.681525331765</v>
      </c>
      <c r="I1920" s="69">
        <v>44323.692719907405</v>
      </c>
      <c r="J1920" s="69">
        <v>44323.69278935185</v>
      </c>
      <c r="K1920">
        <f>AVERAGE(H1917:H1921)</f>
        <v>143.3170447</v>
      </c>
      <c r="L1920">
        <f>STDEV(H1917:H1921)</f>
        <v>83.76038585</v>
      </c>
      <c r="M1920" s="70">
        <v>164.681525331765</v>
      </c>
      <c r="N1920" s="70">
        <v>164.681525331765</v>
      </c>
      <c r="O1920" s="70">
        <v>4.39578676306153</v>
      </c>
      <c r="P1920" s="70">
        <v>4.39578676306153</v>
      </c>
    </row>
    <row r="1921" hidden="1">
      <c r="A1921" s="67" t="s">
        <v>2681</v>
      </c>
      <c r="B1921" s="67" t="s">
        <v>519</v>
      </c>
      <c r="C1921" s="68">
        <v>1.0</v>
      </c>
      <c r="D1921" s="68">
        <v>1.0</v>
      </c>
      <c r="E1921" s="68">
        <v>4.0</v>
      </c>
      <c r="F1921" s="68">
        <v>4.0</v>
      </c>
      <c r="G1921" s="68">
        <v>3.11422944570414</v>
      </c>
      <c r="H1921" s="68">
        <v>156.362759080198</v>
      </c>
      <c r="I1921" s="69">
        <v>44323.69349537037</v>
      </c>
      <c r="J1921" s="69">
        <v>44323.834699074076</v>
      </c>
      <c r="K1921">
        <f>AVERAGE(H1917:H1921)</f>
        <v>143.3170447</v>
      </c>
      <c r="L1921">
        <f>STDEV(H1917:H1921)</f>
        <v>83.76038585</v>
      </c>
      <c r="M1921" s="70">
        <v>156.362759080198</v>
      </c>
      <c r="N1921" s="70">
        <v>156.362759080198</v>
      </c>
      <c r="O1921" s="70">
        <v>3.11422944570414</v>
      </c>
      <c r="P1921" s="70">
        <v>3.11422944570414</v>
      </c>
    </row>
    <row r="1922" hidden="1">
      <c r="A1922" s="67" t="s">
        <v>2682</v>
      </c>
      <c r="B1922" s="67" t="s">
        <v>17</v>
      </c>
      <c r="C1922" s="68">
        <v>0.1</v>
      </c>
      <c r="D1922" s="68">
        <v>0.1</v>
      </c>
      <c r="E1922" s="68">
        <v>5.0</v>
      </c>
      <c r="F1922" s="68">
        <v>0.0</v>
      </c>
      <c r="G1922" s="68">
        <v>1.35135249479007</v>
      </c>
      <c r="H1922" s="68">
        <v>69.4758399447292</v>
      </c>
      <c r="I1922" s="69">
        <v>44295.27061342593</v>
      </c>
      <c r="J1922" s="69">
        <v>44295.2740625</v>
      </c>
      <c r="K1922">
        <f>AVERAGE(H1922:H1926)</f>
        <v>115.9584235</v>
      </c>
      <c r="L1922">
        <f>STDEV(H1922:H1926)</f>
        <v>85.75392161</v>
      </c>
      <c r="M1922" s="70">
        <v>69.4758399447292</v>
      </c>
      <c r="N1922" s="70">
        <v>69.4758399447292</v>
      </c>
      <c r="O1922" s="70">
        <v>1.35135249479007</v>
      </c>
      <c r="P1922" s="70">
        <v>1.35135249479007</v>
      </c>
    </row>
    <row r="1923" hidden="1">
      <c r="A1923" s="67" t="s">
        <v>2683</v>
      </c>
      <c r="B1923" s="67" t="s">
        <v>17</v>
      </c>
      <c r="C1923" s="68">
        <v>0.1</v>
      </c>
      <c r="D1923" s="68">
        <v>0.1</v>
      </c>
      <c r="E1923" s="68">
        <v>5.0</v>
      </c>
      <c r="F1923" s="68">
        <v>1.0</v>
      </c>
      <c r="G1923" s="68">
        <v>5.01172174687394</v>
      </c>
      <c r="H1923" s="68">
        <v>212.323193005654</v>
      </c>
      <c r="I1923" s="69">
        <v>44295.27475694445</v>
      </c>
      <c r="J1923" s="69">
        <v>44295.30626157407</v>
      </c>
      <c r="K1923">
        <f>AVERAGE(H1922:H1926)</f>
        <v>115.9584235</v>
      </c>
      <c r="L1923">
        <f>STDEV(H1922:H1926)</f>
        <v>85.75392161</v>
      </c>
      <c r="M1923" s="70">
        <v>212.323193005654</v>
      </c>
      <c r="N1923" s="70">
        <v>212.323193005654</v>
      </c>
      <c r="O1923" s="70">
        <v>5.01172174687394</v>
      </c>
      <c r="P1923" s="70">
        <v>5.01172174687394</v>
      </c>
    </row>
    <row r="1924" hidden="1">
      <c r="A1924" s="67" t="s">
        <v>2684</v>
      </c>
      <c r="B1924" s="67" t="s">
        <v>17</v>
      </c>
      <c r="C1924" s="68">
        <v>0.1</v>
      </c>
      <c r="D1924" s="68">
        <v>0.1</v>
      </c>
      <c r="E1924" s="68">
        <v>5.0</v>
      </c>
      <c r="F1924" s="68">
        <v>2.0</v>
      </c>
      <c r="G1924" s="68">
        <v>2.30916234549941</v>
      </c>
      <c r="H1924" s="68">
        <v>104.81532170214</v>
      </c>
      <c r="I1924" s="69">
        <v>44295.30695601852</v>
      </c>
      <c r="J1924" s="69">
        <v>44295.32803240741</v>
      </c>
      <c r="K1924">
        <f>AVERAGE(H1922:H1926)</f>
        <v>115.9584235</v>
      </c>
      <c r="L1924">
        <f>STDEV(H1922:H1926)</f>
        <v>85.75392161</v>
      </c>
      <c r="M1924" s="70">
        <v>104.81532170214</v>
      </c>
      <c r="N1924" s="70">
        <v>104.81532170214</v>
      </c>
      <c r="O1924" s="70">
        <v>2.30916234549941</v>
      </c>
      <c r="P1924" s="70">
        <v>2.30916234549941</v>
      </c>
    </row>
    <row r="1925" hidden="1">
      <c r="A1925" s="67" t="s">
        <v>2685</v>
      </c>
      <c r="B1925" s="67" t="s">
        <v>17</v>
      </c>
      <c r="C1925" s="68">
        <v>0.1</v>
      </c>
      <c r="D1925" s="68">
        <v>0.1</v>
      </c>
      <c r="E1925" s="68">
        <v>5.0</v>
      </c>
      <c r="F1925" s="68">
        <v>3.0</v>
      </c>
      <c r="G1925" s="68">
        <v>2.64140171798701</v>
      </c>
      <c r="H1925" s="68">
        <v>4.13993917207762</v>
      </c>
      <c r="I1925" s="69">
        <v>44295.328726851854</v>
      </c>
      <c r="J1925" s="69">
        <v>44295.328877314816</v>
      </c>
      <c r="K1925">
        <f>AVERAGE(H1922:H1926)</f>
        <v>115.9584235</v>
      </c>
      <c r="L1925">
        <f>STDEV(H1922:H1926)</f>
        <v>85.75392161</v>
      </c>
      <c r="M1925" s="70">
        <v>4.13993917207762</v>
      </c>
      <c r="N1925" s="70">
        <v>4.13993917207762</v>
      </c>
      <c r="O1925" s="70">
        <v>2.64140171798701</v>
      </c>
      <c r="P1925" s="70">
        <v>2.64140171798701</v>
      </c>
    </row>
    <row r="1926" hidden="1">
      <c r="A1926" s="67" t="s">
        <v>2686</v>
      </c>
      <c r="B1926" s="67" t="s">
        <v>17</v>
      </c>
      <c r="C1926" s="68">
        <v>0.1</v>
      </c>
      <c r="D1926" s="68">
        <v>0.1</v>
      </c>
      <c r="E1926" s="68">
        <v>5.0</v>
      </c>
      <c r="F1926" s="68">
        <v>4.0</v>
      </c>
      <c r="G1926" s="68">
        <v>4.25645474593431</v>
      </c>
      <c r="H1926" s="68">
        <v>189.037823865015</v>
      </c>
      <c r="I1926" s="69">
        <v>44295.32957175926</v>
      </c>
      <c r="J1926" s="69">
        <v>44295.33619212963</v>
      </c>
      <c r="K1926">
        <f>AVERAGE(H1922:H1926)</f>
        <v>115.9584235</v>
      </c>
      <c r="L1926">
        <f>STDEV(H1922:H1926)</f>
        <v>85.75392161</v>
      </c>
      <c r="M1926" s="70">
        <v>189.037823865015</v>
      </c>
      <c r="N1926" s="70">
        <v>189.037823865015</v>
      </c>
      <c r="O1926" s="70">
        <v>4.25645474593431</v>
      </c>
      <c r="P1926" s="70">
        <v>4.25645474593431</v>
      </c>
    </row>
    <row r="1927" hidden="1">
      <c r="A1927" s="67" t="s">
        <v>2687</v>
      </c>
      <c r="B1927" s="67" t="s">
        <v>17</v>
      </c>
      <c r="C1927" s="68">
        <v>0.1</v>
      </c>
      <c r="D1927" s="68">
        <v>0.25</v>
      </c>
      <c r="E1927" s="68">
        <v>5.0</v>
      </c>
      <c r="F1927" s="68">
        <v>0.0</v>
      </c>
      <c r="G1927" s="68">
        <v>0.83894585905381</v>
      </c>
      <c r="H1927" s="68">
        <v>9.65096081426727</v>
      </c>
      <c r="I1927" s="69">
        <v>44315.604467592595</v>
      </c>
      <c r="J1927" s="69">
        <v>44315.60899305555</v>
      </c>
      <c r="K1927">
        <f>AVERAGE(H1927:H1931)</f>
        <v>147.9598067</v>
      </c>
      <c r="L1927">
        <f>STDEV(H1927:H1931)</f>
        <v>100.8583274</v>
      </c>
      <c r="M1927" s="70">
        <v>9.65096081426727</v>
      </c>
      <c r="N1927" s="70">
        <v>9.65096081426727</v>
      </c>
      <c r="O1927" s="70">
        <v>0.83894585905381</v>
      </c>
      <c r="P1927" s="70">
        <v>0.83894585905381</v>
      </c>
    </row>
    <row r="1928" hidden="1">
      <c r="A1928" s="67" t="s">
        <v>2688</v>
      </c>
      <c r="B1928" s="67" t="s">
        <v>17</v>
      </c>
      <c r="C1928" s="68">
        <v>0.1</v>
      </c>
      <c r="D1928" s="68">
        <v>0.25</v>
      </c>
      <c r="E1928" s="68">
        <v>5.0</v>
      </c>
      <c r="F1928" s="68">
        <v>1.0</v>
      </c>
      <c r="G1928" s="68">
        <v>4.4695799596726</v>
      </c>
      <c r="H1928" s="68">
        <v>170.274374725911</v>
      </c>
      <c r="I1928" s="69">
        <v>44315.610497685186</v>
      </c>
      <c r="J1928" s="69">
        <v>44315.6105787037</v>
      </c>
      <c r="K1928">
        <f>AVERAGE(H1927:H1931)</f>
        <v>147.9598067</v>
      </c>
      <c r="L1928">
        <f>STDEV(H1927:H1931)</f>
        <v>100.8583274</v>
      </c>
      <c r="M1928" s="70">
        <v>170.274374725911</v>
      </c>
      <c r="N1928" s="70">
        <v>170.274374725911</v>
      </c>
      <c r="O1928" s="70">
        <v>4.4695799596726</v>
      </c>
      <c r="P1928" s="70">
        <v>4.4695799596726</v>
      </c>
    </row>
    <row r="1929" hidden="1">
      <c r="A1929" s="67" t="s">
        <v>2689</v>
      </c>
      <c r="B1929" s="67" t="s">
        <v>17</v>
      </c>
      <c r="C1929" s="68">
        <v>0.1</v>
      </c>
      <c r="D1929" s="68">
        <v>0.25</v>
      </c>
      <c r="E1929" s="68">
        <v>5.0</v>
      </c>
      <c r="F1929" s="68">
        <v>2.0</v>
      </c>
      <c r="G1929" s="68">
        <v>2.85220638434062</v>
      </c>
      <c r="H1929" s="68">
        <v>108.949092019078</v>
      </c>
      <c r="I1929" s="69">
        <v>44315.611284722225</v>
      </c>
      <c r="J1929" s="69">
        <v>44315.61319444444</v>
      </c>
      <c r="K1929">
        <f>AVERAGE(H1927:H1931)</f>
        <v>147.9598067</v>
      </c>
      <c r="L1929">
        <f>STDEV(H1927:H1931)</f>
        <v>100.8583274</v>
      </c>
      <c r="M1929" s="70">
        <v>108.949092019078</v>
      </c>
      <c r="N1929" s="70">
        <v>108.949092019078</v>
      </c>
      <c r="O1929" s="70">
        <v>2.85220638434062</v>
      </c>
      <c r="P1929" s="70">
        <v>2.85220638434062</v>
      </c>
    </row>
    <row r="1930" hidden="1">
      <c r="A1930" s="67" t="s">
        <v>2690</v>
      </c>
      <c r="B1930" s="67" t="s">
        <v>17</v>
      </c>
      <c r="C1930" s="68">
        <v>0.1</v>
      </c>
      <c r="D1930" s="68">
        <v>0.25</v>
      </c>
      <c r="E1930" s="68">
        <v>5.0</v>
      </c>
      <c r="F1930" s="68">
        <v>3.0</v>
      </c>
      <c r="G1930" s="68">
        <v>8.14721699453187</v>
      </c>
      <c r="H1930" s="68">
        <v>286.81058041188</v>
      </c>
      <c r="I1930" s="69">
        <v>44315.613912037035</v>
      </c>
      <c r="J1930" s="69">
        <v>44315.61502314815</v>
      </c>
      <c r="K1930">
        <f>AVERAGE(H1927:H1931)</f>
        <v>147.9598067</v>
      </c>
      <c r="L1930">
        <f>STDEV(H1927:H1931)</f>
        <v>100.8583274</v>
      </c>
      <c r="M1930" s="70">
        <v>286.81058041188</v>
      </c>
      <c r="N1930" s="70">
        <v>286.81058041188</v>
      </c>
      <c r="O1930" s="70">
        <v>8.14721699453187</v>
      </c>
      <c r="P1930" s="70">
        <v>8.14721699453187</v>
      </c>
    </row>
    <row r="1931" hidden="1">
      <c r="A1931" s="67" t="s">
        <v>2691</v>
      </c>
      <c r="B1931" s="67" t="s">
        <v>17</v>
      </c>
      <c r="C1931" s="68">
        <v>0.1</v>
      </c>
      <c r="D1931" s="68">
        <v>0.25</v>
      </c>
      <c r="E1931" s="68">
        <v>5.0</v>
      </c>
      <c r="F1931" s="68">
        <v>4.0</v>
      </c>
      <c r="G1931" s="68">
        <v>3.53997390829828</v>
      </c>
      <c r="H1931" s="68">
        <v>164.114025773504</v>
      </c>
      <c r="I1931" s="69">
        <v>44315.61574074074</v>
      </c>
      <c r="J1931" s="69">
        <v>44315.64809027778</v>
      </c>
      <c r="K1931">
        <f>AVERAGE(H1927:H1931)</f>
        <v>147.9598067</v>
      </c>
      <c r="L1931">
        <f>STDEV(H1927:H1931)</f>
        <v>100.8583274</v>
      </c>
      <c r="M1931" s="70">
        <v>164.114025773504</v>
      </c>
      <c r="N1931" s="70">
        <v>164.114025773504</v>
      </c>
      <c r="O1931" s="70">
        <v>3.53997390829828</v>
      </c>
      <c r="P1931" s="70">
        <v>3.53997390829828</v>
      </c>
    </row>
    <row r="1932" hidden="1">
      <c r="A1932" s="67" t="s">
        <v>2692</v>
      </c>
      <c r="B1932" s="67" t="s">
        <v>17</v>
      </c>
      <c r="C1932" s="68">
        <v>0.1</v>
      </c>
      <c r="D1932" s="68">
        <v>0.5</v>
      </c>
      <c r="E1932" s="68">
        <v>5.0</v>
      </c>
      <c r="F1932" s="68">
        <v>0.0</v>
      </c>
      <c r="G1932" s="68">
        <v>0.846631095416191</v>
      </c>
      <c r="H1932" s="68">
        <v>1.14638438566061</v>
      </c>
      <c r="I1932" s="69">
        <v>44315.64880787037</v>
      </c>
      <c r="J1932" s="69">
        <v>44315.6490162037</v>
      </c>
      <c r="K1932">
        <f>AVERAGE(H1932:H1936)</f>
        <v>91.67516065</v>
      </c>
      <c r="L1932">
        <f>STDEV(H1932:H1936)</f>
        <v>100.2214379</v>
      </c>
      <c r="M1932" s="70">
        <v>1.14638438566061</v>
      </c>
      <c r="N1932" s="70">
        <v>1.14638438566061</v>
      </c>
      <c r="O1932" s="70">
        <v>0.846631095416191</v>
      </c>
      <c r="P1932" s="70">
        <v>0.846631095416191</v>
      </c>
    </row>
    <row r="1933" hidden="1">
      <c r="A1933" s="67" t="s">
        <v>2693</v>
      </c>
      <c r="B1933" s="67" t="s">
        <v>17</v>
      </c>
      <c r="C1933" s="68">
        <v>0.1</v>
      </c>
      <c r="D1933" s="68">
        <v>0.5</v>
      </c>
      <c r="E1933" s="68">
        <v>5.0</v>
      </c>
      <c r="F1933" s="68">
        <v>1.0</v>
      </c>
      <c r="G1933" s="68">
        <v>5.3909731244259</v>
      </c>
      <c r="H1933" s="68">
        <v>197.508013920349</v>
      </c>
      <c r="I1933" s="69">
        <v>44315.649722222224</v>
      </c>
      <c r="J1933" s="69">
        <v>44315.650092592594</v>
      </c>
      <c r="K1933">
        <f>AVERAGE(H1932:H1936)</f>
        <v>91.67516065</v>
      </c>
      <c r="L1933">
        <f>STDEV(H1932:H1936)</f>
        <v>100.2214379</v>
      </c>
      <c r="M1933" s="70">
        <v>197.508013920349</v>
      </c>
      <c r="N1933" s="70">
        <v>197.508013920349</v>
      </c>
      <c r="O1933" s="70">
        <v>5.3909731244259</v>
      </c>
      <c r="P1933" s="70">
        <v>5.3909731244259</v>
      </c>
    </row>
    <row r="1934" hidden="1">
      <c r="A1934" s="67" t="s">
        <v>2694</v>
      </c>
      <c r="B1934" s="67" t="s">
        <v>17</v>
      </c>
      <c r="C1934" s="68">
        <v>0.1</v>
      </c>
      <c r="D1934" s="68">
        <v>0.5</v>
      </c>
      <c r="E1934" s="68">
        <v>5.0</v>
      </c>
      <c r="F1934" s="68">
        <v>2.0</v>
      </c>
      <c r="G1934" s="68">
        <v>0.467187299586246</v>
      </c>
      <c r="H1934" s="68">
        <v>0.559434604263913</v>
      </c>
      <c r="I1934" s="69">
        <v>44315.65079861111</v>
      </c>
      <c r="J1934" s="69">
        <v>44315.650972222225</v>
      </c>
      <c r="K1934">
        <f>AVERAGE(H1932:H1936)</f>
        <v>91.67516065</v>
      </c>
      <c r="L1934">
        <f>STDEV(H1932:H1936)</f>
        <v>100.2214379</v>
      </c>
      <c r="M1934" s="70">
        <v>0.559434604263913</v>
      </c>
      <c r="N1934" s="70">
        <v>0.559434604263913</v>
      </c>
      <c r="O1934" s="70">
        <v>0.467187299586246</v>
      </c>
      <c r="P1934" s="70">
        <v>0.467187299586246</v>
      </c>
    </row>
    <row r="1935" hidden="1">
      <c r="A1935" s="67" t="s">
        <v>2695</v>
      </c>
      <c r="B1935" s="67" t="s">
        <v>17</v>
      </c>
      <c r="C1935" s="68">
        <v>0.1</v>
      </c>
      <c r="D1935" s="68">
        <v>0.5</v>
      </c>
      <c r="E1935" s="68">
        <v>5.0</v>
      </c>
      <c r="F1935" s="68">
        <v>3.0</v>
      </c>
      <c r="G1935" s="68">
        <v>4.64939172910609</v>
      </c>
      <c r="H1935" s="68">
        <v>198.882917638817</v>
      </c>
      <c r="I1935" s="69">
        <v>44315.65168981482</v>
      </c>
      <c r="J1935" s="69">
        <v>44315.6847337963</v>
      </c>
      <c r="K1935">
        <f>AVERAGE(H1932:H1936)</f>
        <v>91.67516065</v>
      </c>
      <c r="L1935">
        <f>STDEV(H1932:H1936)</f>
        <v>100.2214379</v>
      </c>
      <c r="M1935" s="70">
        <v>198.882917638817</v>
      </c>
      <c r="N1935" s="70">
        <v>198.882917638817</v>
      </c>
      <c r="O1935" s="70">
        <v>4.64939172910609</v>
      </c>
      <c r="P1935" s="70">
        <v>4.64939172910609</v>
      </c>
    </row>
    <row r="1936" hidden="1">
      <c r="A1936" s="67" t="s">
        <v>2696</v>
      </c>
      <c r="B1936" s="67" t="s">
        <v>17</v>
      </c>
      <c r="C1936" s="68">
        <v>0.1</v>
      </c>
      <c r="D1936" s="68">
        <v>0.5</v>
      </c>
      <c r="E1936" s="68">
        <v>5.0</v>
      </c>
      <c r="F1936" s="68">
        <v>4.0</v>
      </c>
      <c r="G1936" s="68">
        <v>1.5573478506889</v>
      </c>
      <c r="H1936" s="68">
        <v>60.2790527021706</v>
      </c>
      <c r="I1936" s="69">
        <v>44315.68545138889</v>
      </c>
      <c r="J1936" s="69">
        <v>44315.690347222226</v>
      </c>
      <c r="K1936">
        <f>AVERAGE(H1932:H1936)</f>
        <v>91.67516065</v>
      </c>
      <c r="L1936">
        <f>STDEV(H1932:H1936)</f>
        <v>100.2214379</v>
      </c>
      <c r="M1936" s="70">
        <v>60.2790527021706</v>
      </c>
      <c r="N1936" s="70">
        <v>60.2790527021706</v>
      </c>
      <c r="O1936" s="70">
        <v>1.5573478506889</v>
      </c>
      <c r="P1936" s="70">
        <v>1.5573478506889</v>
      </c>
    </row>
    <row r="1937" hidden="1">
      <c r="A1937" s="67" t="s">
        <v>2697</v>
      </c>
      <c r="B1937" s="67" t="s">
        <v>17</v>
      </c>
      <c r="C1937" s="68">
        <v>0.1</v>
      </c>
      <c r="D1937" s="68">
        <v>0.75</v>
      </c>
      <c r="E1937" s="68">
        <v>5.0</v>
      </c>
      <c r="F1937" s="68">
        <v>0.0</v>
      </c>
      <c r="G1937" s="68">
        <v>0.509374689164716</v>
      </c>
      <c r="H1937" s="68">
        <v>0.616757873370244</v>
      </c>
      <c r="I1937" s="69">
        <v>44315.69106481481</v>
      </c>
      <c r="J1937" s="69">
        <v>44315.691516203704</v>
      </c>
      <c r="K1937">
        <f>AVERAGE(H1937:H1941)</f>
        <v>156.195598</v>
      </c>
      <c r="L1937">
        <f>STDEV(H1937:H1941)</f>
        <v>123.1955427</v>
      </c>
      <c r="M1937" s="70">
        <v>0.616757873370244</v>
      </c>
      <c r="N1937" s="70">
        <v>0.616757873370244</v>
      </c>
      <c r="O1937" s="70">
        <v>0.509374689164716</v>
      </c>
      <c r="P1937" s="70">
        <v>0.509374689164716</v>
      </c>
    </row>
    <row r="1938" hidden="1">
      <c r="A1938" s="67" t="s">
        <v>2698</v>
      </c>
      <c r="B1938" s="67" t="s">
        <v>17</v>
      </c>
      <c r="C1938" s="68">
        <v>0.1</v>
      </c>
      <c r="D1938" s="68">
        <v>0.75</v>
      </c>
      <c r="E1938" s="68">
        <v>5.0</v>
      </c>
      <c r="F1938" s="68">
        <v>1.0</v>
      </c>
      <c r="G1938" s="68">
        <v>7.3879357347271</v>
      </c>
      <c r="H1938" s="68">
        <v>271.777004126744</v>
      </c>
      <c r="I1938" s="69">
        <v>44315.6922337963</v>
      </c>
      <c r="J1938" s="69">
        <v>44315.692511574074</v>
      </c>
      <c r="K1938">
        <f>AVERAGE(H1937:H1941)</f>
        <v>156.195598</v>
      </c>
      <c r="L1938">
        <f>STDEV(H1937:H1941)</f>
        <v>123.1955427</v>
      </c>
      <c r="M1938" s="70">
        <v>271.777004126744</v>
      </c>
      <c r="N1938" s="70">
        <v>271.777004126744</v>
      </c>
      <c r="O1938" s="70">
        <v>7.3879357347271</v>
      </c>
      <c r="P1938" s="70">
        <v>7.3879357347271</v>
      </c>
    </row>
    <row r="1939" hidden="1">
      <c r="A1939" s="67" t="s">
        <v>2699</v>
      </c>
      <c r="B1939" s="67" t="s">
        <v>17</v>
      </c>
      <c r="C1939" s="68">
        <v>0.1</v>
      </c>
      <c r="D1939" s="68">
        <v>0.75</v>
      </c>
      <c r="E1939" s="68">
        <v>5.0</v>
      </c>
      <c r="F1939" s="68">
        <v>2.0</v>
      </c>
      <c r="G1939" s="68">
        <v>2.94802479976764</v>
      </c>
      <c r="H1939" s="68">
        <v>140.314448659824</v>
      </c>
      <c r="I1939" s="69">
        <v>44315.69322916667</v>
      </c>
      <c r="J1939" s="69">
        <v>44315.72872685185</v>
      </c>
      <c r="K1939">
        <f>AVERAGE(H1937:H1941)</f>
        <v>156.195598</v>
      </c>
      <c r="L1939">
        <f>STDEV(H1937:H1941)</f>
        <v>123.1955427</v>
      </c>
      <c r="M1939" s="70">
        <v>140.314448659824</v>
      </c>
      <c r="N1939" s="70">
        <v>140.314448659824</v>
      </c>
      <c r="O1939" s="70">
        <v>2.94802479976764</v>
      </c>
      <c r="P1939" s="70">
        <v>2.94802479976764</v>
      </c>
    </row>
    <row r="1940" hidden="1">
      <c r="A1940" s="67" t="s">
        <v>2700</v>
      </c>
      <c r="B1940" s="67" t="s">
        <v>17</v>
      </c>
      <c r="C1940" s="68">
        <v>0.1</v>
      </c>
      <c r="D1940" s="68">
        <v>0.75</v>
      </c>
      <c r="E1940" s="68">
        <v>5.0</v>
      </c>
      <c r="F1940" s="68">
        <v>3.0</v>
      </c>
      <c r="G1940" s="68">
        <v>8.21220223036271</v>
      </c>
      <c r="H1940" s="68">
        <v>287.409550322682</v>
      </c>
      <c r="I1940" s="69">
        <v>44315.72944444444</v>
      </c>
      <c r="J1940" s="69">
        <v>44315.730416666665</v>
      </c>
      <c r="K1940">
        <f>AVERAGE(H1937:H1941)</f>
        <v>156.195598</v>
      </c>
      <c r="L1940">
        <f>STDEV(H1937:H1941)</f>
        <v>123.1955427</v>
      </c>
      <c r="M1940" s="70">
        <v>287.409550322682</v>
      </c>
      <c r="N1940" s="70">
        <v>287.409550322682</v>
      </c>
      <c r="O1940" s="70">
        <v>8.21220223036271</v>
      </c>
      <c r="P1940" s="70">
        <v>8.21220223036271</v>
      </c>
    </row>
    <row r="1941" hidden="1">
      <c r="A1941" s="67" t="s">
        <v>2701</v>
      </c>
      <c r="B1941" s="67" t="s">
        <v>17</v>
      </c>
      <c r="C1941" s="68">
        <v>0.1</v>
      </c>
      <c r="D1941" s="68">
        <v>0.75</v>
      </c>
      <c r="E1941" s="68">
        <v>5.0</v>
      </c>
      <c r="F1941" s="68">
        <v>4.0</v>
      </c>
      <c r="G1941" s="68">
        <v>2.18555400561413</v>
      </c>
      <c r="H1941" s="68">
        <v>80.8602289030583</v>
      </c>
      <c r="I1941" s="69">
        <v>44315.73113425926</v>
      </c>
      <c r="J1941" s="69">
        <v>44315.734375</v>
      </c>
      <c r="K1941">
        <f>AVERAGE(H1937:H1941)</f>
        <v>156.195598</v>
      </c>
      <c r="L1941">
        <f>STDEV(H1937:H1941)</f>
        <v>123.1955427</v>
      </c>
      <c r="M1941" s="70">
        <v>80.8602289030583</v>
      </c>
      <c r="N1941" s="70">
        <v>80.8602289030583</v>
      </c>
      <c r="O1941" s="70">
        <v>2.18555400561413</v>
      </c>
      <c r="P1941" s="70">
        <v>2.18555400561413</v>
      </c>
    </row>
    <row r="1942" hidden="1">
      <c r="A1942" s="67" t="s">
        <v>2702</v>
      </c>
      <c r="B1942" s="67" t="s">
        <v>17</v>
      </c>
      <c r="C1942" s="68">
        <v>0.1</v>
      </c>
      <c r="D1942" s="68">
        <v>1.0</v>
      </c>
      <c r="E1942" s="68">
        <v>5.0</v>
      </c>
      <c r="F1942" s="68">
        <v>0.0</v>
      </c>
      <c r="G1942" s="68">
        <v>2.578023130357</v>
      </c>
      <c r="H1942" s="68">
        <v>127.811621431196</v>
      </c>
      <c r="I1942" s="69">
        <v>44315.73509259259</v>
      </c>
      <c r="J1942" s="69">
        <v>44315.747719907406</v>
      </c>
      <c r="K1942">
        <f>AVERAGE(H1942:H1946)</f>
        <v>79.79608348</v>
      </c>
      <c r="L1942">
        <f>STDEV(H1942:H1946)</f>
        <v>83.98888785</v>
      </c>
      <c r="M1942" s="70">
        <v>127.811621431196</v>
      </c>
      <c r="N1942" s="70">
        <v>127.811621431196</v>
      </c>
      <c r="O1942" s="70">
        <v>2.578023130357</v>
      </c>
      <c r="P1942" s="70">
        <v>2.578023130357</v>
      </c>
    </row>
    <row r="1943" hidden="1">
      <c r="A1943" s="67" t="s">
        <v>2703</v>
      </c>
      <c r="B1943" s="67" t="s">
        <v>17</v>
      </c>
      <c r="C1943" s="68">
        <v>0.1</v>
      </c>
      <c r="D1943" s="68">
        <v>1.0</v>
      </c>
      <c r="E1943" s="68">
        <v>5.0</v>
      </c>
      <c r="F1943" s="68">
        <v>1.0</v>
      </c>
      <c r="G1943" s="68">
        <v>4.67516966210318</v>
      </c>
      <c r="H1943" s="68">
        <v>197.173136203982</v>
      </c>
      <c r="I1943" s="69">
        <v>44315.7484375</v>
      </c>
      <c r="J1943" s="69">
        <v>44315.7715625</v>
      </c>
      <c r="K1943">
        <f>AVERAGE(H1942:H1946)</f>
        <v>79.79608348</v>
      </c>
      <c r="L1943">
        <f>STDEV(H1942:H1946)</f>
        <v>83.98888785</v>
      </c>
      <c r="M1943" s="70">
        <v>197.173136203982</v>
      </c>
      <c r="N1943" s="70">
        <v>197.173136203982</v>
      </c>
      <c r="O1943" s="70">
        <v>4.67516966210318</v>
      </c>
      <c r="P1943" s="70">
        <v>4.67516966210318</v>
      </c>
    </row>
    <row r="1944" hidden="1">
      <c r="A1944" s="67" t="s">
        <v>2704</v>
      </c>
      <c r="B1944" s="67" t="s">
        <v>17</v>
      </c>
      <c r="C1944" s="68">
        <v>0.1</v>
      </c>
      <c r="D1944" s="68">
        <v>1.0</v>
      </c>
      <c r="E1944" s="68">
        <v>5.0</v>
      </c>
      <c r="F1944" s="68">
        <v>2.0</v>
      </c>
      <c r="G1944" s="68">
        <v>1.35106843703318</v>
      </c>
      <c r="H1944" s="68">
        <v>69.4496046349833</v>
      </c>
      <c r="I1944" s="69">
        <v>44315.77228009259</v>
      </c>
      <c r="J1944" s="69">
        <v>44315.77329861111</v>
      </c>
      <c r="K1944">
        <f>AVERAGE(H1942:H1946)</f>
        <v>79.79608348</v>
      </c>
      <c r="L1944">
        <f>STDEV(H1942:H1946)</f>
        <v>83.98888785</v>
      </c>
      <c r="M1944" s="70">
        <v>69.4496046349833</v>
      </c>
      <c r="N1944" s="70">
        <v>69.4496046349833</v>
      </c>
      <c r="O1944" s="70">
        <v>1.35106843703318</v>
      </c>
      <c r="P1944" s="70">
        <v>1.35106843703318</v>
      </c>
    </row>
    <row r="1945" hidden="1">
      <c r="A1945" s="67" t="s">
        <v>2705</v>
      </c>
      <c r="B1945" s="67" t="s">
        <v>17</v>
      </c>
      <c r="C1945" s="68">
        <v>0.1</v>
      </c>
      <c r="D1945" s="68">
        <v>1.0</v>
      </c>
      <c r="E1945" s="68">
        <v>5.0</v>
      </c>
      <c r="F1945" s="68">
        <v>3.0</v>
      </c>
      <c r="G1945" s="68">
        <v>2.64140171798701</v>
      </c>
      <c r="H1945" s="68">
        <v>4.13993917207762</v>
      </c>
      <c r="I1945" s="69">
        <v>44315.7740162037</v>
      </c>
      <c r="J1945" s="69">
        <v>44315.77410879629</v>
      </c>
      <c r="K1945">
        <f>AVERAGE(H1942:H1946)</f>
        <v>79.79608348</v>
      </c>
      <c r="L1945">
        <f>STDEV(H1942:H1946)</f>
        <v>83.98888785</v>
      </c>
      <c r="M1945" s="70">
        <v>4.13993917207762</v>
      </c>
      <c r="N1945" s="70">
        <v>4.13993917207762</v>
      </c>
      <c r="O1945" s="70">
        <v>2.64140171798701</v>
      </c>
      <c r="P1945" s="70">
        <v>2.64140171798701</v>
      </c>
    </row>
    <row r="1946" hidden="1">
      <c r="A1946" s="67" t="s">
        <v>2706</v>
      </c>
      <c r="B1946" s="67" t="s">
        <v>17</v>
      </c>
      <c r="C1946" s="68">
        <v>0.1</v>
      </c>
      <c r="D1946" s="68">
        <v>1.0</v>
      </c>
      <c r="E1946" s="68">
        <v>5.0</v>
      </c>
      <c r="F1946" s="68">
        <v>4.0</v>
      </c>
      <c r="G1946" s="68">
        <v>0.317145370870006</v>
      </c>
      <c r="H1946" s="68">
        <v>0.406115963760371</v>
      </c>
      <c r="I1946" s="69">
        <v>44315.77481481482</v>
      </c>
      <c r="J1946" s="69">
        <v>44315.774872685186</v>
      </c>
      <c r="K1946">
        <f>AVERAGE(H1942:H1946)</f>
        <v>79.79608348</v>
      </c>
      <c r="L1946">
        <f>STDEV(H1942:H1946)</f>
        <v>83.98888785</v>
      </c>
      <c r="M1946" s="70">
        <v>0.406115963760371</v>
      </c>
      <c r="N1946" s="70">
        <v>0.406115963760371</v>
      </c>
      <c r="O1946" s="70">
        <v>0.317145370870006</v>
      </c>
      <c r="P1946" s="70">
        <v>0.317145370870006</v>
      </c>
    </row>
    <row r="1947" hidden="1">
      <c r="A1947" s="67" t="s">
        <v>2707</v>
      </c>
      <c r="B1947" s="67" t="s">
        <v>17</v>
      </c>
      <c r="C1947" s="68">
        <v>0.25</v>
      </c>
      <c r="D1947" s="68">
        <v>0.1</v>
      </c>
      <c r="E1947" s="68">
        <v>5.0</v>
      </c>
      <c r="F1947" s="68">
        <v>0.0</v>
      </c>
      <c r="G1947" s="68">
        <v>3.33675674588882</v>
      </c>
      <c r="H1947" s="68">
        <v>157.353219489062</v>
      </c>
      <c r="I1947" s="69">
        <v>44315.77559027778</v>
      </c>
      <c r="J1947" s="69">
        <v>44315.87663194445</v>
      </c>
      <c r="K1947">
        <f>AVERAGE(H1947:H1951)</f>
        <v>107.8615682</v>
      </c>
      <c r="L1947">
        <f>STDEV(H1947:H1951)</f>
        <v>109.1498169</v>
      </c>
      <c r="M1947" s="70">
        <v>157.353219489062</v>
      </c>
      <c r="N1947" s="70">
        <v>157.353219489062</v>
      </c>
      <c r="O1947" s="70">
        <v>3.33675674588882</v>
      </c>
      <c r="P1947" s="70">
        <v>3.33675674588882</v>
      </c>
    </row>
    <row r="1948" hidden="1">
      <c r="A1948" s="67" t="s">
        <v>2708</v>
      </c>
      <c r="B1948" s="67" t="s">
        <v>17</v>
      </c>
      <c r="C1948" s="68">
        <v>0.25</v>
      </c>
      <c r="D1948" s="68">
        <v>0.1</v>
      </c>
      <c r="E1948" s="68">
        <v>5.0</v>
      </c>
      <c r="F1948" s="68">
        <v>1.0</v>
      </c>
      <c r="G1948" s="68">
        <v>1.68935952590513</v>
      </c>
      <c r="H1948" s="68">
        <v>28.0666996505833</v>
      </c>
      <c r="I1948" s="69">
        <v>44315.87734953704</v>
      </c>
      <c r="J1948" s="69">
        <v>44315.87777777778</v>
      </c>
      <c r="K1948">
        <f>AVERAGE(H1947:H1951)</f>
        <v>107.8615682</v>
      </c>
      <c r="L1948">
        <f>STDEV(H1947:H1951)</f>
        <v>109.1498169</v>
      </c>
      <c r="M1948" s="70">
        <v>28.0666996505833</v>
      </c>
      <c r="N1948" s="70">
        <v>28.0666996505833</v>
      </c>
      <c r="O1948" s="70">
        <v>1.68935952590513</v>
      </c>
      <c r="P1948" s="70">
        <v>1.68935952590513</v>
      </c>
    </row>
    <row r="1949" hidden="1">
      <c r="A1949" s="67" t="s">
        <v>2709</v>
      </c>
      <c r="B1949" s="67" t="s">
        <v>17</v>
      </c>
      <c r="C1949" s="68">
        <v>0.25</v>
      </c>
      <c r="D1949" s="68">
        <v>0.1</v>
      </c>
      <c r="E1949" s="68">
        <v>5.0</v>
      </c>
      <c r="F1949" s="68">
        <v>2.0</v>
      </c>
      <c r="G1949" s="68">
        <v>7.35427989316334</v>
      </c>
      <c r="H1949" s="68">
        <v>271.153888550367</v>
      </c>
      <c r="I1949" s="69">
        <v>44315.878483796296</v>
      </c>
      <c r="J1949" s="69">
        <v>44315.87875</v>
      </c>
      <c r="K1949">
        <f>AVERAGE(H1947:H1951)</f>
        <v>107.8615682</v>
      </c>
      <c r="L1949">
        <f>STDEV(H1947:H1951)</f>
        <v>109.1498169</v>
      </c>
      <c r="M1949" s="70">
        <v>271.153888550367</v>
      </c>
      <c r="N1949" s="70">
        <v>271.153888550367</v>
      </c>
      <c r="O1949" s="70">
        <v>7.35427989316334</v>
      </c>
      <c r="P1949" s="70">
        <v>7.35427989316334</v>
      </c>
    </row>
    <row r="1950" hidden="1">
      <c r="A1950" s="67" t="s">
        <v>2710</v>
      </c>
      <c r="B1950" s="67" t="s">
        <v>17</v>
      </c>
      <c r="C1950" s="68">
        <v>0.25</v>
      </c>
      <c r="D1950" s="68">
        <v>0.1</v>
      </c>
      <c r="E1950" s="68">
        <v>5.0</v>
      </c>
      <c r="F1950" s="68">
        <v>3.0</v>
      </c>
      <c r="G1950" s="68">
        <v>5.6745938462106</v>
      </c>
      <c r="H1950" s="68">
        <v>82.1754277388397</v>
      </c>
      <c r="I1950" s="69">
        <v>44315.87946759259</v>
      </c>
      <c r="J1950" s="69">
        <v>44315.87950231481</v>
      </c>
      <c r="K1950">
        <f>AVERAGE(H1947:H1951)</f>
        <v>107.8615682</v>
      </c>
      <c r="L1950">
        <f>STDEV(H1947:H1951)</f>
        <v>109.1498169</v>
      </c>
      <c r="M1950" s="70">
        <v>82.1754277388397</v>
      </c>
      <c r="N1950" s="70">
        <v>82.1754277388397</v>
      </c>
      <c r="O1950" s="70">
        <v>5.6745938462106</v>
      </c>
      <c r="P1950" s="70">
        <v>5.6745938462106</v>
      </c>
    </row>
    <row r="1951" hidden="1">
      <c r="A1951" s="67" t="s">
        <v>2711</v>
      </c>
      <c r="B1951" s="67" t="s">
        <v>17</v>
      </c>
      <c r="C1951" s="68">
        <v>0.25</v>
      </c>
      <c r="D1951" s="68">
        <v>0.1</v>
      </c>
      <c r="E1951" s="68">
        <v>5.0</v>
      </c>
      <c r="F1951" s="68">
        <v>4.0</v>
      </c>
      <c r="G1951" s="68">
        <v>0.466302059947925</v>
      </c>
      <c r="H1951" s="68">
        <v>0.558605536113522</v>
      </c>
      <c r="I1951" s="69">
        <v>44315.880219907405</v>
      </c>
      <c r="J1951" s="69">
        <v>44315.88039351852</v>
      </c>
      <c r="K1951">
        <f>AVERAGE(H1947:H1951)</f>
        <v>107.8615682</v>
      </c>
      <c r="L1951">
        <f>STDEV(H1947:H1951)</f>
        <v>109.1498169</v>
      </c>
      <c r="M1951" s="70">
        <v>0.558605536113522</v>
      </c>
      <c r="N1951" s="70">
        <v>0.558605536113522</v>
      </c>
      <c r="O1951" s="70">
        <v>0.466302059947925</v>
      </c>
      <c r="P1951" s="70">
        <v>0.466302059947925</v>
      </c>
    </row>
    <row r="1952" hidden="1">
      <c r="A1952" s="67" t="s">
        <v>2712</v>
      </c>
      <c r="B1952" s="67" t="s">
        <v>17</v>
      </c>
      <c r="C1952" s="68">
        <v>0.25</v>
      </c>
      <c r="D1952" s="68">
        <v>0.25</v>
      </c>
      <c r="E1952" s="68">
        <v>5.0</v>
      </c>
      <c r="F1952" s="68">
        <v>0.0</v>
      </c>
      <c r="G1952" s="68">
        <v>1.3507722819561</v>
      </c>
      <c r="H1952" s="68">
        <v>69.4230778280268</v>
      </c>
      <c r="I1952" s="69">
        <v>44315.88111111111</v>
      </c>
      <c r="J1952" s="69">
        <v>44315.882268518515</v>
      </c>
      <c r="K1952">
        <f>AVERAGE(H1952:H1956)</f>
        <v>148.7691288</v>
      </c>
      <c r="L1952">
        <f>STDEV(H1952:H1956)</f>
        <v>78.47086026</v>
      </c>
      <c r="M1952" s="70">
        <v>69.4230778280268</v>
      </c>
      <c r="N1952" s="70">
        <v>69.4230778280268</v>
      </c>
      <c r="O1952" s="70">
        <v>1.3507722819561</v>
      </c>
      <c r="P1952" s="70">
        <v>1.3507722819561</v>
      </c>
    </row>
    <row r="1953" hidden="1">
      <c r="A1953" s="67" t="s">
        <v>2713</v>
      </c>
      <c r="B1953" s="67" t="s">
        <v>17</v>
      </c>
      <c r="C1953" s="68">
        <v>0.25</v>
      </c>
      <c r="D1953" s="68">
        <v>0.25</v>
      </c>
      <c r="E1953" s="68">
        <v>5.0</v>
      </c>
      <c r="F1953" s="68">
        <v>1.0</v>
      </c>
      <c r="G1953" s="68">
        <v>3.82326585232028</v>
      </c>
      <c r="H1953" s="68">
        <v>171.801206114015</v>
      </c>
      <c r="I1953" s="69">
        <v>44315.88298611111</v>
      </c>
      <c r="J1953" s="69">
        <v>44315.916134259256</v>
      </c>
      <c r="K1953">
        <f>AVERAGE(H1952:H1956)</f>
        <v>148.7691288</v>
      </c>
      <c r="L1953">
        <f>STDEV(H1952:H1956)</f>
        <v>78.47086026</v>
      </c>
      <c r="M1953" s="70">
        <v>171.801206114015</v>
      </c>
      <c r="N1953" s="70">
        <v>171.801206114015</v>
      </c>
      <c r="O1953" s="70">
        <v>3.82326585232028</v>
      </c>
      <c r="P1953" s="70">
        <v>3.82326585232028</v>
      </c>
    </row>
    <row r="1954" hidden="1">
      <c r="A1954" s="67" t="s">
        <v>2714</v>
      </c>
      <c r="B1954" s="67" t="s">
        <v>17</v>
      </c>
      <c r="C1954" s="68">
        <v>0.25</v>
      </c>
      <c r="D1954" s="68">
        <v>0.25</v>
      </c>
      <c r="E1954" s="68">
        <v>5.0</v>
      </c>
      <c r="F1954" s="68">
        <v>2.0</v>
      </c>
      <c r="G1954" s="68">
        <v>2.48724842367287</v>
      </c>
      <c r="H1954" s="68">
        <v>131.763980207444</v>
      </c>
      <c r="I1954" s="69">
        <v>44315.91685185185</v>
      </c>
      <c r="J1954" s="69">
        <v>44315.91707175926</v>
      </c>
      <c r="K1954">
        <f>AVERAGE(H1952:H1956)</f>
        <v>148.7691288</v>
      </c>
      <c r="L1954">
        <f>STDEV(H1952:H1956)</f>
        <v>78.47086026</v>
      </c>
      <c r="M1954" s="70">
        <v>131.763980207444</v>
      </c>
      <c r="N1954" s="70">
        <v>131.763980207444</v>
      </c>
      <c r="O1954" s="70">
        <v>2.48724842367287</v>
      </c>
      <c r="P1954" s="70">
        <v>2.48724842367287</v>
      </c>
    </row>
    <row r="1955" hidden="1">
      <c r="A1955" s="67" t="s">
        <v>2715</v>
      </c>
      <c r="B1955" s="67" t="s">
        <v>17</v>
      </c>
      <c r="C1955" s="68">
        <v>0.25</v>
      </c>
      <c r="D1955" s="68">
        <v>0.25</v>
      </c>
      <c r="E1955" s="68">
        <v>5.0</v>
      </c>
      <c r="F1955" s="68">
        <v>3.0</v>
      </c>
      <c r="G1955" s="68">
        <v>2.30817360687609</v>
      </c>
      <c r="H1955" s="68">
        <v>99.3258173423209</v>
      </c>
      <c r="I1955" s="69">
        <v>44315.91778935185</v>
      </c>
      <c r="J1955" s="69">
        <v>44315.91939814815</v>
      </c>
      <c r="K1955">
        <f>AVERAGE(H1952:H1956)</f>
        <v>148.7691288</v>
      </c>
      <c r="L1955">
        <f>STDEV(H1952:H1956)</f>
        <v>78.47086026</v>
      </c>
      <c r="M1955" s="70">
        <v>99.3258173423209</v>
      </c>
      <c r="N1955" s="70">
        <v>99.3258173423209</v>
      </c>
      <c r="O1955" s="70">
        <v>2.30817360687609</v>
      </c>
      <c r="P1955" s="70">
        <v>2.30817360687609</v>
      </c>
    </row>
    <row r="1956" hidden="1">
      <c r="A1956" s="67" t="s">
        <v>2716</v>
      </c>
      <c r="B1956" s="67" t="s">
        <v>17</v>
      </c>
      <c r="C1956" s="68">
        <v>0.25</v>
      </c>
      <c r="D1956" s="68">
        <v>0.25</v>
      </c>
      <c r="E1956" s="68">
        <v>5.0</v>
      </c>
      <c r="F1956" s="68">
        <v>4.0</v>
      </c>
      <c r="G1956" s="68">
        <v>7.3799976454078</v>
      </c>
      <c r="H1956" s="68">
        <v>271.531562476736</v>
      </c>
      <c r="I1956" s="69">
        <v>44315.920115740744</v>
      </c>
      <c r="J1956" s="69">
        <v>44315.920381944445</v>
      </c>
      <c r="K1956">
        <f>AVERAGE(H1952:H1956)</f>
        <v>148.7691288</v>
      </c>
      <c r="L1956">
        <f>STDEV(H1952:H1956)</f>
        <v>78.47086026</v>
      </c>
      <c r="M1956" s="70">
        <v>271.531562476736</v>
      </c>
      <c r="N1956" s="70">
        <v>271.531562476736</v>
      </c>
      <c r="O1956" s="70">
        <v>7.3799976454078</v>
      </c>
      <c r="P1956" s="70">
        <v>7.3799976454078</v>
      </c>
    </row>
    <row r="1957" hidden="1">
      <c r="A1957" s="67" t="s">
        <v>2717</v>
      </c>
      <c r="B1957" s="67" t="s">
        <v>17</v>
      </c>
      <c r="C1957" s="68">
        <v>0.25</v>
      </c>
      <c r="D1957" s="68">
        <v>0.5</v>
      </c>
      <c r="E1957" s="68">
        <v>5.0</v>
      </c>
      <c r="F1957" s="68">
        <v>0.0</v>
      </c>
      <c r="G1957" s="68">
        <v>4.66281163944821</v>
      </c>
      <c r="H1957" s="68">
        <v>183.375639062183</v>
      </c>
      <c r="I1957" s="69">
        <v>44315.92109953704</v>
      </c>
      <c r="J1957" s="69">
        <v>44315.92141203704</v>
      </c>
      <c r="K1957">
        <f>AVERAGE(H1957:H1961)</f>
        <v>155.1569967</v>
      </c>
      <c r="L1957">
        <f>STDEV(H1957:H1961)</f>
        <v>41.47673007</v>
      </c>
      <c r="M1957" s="70">
        <v>183.375639062183</v>
      </c>
      <c r="N1957" s="70">
        <v>183.375639062183</v>
      </c>
      <c r="O1957" s="70">
        <v>4.66281163944821</v>
      </c>
      <c r="P1957" s="70">
        <v>4.66281163944821</v>
      </c>
    </row>
    <row r="1958" hidden="1">
      <c r="A1958" s="67" t="s">
        <v>2718</v>
      </c>
      <c r="B1958" s="67" t="s">
        <v>17</v>
      </c>
      <c r="C1958" s="68">
        <v>0.25</v>
      </c>
      <c r="D1958" s="68">
        <v>0.5</v>
      </c>
      <c r="E1958" s="68">
        <v>5.0</v>
      </c>
      <c r="F1958" s="68">
        <v>1.0</v>
      </c>
      <c r="G1958" s="68">
        <v>7.1336285774308</v>
      </c>
      <c r="H1958" s="68">
        <v>205.725261965276</v>
      </c>
      <c r="I1958" s="69">
        <v>44315.922118055554</v>
      </c>
      <c r="J1958" s="69">
        <v>44315.92217592592</v>
      </c>
      <c r="K1958">
        <f>AVERAGE(H1957:H1961)</f>
        <v>155.1569967</v>
      </c>
      <c r="L1958">
        <f>STDEV(H1957:H1961)</f>
        <v>41.47673007</v>
      </c>
      <c r="M1958" s="70">
        <v>205.725261965276</v>
      </c>
      <c r="N1958" s="70">
        <v>205.725261965276</v>
      </c>
      <c r="O1958" s="70">
        <v>7.1336285774308</v>
      </c>
      <c r="P1958" s="70">
        <v>7.1336285774308</v>
      </c>
    </row>
    <row r="1959" hidden="1">
      <c r="A1959" s="67" t="s">
        <v>2719</v>
      </c>
      <c r="B1959" s="67" t="s">
        <v>17</v>
      </c>
      <c r="C1959" s="68">
        <v>0.25</v>
      </c>
      <c r="D1959" s="68">
        <v>0.5</v>
      </c>
      <c r="E1959" s="68">
        <v>5.0</v>
      </c>
      <c r="F1959" s="68">
        <v>2.0</v>
      </c>
      <c r="G1959" s="68">
        <v>3.35063223327411</v>
      </c>
      <c r="H1959" s="68">
        <v>158.06953448609</v>
      </c>
      <c r="I1959" s="69">
        <v>44315.92289351852</v>
      </c>
      <c r="J1959" s="69">
        <v>44315.958182870374</v>
      </c>
      <c r="K1959">
        <f>AVERAGE(H1957:H1961)</f>
        <v>155.1569967</v>
      </c>
      <c r="L1959">
        <f>STDEV(H1957:H1961)</f>
        <v>41.47673007</v>
      </c>
      <c r="M1959" s="70">
        <v>158.06953448609</v>
      </c>
      <c r="N1959" s="70">
        <v>158.06953448609</v>
      </c>
      <c r="O1959" s="70">
        <v>3.35063223327411</v>
      </c>
      <c r="P1959" s="70">
        <v>3.35063223327411</v>
      </c>
    </row>
    <row r="1960" hidden="1">
      <c r="A1960" s="67" t="s">
        <v>2720</v>
      </c>
      <c r="B1960" s="67" t="s">
        <v>17</v>
      </c>
      <c r="C1960" s="68">
        <v>0.25</v>
      </c>
      <c r="D1960" s="68">
        <v>0.5</v>
      </c>
      <c r="E1960" s="68">
        <v>5.0</v>
      </c>
      <c r="F1960" s="68">
        <v>3.0</v>
      </c>
      <c r="G1960" s="68">
        <v>2.04093977198045</v>
      </c>
      <c r="H1960" s="68">
        <v>104.769120513791</v>
      </c>
      <c r="I1960" s="69">
        <v>44315.95890046296</v>
      </c>
      <c r="J1960" s="69">
        <v>44315.96482638889</v>
      </c>
      <c r="K1960">
        <f>AVERAGE(H1957:H1961)</f>
        <v>155.1569967</v>
      </c>
      <c r="L1960">
        <f>STDEV(H1957:H1961)</f>
        <v>41.47673007</v>
      </c>
      <c r="M1960" s="70">
        <v>104.769120513791</v>
      </c>
      <c r="N1960" s="70">
        <v>104.769120513791</v>
      </c>
      <c r="O1960" s="70">
        <v>2.04093977198045</v>
      </c>
      <c r="P1960" s="70">
        <v>2.04093977198045</v>
      </c>
    </row>
    <row r="1961" hidden="1">
      <c r="A1961" s="67" t="s">
        <v>2721</v>
      </c>
      <c r="B1961" s="67" t="s">
        <v>17</v>
      </c>
      <c r="C1961" s="68">
        <v>0.25</v>
      </c>
      <c r="D1961" s="68">
        <v>0.5</v>
      </c>
      <c r="E1961" s="68">
        <v>5.0</v>
      </c>
      <c r="F1961" s="68">
        <v>4.0</v>
      </c>
      <c r="G1961" s="68">
        <v>3.43184695876979</v>
      </c>
      <c r="H1961" s="68">
        <v>123.845427285746</v>
      </c>
      <c r="I1961" s="69">
        <v>44315.965532407405</v>
      </c>
      <c r="J1961" s="69">
        <v>44315.96571759259</v>
      </c>
      <c r="K1961">
        <f>AVERAGE(H1957:H1961)</f>
        <v>155.1569967</v>
      </c>
      <c r="L1961">
        <f>STDEV(H1957:H1961)</f>
        <v>41.47673007</v>
      </c>
      <c r="M1961" s="70">
        <v>123.845427285746</v>
      </c>
      <c r="N1961" s="70">
        <v>123.845427285746</v>
      </c>
      <c r="O1961" s="70">
        <v>3.43184695876979</v>
      </c>
      <c r="P1961" s="70">
        <v>3.43184695876979</v>
      </c>
    </row>
    <row r="1962" hidden="1">
      <c r="A1962" s="67" t="s">
        <v>2722</v>
      </c>
      <c r="B1962" s="67" t="s">
        <v>17</v>
      </c>
      <c r="C1962" s="68">
        <v>0.25</v>
      </c>
      <c r="D1962" s="68">
        <v>0.75</v>
      </c>
      <c r="E1962" s="68">
        <v>5.0</v>
      </c>
      <c r="F1962" s="68">
        <v>0.0</v>
      </c>
      <c r="G1962" s="68">
        <v>1.82484756059272</v>
      </c>
      <c r="H1962" s="68">
        <v>96.3717681390204</v>
      </c>
      <c r="I1962" s="69">
        <v>44315.96643518518</v>
      </c>
      <c r="J1962" s="69">
        <v>44315.98328703704</v>
      </c>
      <c r="K1962">
        <f>AVERAGE(H1962:H1966)</f>
        <v>80.08937458</v>
      </c>
      <c r="L1962">
        <f>STDEV(H1962:H1966)</f>
        <v>71.00264271</v>
      </c>
      <c r="M1962" s="70">
        <v>96.3717681390204</v>
      </c>
      <c r="N1962" s="70">
        <v>96.3717681390204</v>
      </c>
      <c r="O1962" s="70">
        <v>1.82484756059272</v>
      </c>
      <c r="P1962" s="70">
        <v>1.82484756059272</v>
      </c>
    </row>
    <row r="1963" hidden="1">
      <c r="A1963" s="67" t="s">
        <v>2723</v>
      </c>
      <c r="B1963" s="67" t="s">
        <v>17</v>
      </c>
      <c r="C1963" s="68">
        <v>0.25</v>
      </c>
      <c r="D1963" s="68">
        <v>0.75</v>
      </c>
      <c r="E1963" s="68">
        <v>5.0</v>
      </c>
      <c r="F1963" s="68">
        <v>1.0</v>
      </c>
      <c r="G1963" s="68">
        <v>0.856926744521415</v>
      </c>
      <c r="H1963" s="68">
        <v>1.02285075541086</v>
      </c>
      <c r="I1963" s="69">
        <v>44315.98400462963</v>
      </c>
      <c r="J1963" s="69">
        <v>44315.98400462963</v>
      </c>
      <c r="K1963">
        <f>AVERAGE(H1962:H1966)</f>
        <v>80.08937458</v>
      </c>
      <c r="L1963">
        <f>STDEV(H1962:H1966)</f>
        <v>71.00264271</v>
      </c>
      <c r="M1963" s="70">
        <v>1.02285075541086</v>
      </c>
      <c r="N1963" s="70">
        <v>1.02285075541086</v>
      </c>
      <c r="O1963" s="70">
        <v>0.856926744521415</v>
      </c>
      <c r="P1963" s="70">
        <v>0.856926744521415</v>
      </c>
    </row>
    <row r="1964" hidden="1">
      <c r="A1964" s="67" t="s">
        <v>2724</v>
      </c>
      <c r="B1964" s="67" t="s">
        <v>17</v>
      </c>
      <c r="C1964" s="68">
        <v>0.25</v>
      </c>
      <c r="D1964" s="68">
        <v>0.75</v>
      </c>
      <c r="E1964" s="68">
        <v>5.0</v>
      </c>
      <c r="F1964" s="68">
        <v>2.0</v>
      </c>
      <c r="G1964" s="68">
        <v>1.80134167239317</v>
      </c>
      <c r="H1964" s="68">
        <v>30.9869962028261</v>
      </c>
      <c r="I1964" s="69">
        <v>44315.98472222222</v>
      </c>
      <c r="J1964" s="69">
        <v>44315.98504629629</v>
      </c>
      <c r="K1964">
        <f>AVERAGE(H1962:H1966)</f>
        <v>80.08937458</v>
      </c>
      <c r="L1964">
        <f>STDEV(H1962:H1966)</f>
        <v>71.00264271</v>
      </c>
      <c r="M1964" s="70">
        <v>30.9869962028261</v>
      </c>
      <c r="N1964" s="70">
        <v>30.9869962028261</v>
      </c>
      <c r="O1964" s="70">
        <v>1.80134167239317</v>
      </c>
      <c r="P1964" s="70">
        <v>1.80134167239317</v>
      </c>
    </row>
    <row r="1965" hidden="1">
      <c r="A1965" s="67" t="s">
        <v>2725</v>
      </c>
      <c r="B1965" s="67" t="s">
        <v>17</v>
      </c>
      <c r="C1965" s="68">
        <v>0.25</v>
      </c>
      <c r="D1965" s="68">
        <v>0.75</v>
      </c>
      <c r="E1965" s="68">
        <v>5.0</v>
      </c>
      <c r="F1965" s="68">
        <v>3.0</v>
      </c>
      <c r="G1965" s="68">
        <v>6.18164354454057</v>
      </c>
      <c r="H1965" s="68">
        <v>86.1400914248354</v>
      </c>
      <c r="I1965" s="69">
        <v>44315.98575231482</v>
      </c>
      <c r="J1965" s="69">
        <v>44315.98578703704</v>
      </c>
      <c r="K1965">
        <f>AVERAGE(H1962:H1966)</f>
        <v>80.08937458</v>
      </c>
      <c r="L1965">
        <f>STDEV(H1962:H1966)</f>
        <v>71.00264271</v>
      </c>
      <c r="M1965" s="70">
        <v>86.1400914248354</v>
      </c>
      <c r="N1965" s="70">
        <v>86.1400914248354</v>
      </c>
      <c r="O1965" s="70">
        <v>6.18164354454057</v>
      </c>
      <c r="P1965" s="70">
        <v>6.18164354454057</v>
      </c>
    </row>
    <row r="1966" hidden="1">
      <c r="A1966" s="67" t="s">
        <v>2726</v>
      </c>
      <c r="B1966" s="67" t="s">
        <v>17</v>
      </c>
      <c r="C1966" s="68">
        <v>0.25</v>
      </c>
      <c r="D1966" s="68">
        <v>0.75</v>
      </c>
      <c r="E1966" s="68">
        <v>5.0</v>
      </c>
      <c r="F1966" s="68">
        <v>4.0</v>
      </c>
      <c r="G1966" s="68">
        <v>4.311308204311</v>
      </c>
      <c r="H1966" s="68">
        <v>185.925166363664</v>
      </c>
      <c r="I1966" s="69">
        <v>44315.986493055556</v>
      </c>
      <c r="J1966" s="69">
        <v>44316.01453703704</v>
      </c>
      <c r="K1966">
        <f>AVERAGE(H1962:H1966)</f>
        <v>80.08937458</v>
      </c>
      <c r="L1966">
        <f>STDEV(H1962:H1966)</f>
        <v>71.00264271</v>
      </c>
      <c r="M1966" s="70">
        <v>185.925166363664</v>
      </c>
      <c r="N1966" s="70">
        <v>185.925166363664</v>
      </c>
      <c r="O1966" s="70">
        <v>4.311308204311</v>
      </c>
      <c r="P1966" s="70">
        <v>4.311308204311</v>
      </c>
    </row>
    <row r="1967" hidden="1">
      <c r="A1967" s="67" t="s">
        <v>2727</v>
      </c>
      <c r="B1967" s="67" t="s">
        <v>17</v>
      </c>
      <c r="C1967" s="68">
        <v>0.25</v>
      </c>
      <c r="D1967" s="68">
        <v>1.0</v>
      </c>
      <c r="E1967" s="68">
        <v>5.0</v>
      </c>
      <c r="F1967" s="68">
        <v>0.0</v>
      </c>
      <c r="G1967" s="68">
        <v>1.35140666837742</v>
      </c>
      <c r="H1967" s="68">
        <v>69.4609543879282</v>
      </c>
      <c r="I1967" s="69">
        <v>44316.01525462963</v>
      </c>
      <c r="J1967" s="69">
        <v>44316.01634259259</v>
      </c>
      <c r="K1967">
        <f>AVERAGE(H1967:H1971)</f>
        <v>108.2301903</v>
      </c>
      <c r="L1967">
        <f>STDEV(H1967:H1971)</f>
        <v>74.39620073</v>
      </c>
      <c r="M1967" s="70">
        <v>69.4609543879282</v>
      </c>
      <c r="N1967" s="70">
        <v>69.4609543879282</v>
      </c>
      <c r="O1967" s="70">
        <v>1.35140666837742</v>
      </c>
      <c r="P1967" s="70">
        <v>1.35140666837742</v>
      </c>
    </row>
    <row r="1968" hidden="1">
      <c r="A1968" s="67" t="s">
        <v>2728</v>
      </c>
      <c r="B1968" s="67" t="s">
        <v>17</v>
      </c>
      <c r="C1968" s="68">
        <v>0.25</v>
      </c>
      <c r="D1968" s="68">
        <v>1.0</v>
      </c>
      <c r="E1968" s="68">
        <v>5.0</v>
      </c>
      <c r="F1968" s="68">
        <v>1.0</v>
      </c>
      <c r="G1968" s="68">
        <v>2.58073127211163</v>
      </c>
      <c r="H1968" s="68">
        <v>121.681263694874</v>
      </c>
      <c r="I1968" s="69">
        <v>44316.017060185186</v>
      </c>
      <c r="J1968" s="69">
        <v>44316.02069444444</v>
      </c>
      <c r="K1968">
        <f>AVERAGE(H1967:H1971)</f>
        <v>108.2301903</v>
      </c>
      <c r="L1968">
        <f>STDEV(H1967:H1971)</f>
        <v>74.39620073</v>
      </c>
      <c r="M1968" s="70">
        <v>121.681263694874</v>
      </c>
      <c r="N1968" s="70">
        <v>121.681263694874</v>
      </c>
      <c r="O1968" s="70">
        <v>2.58073127211163</v>
      </c>
      <c r="P1968" s="70">
        <v>2.58073127211163</v>
      </c>
    </row>
    <row r="1969" hidden="1">
      <c r="A1969" s="67" t="s">
        <v>2729</v>
      </c>
      <c r="B1969" s="67" t="s">
        <v>17</v>
      </c>
      <c r="C1969" s="68">
        <v>0.25</v>
      </c>
      <c r="D1969" s="68">
        <v>1.0</v>
      </c>
      <c r="E1969" s="68">
        <v>5.0</v>
      </c>
      <c r="F1969" s="68">
        <v>2.0</v>
      </c>
      <c r="G1969" s="68">
        <v>4.13327532642862</v>
      </c>
      <c r="H1969" s="68">
        <v>178.93597450466</v>
      </c>
      <c r="I1969" s="69">
        <v>44316.02140046296</v>
      </c>
      <c r="J1969" s="69">
        <v>44316.067407407405</v>
      </c>
      <c r="K1969">
        <f>AVERAGE(H1967:H1971)</f>
        <v>108.2301903</v>
      </c>
      <c r="L1969">
        <f>STDEV(H1967:H1971)</f>
        <v>74.39620073</v>
      </c>
      <c r="M1969" s="70">
        <v>178.93597450466</v>
      </c>
      <c r="N1969" s="70">
        <v>178.93597450466</v>
      </c>
      <c r="O1969" s="70">
        <v>4.13327532642862</v>
      </c>
      <c r="P1969" s="70">
        <v>4.13327532642862</v>
      </c>
    </row>
    <row r="1970" hidden="1">
      <c r="A1970" s="67" t="s">
        <v>2730</v>
      </c>
      <c r="B1970" s="67" t="s">
        <v>17</v>
      </c>
      <c r="C1970" s="68">
        <v>0.25</v>
      </c>
      <c r="D1970" s="68">
        <v>1.0</v>
      </c>
      <c r="E1970" s="68">
        <v>5.0</v>
      </c>
      <c r="F1970" s="68">
        <v>3.0</v>
      </c>
      <c r="G1970" s="68">
        <v>4.47849753259411</v>
      </c>
      <c r="H1970" s="68">
        <v>170.465372264338</v>
      </c>
      <c r="I1970" s="69">
        <v>44316.06811342593</v>
      </c>
      <c r="J1970" s="69">
        <v>44316.06818287037</v>
      </c>
      <c r="K1970">
        <f>AVERAGE(H1967:H1971)</f>
        <v>108.2301903</v>
      </c>
      <c r="L1970">
        <f>STDEV(H1967:H1971)</f>
        <v>74.39620073</v>
      </c>
      <c r="M1970" s="70">
        <v>170.465372264338</v>
      </c>
      <c r="N1970" s="70">
        <v>170.465372264338</v>
      </c>
      <c r="O1970" s="70">
        <v>4.47849753259411</v>
      </c>
      <c r="P1970" s="70">
        <v>4.47849753259411</v>
      </c>
    </row>
    <row r="1971" hidden="1">
      <c r="A1971" s="67" t="s">
        <v>2731</v>
      </c>
      <c r="B1971" s="67" t="s">
        <v>17</v>
      </c>
      <c r="C1971" s="68">
        <v>0.25</v>
      </c>
      <c r="D1971" s="68">
        <v>1.0</v>
      </c>
      <c r="E1971" s="68">
        <v>5.0</v>
      </c>
      <c r="F1971" s="68">
        <v>4.0</v>
      </c>
      <c r="G1971" s="68">
        <v>0.502406485759153</v>
      </c>
      <c r="H1971" s="68">
        <v>0.607386451146328</v>
      </c>
      <c r="I1971" s="69">
        <v>44316.06888888889</v>
      </c>
      <c r="J1971" s="69">
        <v>44316.06931712963</v>
      </c>
      <c r="K1971">
        <f>AVERAGE(H1967:H1971)</f>
        <v>108.2301903</v>
      </c>
      <c r="L1971">
        <f>STDEV(H1967:H1971)</f>
        <v>74.39620073</v>
      </c>
      <c r="M1971" s="70">
        <v>0.607386451146328</v>
      </c>
      <c r="N1971" s="70">
        <v>0.607386451146328</v>
      </c>
      <c r="O1971" s="70">
        <v>0.502406485759153</v>
      </c>
      <c r="P1971" s="70">
        <v>0.502406485759153</v>
      </c>
    </row>
    <row r="1972" hidden="1">
      <c r="A1972" s="67" t="s">
        <v>2732</v>
      </c>
      <c r="B1972" s="67" t="s">
        <v>17</v>
      </c>
      <c r="C1972" s="68">
        <v>0.5</v>
      </c>
      <c r="D1972" s="68">
        <v>0.1</v>
      </c>
      <c r="E1972" s="68">
        <v>5.0</v>
      </c>
      <c r="F1972" s="68">
        <v>0.0</v>
      </c>
      <c r="G1972" s="68">
        <v>3.30373187536481</v>
      </c>
      <c r="H1972" s="68">
        <v>160.271107124319</v>
      </c>
      <c r="I1972" s="69">
        <v>44316.070023148146</v>
      </c>
      <c r="J1972" s="69">
        <v>44316.162407407406</v>
      </c>
      <c r="K1972">
        <f>AVERAGE(H1972:H1976)</f>
        <v>98.90672429</v>
      </c>
      <c r="L1972">
        <f>STDEV(H1972:H1976)</f>
        <v>82.14336532</v>
      </c>
      <c r="M1972" s="70">
        <v>160.271107124319</v>
      </c>
      <c r="N1972" s="70">
        <v>160.271107124319</v>
      </c>
      <c r="O1972" s="70">
        <v>3.30373187536481</v>
      </c>
      <c r="P1972" s="70">
        <v>3.30373187536481</v>
      </c>
    </row>
    <row r="1973" hidden="1">
      <c r="A1973" s="67" t="s">
        <v>2733</v>
      </c>
      <c r="B1973" s="67" t="s">
        <v>17</v>
      </c>
      <c r="C1973" s="68">
        <v>0.5</v>
      </c>
      <c r="D1973" s="68">
        <v>0.1</v>
      </c>
      <c r="E1973" s="68">
        <v>5.0</v>
      </c>
      <c r="F1973" s="68">
        <v>1.0</v>
      </c>
      <c r="G1973" s="68">
        <v>5.63105801777183</v>
      </c>
      <c r="H1973" s="68">
        <v>81.8481036318851</v>
      </c>
      <c r="I1973" s="69">
        <v>44316.16311342592</v>
      </c>
      <c r="J1973" s="69">
        <v>44316.163148148145</v>
      </c>
      <c r="K1973">
        <f>AVERAGE(H1972:H1976)</f>
        <v>98.90672429</v>
      </c>
      <c r="L1973">
        <f>STDEV(H1972:H1976)</f>
        <v>82.14336532</v>
      </c>
      <c r="M1973" s="70">
        <v>81.8481036318851</v>
      </c>
      <c r="N1973" s="70">
        <v>81.8481036318851</v>
      </c>
      <c r="O1973" s="70">
        <v>5.63105801777183</v>
      </c>
      <c r="P1973" s="70">
        <v>5.63105801777183</v>
      </c>
    </row>
    <row r="1974" hidden="1">
      <c r="A1974" s="67" t="s">
        <v>2734</v>
      </c>
      <c r="B1974" s="67" t="s">
        <v>17</v>
      </c>
      <c r="C1974" s="68">
        <v>0.5</v>
      </c>
      <c r="D1974" s="68">
        <v>0.1</v>
      </c>
      <c r="E1974" s="68">
        <v>5.0</v>
      </c>
      <c r="F1974" s="68">
        <v>2.0</v>
      </c>
      <c r="G1974" s="68">
        <v>6.49043622954723</v>
      </c>
      <c r="H1974" s="68">
        <v>205.894721826321</v>
      </c>
      <c r="I1974" s="69">
        <v>44316.16386574074</v>
      </c>
      <c r="J1974" s="69">
        <v>44316.163993055554</v>
      </c>
      <c r="K1974">
        <f>AVERAGE(H1972:H1976)</f>
        <v>98.90672429</v>
      </c>
      <c r="L1974">
        <f>STDEV(H1972:H1976)</f>
        <v>82.14336532</v>
      </c>
      <c r="M1974" s="70">
        <v>205.894721826321</v>
      </c>
      <c r="N1974" s="70">
        <v>205.894721826321</v>
      </c>
      <c r="O1974" s="70">
        <v>6.49043622954723</v>
      </c>
      <c r="P1974" s="70">
        <v>6.49043622954723</v>
      </c>
    </row>
    <row r="1975" hidden="1">
      <c r="A1975" s="67" t="s">
        <v>2735</v>
      </c>
      <c r="B1975" s="67" t="s">
        <v>17</v>
      </c>
      <c r="C1975" s="68">
        <v>0.5</v>
      </c>
      <c r="D1975" s="68">
        <v>0.1</v>
      </c>
      <c r="E1975" s="68">
        <v>5.0</v>
      </c>
      <c r="F1975" s="68">
        <v>3.0</v>
      </c>
      <c r="G1975" s="68">
        <v>2.24877658640785</v>
      </c>
      <c r="H1975" s="68">
        <v>18.6656436356286</v>
      </c>
      <c r="I1975" s="69">
        <v>44316.16471064815</v>
      </c>
      <c r="J1975" s="69">
        <v>44316.164722222224</v>
      </c>
      <c r="K1975">
        <f>AVERAGE(H1972:H1976)</f>
        <v>98.90672429</v>
      </c>
      <c r="L1975">
        <f>STDEV(H1972:H1976)</f>
        <v>82.14336532</v>
      </c>
      <c r="M1975" s="70">
        <v>18.6656436356286</v>
      </c>
      <c r="N1975" s="70">
        <v>18.6656436356286</v>
      </c>
      <c r="O1975" s="70">
        <v>2.24877658640785</v>
      </c>
      <c r="P1975" s="70">
        <v>2.24877658640785</v>
      </c>
    </row>
    <row r="1976" hidden="1">
      <c r="A1976" s="67" t="s">
        <v>2736</v>
      </c>
      <c r="B1976" s="67" t="s">
        <v>17</v>
      </c>
      <c r="C1976" s="68">
        <v>0.5</v>
      </c>
      <c r="D1976" s="68">
        <v>0.1</v>
      </c>
      <c r="E1976" s="68">
        <v>5.0</v>
      </c>
      <c r="F1976" s="68">
        <v>4.0</v>
      </c>
      <c r="G1976" s="68">
        <v>1.68706523863738</v>
      </c>
      <c r="H1976" s="68">
        <v>27.8540452093751</v>
      </c>
      <c r="I1976" s="69">
        <v>44316.16543981482</v>
      </c>
      <c r="J1976" s="69">
        <v>44316.165868055556</v>
      </c>
      <c r="K1976">
        <f>AVERAGE(H1972:H1976)</f>
        <v>98.90672429</v>
      </c>
      <c r="L1976">
        <f>STDEV(H1972:H1976)</f>
        <v>82.14336532</v>
      </c>
      <c r="M1976" s="70">
        <v>27.8540452093751</v>
      </c>
      <c r="N1976" s="70">
        <v>27.8540452093751</v>
      </c>
      <c r="O1976" s="70">
        <v>1.68706523863738</v>
      </c>
      <c r="P1976" s="70">
        <v>1.68706523863738</v>
      </c>
    </row>
    <row r="1977" hidden="1">
      <c r="A1977" s="67" t="s">
        <v>2737</v>
      </c>
      <c r="B1977" s="67" t="s">
        <v>17</v>
      </c>
      <c r="C1977" s="68">
        <v>0.5</v>
      </c>
      <c r="D1977" s="68">
        <v>0.25</v>
      </c>
      <c r="E1977" s="68">
        <v>5.0</v>
      </c>
      <c r="F1977" s="68">
        <v>0.0</v>
      </c>
      <c r="G1977" s="68">
        <v>2.48724842367287</v>
      </c>
      <c r="H1977" s="68">
        <v>131.763980207444</v>
      </c>
      <c r="I1977" s="69">
        <v>44316.16658564815</v>
      </c>
      <c r="J1977" s="69">
        <v>44316.16680555556</v>
      </c>
      <c r="K1977">
        <f>AVERAGE(H1977:H1981)</f>
        <v>84.81713068</v>
      </c>
      <c r="L1977">
        <f>STDEV(H1977:H1981)</f>
        <v>84.85521773</v>
      </c>
      <c r="M1977" s="70">
        <v>131.763980207444</v>
      </c>
      <c r="N1977" s="70">
        <v>131.763980207444</v>
      </c>
      <c r="O1977" s="70">
        <v>2.48724842367287</v>
      </c>
      <c r="P1977" s="70">
        <v>2.48724842367287</v>
      </c>
    </row>
    <row r="1978" hidden="1">
      <c r="A1978" s="67" t="s">
        <v>2738</v>
      </c>
      <c r="B1978" s="67" t="s">
        <v>17</v>
      </c>
      <c r="C1978" s="68">
        <v>0.5</v>
      </c>
      <c r="D1978" s="68">
        <v>0.25</v>
      </c>
      <c r="E1978" s="68">
        <v>5.0</v>
      </c>
      <c r="F1978" s="68">
        <v>1.0</v>
      </c>
      <c r="G1978" s="68">
        <v>0.550209859039871</v>
      </c>
      <c r="H1978" s="68">
        <v>0.676653529637786</v>
      </c>
      <c r="I1978" s="69">
        <v>44316.16752314815</v>
      </c>
      <c r="J1978" s="69">
        <v>44316.167662037034</v>
      </c>
      <c r="K1978">
        <f>AVERAGE(H1977:H1981)</f>
        <v>84.81713068</v>
      </c>
      <c r="L1978">
        <f>STDEV(H1977:H1981)</f>
        <v>84.85521773</v>
      </c>
      <c r="M1978" s="70">
        <v>0.676653529637786</v>
      </c>
      <c r="N1978" s="70">
        <v>0.676653529637786</v>
      </c>
      <c r="O1978" s="70">
        <v>0.550209859039871</v>
      </c>
      <c r="P1978" s="70">
        <v>0.550209859039871</v>
      </c>
    </row>
    <row r="1979" hidden="1">
      <c r="A1979" s="67" t="s">
        <v>2739</v>
      </c>
      <c r="B1979" s="67" t="s">
        <v>17</v>
      </c>
      <c r="C1979" s="68">
        <v>0.5</v>
      </c>
      <c r="D1979" s="68">
        <v>0.25</v>
      </c>
      <c r="E1979" s="68">
        <v>5.0</v>
      </c>
      <c r="F1979" s="68">
        <v>2.0</v>
      </c>
      <c r="G1979" s="68">
        <v>1.07991001504809</v>
      </c>
      <c r="H1979" s="68">
        <v>1.4504242499467</v>
      </c>
      <c r="I1979" s="69">
        <v>44316.16836805556</v>
      </c>
      <c r="J1979" s="69">
        <v>44316.1684837963</v>
      </c>
      <c r="K1979">
        <f>AVERAGE(H1977:H1981)</f>
        <v>84.81713068</v>
      </c>
      <c r="L1979">
        <f>STDEV(H1977:H1981)</f>
        <v>84.85521773</v>
      </c>
      <c r="M1979" s="70">
        <v>1.4504242499467</v>
      </c>
      <c r="N1979" s="70">
        <v>1.4504242499467</v>
      </c>
      <c r="O1979" s="70">
        <v>1.07991001504809</v>
      </c>
      <c r="P1979" s="70">
        <v>1.07991001504809</v>
      </c>
    </row>
    <row r="1980" hidden="1">
      <c r="A1980" s="67" t="s">
        <v>2740</v>
      </c>
      <c r="B1980" s="67" t="s">
        <v>17</v>
      </c>
      <c r="C1980" s="68">
        <v>0.5</v>
      </c>
      <c r="D1980" s="68">
        <v>0.25</v>
      </c>
      <c r="E1980" s="68">
        <v>5.0</v>
      </c>
      <c r="F1980" s="68">
        <v>3.0</v>
      </c>
      <c r="G1980" s="68">
        <v>5.0055780207662</v>
      </c>
      <c r="H1980" s="68">
        <v>196.578364697994</v>
      </c>
      <c r="I1980" s="69">
        <v>44316.16920138889</v>
      </c>
      <c r="J1980" s="69">
        <v>44316.19396990741</v>
      </c>
      <c r="K1980">
        <f>AVERAGE(H1977:H1981)</f>
        <v>84.81713068</v>
      </c>
      <c r="L1980">
        <f>STDEV(H1977:H1981)</f>
        <v>84.85521773</v>
      </c>
      <c r="M1980" s="70">
        <v>196.578364697994</v>
      </c>
      <c r="N1980" s="70">
        <v>196.578364697994</v>
      </c>
      <c r="O1980" s="70">
        <v>5.0055780207662</v>
      </c>
      <c r="P1980" s="70">
        <v>5.0055780207662</v>
      </c>
    </row>
    <row r="1981" hidden="1">
      <c r="A1981" s="67" t="s">
        <v>2741</v>
      </c>
      <c r="B1981" s="67" t="s">
        <v>17</v>
      </c>
      <c r="C1981" s="68">
        <v>0.5</v>
      </c>
      <c r="D1981" s="68">
        <v>0.25</v>
      </c>
      <c r="E1981" s="68">
        <v>5.0</v>
      </c>
      <c r="F1981" s="68">
        <v>4.0</v>
      </c>
      <c r="G1981" s="68">
        <v>1.62080575969184</v>
      </c>
      <c r="H1981" s="68">
        <v>93.6162306994342</v>
      </c>
      <c r="I1981" s="69">
        <v>44316.1946875</v>
      </c>
      <c r="J1981" s="69">
        <v>44316.20974537037</v>
      </c>
      <c r="K1981">
        <f>AVERAGE(H1977:H1981)</f>
        <v>84.81713068</v>
      </c>
      <c r="L1981">
        <f>STDEV(H1977:H1981)</f>
        <v>84.85521773</v>
      </c>
      <c r="M1981" s="70">
        <v>93.6162306994342</v>
      </c>
      <c r="N1981" s="70">
        <v>93.6162306994342</v>
      </c>
      <c r="O1981" s="70">
        <v>1.62080575969184</v>
      </c>
      <c r="P1981" s="70">
        <v>1.62080575969184</v>
      </c>
    </row>
    <row r="1982" hidden="1">
      <c r="A1982" s="67" t="s">
        <v>2742</v>
      </c>
      <c r="B1982" s="67" t="s">
        <v>17</v>
      </c>
      <c r="C1982" s="68">
        <v>0.5</v>
      </c>
      <c r="D1982" s="68">
        <v>0.5</v>
      </c>
      <c r="E1982" s="68">
        <v>5.0</v>
      </c>
      <c r="F1982" s="68">
        <v>0.0</v>
      </c>
      <c r="G1982" s="68">
        <v>2.75706196110069</v>
      </c>
      <c r="H1982" s="68">
        <v>131.663117148045</v>
      </c>
      <c r="I1982" s="69">
        <v>44316.21045138889</v>
      </c>
      <c r="J1982" s="69">
        <v>44316.21949074074</v>
      </c>
      <c r="K1982">
        <f>AVERAGE(H1982:H1986)</f>
        <v>140.0072648</v>
      </c>
      <c r="L1982">
        <f>STDEV(H1982:H1986)</f>
        <v>91.83913998</v>
      </c>
      <c r="M1982" s="70">
        <v>131.663117148045</v>
      </c>
      <c r="N1982" s="70">
        <v>131.663117148045</v>
      </c>
      <c r="O1982" s="70">
        <v>2.75706196110069</v>
      </c>
      <c r="P1982" s="70">
        <v>2.75706196110069</v>
      </c>
    </row>
    <row r="1983" hidden="1">
      <c r="A1983" s="67" t="s">
        <v>2743</v>
      </c>
      <c r="B1983" s="67" t="s">
        <v>17</v>
      </c>
      <c r="C1983" s="68">
        <v>0.5</v>
      </c>
      <c r="D1983" s="68">
        <v>0.5</v>
      </c>
      <c r="E1983" s="68">
        <v>5.0</v>
      </c>
      <c r="F1983" s="68">
        <v>1.0</v>
      </c>
      <c r="G1983" s="68">
        <v>2.46074579302741</v>
      </c>
      <c r="H1983" s="68">
        <v>125.633875972684</v>
      </c>
      <c r="I1983" s="69">
        <v>44316.22019675926</v>
      </c>
      <c r="J1983" s="69">
        <v>44316.22429398148</v>
      </c>
      <c r="K1983">
        <f>AVERAGE(H1982:H1986)</f>
        <v>140.0072648</v>
      </c>
      <c r="L1983">
        <f>STDEV(H1982:H1986)</f>
        <v>91.83913998</v>
      </c>
      <c r="M1983" s="70">
        <v>125.633875972684</v>
      </c>
      <c r="N1983" s="70">
        <v>125.633875972684</v>
      </c>
      <c r="O1983" s="70">
        <v>2.46074579302741</v>
      </c>
      <c r="P1983" s="70">
        <v>2.46074579302741</v>
      </c>
    </row>
    <row r="1984" hidden="1">
      <c r="A1984" s="67" t="s">
        <v>2744</v>
      </c>
      <c r="B1984" s="67" t="s">
        <v>17</v>
      </c>
      <c r="C1984" s="68">
        <v>0.5</v>
      </c>
      <c r="D1984" s="68">
        <v>0.5</v>
      </c>
      <c r="E1984" s="68">
        <v>5.0</v>
      </c>
      <c r="F1984" s="68">
        <v>2.0</v>
      </c>
      <c r="G1984" s="68">
        <v>2.42233382393947</v>
      </c>
      <c r="H1984" s="68">
        <v>128.425744067992</v>
      </c>
      <c r="I1984" s="69">
        <v>44316.225011574075</v>
      </c>
      <c r="J1984" s="69">
        <v>44316.22851851852</v>
      </c>
      <c r="K1984">
        <f>AVERAGE(H1982:H1986)</f>
        <v>140.0072648</v>
      </c>
      <c r="L1984">
        <f>STDEV(H1982:H1986)</f>
        <v>91.83913998</v>
      </c>
      <c r="M1984" s="70">
        <v>128.425744067992</v>
      </c>
      <c r="N1984" s="70">
        <v>128.425744067992</v>
      </c>
      <c r="O1984" s="70">
        <v>2.42233382393947</v>
      </c>
      <c r="P1984" s="70">
        <v>2.42233382393947</v>
      </c>
    </row>
    <row r="1985" hidden="1">
      <c r="A1985" s="67" t="s">
        <v>2745</v>
      </c>
      <c r="B1985" s="67" t="s">
        <v>17</v>
      </c>
      <c r="C1985" s="68">
        <v>0.5</v>
      </c>
      <c r="D1985" s="68">
        <v>0.5</v>
      </c>
      <c r="E1985" s="68">
        <v>5.0</v>
      </c>
      <c r="F1985" s="68">
        <v>3.0</v>
      </c>
      <c r="G1985" s="68">
        <v>9.07408756525385</v>
      </c>
      <c r="H1985" s="68">
        <v>285.100427782006</v>
      </c>
      <c r="I1985" s="69">
        <v>44316.22923611111</v>
      </c>
      <c r="J1985" s="69">
        <v>44316.23002314815</v>
      </c>
      <c r="K1985">
        <f>AVERAGE(H1982:H1986)</f>
        <v>140.0072648</v>
      </c>
      <c r="L1985">
        <f>STDEV(H1982:H1986)</f>
        <v>91.83913998</v>
      </c>
      <c r="M1985" s="70">
        <v>285.100427782006</v>
      </c>
      <c r="N1985" s="70">
        <v>285.100427782006</v>
      </c>
      <c r="O1985" s="70">
        <v>9.07408756525385</v>
      </c>
      <c r="P1985" s="70">
        <v>9.07408756525385</v>
      </c>
    </row>
    <row r="1986" hidden="1">
      <c r="A1986" s="67" t="s">
        <v>2746</v>
      </c>
      <c r="B1986" s="67" t="s">
        <v>17</v>
      </c>
      <c r="C1986" s="68">
        <v>0.5</v>
      </c>
      <c r="D1986" s="68">
        <v>0.5</v>
      </c>
      <c r="E1986" s="68">
        <v>5.0</v>
      </c>
      <c r="F1986" s="68">
        <v>4.0</v>
      </c>
      <c r="G1986" s="68">
        <v>1.7082910322834</v>
      </c>
      <c r="H1986" s="68">
        <v>29.2131591189311</v>
      </c>
      <c r="I1986" s="69">
        <v>44316.230729166666</v>
      </c>
      <c r="J1986" s="69">
        <v>44316.231099537035</v>
      </c>
      <c r="K1986">
        <f>AVERAGE(H1982:H1986)</f>
        <v>140.0072648</v>
      </c>
      <c r="L1986">
        <f>STDEV(H1982:H1986)</f>
        <v>91.83913998</v>
      </c>
      <c r="M1986" s="70">
        <v>29.2131591189311</v>
      </c>
      <c r="N1986" s="70">
        <v>29.2131591189311</v>
      </c>
      <c r="O1986" s="70">
        <v>1.7082910322834</v>
      </c>
      <c r="P1986" s="70">
        <v>1.7082910322834</v>
      </c>
    </row>
    <row r="1987" hidden="1">
      <c r="A1987" s="67" t="s">
        <v>2747</v>
      </c>
      <c r="B1987" s="67" t="s">
        <v>17</v>
      </c>
      <c r="C1987" s="68">
        <v>0.5</v>
      </c>
      <c r="D1987" s="68">
        <v>0.75</v>
      </c>
      <c r="E1987" s="68">
        <v>5.0</v>
      </c>
      <c r="F1987" s="68">
        <v>0.0</v>
      </c>
      <c r="G1987" s="68">
        <v>1.79312338282108</v>
      </c>
      <c r="H1987" s="68">
        <v>30.7718525104888</v>
      </c>
      <c r="I1987" s="69">
        <v>44316.23181712963</v>
      </c>
      <c r="J1987" s="69">
        <v>44316.23212962963</v>
      </c>
      <c r="K1987">
        <f>AVERAGE(H1987:H1991)</f>
        <v>109.1677826</v>
      </c>
      <c r="L1987">
        <f>STDEV(H1987:H1991)</f>
        <v>88.08647735</v>
      </c>
      <c r="M1987" s="70">
        <v>30.7718525104888</v>
      </c>
      <c r="N1987" s="70">
        <v>30.7718525104888</v>
      </c>
      <c r="O1987" s="70">
        <v>1.79312338282108</v>
      </c>
      <c r="P1987" s="70">
        <v>1.79312338282108</v>
      </c>
    </row>
    <row r="1988" hidden="1">
      <c r="A1988" s="67" t="s">
        <v>2748</v>
      </c>
      <c r="B1988" s="67" t="s">
        <v>17</v>
      </c>
      <c r="C1988" s="68">
        <v>0.5</v>
      </c>
      <c r="D1988" s="68">
        <v>0.75</v>
      </c>
      <c r="E1988" s="68">
        <v>5.0</v>
      </c>
      <c r="F1988" s="68">
        <v>1.0</v>
      </c>
      <c r="G1988" s="68">
        <v>2.59772271020311</v>
      </c>
      <c r="H1988" s="68">
        <v>125.09001276236</v>
      </c>
      <c r="I1988" s="69">
        <v>44316.232835648145</v>
      </c>
      <c r="J1988" s="69">
        <v>44316.27568287037</v>
      </c>
      <c r="K1988">
        <f>AVERAGE(H1987:H1991)</f>
        <v>109.1677826</v>
      </c>
      <c r="L1988">
        <f>STDEV(H1987:H1991)</f>
        <v>88.08647735</v>
      </c>
      <c r="M1988" s="70">
        <v>125.09001276236</v>
      </c>
      <c r="N1988" s="70">
        <v>125.09001276236</v>
      </c>
      <c r="O1988" s="70">
        <v>2.59772271020311</v>
      </c>
      <c r="P1988" s="70">
        <v>2.59772271020311</v>
      </c>
    </row>
    <row r="1989" hidden="1">
      <c r="A1989" s="67" t="s">
        <v>2749</v>
      </c>
      <c r="B1989" s="67" t="s">
        <v>17</v>
      </c>
      <c r="C1989" s="68">
        <v>0.5</v>
      </c>
      <c r="D1989" s="68">
        <v>0.75</v>
      </c>
      <c r="E1989" s="68">
        <v>5.0</v>
      </c>
      <c r="F1989" s="68">
        <v>2.0</v>
      </c>
      <c r="G1989" s="68">
        <v>4.93946187234476</v>
      </c>
      <c r="H1989" s="68">
        <v>197.569801976745</v>
      </c>
      <c r="I1989" s="69">
        <v>44316.276400462964</v>
      </c>
      <c r="J1989" s="69">
        <v>44316.27890046296</v>
      </c>
      <c r="K1989">
        <f>AVERAGE(H1987:H1991)</f>
        <v>109.1677826</v>
      </c>
      <c r="L1989">
        <f>STDEV(H1987:H1991)</f>
        <v>88.08647735</v>
      </c>
      <c r="M1989" s="70">
        <v>197.569801976745</v>
      </c>
      <c r="N1989" s="70">
        <v>197.569801976745</v>
      </c>
      <c r="O1989" s="70">
        <v>4.93946187234476</v>
      </c>
      <c r="P1989" s="70">
        <v>4.93946187234476</v>
      </c>
    </row>
    <row r="1990" hidden="1">
      <c r="A1990" s="67" t="s">
        <v>2750</v>
      </c>
      <c r="B1990" s="67" t="s">
        <v>17</v>
      </c>
      <c r="C1990" s="68">
        <v>0.5</v>
      </c>
      <c r="D1990" s="68">
        <v>0.75</v>
      </c>
      <c r="E1990" s="68">
        <v>5.0</v>
      </c>
      <c r="F1990" s="68">
        <v>3.0</v>
      </c>
      <c r="G1990" s="68">
        <v>0.746697057190632</v>
      </c>
      <c r="H1990" s="68">
        <v>5.41151198828655</v>
      </c>
      <c r="I1990" s="69">
        <v>44316.27961805555</v>
      </c>
      <c r="J1990" s="69">
        <v>44316.27966435185</v>
      </c>
      <c r="K1990">
        <f>AVERAGE(H1987:H1991)</f>
        <v>109.1677826</v>
      </c>
      <c r="L1990">
        <f>STDEV(H1987:H1991)</f>
        <v>88.08647735</v>
      </c>
      <c r="M1990" s="70">
        <v>5.41151198828655</v>
      </c>
      <c r="N1990" s="70">
        <v>5.41151198828655</v>
      </c>
      <c r="O1990" s="70">
        <v>0.746697057190632</v>
      </c>
      <c r="P1990" s="70">
        <v>0.746697057190632</v>
      </c>
    </row>
    <row r="1991" hidden="1">
      <c r="A1991" s="67" t="s">
        <v>2751</v>
      </c>
      <c r="B1991" s="67" t="s">
        <v>17</v>
      </c>
      <c r="C1991" s="68">
        <v>0.5</v>
      </c>
      <c r="D1991" s="68">
        <v>0.75</v>
      </c>
      <c r="E1991" s="68">
        <v>5.0</v>
      </c>
      <c r="F1991" s="68">
        <v>4.0</v>
      </c>
      <c r="G1991" s="68">
        <v>4.23882428882822</v>
      </c>
      <c r="H1991" s="68">
        <v>186.995733754719</v>
      </c>
      <c r="I1991" s="69">
        <v>44316.28037037037</v>
      </c>
      <c r="J1991" s="69">
        <v>44316.28094907408</v>
      </c>
      <c r="K1991">
        <f>AVERAGE(H1987:H1991)</f>
        <v>109.1677826</v>
      </c>
      <c r="L1991">
        <f>STDEV(H1987:H1991)</f>
        <v>88.08647735</v>
      </c>
      <c r="M1991" s="70">
        <v>186.995733754719</v>
      </c>
      <c r="N1991" s="70">
        <v>186.995733754719</v>
      </c>
      <c r="O1991" s="70">
        <v>4.23882428882822</v>
      </c>
      <c r="P1991" s="70">
        <v>4.23882428882822</v>
      </c>
    </row>
    <row r="1992" hidden="1">
      <c r="A1992" s="67" t="s">
        <v>2752</v>
      </c>
      <c r="B1992" s="67" t="s">
        <v>17</v>
      </c>
      <c r="C1992" s="68">
        <v>0.5</v>
      </c>
      <c r="D1992" s="68">
        <v>1.0</v>
      </c>
      <c r="E1992" s="68">
        <v>5.0</v>
      </c>
      <c r="F1992" s="68">
        <v>0.0</v>
      </c>
      <c r="G1992" s="68">
        <v>4.98841093823126</v>
      </c>
      <c r="H1992" s="68">
        <v>205.527200915382</v>
      </c>
      <c r="I1992" s="69">
        <v>44316.28165509259</v>
      </c>
      <c r="J1992" s="69">
        <v>44316.28346064815</v>
      </c>
      <c r="K1992">
        <f>AVERAGE(H1992:H1996)</f>
        <v>91.48034683</v>
      </c>
      <c r="L1992">
        <f>STDEV(H1992:H1996)</f>
        <v>90.4486948</v>
      </c>
      <c r="M1992" s="70">
        <v>205.527200915382</v>
      </c>
      <c r="N1992" s="70">
        <v>205.527200915382</v>
      </c>
      <c r="O1992" s="70">
        <v>4.98841093823126</v>
      </c>
      <c r="P1992" s="70">
        <v>4.98841093823126</v>
      </c>
    </row>
    <row r="1993" hidden="1">
      <c r="A1993" s="67" t="s">
        <v>2753</v>
      </c>
      <c r="B1993" s="67" t="s">
        <v>17</v>
      </c>
      <c r="C1993" s="68">
        <v>0.5</v>
      </c>
      <c r="D1993" s="68">
        <v>1.0</v>
      </c>
      <c r="E1993" s="68">
        <v>5.0</v>
      </c>
      <c r="F1993" s="68">
        <v>1.0</v>
      </c>
      <c r="G1993" s="68">
        <v>3.15536156463356</v>
      </c>
      <c r="H1993" s="68">
        <v>145.999147221961</v>
      </c>
      <c r="I1993" s="69">
        <v>44316.284166666665</v>
      </c>
      <c r="J1993" s="69">
        <v>44316.34826388889</v>
      </c>
      <c r="K1993">
        <f>AVERAGE(H1992:H1996)</f>
        <v>91.48034683</v>
      </c>
      <c r="L1993">
        <f>STDEV(H1992:H1996)</f>
        <v>90.4486948</v>
      </c>
      <c r="M1993" s="70">
        <v>145.999147221961</v>
      </c>
      <c r="N1993" s="70">
        <v>145.999147221961</v>
      </c>
      <c r="O1993" s="70">
        <v>3.15536156463356</v>
      </c>
      <c r="P1993" s="70">
        <v>3.15536156463356</v>
      </c>
    </row>
    <row r="1994" hidden="1">
      <c r="A1994" s="67" t="s">
        <v>2754</v>
      </c>
      <c r="B1994" s="67" t="s">
        <v>17</v>
      </c>
      <c r="C1994" s="68">
        <v>0.5</v>
      </c>
      <c r="D1994" s="68">
        <v>1.0</v>
      </c>
      <c r="E1994" s="68">
        <v>5.0</v>
      </c>
      <c r="F1994" s="68">
        <v>2.0</v>
      </c>
      <c r="G1994" s="68">
        <v>2.64269675802748</v>
      </c>
      <c r="H1994" s="68">
        <v>104.924034329767</v>
      </c>
      <c r="I1994" s="69">
        <v>44316.34898148148</v>
      </c>
      <c r="J1994" s="69">
        <v>44316.34946759259</v>
      </c>
      <c r="K1994">
        <f>AVERAGE(H1992:H1996)</f>
        <v>91.48034683</v>
      </c>
      <c r="L1994">
        <f>STDEV(H1992:H1996)</f>
        <v>90.4486948</v>
      </c>
      <c r="M1994" s="70">
        <v>104.924034329767</v>
      </c>
      <c r="N1994" s="70">
        <v>104.924034329767</v>
      </c>
      <c r="O1994" s="70">
        <v>2.64269675802748</v>
      </c>
      <c r="P1994" s="70">
        <v>2.64269675802748</v>
      </c>
    </row>
    <row r="1995" hidden="1">
      <c r="A1995" s="67" t="s">
        <v>2755</v>
      </c>
      <c r="B1995" s="67" t="s">
        <v>17</v>
      </c>
      <c r="C1995" s="68">
        <v>0.5</v>
      </c>
      <c r="D1995" s="68">
        <v>1.0</v>
      </c>
      <c r="E1995" s="68">
        <v>5.0</v>
      </c>
      <c r="F1995" s="68">
        <v>3.0</v>
      </c>
      <c r="G1995" s="68">
        <v>0.71205655889852</v>
      </c>
      <c r="H1995" s="68">
        <v>0.948977832482219</v>
      </c>
      <c r="I1995" s="69">
        <v>44316.350173611114</v>
      </c>
      <c r="J1995" s="69">
        <v>44316.35040509259</v>
      </c>
      <c r="K1995">
        <f>AVERAGE(H1992:H1996)</f>
        <v>91.48034683</v>
      </c>
      <c r="L1995">
        <f>STDEV(H1992:H1996)</f>
        <v>90.4486948</v>
      </c>
      <c r="M1995" s="70">
        <v>0.948977832482219</v>
      </c>
      <c r="N1995" s="70">
        <v>0.948977832482219</v>
      </c>
      <c r="O1995" s="70">
        <v>0.71205655889852</v>
      </c>
      <c r="P1995" s="70">
        <v>0.71205655889852</v>
      </c>
    </row>
    <row r="1996" hidden="1">
      <c r="A1996" s="67" t="s">
        <v>2756</v>
      </c>
      <c r="B1996" s="67" t="s">
        <v>17</v>
      </c>
      <c r="C1996" s="68">
        <v>0.5</v>
      </c>
      <c r="D1996" s="68">
        <v>1.0</v>
      </c>
      <c r="E1996" s="68">
        <v>5.0</v>
      </c>
      <c r="F1996" s="68">
        <v>4.0</v>
      </c>
      <c r="G1996" s="68">
        <v>0.00212414683868772</v>
      </c>
      <c r="H1996" s="68">
        <v>0.00237387135969094</v>
      </c>
      <c r="I1996" s="69">
        <v>44316.351122685184</v>
      </c>
      <c r="J1996" s="69">
        <v>44316.351122685184</v>
      </c>
      <c r="K1996">
        <f>AVERAGE(H1992:H1996)</f>
        <v>91.48034683</v>
      </c>
      <c r="L1996">
        <f>STDEV(H1992:H1996)</f>
        <v>90.4486948</v>
      </c>
      <c r="M1996" s="70">
        <v>0.00237387135969094</v>
      </c>
      <c r="N1996" s="70">
        <v>0.00237387135969094</v>
      </c>
      <c r="O1996" s="70">
        <v>0.00212414683868772</v>
      </c>
      <c r="P1996" s="70">
        <v>0.00212414683868772</v>
      </c>
    </row>
    <row r="1997" hidden="1">
      <c r="A1997" s="67" t="s">
        <v>2757</v>
      </c>
      <c r="B1997" s="67" t="s">
        <v>17</v>
      </c>
      <c r="C1997" s="68">
        <v>0.75</v>
      </c>
      <c r="D1997" s="68">
        <v>0.1</v>
      </c>
      <c r="E1997" s="68">
        <v>5.0</v>
      </c>
      <c r="F1997" s="68">
        <v>0.0</v>
      </c>
      <c r="G1997" s="68">
        <v>9.1660670465212</v>
      </c>
      <c r="H1997" s="68">
        <v>291.169959545357</v>
      </c>
      <c r="I1997" s="69">
        <v>44316.3518287037</v>
      </c>
      <c r="J1997" s="69">
        <v>44316.35203703704</v>
      </c>
      <c r="K1997">
        <f>AVERAGE(H1997:H2001)</f>
        <v>106.3597284</v>
      </c>
      <c r="L1997">
        <f>STDEV(H1997:H2001)</f>
        <v>122.2257129</v>
      </c>
      <c r="M1997" s="70">
        <v>291.169959545357</v>
      </c>
      <c r="N1997" s="70">
        <v>291.169959545357</v>
      </c>
      <c r="O1997" s="70">
        <v>9.1660670465212</v>
      </c>
      <c r="P1997" s="70">
        <v>9.1660670465212</v>
      </c>
    </row>
    <row r="1998" hidden="1">
      <c r="A1998" s="67" t="s">
        <v>2758</v>
      </c>
      <c r="B1998" s="67" t="s">
        <v>17</v>
      </c>
      <c r="C1998" s="68">
        <v>0.75</v>
      </c>
      <c r="D1998" s="68">
        <v>0.1</v>
      </c>
      <c r="E1998" s="68">
        <v>5.0</v>
      </c>
      <c r="F1998" s="68">
        <v>1.0</v>
      </c>
      <c r="G1998" s="68">
        <v>1.48194844252264</v>
      </c>
      <c r="H1998" s="68">
        <v>73.0062139817333</v>
      </c>
      <c r="I1998" s="69">
        <v>44316.352743055555</v>
      </c>
      <c r="J1998" s="69">
        <v>44316.35355324074</v>
      </c>
      <c r="K1998">
        <f>AVERAGE(H1997:H2001)</f>
        <v>106.3597284</v>
      </c>
      <c r="L1998">
        <f>STDEV(H1997:H2001)</f>
        <v>122.2257129</v>
      </c>
      <c r="M1998" s="70">
        <v>73.0062139817333</v>
      </c>
      <c r="N1998" s="70">
        <v>73.0062139817333</v>
      </c>
      <c r="O1998" s="70">
        <v>1.48194844252264</v>
      </c>
      <c r="P1998" s="70">
        <v>1.48194844252264</v>
      </c>
    </row>
    <row r="1999" hidden="1">
      <c r="A1999" s="67" t="s">
        <v>2759</v>
      </c>
      <c r="B1999" s="67" t="s">
        <v>17</v>
      </c>
      <c r="C1999" s="68">
        <v>0.75</v>
      </c>
      <c r="D1999" s="68">
        <v>0.1</v>
      </c>
      <c r="E1999" s="68">
        <v>5.0</v>
      </c>
      <c r="F1999" s="68">
        <v>2.0</v>
      </c>
      <c r="G1999" s="68">
        <v>3.54252389313377</v>
      </c>
      <c r="H1999" s="68">
        <v>161.806638564789</v>
      </c>
      <c r="I1999" s="69">
        <v>44316.35425925926</v>
      </c>
      <c r="J1999" s="69">
        <v>44316.42748842593</v>
      </c>
      <c r="K1999">
        <f>AVERAGE(H1997:H2001)</f>
        <v>106.3597284</v>
      </c>
      <c r="L1999">
        <f>STDEV(H1997:H2001)</f>
        <v>122.2257129</v>
      </c>
      <c r="M1999" s="70">
        <v>161.806638564789</v>
      </c>
      <c r="N1999" s="70">
        <v>161.806638564789</v>
      </c>
      <c r="O1999" s="70">
        <v>3.54252389313377</v>
      </c>
      <c r="P1999" s="70">
        <v>3.54252389313377</v>
      </c>
    </row>
    <row r="2000" hidden="1">
      <c r="A2000" s="67" t="s">
        <v>2760</v>
      </c>
      <c r="B2000" s="67" t="s">
        <v>17</v>
      </c>
      <c r="C2000" s="68">
        <v>0.75</v>
      </c>
      <c r="D2000" s="68">
        <v>0.1</v>
      </c>
      <c r="E2000" s="68">
        <v>5.0</v>
      </c>
      <c r="F2000" s="68">
        <v>3.0</v>
      </c>
      <c r="G2000" s="68">
        <v>0.534720242116522</v>
      </c>
      <c r="H2000" s="68">
        <v>0.63790152668925</v>
      </c>
      <c r="I2000" s="69">
        <v>44316.428194444445</v>
      </c>
      <c r="J2000" s="69">
        <v>44316.42875</v>
      </c>
      <c r="K2000">
        <f>AVERAGE(H1997:H2001)</f>
        <v>106.3597284</v>
      </c>
      <c r="L2000">
        <f>STDEV(H1997:H2001)</f>
        <v>122.2257129</v>
      </c>
      <c r="M2000" s="70">
        <v>0.63790152668925</v>
      </c>
      <c r="N2000" s="70">
        <v>0.63790152668925</v>
      </c>
      <c r="O2000" s="70">
        <v>0.534720242116522</v>
      </c>
      <c r="P2000" s="70">
        <v>0.534720242116522</v>
      </c>
    </row>
    <row r="2001" hidden="1">
      <c r="A2001" s="67" t="s">
        <v>2761</v>
      </c>
      <c r="B2001" s="67" t="s">
        <v>17</v>
      </c>
      <c r="C2001" s="68">
        <v>0.75</v>
      </c>
      <c r="D2001" s="68">
        <v>0.1</v>
      </c>
      <c r="E2001" s="68">
        <v>5.0</v>
      </c>
      <c r="F2001" s="68">
        <v>4.0</v>
      </c>
      <c r="G2001" s="68">
        <v>0.721965479667454</v>
      </c>
      <c r="H2001" s="68">
        <v>5.17792850242767</v>
      </c>
      <c r="I2001" s="69">
        <v>44316.429456018515</v>
      </c>
      <c r="J2001" s="69">
        <v>44316.42951388889</v>
      </c>
      <c r="K2001">
        <f>AVERAGE(H1997:H2001)</f>
        <v>106.3597284</v>
      </c>
      <c r="L2001">
        <f>STDEV(H1997:H2001)</f>
        <v>122.2257129</v>
      </c>
      <c r="M2001" s="70">
        <v>5.17792850242767</v>
      </c>
      <c r="N2001" s="70">
        <v>5.17792850242767</v>
      </c>
      <c r="O2001" s="70">
        <v>0.721965479667454</v>
      </c>
      <c r="P2001" s="70">
        <v>0.721965479667454</v>
      </c>
    </row>
    <row r="2002" hidden="1">
      <c r="A2002" s="67" t="s">
        <v>2762</v>
      </c>
      <c r="B2002" s="67" t="s">
        <v>17</v>
      </c>
      <c r="C2002" s="68">
        <v>0.75</v>
      </c>
      <c r="D2002" s="68">
        <v>0.25</v>
      </c>
      <c r="E2002" s="68">
        <v>5.0</v>
      </c>
      <c r="F2002" s="68">
        <v>0.0</v>
      </c>
      <c r="G2002" s="68">
        <v>0.551805323457836</v>
      </c>
      <c r="H2002" s="68">
        <v>0.677750563171364</v>
      </c>
      <c r="I2002" s="69">
        <v>44316.430231481485</v>
      </c>
      <c r="J2002" s="69">
        <v>44316.43035879629</v>
      </c>
      <c r="K2002">
        <f>AVERAGE(H2002:H2006)</f>
        <v>142.7585701</v>
      </c>
      <c r="L2002">
        <f>STDEV(H2002:H2006)</f>
        <v>115.098913</v>
      </c>
      <c r="M2002" s="70">
        <v>0.677750563171364</v>
      </c>
      <c r="N2002" s="70">
        <v>0.677750563171364</v>
      </c>
      <c r="O2002" s="70">
        <v>0.551805323457836</v>
      </c>
      <c r="P2002" s="70">
        <v>0.551805323457836</v>
      </c>
    </row>
    <row r="2003" hidden="1">
      <c r="A2003" s="67" t="s">
        <v>2763</v>
      </c>
      <c r="B2003" s="67" t="s">
        <v>17</v>
      </c>
      <c r="C2003" s="68">
        <v>0.75</v>
      </c>
      <c r="D2003" s="68">
        <v>0.25</v>
      </c>
      <c r="E2003" s="68">
        <v>5.0</v>
      </c>
      <c r="F2003" s="68">
        <v>1.0</v>
      </c>
      <c r="G2003" s="68">
        <v>9.21734120566558</v>
      </c>
      <c r="H2003" s="68">
        <v>291.705969083639</v>
      </c>
      <c r="I2003" s="69">
        <v>44316.431076388886</v>
      </c>
      <c r="J2003" s="69">
        <v>44316.431284722225</v>
      </c>
      <c r="K2003">
        <f>AVERAGE(H2002:H2006)</f>
        <v>142.7585701</v>
      </c>
      <c r="L2003">
        <f>STDEV(H2002:H2006)</f>
        <v>115.098913</v>
      </c>
      <c r="M2003" s="70">
        <v>291.705969083639</v>
      </c>
      <c r="N2003" s="70">
        <v>291.705969083639</v>
      </c>
      <c r="O2003" s="70">
        <v>9.21734120566558</v>
      </c>
      <c r="P2003" s="70">
        <v>9.21734120566558</v>
      </c>
    </row>
    <row r="2004" hidden="1">
      <c r="A2004" s="67" t="s">
        <v>2764</v>
      </c>
      <c r="B2004" s="67" t="s">
        <v>17</v>
      </c>
      <c r="C2004" s="68">
        <v>0.75</v>
      </c>
      <c r="D2004" s="68">
        <v>0.25</v>
      </c>
      <c r="E2004" s="68">
        <v>5.0</v>
      </c>
      <c r="F2004" s="68">
        <v>2.0</v>
      </c>
      <c r="G2004" s="68">
        <v>5.58051529926303</v>
      </c>
      <c r="H2004" s="68">
        <v>217.819379233736</v>
      </c>
      <c r="I2004" s="69">
        <v>44316.43199074074</v>
      </c>
      <c r="J2004" s="69">
        <v>44316.43424768518</v>
      </c>
      <c r="K2004">
        <f>AVERAGE(H2002:H2006)</f>
        <v>142.7585701</v>
      </c>
      <c r="L2004">
        <f>STDEV(H2002:H2006)</f>
        <v>115.098913</v>
      </c>
      <c r="M2004" s="70">
        <v>217.819379233736</v>
      </c>
      <c r="N2004" s="70">
        <v>217.819379233736</v>
      </c>
      <c r="O2004" s="70">
        <v>5.58051529926303</v>
      </c>
      <c r="P2004" s="70">
        <v>5.58051529926303</v>
      </c>
    </row>
    <row r="2005" hidden="1">
      <c r="A2005" s="67" t="s">
        <v>2765</v>
      </c>
      <c r="B2005" s="67" t="s">
        <v>17</v>
      </c>
      <c r="C2005" s="68">
        <v>0.75</v>
      </c>
      <c r="D2005" s="68">
        <v>0.25</v>
      </c>
      <c r="E2005" s="68">
        <v>5.0</v>
      </c>
      <c r="F2005" s="68">
        <v>3.0</v>
      </c>
      <c r="G2005" s="68">
        <v>1.49666806901561</v>
      </c>
      <c r="H2005" s="68">
        <v>73.2591209261133</v>
      </c>
      <c r="I2005" s="69">
        <v>44316.434965277775</v>
      </c>
      <c r="J2005" s="69">
        <v>44316.43578703704</v>
      </c>
      <c r="K2005">
        <f>AVERAGE(H2002:H2006)</f>
        <v>142.7585701</v>
      </c>
      <c r="L2005">
        <f>STDEV(H2002:H2006)</f>
        <v>115.098913</v>
      </c>
      <c r="M2005" s="70">
        <v>73.2591209261133</v>
      </c>
      <c r="N2005" s="70">
        <v>73.2591209261133</v>
      </c>
      <c r="O2005" s="70">
        <v>1.49666806901561</v>
      </c>
      <c r="P2005" s="70">
        <v>1.49666806901561</v>
      </c>
    </row>
    <row r="2006" hidden="1">
      <c r="A2006" s="67" t="s">
        <v>2766</v>
      </c>
      <c r="B2006" s="67" t="s">
        <v>17</v>
      </c>
      <c r="C2006" s="68">
        <v>0.75</v>
      </c>
      <c r="D2006" s="68">
        <v>0.25</v>
      </c>
      <c r="E2006" s="68">
        <v>5.0</v>
      </c>
      <c r="F2006" s="68">
        <v>4.0</v>
      </c>
      <c r="G2006" s="68">
        <v>2.8126766908651</v>
      </c>
      <c r="H2006" s="68">
        <v>130.330630573087</v>
      </c>
      <c r="I2006" s="69">
        <v>44316.43650462963</v>
      </c>
      <c r="J2006" s="69">
        <v>44316.49313657408</v>
      </c>
      <c r="K2006">
        <f>AVERAGE(H2002:H2006)</f>
        <v>142.7585701</v>
      </c>
      <c r="L2006">
        <f>STDEV(H2002:H2006)</f>
        <v>115.098913</v>
      </c>
      <c r="M2006" s="70">
        <v>130.330630573087</v>
      </c>
      <c r="N2006" s="70">
        <v>130.330630573087</v>
      </c>
      <c r="O2006" s="70">
        <v>2.8126766908651</v>
      </c>
      <c r="P2006" s="70">
        <v>2.8126766908651</v>
      </c>
    </row>
    <row r="2007" hidden="1">
      <c r="A2007" s="67" t="s">
        <v>2767</v>
      </c>
      <c r="B2007" s="67" t="s">
        <v>17</v>
      </c>
      <c r="C2007" s="68">
        <v>0.75</v>
      </c>
      <c r="D2007" s="68">
        <v>0.5</v>
      </c>
      <c r="E2007" s="68">
        <v>5.0</v>
      </c>
      <c r="F2007" s="68">
        <v>0.0</v>
      </c>
      <c r="G2007" s="68">
        <v>0.985303433901234</v>
      </c>
      <c r="H2007" s="68">
        <v>14.2259185022174</v>
      </c>
      <c r="I2007" s="69">
        <v>44316.49385416666</v>
      </c>
      <c r="J2007" s="69">
        <v>44316.49395833333</v>
      </c>
      <c r="K2007">
        <f>AVERAGE(H2007:H2011)</f>
        <v>88.26460773</v>
      </c>
      <c r="L2007">
        <f>STDEV(H2007:H2011)</f>
        <v>124.4881956</v>
      </c>
      <c r="M2007" s="70">
        <v>14.2259185022174</v>
      </c>
      <c r="N2007" s="70">
        <v>14.2259185022174</v>
      </c>
      <c r="O2007" s="70">
        <v>0.985303433901234</v>
      </c>
      <c r="P2007" s="70">
        <v>0.985303433901234</v>
      </c>
    </row>
    <row r="2008" hidden="1">
      <c r="A2008" s="67" t="s">
        <v>2768</v>
      </c>
      <c r="B2008" s="67" t="s">
        <v>17</v>
      </c>
      <c r="C2008" s="68">
        <v>0.75</v>
      </c>
      <c r="D2008" s="68">
        <v>0.5</v>
      </c>
      <c r="E2008" s="68">
        <v>5.0</v>
      </c>
      <c r="F2008" s="68">
        <v>1.0</v>
      </c>
      <c r="G2008" s="68">
        <v>0.71205655889852</v>
      </c>
      <c r="H2008" s="68">
        <v>0.948977832482219</v>
      </c>
      <c r="I2008" s="69">
        <v>44316.494675925926</v>
      </c>
      <c r="J2008" s="69">
        <v>44316.49490740741</v>
      </c>
      <c r="K2008">
        <f>AVERAGE(H2007:H2011)</f>
        <v>88.26460773</v>
      </c>
      <c r="L2008">
        <f>STDEV(H2007:H2011)</f>
        <v>124.4881956</v>
      </c>
      <c r="M2008" s="70">
        <v>0.948977832482219</v>
      </c>
      <c r="N2008" s="70">
        <v>0.948977832482219</v>
      </c>
      <c r="O2008" s="70">
        <v>0.71205655889852</v>
      </c>
      <c r="P2008" s="70">
        <v>0.71205655889852</v>
      </c>
    </row>
    <row r="2009" hidden="1">
      <c r="A2009" s="67" t="s">
        <v>2769</v>
      </c>
      <c r="B2009" s="67" t="s">
        <v>17</v>
      </c>
      <c r="C2009" s="68">
        <v>0.75</v>
      </c>
      <c r="D2009" s="68">
        <v>0.5</v>
      </c>
      <c r="E2009" s="68">
        <v>5.0</v>
      </c>
      <c r="F2009" s="68">
        <v>2.0</v>
      </c>
      <c r="G2009" s="68">
        <v>9.02694037316627</v>
      </c>
      <c r="H2009" s="68">
        <v>284.113390052656</v>
      </c>
      <c r="I2009" s="69">
        <v>44316.49561342593</v>
      </c>
      <c r="J2009" s="69">
        <v>44316.49638888889</v>
      </c>
      <c r="K2009">
        <f>AVERAGE(H2007:H2011)</f>
        <v>88.26460773</v>
      </c>
      <c r="L2009">
        <f>STDEV(H2007:H2011)</f>
        <v>124.4881956</v>
      </c>
      <c r="M2009" s="70">
        <v>284.113390052656</v>
      </c>
      <c r="N2009" s="70">
        <v>284.113390052656</v>
      </c>
      <c r="O2009" s="70">
        <v>9.02694037316627</v>
      </c>
      <c r="P2009" s="70">
        <v>9.02694037316627</v>
      </c>
    </row>
    <row r="2010" hidden="1">
      <c r="A2010" s="67" t="s">
        <v>2770</v>
      </c>
      <c r="B2010" s="67" t="s">
        <v>17</v>
      </c>
      <c r="C2010" s="68">
        <v>0.75</v>
      </c>
      <c r="D2010" s="68">
        <v>0.5</v>
      </c>
      <c r="E2010" s="68">
        <v>5.0</v>
      </c>
      <c r="F2010" s="68">
        <v>3.0</v>
      </c>
      <c r="G2010" s="68">
        <v>3.08196415157727</v>
      </c>
      <c r="H2010" s="68">
        <v>141.486579050911</v>
      </c>
      <c r="I2010" s="69">
        <v>44316.49710648148</v>
      </c>
      <c r="J2010" s="69">
        <v>44316.57127314815</v>
      </c>
      <c r="K2010">
        <f>AVERAGE(H2007:H2011)</f>
        <v>88.26460773</v>
      </c>
      <c r="L2010">
        <f>STDEV(H2007:H2011)</f>
        <v>124.4881956</v>
      </c>
      <c r="M2010" s="70">
        <v>141.486579050911</v>
      </c>
      <c r="N2010" s="70">
        <v>141.486579050911</v>
      </c>
      <c r="O2010" s="70">
        <v>3.08196415157727</v>
      </c>
      <c r="P2010" s="70">
        <v>3.08196415157727</v>
      </c>
    </row>
    <row r="2011" hidden="1">
      <c r="A2011" s="67" t="s">
        <v>2771</v>
      </c>
      <c r="B2011" s="67" t="s">
        <v>17</v>
      </c>
      <c r="C2011" s="68">
        <v>0.75</v>
      </c>
      <c r="D2011" s="68">
        <v>0.5</v>
      </c>
      <c r="E2011" s="68">
        <v>5.0</v>
      </c>
      <c r="F2011" s="68">
        <v>4.0</v>
      </c>
      <c r="G2011" s="68">
        <v>0.45804006466034</v>
      </c>
      <c r="H2011" s="68">
        <v>0.548173195268089</v>
      </c>
      <c r="I2011" s="69">
        <v>44316.57199074074</v>
      </c>
      <c r="J2011" s="69">
        <v>44316.5721412037</v>
      </c>
      <c r="K2011">
        <f>AVERAGE(H2007:H2011)</f>
        <v>88.26460773</v>
      </c>
      <c r="L2011">
        <f>STDEV(H2007:H2011)</f>
        <v>124.4881956</v>
      </c>
      <c r="M2011" s="70">
        <v>0.548173195268089</v>
      </c>
      <c r="N2011" s="70">
        <v>0.548173195268089</v>
      </c>
      <c r="O2011" s="70">
        <v>0.45804006466034</v>
      </c>
      <c r="P2011" s="70">
        <v>0.45804006466034</v>
      </c>
    </row>
    <row r="2012" hidden="1">
      <c r="A2012" s="67" t="s">
        <v>2772</v>
      </c>
      <c r="B2012" s="67" t="s">
        <v>17</v>
      </c>
      <c r="C2012" s="68">
        <v>0.75</v>
      </c>
      <c r="D2012" s="68">
        <v>0.75</v>
      </c>
      <c r="E2012" s="68">
        <v>5.0</v>
      </c>
      <c r="F2012" s="68">
        <v>0.0</v>
      </c>
      <c r="G2012" s="68">
        <v>3.05011588562105</v>
      </c>
      <c r="H2012" s="68">
        <v>155.759185432978</v>
      </c>
      <c r="I2012" s="69">
        <v>44316.572858796295</v>
      </c>
      <c r="J2012" s="69">
        <v>44316.6280787037</v>
      </c>
      <c r="K2012">
        <f>AVERAGE(H2012:H2016)</f>
        <v>134.1156783</v>
      </c>
      <c r="L2012">
        <f>STDEV(H2012:H2016)</f>
        <v>61.54296166</v>
      </c>
      <c r="M2012" s="70">
        <v>155.759185432978</v>
      </c>
      <c r="N2012" s="70">
        <v>155.759185432978</v>
      </c>
      <c r="O2012" s="70">
        <v>3.05011588562105</v>
      </c>
      <c r="P2012" s="70">
        <v>3.05011588562105</v>
      </c>
    </row>
    <row r="2013" hidden="1">
      <c r="A2013" s="67" t="s">
        <v>2773</v>
      </c>
      <c r="B2013" s="67" t="s">
        <v>17</v>
      </c>
      <c r="C2013" s="68">
        <v>0.75</v>
      </c>
      <c r="D2013" s="68">
        <v>0.75</v>
      </c>
      <c r="E2013" s="68">
        <v>5.0</v>
      </c>
      <c r="F2013" s="68">
        <v>1.0</v>
      </c>
      <c r="G2013" s="68">
        <v>1.71490789353466</v>
      </c>
      <c r="H2013" s="68">
        <v>27.6499875839221</v>
      </c>
      <c r="I2013" s="69">
        <v>44316.62878472222</v>
      </c>
      <c r="J2013" s="69">
        <v>44316.62909722222</v>
      </c>
      <c r="K2013">
        <f>AVERAGE(H2012:H2016)</f>
        <v>134.1156783</v>
      </c>
      <c r="L2013">
        <f>STDEV(H2012:H2016)</f>
        <v>61.54296166</v>
      </c>
      <c r="M2013" s="70">
        <v>27.6499875839221</v>
      </c>
      <c r="N2013" s="70">
        <v>27.6499875839221</v>
      </c>
      <c r="O2013" s="70">
        <v>1.71490789353466</v>
      </c>
      <c r="P2013" s="70">
        <v>1.71490789353466</v>
      </c>
    </row>
    <row r="2014" hidden="1">
      <c r="A2014" s="67" t="s">
        <v>2774</v>
      </c>
      <c r="B2014" s="67" t="s">
        <v>17</v>
      </c>
      <c r="C2014" s="68">
        <v>0.75</v>
      </c>
      <c r="D2014" s="68">
        <v>0.75</v>
      </c>
      <c r="E2014" s="68">
        <v>5.0</v>
      </c>
      <c r="F2014" s="68">
        <v>2.0</v>
      </c>
      <c r="G2014" s="68">
        <v>5.05058238739526</v>
      </c>
      <c r="H2014" s="68">
        <v>176.798478329351</v>
      </c>
      <c r="I2014" s="69">
        <v>44316.62980324074</v>
      </c>
      <c r="J2014" s="69">
        <v>44316.62986111111</v>
      </c>
      <c r="K2014">
        <f>AVERAGE(H2012:H2016)</f>
        <v>134.1156783</v>
      </c>
      <c r="L2014">
        <f>STDEV(H2012:H2016)</f>
        <v>61.54296166</v>
      </c>
      <c r="M2014" s="70">
        <v>176.798478329351</v>
      </c>
      <c r="N2014" s="70">
        <v>176.798478329351</v>
      </c>
      <c r="O2014" s="70">
        <v>5.05058238739526</v>
      </c>
      <c r="P2014" s="70">
        <v>5.05058238739526</v>
      </c>
    </row>
    <row r="2015" hidden="1">
      <c r="A2015" s="67" t="s">
        <v>2775</v>
      </c>
      <c r="B2015" s="67" t="s">
        <v>17</v>
      </c>
      <c r="C2015" s="68">
        <v>0.75</v>
      </c>
      <c r="D2015" s="68">
        <v>0.75</v>
      </c>
      <c r="E2015" s="68">
        <v>5.0</v>
      </c>
      <c r="F2015" s="68">
        <v>3.0</v>
      </c>
      <c r="G2015" s="68">
        <v>3.9456293418362</v>
      </c>
      <c r="H2015" s="68">
        <v>173.032983088702</v>
      </c>
      <c r="I2015" s="69">
        <v>44316.63056712963</v>
      </c>
      <c r="J2015" s="69">
        <v>44316.632002314815</v>
      </c>
      <c r="K2015">
        <f>AVERAGE(H2012:H2016)</f>
        <v>134.1156783</v>
      </c>
      <c r="L2015">
        <f>STDEV(H2012:H2016)</f>
        <v>61.54296166</v>
      </c>
      <c r="M2015" s="70">
        <v>173.032983088702</v>
      </c>
      <c r="N2015" s="70">
        <v>173.032983088702</v>
      </c>
      <c r="O2015" s="70">
        <v>3.9456293418362</v>
      </c>
      <c r="P2015" s="70">
        <v>3.9456293418362</v>
      </c>
    </row>
    <row r="2016" hidden="1">
      <c r="A2016" s="67" t="s">
        <v>2776</v>
      </c>
      <c r="B2016" s="67" t="s">
        <v>17</v>
      </c>
      <c r="C2016" s="68">
        <v>0.75</v>
      </c>
      <c r="D2016" s="68">
        <v>0.75</v>
      </c>
      <c r="E2016" s="68">
        <v>5.0</v>
      </c>
      <c r="F2016" s="68">
        <v>4.0</v>
      </c>
      <c r="G2016" s="68">
        <v>3.2802736546097</v>
      </c>
      <c r="H2016" s="68">
        <v>137.337756838749</v>
      </c>
      <c r="I2016" s="69">
        <v>44316.63271990741</v>
      </c>
      <c r="J2016" s="69">
        <v>44316.63318287037</v>
      </c>
      <c r="K2016">
        <f>AVERAGE(H2012:H2016)</f>
        <v>134.1156783</v>
      </c>
      <c r="L2016">
        <f>STDEV(H2012:H2016)</f>
        <v>61.54296166</v>
      </c>
      <c r="M2016" s="70">
        <v>137.337756838749</v>
      </c>
      <c r="N2016" s="70">
        <v>137.337756838749</v>
      </c>
      <c r="O2016" s="70">
        <v>3.2802736546097</v>
      </c>
      <c r="P2016" s="70">
        <v>3.2802736546097</v>
      </c>
    </row>
    <row r="2017" hidden="1">
      <c r="A2017" s="67" t="s">
        <v>2777</v>
      </c>
      <c r="B2017" s="67" t="s">
        <v>17</v>
      </c>
      <c r="C2017" s="68">
        <v>0.75</v>
      </c>
      <c r="D2017" s="68">
        <v>1.0</v>
      </c>
      <c r="E2017" s="68">
        <v>5.0</v>
      </c>
      <c r="F2017" s="68">
        <v>0.0</v>
      </c>
      <c r="G2017" s="68">
        <v>8.41172901852248</v>
      </c>
      <c r="H2017" s="68">
        <v>268.364576130907</v>
      </c>
      <c r="I2017" s="69">
        <v>44316.63390046296</v>
      </c>
      <c r="J2017" s="69">
        <v>44316.634560185186</v>
      </c>
      <c r="K2017">
        <f>AVERAGE(H2017:H2021)</f>
        <v>119.3059244</v>
      </c>
      <c r="L2017">
        <f>STDEV(H2017:H2021)</f>
        <v>107.6888966</v>
      </c>
      <c r="M2017" s="70">
        <v>268.364576130907</v>
      </c>
      <c r="N2017" s="70">
        <v>268.364576130907</v>
      </c>
      <c r="O2017" s="70">
        <v>8.41172901852248</v>
      </c>
      <c r="P2017" s="70">
        <v>8.41172901852248</v>
      </c>
    </row>
    <row r="2018" hidden="1">
      <c r="A2018" s="67" t="s">
        <v>2778</v>
      </c>
      <c r="B2018" s="67" t="s">
        <v>17</v>
      </c>
      <c r="C2018" s="68">
        <v>0.75</v>
      </c>
      <c r="D2018" s="68">
        <v>1.0</v>
      </c>
      <c r="E2018" s="68">
        <v>5.0</v>
      </c>
      <c r="F2018" s="68">
        <v>1.0</v>
      </c>
      <c r="G2018" s="68">
        <v>3.12550874877382</v>
      </c>
      <c r="H2018" s="68">
        <v>142.269337940654</v>
      </c>
      <c r="I2018" s="69">
        <v>44316.63527777778</v>
      </c>
      <c r="J2018" s="69">
        <v>44316.663506944446</v>
      </c>
      <c r="K2018">
        <f>AVERAGE(H2017:H2021)</f>
        <v>119.3059244</v>
      </c>
      <c r="L2018">
        <f>STDEV(H2017:H2021)</f>
        <v>107.6888966</v>
      </c>
      <c r="M2018" s="70">
        <v>142.269337940654</v>
      </c>
      <c r="N2018" s="70">
        <v>142.269337940654</v>
      </c>
      <c r="O2018" s="70">
        <v>3.12550874877382</v>
      </c>
      <c r="P2018" s="70">
        <v>3.12550874877382</v>
      </c>
    </row>
    <row r="2019" hidden="1">
      <c r="A2019" s="67" t="s">
        <v>2779</v>
      </c>
      <c r="B2019" s="67" t="s">
        <v>17</v>
      </c>
      <c r="C2019" s="68">
        <v>0.75</v>
      </c>
      <c r="D2019" s="68">
        <v>1.0</v>
      </c>
      <c r="E2019" s="68">
        <v>5.0</v>
      </c>
      <c r="F2019" s="68">
        <v>2.0</v>
      </c>
      <c r="G2019" s="68">
        <v>0.584312106952299</v>
      </c>
      <c r="H2019" s="68">
        <v>0.746206824889885</v>
      </c>
      <c r="I2019" s="69">
        <v>44316.66421296296</v>
      </c>
      <c r="J2019" s="69">
        <v>44316.665127314816</v>
      </c>
      <c r="K2019">
        <f>AVERAGE(H2017:H2021)</f>
        <v>119.3059244</v>
      </c>
      <c r="L2019">
        <f>STDEV(H2017:H2021)</f>
        <v>107.6888966</v>
      </c>
      <c r="M2019" s="70">
        <v>0.746206824889885</v>
      </c>
      <c r="N2019" s="70">
        <v>0.746206824889885</v>
      </c>
      <c r="O2019" s="70">
        <v>0.584312106952299</v>
      </c>
      <c r="P2019" s="70">
        <v>0.584312106952299</v>
      </c>
    </row>
    <row r="2020" hidden="1">
      <c r="A2020" s="67" t="s">
        <v>2780</v>
      </c>
      <c r="B2020" s="67" t="s">
        <v>17</v>
      </c>
      <c r="C2020" s="68">
        <v>0.75</v>
      </c>
      <c r="D2020" s="68">
        <v>1.0</v>
      </c>
      <c r="E2020" s="68">
        <v>5.0</v>
      </c>
      <c r="F2020" s="68">
        <v>3.0</v>
      </c>
      <c r="G2020" s="68">
        <v>3.34363865411845</v>
      </c>
      <c r="H2020" s="68">
        <v>156.435050373884</v>
      </c>
      <c r="I2020" s="69">
        <v>44316.66583333333</v>
      </c>
      <c r="J2020" s="69">
        <v>44316.66746527778</v>
      </c>
      <c r="K2020">
        <f>AVERAGE(H2017:H2021)</f>
        <v>119.3059244</v>
      </c>
      <c r="L2020">
        <f>STDEV(H2017:H2021)</f>
        <v>107.6888966</v>
      </c>
      <c r="M2020" s="70">
        <v>156.435050373884</v>
      </c>
      <c r="N2020" s="70">
        <v>156.435050373884</v>
      </c>
      <c r="O2020" s="70">
        <v>3.34363865411845</v>
      </c>
      <c r="P2020" s="70">
        <v>3.34363865411845</v>
      </c>
    </row>
    <row r="2021" hidden="1">
      <c r="A2021" s="67" t="s">
        <v>2781</v>
      </c>
      <c r="B2021" s="67" t="s">
        <v>17</v>
      </c>
      <c r="C2021" s="68">
        <v>0.75</v>
      </c>
      <c r="D2021" s="68">
        <v>1.0</v>
      </c>
      <c r="E2021" s="68">
        <v>5.0</v>
      </c>
      <c r="F2021" s="68">
        <v>4.0</v>
      </c>
      <c r="G2021" s="68">
        <v>1.80268451015998</v>
      </c>
      <c r="H2021" s="68">
        <v>28.7144505418145</v>
      </c>
      <c r="I2021" s="69">
        <v>44316.66818287037</v>
      </c>
      <c r="J2021" s="69">
        <v>44316.66846064815</v>
      </c>
      <c r="K2021">
        <f>AVERAGE(H2017:H2021)</f>
        <v>119.3059244</v>
      </c>
      <c r="L2021">
        <f>STDEV(H2017:H2021)</f>
        <v>107.6888966</v>
      </c>
      <c r="M2021" s="70">
        <v>28.7144505418145</v>
      </c>
      <c r="N2021" s="70">
        <v>28.7144505418145</v>
      </c>
      <c r="O2021" s="70">
        <v>1.80268451015998</v>
      </c>
      <c r="P2021" s="70">
        <v>1.80268451015998</v>
      </c>
    </row>
    <row r="2022" hidden="1">
      <c r="A2022" s="67" t="s">
        <v>2782</v>
      </c>
      <c r="B2022" s="67" t="s">
        <v>17</v>
      </c>
      <c r="C2022" s="68">
        <v>1.0</v>
      </c>
      <c r="D2022" s="68">
        <v>0.1</v>
      </c>
      <c r="E2022" s="68">
        <v>5.0</v>
      </c>
      <c r="F2022" s="68">
        <v>0.0</v>
      </c>
      <c r="G2022" s="68">
        <v>0.696240679150507</v>
      </c>
      <c r="H2022" s="68">
        <v>10.3603048503283</v>
      </c>
      <c r="I2022" s="69">
        <v>44316.66916666667</v>
      </c>
      <c r="J2022" s="69">
        <v>44316.66950231481</v>
      </c>
      <c r="K2022">
        <f>AVERAGE(H2022:H2026)</f>
        <v>82.42409011</v>
      </c>
      <c r="L2022">
        <f>STDEV(H2022:H2026)</f>
        <v>84.17054655</v>
      </c>
      <c r="M2022" s="70">
        <v>10.3603048503283</v>
      </c>
      <c r="N2022" s="70">
        <v>10.3603048503283</v>
      </c>
      <c r="O2022" s="70">
        <v>0.696240679150507</v>
      </c>
      <c r="P2022" s="70">
        <v>0.696240679150507</v>
      </c>
    </row>
    <row r="2023" hidden="1">
      <c r="A2023" s="67" t="s">
        <v>2783</v>
      </c>
      <c r="B2023" s="67" t="s">
        <v>17</v>
      </c>
      <c r="C2023" s="68">
        <v>1.0</v>
      </c>
      <c r="D2023" s="68">
        <v>0.1</v>
      </c>
      <c r="E2023" s="68">
        <v>5.0</v>
      </c>
      <c r="F2023" s="68">
        <v>1.0</v>
      </c>
      <c r="G2023" s="68">
        <v>2.99437147951237</v>
      </c>
      <c r="H2023" s="68">
        <v>125.333613919419</v>
      </c>
      <c r="I2023" s="69">
        <v>44316.67020833334</v>
      </c>
      <c r="J2023" s="69">
        <v>44316.68493055556</v>
      </c>
      <c r="K2023">
        <f>AVERAGE(H2022:H2026)</f>
        <v>82.42409011</v>
      </c>
      <c r="L2023">
        <f>STDEV(H2022:H2026)</f>
        <v>84.17054655</v>
      </c>
      <c r="M2023" s="70">
        <v>125.333613919419</v>
      </c>
      <c r="N2023" s="70">
        <v>125.333613919419</v>
      </c>
      <c r="O2023" s="70">
        <v>2.99437147951237</v>
      </c>
      <c r="P2023" s="70">
        <v>2.99437147951237</v>
      </c>
    </row>
    <row r="2024" hidden="1">
      <c r="A2024" s="67" t="s">
        <v>2784</v>
      </c>
      <c r="B2024" s="67" t="s">
        <v>17</v>
      </c>
      <c r="C2024" s="68">
        <v>1.0</v>
      </c>
      <c r="D2024" s="68">
        <v>0.1</v>
      </c>
      <c r="E2024" s="68">
        <v>5.0</v>
      </c>
      <c r="F2024" s="68">
        <v>2.0</v>
      </c>
      <c r="G2024" s="68">
        <v>1.47960336864507</v>
      </c>
      <c r="H2024" s="68">
        <v>72.8696208897199</v>
      </c>
      <c r="I2024" s="69">
        <v>44316.685648148145</v>
      </c>
      <c r="J2024" s="69">
        <v>44316.68644675926</v>
      </c>
      <c r="K2024">
        <f>AVERAGE(H2022:H2026)</f>
        <v>82.42409011</v>
      </c>
      <c r="L2024">
        <f>STDEV(H2022:H2026)</f>
        <v>84.17054655</v>
      </c>
      <c r="M2024" s="70">
        <v>72.8696208897199</v>
      </c>
      <c r="N2024" s="70">
        <v>72.8696208897199</v>
      </c>
      <c r="O2024" s="70">
        <v>1.47960336864507</v>
      </c>
      <c r="P2024" s="70">
        <v>1.47960336864507</v>
      </c>
    </row>
    <row r="2025" hidden="1">
      <c r="A2025" s="67" t="s">
        <v>2785</v>
      </c>
      <c r="B2025" s="67" t="s">
        <v>17</v>
      </c>
      <c r="C2025" s="68">
        <v>1.0</v>
      </c>
      <c r="D2025" s="68">
        <v>0.1</v>
      </c>
      <c r="E2025" s="68">
        <v>5.0</v>
      </c>
      <c r="F2025" s="68">
        <v>3.0</v>
      </c>
      <c r="G2025" s="68">
        <v>0.526267429195604</v>
      </c>
      <c r="H2025" s="68">
        <v>0.625510751815795</v>
      </c>
      <c r="I2025" s="69">
        <v>44316.68715277778</v>
      </c>
      <c r="J2025" s="69">
        <v>44316.68769675926</v>
      </c>
      <c r="K2025">
        <f>AVERAGE(H2022:H2026)</f>
        <v>82.42409011</v>
      </c>
      <c r="L2025">
        <f>STDEV(H2022:H2026)</f>
        <v>84.17054655</v>
      </c>
      <c r="M2025" s="70">
        <v>0.625510751815795</v>
      </c>
      <c r="N2025" s="70">
        <v>0.625510751815795</v>
      </c>
      <c r="O2025" s="70">
        <v>0.526267429195604</v>
      </c>
      <c r="P2025" s="70">
        <v>0.526267429195604</v>
      </c>
    </row>
    <row r="2026" hidden="1">
      <c r="A2026" s="67" t="s">
        <v>2786</v>
      </c>
      <c r="B2026" s="67" t="s">
        <v>17</v>
      </c>
      <c r="C2026" s="68">
        <v>1.0</v>
      </c>
      <c r="D2026" s="68">
        <v>0.1</v>
      </c>
      <c r="E2026" s="68">
        <v>5.0</v>
      </c>
      <c r="F2026" s="68">
        <v>4.0</v>
      </c>
      <c r="G2026" s="68">
        <v>4.48243907581231</v>
      </c>
      <c r="H2026" s="68">
        <v>202.931400162786</v>
      </c>
      <c r="I2026" s="69">
        <v>44316.688414351855</v>
      </c>
      <c r="J2026" s="69">
        <v>44316.71157407408</v>
      </c>
      <c r="K2026">
        <f>AVERAGE(H2022:H2026)</f>
        <v>82.42409011</v>
      </c>
      <c r="L2026">
        <f>STDEV(H2022:H2026)</f>
        <v>84.17054655</v>
      </c>
      <c r="M2026" s="70">
        <v>202.931400162786</v>
      </c>
      <c r="N2026" s="70">
        <v>202.931400162786</v>
      </c>
      <c r="O2026" s="70">
        <v>4.48243907581231</v>
      </c>
      <c r="P2026" s="70">
        <v>4.48243907581231</v>
      </c>
    </row>
    <row r="2027" hidden="1">
      <c r="A2027" s="67" t="s">
        <v>2787</v>
      </c>
      <c r="B2027" s="67" t="s">
        <v>17</v>
      </c>
      <c r="C2027" s="68">
        <v>1.0</v>
      </c>
      <c r="D2027" s="68">
        <v>0.25</v>
      </c>
      <c r="E2027" s="68">
        <v>5.0</v>
      </c>
      <c r="F2027" s="68">
        <v>0.0</v>
      </c>
      <c r="G2027" s="68">
        <v>5.68367614105582</v>
      </c>
      <c r="H2027" s="68">
        <v>82.2853458574137</v>
      </c>
      <c r="I2027" s="69">
        <v>44316.71229166666</v>
      </c>
      <c r="J2027" s="69">
        <v>44316.712326388886</v>
      </c>
      <c r="K2027">
        <f>AVERAGE(H2027:H2031)</f>
        <v>118.0499416</v>
      </c>
      <c r="L2027">
        <f>STDEV(H2027:H2031)</f>
        <v>78.76327117</v>
      </c>
      <c r="M2027" s="70">
        <v>82.2853458574137</v>
      </c>
      <c r="N2027" s="70">
        <v>82.2853458574137</v>
      </c>
      <c r="O2027" s="70">
        <v>5.68367614105582</v>
      </c>
      <c r="P2027" s="70">
        <v>5.68367614105582</v>
      </c>
    </row>
    <row r="2028" hidden="1">
      <c r="A2028" s="67" t="s">
        <v>2788</v>
      </c>
      <c r="B2028" s="67" t="s">
        <v>17</v>
      </c>
      <c r="C2028" s="68">
        <v>1.0</v>
      </c>
      <c r="D2028" s="68">
        <v>0.25</v>
      </c>
      <c r="E2028" s="68">
        <v>5.0</v>
      </c>
      <c r="F2028" s="68">
        <v>1.0</v>
      </c>
      <c r="G2028" s="68">
        <v>0.521652916825704</v>
      </c>
      <c r="H2028" s="68">
        <v>0.623492988083277</v>
      </c>
      <c r="I2028" s="69">
        <v>44316.71304398148</v>
      </c>
      <c r="J2028" s="69">
        <v>44316.71396990741</v>
      </c>
      <c r="K2028">
        <f>AVERAGE(H2027:H2031)</f>
        <v>118.0499416</v>
      </c>
      <c r="L2028">
        <f>STDEV(H2027:H2031)</f>
        <v>78.76327117</v>
      </c>
      <c r="M2028" s="70">
        <v>0.623492988083277</v>
      </c>
      <c r="N2028" s="70">
        <v>0.623492988083277</v>
      </c>
      <c r="O2028" s="70">
        <v>0.521652916825704</v>
      </c>
      <c r="P2028" s="70">
        <v>0.521652916825704</v>
      </c>
    </row>
    <row r="2029" hidden="1">
      <c r="A2029" s="67" t="s">
        <v>2789</v>
      </c>
      <c r="B2029" s="67" t="s">
        <v>17</v>
      </c>
      <c r="C2029" s="68">
        <v>1.0</v>
      </c>
      <c r="D2029" s="68">
        <v>0.25</v>
      </c>
      <c r="E2029" s="68">
        <v>5.0</v>
      </c>
      <c r="F2029" s="68">
        <v>2.0</v>
      </c>
      <c r="G2029" s="68">
        <v>4.9176142304864</v>
      </c>
      <c r="H2029" s="68">
        <v>198.61912341493</v>
      </c>
      <c r="I2029" s="69">
        <v>44316.7146875</v>
      </c>
      <c r="J2029" s="69">
        <v>44316.71769675926</v>
      </c>
      <c r="K2029">
        <f>AVERAGE(H2027:H2031)</f>
        <v>118.0499416</v>
      </c>
      <c r="L2029">
        <f>STDEV(H2027:H2031)</f>
        <v>78.76327117</v>
      </c>
      <c r="M2029" s="70">
        <v>198.61912341493</v>
      </c>
      <c r="N2029" s="70">
        <v>198.61912341493</v>
      </c>
      <c r="O2029" s="70">
        <v>4.9176142304864</v>
      </c>
      <c r="P2029" s="70">
        <v>4.9176142304864</v>
      </c>
    </row>
    <row r="2030" hidden="1">
      <c r="A2030" s="67" t="s">
        <v>2790</v>
      </c>
      <c r="B2030" s="67" t="s">
        <v>17</v>
      </c>
      <c r="C2030" s="68">
        <v>1.0</v>
      </c>
      <c r="D2030" s="68">
        <v>0.25</v>
      </c>
      <c r="E2030" s="68">
        <v>5.0</v>
      </c>
      <c r="F2030" s="68">
        <v>3.0</v>
      </c>
      <c r="G2030" s="68">
        <v>4.28325743246308</v>
      </c>
      <c r="H2030" s="68">
        <v>171.941741430474</v>
      </c>
      <c r="I2030" s="69">
        <v>44316.71841435185</v>
      </c>
      <c r="J2030" s="69">
        <v>44316.71934027778</v>
      </c>
      <c r="K2030">
        <f>AVERAGE(H2027:H2031)</f>
        <v>118.0499416</v>
      </c>
      <c r="L2030">
        <f>STDEV(H2027:H2031)</f>
        <v>78.76327117</v>
      </c>
      <c r="M2030" s="70">
        <v>171.941741430474</v>
      </c>
      <c r="N2030" s="70">
        <v>171.941741430474</v>
      </c>
      <c r="O2030" s="70">
        <v>4.28325743246308</v>
      </c>
      <c r="P2030" s="70">
        <v>4.28325743246308</v>
      </c>
    </row>
    <row r="2031" hidden="1">
      <c r="A2031" s="67" t="s">
        <v>2791</v>
      </c>
      <c r="B2031" s="67" t="s">
        <v>17</v>
      </c>
      <c r="C2031" s="68">
        <v>1.0</v>
      </c>
      <c r="D2031" s="68">
        <v>0.25</v>
      </c>
      <c r="E2031" s="68">
        <v>5.0</v>
      </c>
      <c r="F2031" s="68">
        <v>4.0</v>
      </c>
      <c r="G2031" s="68">
        <v>2.88889834064925</v>
      </c>
      <c r="H2031" s="68">
        <v>136.780004362709</v>
      </c>
      <c r="I2031" s="69">
        <v>44316.72005787037</v>
      </c>
      <c r="J2031" s="69">
        <v>44316.747152777774</v>
      </c>
      <c r="K2031">
        <f>AVERAGE(H2027:H2031)</f>
        <v>118.0499416</v>
      </c>
      <c r="L2031">
        <f>STDEV(H2027:H2031)</f>
        <v>78.76327117</v>
      </c>
      <c r="M2031" s="70">
        <v>136.780004362709</v>
      </c>
      <c r="N2031" s="70">
        <v>136.780004362709</v>
      </c>
      <c r="O2031" s="70">
        <v>2.88889834064925</v>
      </c>
      <c r="P2031" s="70">
        <v>2.88889834064925</v>
      </c>
    </row>
    <row r="2032" hidden="1">
      <c r="A2032" s="67" t="s">
        <v>2792</v>
      </c>
      <c r="B2032" s="67" t="s">
        <v>17</v>
      </c>
      <c r="C2032" s="68">
        <v>1.0</v>
      </c>
      <c r="D2032" s="68">
        <v>0.5</v>
      </c>
      <c r="E2032" s="68">
        <v>5.0</v>
      </c>
      <c r="F2032" s="68">
        <v>0.0</v>
      </c>
      <c r="G2032" s="68">
        <v>0.51505415937274</v>
      </c>
      <c r="H2032" s="68">
        <v>0.609589505208052</v>
      </c>
      <c r="I2032" s="69">
        <v>44316.74787037037</v>
      </c>
      <c r="J2032" s="69">
        <v>44316.74833333334</v>
      </c>
      <c r="K2032">
        <f>AVERAGE(H2032:H2036)</f>
        <v>77.40741307</v>
      </c>
      <c r="L2032">
        <f>STDEV(H2032:H2036)</f>
        <v>94.70092089</v>
      </c>
      <c r="M2032" s="70">
        <v>0.609589505208052</v>
      </c>
      <c r="N2032" s="70">
        <v>0.609589505208052</v>
      </c>
      <c r="O2032" s="70">
        <v>0.51505415937274</v>
      </c>
      <c r="P2032" s="70">
        <v>0.51505415937274</v>
      </c>
    </row>
    <row r="2033" hidden="1">
      <c r="A2033" s="67" t="s">
        <v>2793</v>
      </c>
      <c r="B2033" s="67" t="s">
        <v>17</v>
      </c>
      <c r="C2033" s="68">
        <v>1.0</v>
      </c>
      <c r="D2033" s="68">
        <v>0.5</v>
      </c>
      <c r="E2033" s="68">
        <v>5.0</v>
      </c>
      <c r="F2033" s="68">
        <v>1.0</v>
      </c>
      <c r="G2033" s="68">
        <v>5.13533569330619</v>
      </c>
      <c r="H2033" s="68">
        <v>204.050901378095</v>
      </c>
      <c r="I2033" s="69">
        <v>44316.74905092592</v>
      </c>
      <c r="J2033" s="69">
        <v>44316.75158564815</v>
      </c>
      <c r="K2033">
        <f>AVERAGE(H2032:H2036)</f>
        <v>77.40741307</v>
      </c>
      <c r="L2033">
        <f>STDEV(H2032:H2036)</f>
        <v>94.70092089</v>
      </c>
      <c r="M2033" s="70">
        <v>204.050901378095</v>
      </c>
      <c r="N2033" s="70">
        <v>204.050901378095</v>
      </c>
      <c r="O2033" s="70">
        <v>5.13533569330619</v>
      </c>
      <c r="P2033" s="70">
        <v>5.13533569330619</v>
      </c>
    </row>
    <row r="2034" hidden="1">
      <c r="A2034" s="67" t="s">
        <v>2794</v>
      </c>
      <c r="B2034" s="67" t="s">
        <v>17</v>
      </c>
      <c r="C2034" s="68">
        <v>1.0</v>
      </c>
      <c r="D2034" s="68">
        <v>0.5</v>
      </c>
      <c r="E2034" s="68">
        <v>5.0</v>
      </c>
      <c r="F2034" s="68">
        <v>2.0</v>
      </c>
      <c r="G2034" s="68">
        <v>3.34598981284788</v>
      </c>
      <c r="H2034" s="68">
        <v>152.786600898632</v>
      </c>
      <c r="I2034" s="69">
        <v>44316.75230324074</v>
      </c>
      <c r="J2034" s="69">
        <v>44316.79261574074</v>
      </c>
      <c r="K2034">
        <f>AVERAGE(H2032:H2036)</f>
        <v>77.40741307</v>
      </c>
      <c r="L2034">
        <f>STDEV(H2032:H2036)</f>
        <v>94.70092089</v>
      </c>
      <c r="M2034" s="70">
        <v>152.786600898632</v>
      </c>
      <c r="N2034" s="70">
        <v>152.786600898632</v>
      </c>
      <c r="O2034" s="70">
        <v>3.34598981284788</v>
      </c>
      <c r="P2034" s="70">
        <v>3.34598981284788</v>
      </c>
    </row>
    <row r="2035" hidden="1">
      <c r="A2035" s="67" t="s">
        <v>2795</v>
      </c>
      <c r="B2035" s="67" t="s">
        <v>17</v>
      </c>
      <c r="C2035" s="68">
        <v>1.0</v>
      </c>
      <c r="D2035" s="68">
        <v>0.5</v>
      </c>
      <c r="E2035" s="68">
        <v>5.0</v>
      </c>
      <c r="F2035" s="68">
        <v>3.0</v>
      </c>
      <c r="G2035" s="68">
        <v>0.35328262977789</v>
      </c>
      <c r="H2035" s="68">
        <v>0.408794995404015</v>
      </c>
      <c r="I2035" s="69">
        <v>44316.793333333335</v>
      </c>
      <c r="J2035" s="69">
        <v>44316.79344907407</v>
      </c>
      <c r="K2035">
        <f>AVERAGE(H2032:H2036)</f>
        <v>77.40741307</v>
      </c>
      <c r="L2035">
        <f>STDEV(H2032:H2036)</f>
        <v>94.70092089</v>
      </c>
      <c r="M2035" s="70">
        <v>0.408794995404015</v>
      </c>
      <c r="N2035" s="70">
        <v>0.408794995404015</v>
      </c>
      <c r="O2035" s="70">
        <v>0.35328262977789</v>
      </c>
      <c r="P2035" s="70">
        <v>0.35328262977789</v>
      </c>
    </row>
    <row r="2036" hidden="1">
      <c r="A2036" s="67" t="s">
        <v>2796</v>
      </c>
      <c r="B2036" s="67" t="s">
        <v>17</v>
      </c>
      <c r="C2036" s="68">
        <v>1.0</v>
      </c>
      <c r="D2036" s="68">
        <v>0.5</v>
      </c>
      <c r="E2036" s="68">
        <v>5.0</v>
      </c>
      <c r="F2036" s="68">
        <v>4.0</v>
      </c>
      <c r="G2036" s="68">
        <v>1.70439565141092</v>
      </c>
      <c r="H2036" s="68">
        <v>29.1811785752648</v>
      </c>
      <c r="I2036" s="69">
        <v>44316.79416666667</v>
      </c>
      <c r="J2036" s="69">
        <v>44316.79452546296</v>
      </c>
      <c r="K2036">
        <f>AVERAGE(H2032:H2036)</f>
        <v>77.40741307</v>
      </c>
      <c r="L2036">
        <f>STDEV(H2032:H2036)</f>
        <v>94.70092089</v>
      </c>
      <c r="M2036" s="70">
        <v>29.1811785752648</v>
      </c>
      <c r="N2036" s="70">
        <v>29.1811785752648</v>
      </c>
      <c r="O2036" s="70">
        <v>1.70439565141092</v>
      </c>
      <c r="P2036" s="70">
        <v>1.70439565141092</v>
      </c>
    </row>
    <row r="2037" hidden="1">
      <c r="A2037" s="67" t="s">
        <v>2797</v>
      </c>
      <c r="B2037" s="67" t="s">
        <v>17</v>
      </c>
      <c r="C2037" s="68">
        <v>1.0</v>
      </c>
      <c r="D2037" s="68">
        <v>0.75</v>
      </c>
      <c r="E2037" s="68">
        <v>5.0</v>
      </c>
      <c r="F2037" s="68">
        <v>0.0</v>
      </c>
      <c r="G2037" s="68">
        <v>6.33523688297608</v>
      </c>
      <c r="H2037" s="68">
        <v>234.150681920421</v>
      </c>
      <c r="I2037" s="69">
        <v>44316.79524305555</v>
      </c>
      <c r="J2037" s="69">
        <v>44316.79809027778</v>
      </c>
      <c r="K2037">
        <f>AVERAGE(H2037:H2041)</f>
        <v>135.512977</v>
      </c>
      <c r="L2037">
        <f>STDEV(H2037:H2041)</f>
        <v>88.46107404</v>
      </c>
      <c r="M2037" s="70">
        <v>234.150681920421</v>
      </c>
      <c r="N2037" s="70">
        <v>234.150681920421</v>
      </c>
      <c r="O2037" s="70">
        <v>6.33523688297608</v>
      </c>
      <c r="P2037" s="70">
        <v>6.33523688297608</v>
      </c>
    </row>
    <row r="2038" hidden="1">
      <c r="A2038" s="67" t="s">
        <v>2798</v>
      </c>
      <c r="B2038" s="67" t="s">
        <v>17</v>
      </c>
      <c r="C2038" s="68">
        <v>1.0</v>
      </c>
      <c r="D2038" s="68">
        <v>0.75</v>
      </c>
      <c r="E2038" s="68">
        <v>5.0</v>
      </c>
      <c r="F2038" s="68">
        <v>1.0</v>
      </c>
      <c r="G2038" s="68">
        <v>1.66231139290056</v>
      </c>
      <c r="H2038" s="68">
        <v>77.9655646507135</v>
      </c>
      <c r="I2038" s="69">
        <v>44316.798796296294</v>
      </c>
      <c r="J2038" s="69">
        <v>44316.799409722225</v>
      </c>
      <c r="K2038">
        <f>AVERAGE(H2037:H2041)</f>
        <v>135.512977</v>
      </c>
      <c r="L2038">
        <f>STDEV(H2037:H2041)</f>
        <v>88.46107404</v>
      </c>
      <c r="M2038" s="70">
        <v>77.9655646507135</v>
      </c>
      <c r="N2038" s="70">
        <v>77.9655646507135</v>
      </c>
      <c r="O2038" s="70">
        <v>1.66231139290056</v>
      </c>
      <c r="P2038" s="70">
        <v>1.66231139290056</v>
      </c>
    </row>
    <row r="2039" hidden="1">
      <c r="A2039" s="67" t="s">
        <v>2799</v>
      </c>
      <c r="B2039" s="67" t="s">
        <v>17</v>
      </c>
      <c r="C2039" s="68">
        <v>1.0</v>
      </c>
      <c r="D2039" s="68">
        <v>0.75</v>
      </c>
      <c r="E2039" s="68">
        <v>5.0</v>
      </c>
      <c r="F2039" s="68">
        <v>2.0</v>
      </c>
      <c r="G2039" s="68">
        <v>1.29687383229426</v>
      </c>
      <c r="H2039" s="68">
        <v>23.0929695313173</v>
      </c>
      <c r="I2039" s="69">
        <v>44316.80011574074</v>
      </c>
      <c r="J2039" s="69">
        <v>44316.801041666666</v>
      </c>
      <c r="K2039">
        <f>AVERAGE(H2037:H2041)</f>
        <v>135.512977</v>
      </c>
      <c r="L2039">
        <f>STDEV(H2037:H2041)</f>
        <v>88.46107404</v>
      </c>
      <c r="M2039" s="70">
        <v>23.0929695313173</v>
      </c>
      <c r="N2039" s="70">
        <v>23.0929695313173</v>
      </c>
      <c r="O2039" s="70">
        <v>1.29687383229426</v>
      </c>
      <c r="P2039" s="70">
        <v>1.29687383229426</v>
      </c>
    </row>
    <row r="2040" hidden="1">
      <c r="A2040" s="67" t="s">
        <v>2800</v>
      </c>
      <c r="B2040" s="67" t="s">
        <v>17</v>
      </c>
      <c r="C2040" s="68">
        <v>1.0</v>
      </c>
      <c r="D2040" s="68">
        <v>0.75</v>
      </c>
      <c r="E2040" s="68">
        <v>5.0</v>
      </c>
      <c r="F2040" s="68">
        <v>3.0</v>
      </c>
      <c r="G2040" s="68">
        <v>7.44611296012217</v>
      </c>
      <c r="H2040" s="68">
        <v>210.408707413425</v>
      </c>
      <c r="I2040" s="69">
        <v>44316.80174768518</v>
      </c>
      <c r="J2040" s="69">
        <v>44316.80180555556</v>
      </c>
      <c r="K2040">
        <f>AVERAGE(H2037:H2041)</f>
        <v>135.512977</v>
      </c>
      <c r="L2040">
        <f>STDEV(H2037:H2041)</f>
        <v>88.46107404</v>
      </c>
      <c r="M2040" s="70">
        <v>210.408707413425</v>
      </c>
      <c r="N2040" s="70">
        <v>210.408707413425</v>
      </c>
      <c r="O2040" s="70">
        <v>7.44611296012217</v>
      </c>
      <c r="P2040" s="70">
        <v>7.44611296012217</v>
      </c>
    </row>
    <row r="2041" hidden="1">
      <c r="A2041" s="67" t="s">
        <v>2801</v>
      </c>
      <c r="B2041" s="67" t="s">
        <v>17</v>
      </c>
      <c r="C2041" s="68">
        <v>1.0</v>
      </c>
      <c r="D2041" s="68">
        <v>0.75</v>
      </c>
      <c r="E2041" s="68">
        <v>5.0</v>
      </c>
      <c r="F2041" s="68">
        <v>4.0</v>
      </c>
      <c r="G2041" s="68">
        <v>2.7711128546185</v>
      </c>
      <c r="H2041" s="68">
        <v>131.946961312707</v>
      </c>
      <c r="I2041" s="69">
        <v>44316.80252314815</v>
      </c>
      <c r="J2041" s="69">
        <v>44316.83924768519</v>
      </c>
      <c r="K2041">
        <f>AVERAGE(H2037:H2041)</f>
        <v>135.512977</v>
      </c>
      <c r="L2041">
        <f>STDEV(H2037:H2041)</f>
        <v>88.46107404</v>
      </c>
      <c r="M2041" s="70">
        <v>131.946961312707</v>
      </c>
      <c r="N2041" s="70">
        <v>131.946961312707</v>
      </c>
      <c r="O2041" s="70">
        <v>2.7711128546185</v>
      </c>
      <c r="P2041" s="70">
        <v>2.7711128546185</v>
      </c>
    </row>
    <row r="2042" hidden="1">
      <c r="A2042" s="67" t="s">
        <v>2802</v>
      </c>
      <c r="B2042" s="67" t="s">
        <v>17</v>
      </c>
      <c r="C2042" s="68">
        <v>1.0</v>
      </c>
      <c r="D2042" s="68">
        <v>1.0</v>
      </c>
      <c r="E2042" s="68">
        <v>5.0</v>
      </c>
      <c r="F2042" s="68">
        <v>0.0</v>
      </c>
      <c r="G2042" s="68">
        <v>0.481766782146622</v>
      </c>
      <c r="H2042" s="68">
        <v>0.555112818585487</v>
      </c>
      <c r="I2042" s="69">
        <v>44316.83996527778</v>
      </c>
      <c r="J2042" s="69">
        <v>44316.8403587963</v>
      </c>
      <c r="K2042">
        <f>AVERAGE(H2042:H2046)</f>
        <v>108.2262857</v>
      </c>
      <c r="L2042">
        <f>STDEV(H2042:H2046)</f>
        <v>104.9987436</v>
      </c>
      <c r="M2042" s="70">
        <v>0.555112818585487</v>
      </c>
      <c r="N2042" s="70">
        <v>0.555112818585487</v>
      </c>
      <c r="O2042" s="70">
        <v>0.481766782146622</v>
      </c>
      <c r="P2042" s="70">
        <v>0.481766782146622</v>
      </c>
    </row>
    <row r="2043" hidden="1">
      <c r="A2043" s="67" t="s">
        <v>2803</v>
      </c>
      <c r="B2043" s="67" t="s">
        <v>17</v>
      </c>
      <c r="C2043" s="68">
        <v>1.0</v>
      </c>
      <c r="D2043" s="68">
        <v>1.0</v>
      </c>
      <c r="E2043" s="68">
        <v>5.0</v>
      </c>
      <c r="F2043" s="68">
        <v>1.0</v>
      </c>
      <c r="G2043" s="68">
        <v>6.24129577383067</v>
      </c>
      <c r="H2043" s="68">
        <v>228.210578845896</v>
      </c>
      <c r="I2043" s="69">
        <v>44316.84106481481</v>
      </c>
      <c r="J2043" s="69">
        <v>44316.844351851854</v>
      </c>
      <c r="K2043">
        <f>AVERAGE(H2042:H2046)</f>
        <v>108.2262857</v>
      </c>
      <c r="L2043">
        <f>STDEV(H2042:H2046)</f>
        <v>104.9987436</v>
      </c>
      <c r="M2043" s="70">
        <v>228.210578845896</v>
      </c>
      <c r="N2043" s="70">
        <v>228.210578845896</v>
      </c>
      <c r="O2043" s="70">
        <v>6.24129577383067</v>
      </c>
      <c r="P2043" s="70">
        <v>6.24129577383067</v>
      </c>
    </row>
    <row r="2044" hidden="1">
      <c r="A2044" s="67" t="s">
        <v>2804</v>
      </c>
      <c r="B2044" s="67" t="s">
        <v>17</v>
      </c>
      <c r="C2044" s="68">
        <v>1.0</v>
      </c>
      <c r="D2044" s="68">
        <v>1.0</v>
      </c>
      <c r="E2044" s="68">
        <v>5.0</v>
      </c>
      <c r="F2044" s="68">
        <v>2.0</v>
      </c>
      <c r="G2044" s="68">
        <v>2.50235897306624</v>
      </c>
      <c r="H2044" s="68">
        <v>123.958903815431</v>
      </c>
      <c r="I2044" s="69">
        <v>44316.84506944445</v>
      </c>
      <c r="J2044" s="69">
        <v>44316.89065972222</v>
      </c>
      <c r="K2044">
        <f>AVERAGE(H2042:H2046)</f>
        <v>108.2262857</v>
      </c>
      <c r="L2044">
        <f>STDEV(H2042:H2046)</f>
        <v>104.9987436</v>
      </c>
      <c r="M2044" s="70">
        <v>123.958903815431</v>
      </c>
      <c r="N2044" s="70">
        <v>123.958903815431</v>
      </c>
      <c r="O2044" s="70">
        <v>2.50235897306624</v>
      </c>
      <c r="P2044" s="70">
        <v>2.50235897306624</v>
      </c>
    </row>
    <row r="2045" hidden="1">
      <c r="A2045" s="67" t="s">
        <v>2805</v>
      </c>
      <c r="B2045" s="67" t="s">
        <v>17</v>
      </c>
      <c r="C2045" s="68">
        <v>1.0</v>
      </c>
      <c r="D2045" s="68">
        <v>1.0</v>
      </c>
      <c r="E2045" s="68">
        <v>5.0</v>
      </c>
      <c r="F2045" s="68">
        <v>3.0</v>
      </c>
      <c r="G2045" s="68">
        <v>0.581659196280914</v>
      </c>
      <c r="H2045" s="68">
        <v>0.745309482501829</v>
      </c>
      <c r="I2045" s="69">
        <v>44316.89136574074</v>
      </c>
      <c r="J2045" s="69">
        <v>44316.89146990741</v>
      </c>
      <c r="K2045">
        <f>AVERAGE(H2042:H2046)</f>
        <v>108.2262857</v>
      </c>
      <c r="L2045">
        <f>STDEV(H2042:H2046)</f>
        <v>104.9987436</v>
      </c>
      <c r="M2045" s="70">
        <v>0.745309482501829</v>
      </c>
      <c r="N2045" s="70">
        <v>0.745309482501829</v>
      </c>
      <c r="O2045" s="70">
        <v>0.581659196280914</v>
      </c>
      <c r="P2045" s="70">
        <v>0.581659196280914</v>
      </c>
    </row>
    <row r="2046" hidden="1">
      <c r="A2046" s="67" t="s">
        <v>2806</v>
      </c>
      <c r="B2046" s="67" t="s">
        <v>17</v>
      </c>
      <c r="C2046" s="68">
        <v>1.0</v>
      </c>
      <c r="D2046" s="68">
        <v>1.0</v>
      </c>
      <c r="E2046" s="68">
        <v>5.0</v>
      </c>
      <c r="F2046" s="68">
        <v>4.0</v>
      </c>
      <c r="G2046" s="68">
        <v>6.74544150368888</v>
      </c>
      <c r="H2046" s="68">
        <v>187.661523475194</v>
      </c>
      <c r="I2046" s="69">
        <v>44316.8921875</v>
      </c>
      <c r="J2046" s="69">
        <v>44316.89225694445</v>
      </c>
      <c r="K2046">
        <f>AVERAGE(H2042:H2046)</f>
        <v>108.2262857</v>
      </c>
      <c r="L2046">
        <f>STDEV(H2042:H2046)</f>
        <v>104.9987436</v>
      </c>
      <c r="M2046" s="70">
        <v>187.661523475194</v>
      </c>
      <c r="N2046" s="70">
        <v>187.661523475194</v>
      </c>
      <c r="O2046" s="70">
        <v>6.74544150368888</v>
      </c>
      <c r="P2046" s="70">
        <v>6.74544150368888</v>
      </c>
    </row>
    <row r="2047" hidden="1">
      <c r="A2047" s="67" t="s">
        <v>2807</v>
      </c>
      <c r="B2047" s="67" t="s">
        <v>268</v>
      </c>
      <c r="C2047" s="68">
        <v>0.1</v>
      </c>
      <c r="D2047" s="68">
        <v>0.1</v>
      </c>
      <c r="E2047" s="68">
        <v>5.0</v>
      </c>
      <c r="F2047" s="68">
        <v>0.0</v>
      </c>
      <c r="G2047" s="68">
        <v>4.42849794830854</v>
      </c>
      <c r="H2047" s="68">
        <v>188.287771848857</v>
      </c>
      <c r="I2047" s="69">
        <v>44316.892962962964</v>
      </c>
      <c r="J2047" s="69">
        <v>44316.89952546296</v>
      </c>
      <c r="K2047">
        <f>AVERAGE(H2047:H2051)</f>
        <v>118.6249124</v>
      </c>
      <c r="L2047">
        <f>STDEV(H2047:H2051)</f>
        <v>81.84192879</v>
      </c>
      <c r="M2047" s="70">
        <v>188.287771848857</v>
      </c>
      <c r="N2047" s="70">
        <v>188.287771848857</v>
      </c>
      <c r="O2047" s="70">
        <v>4.42849794830854</v>
      </c>
      <c r="P2047" s="70">
        <v>4.42849794830854</v>
      </c>
    </row>
    <row r="2048" hidden="1">
      <c r="A2048" s="67" t="s">
        <v>2808</v>
      </c>
      <c r="B2048" s="67" t="s">
        <v>268</v>
      </c>
      <c r="C2048" s="68">
        <v>0.1</v>
      </c>
      <c r="D2048" s="68">
        <v>0.1</v>
      </c>
      <c r="E2048" s="68">
        <v>5.0</v>
      </c>
      <c r="F2048" s="68">
        <v>1.0</v>
      </c>
      <c r="G2048" s="68">
        <v>0.655779230192059</v>
      </c>
      <c r="H2048" s="68">
        <v>1.21609162054543</v>
      </c>
      <c r="I2048" s="69">
        <v>44316.90023148148</v>
      </c>
      <c r="J2048" s="69">
        <v>44316.900972222225</v>
      </c>
      <c r="K2048">
        <f>AVERAGE(H2047:H2051)</f>
        <v>118.6249124</v>
      </c>
      <c r="L2048">
        <f>STDEV(H2047:H2051)</f>
        <v>81.84192879</v>
      </c>
      <c r="M2048" s="70">
        <v>1.21609162054543</v>
      </c>
      <c r="N2048" s="70">
        <v>1.21609162054543</v>
      </c>
      <c r="O2048" s="70">
        <v>0.655779230192059</v>
      </c>
      <c r="P2048" s="70">
        <v>0.655779230192059</v>
      </c>
    </row>
    <row r="2049" hidden="1">
      <c r="A2049" s="67" t="s">
        <v>2809</v>
      </c>
      <c r="B2049" s="67" t="s">
        <v>268</v>
      </c>
      <c r="C2049" s="68">
        <v>0.1</v>
      </c>
      <c r="D2049" s="68">
        <v>0.1</v>
      </c>
      <c r="E2049" s="68">
        <v>5.0</v>
      </c>
      <c r="F2049" s="68">
        <v>2.0</v>
      </c>
      <c r="G2049" s="68">
        <v>3.53395397610698</v>
      </c>
      <c r="H2049" s="68">
        <v>134.30013015406</v>
      </c>
      <c r="I2049" s="69">
        <v>44316.90168981482</v>
      </c>
      <c r="J2049" s="69">
        <v>44316.90237268519</v>
      </c>
      <c r="K2049">
        <f>AVERAGE(H2047:H2051)</f>
        <v>118.6249124</v>
      </c>
      <c r="L2049">
        <f>STDEV(H2047:H2051)</f>
        <v>81.84192879</v>
      </c>
      <c r="M2049" s="70">
        <v>134.30013015406</v>
      </c>
      <c r="N2049" s="70">
        <v>134.30013015406</v>
      </c>
      <c r="O2049" s="70">
        <v>3.53395397610698</v>
      </c>
      <c r="P2049" s="70">
        <v>3.53395397610698</v>
      </c>
    </row>
    <row r="2050" hidden="1">
      <c r="A2050" s="67" t="s">
        <v>2810</v>
      </c>
      <c r="B2050" s="67" t="s">
        <v>268</v>
      </c>
      <c r="C2050" s="68">
        <v>0.1</v>
      </c>
      <c r="D2050" s="68">
        <v>0.1</v>
      </c>
      <c r="E2050" s="68">
        <v>5.0</v>
      </c>
      <c r="F2050" s="68">
        <v>3.0</v>
      </c>
      <c r="G2050" s="68">
        <v>4.36652466133934</v>
      </c>
      <c r="H2050" s="68">
        <v>195.466045863674</v>
      </c>
      <c r="I2050" s="69">
        <v>44316.90309027778</v>
      </c>
      <c r="J2050" s="69">
        <v>44316.90704861111</v>
      </c>
      <c r="K2050">
        <f>AVERAGE(H2047:H2051)</f>
        <v>118.6249124</v>
      </c>
      <c r="L2050">
        <f>STDEV(H2047:H2051)</f>
        <v>81.84192879</v>
      </c>
      <c r="M2050" s="70">
        <v>195.466045863674</v>
      </c>
      <c r="N2050" s="70">
        <v>195.466045863674</v>
      </c>
      <c r="O2050" s="70">
        <v>4.36652466133934</v>
      </c>
      <c r="P2050" s="70">
        <v>4.36652466133934</v>
      </c>
    </row>
    <row r="2051" hidden="1">
      <c r="A2051" s="67" t="s">
        <v>2811</v>
      </c>
      <c r="B2051" s="67" t="s">
        <v>268</v>
      </c>
      <c r="C2051" s="68">
        <v>0.1</v>
      </c>
      <c r="D2051" s="68">
        <v>0.1</v>
      </c>
      <c r="E2051" s="68">
        <v>5.0</v>
      </c>
      <c r="F2051" s="68">
        <v>4.0</v>
      </c>
      <c r="G2051" s="68">
        <v>1.72554826849011</v>
      </c>
      <c r="H2051" s="68">
        <v>73.8545225774605</v>
      </c>
      <c r="I2051" s="69">
        <v>44316.9077662037</v>
      </c>
      <c r="J2051" s="69">
        <v>44316.91003472222</v>
      </c>
      <c r="K2051">
        <f>AVERAGE(H2047:H2051)</f>
        <v>118.6249124</v>
      </c>
      <c r="L2051">
        <f>STDEV(H2047:H2051)</f>
        <v>81.84192879</v>
      </c>
      <c r="M2051" s="70">
        <v>73.8545225774605</v>
      </c>
      <c r="N2051" s="70">
        <v>73.8545225774605</v>
      </c>
      <c r="O2051" s="70">
        <v>1.72554826849011</v>
      </c>
      <c r="P2051" s="70">
        <v>1.72554826849011</v>
      </c>
    </row>
    <row r="2052" hidden="1">
      <c r="A2052" s="67" t="s">
        <v>2812</v>
      </c>
      <c r="B2052" s="67" t="s">
        <v>268</v>
      </c>
      <c r="C2052" s="68">
        <v>0.1</v>
      </c>
      <c r="D2052" s="68">
        <v>0.25</v>
      </c>
      <c r="E2052" s="68">
        <v>5.0</v>
      </c>
      <c r="F2052" s="68">
        <v>0.0</v>
      </c>
      <c r="G2052" s="68">
        <v>4.31666985377997</v>
      </c>
      <c r="H2052" s="68">
        <v>186.152287935668</v>
      </c>
      <c r="I2052" s="69">
        <v>44316.91075231481</v>
      </c>
      <c r="J2052" s="69">
        <v>44316.95033564815</v>
      </c>
      <c r="K2052">
        <f>AVERAGE(H2052:H2056)</f>
        <v>83.69037703</v>
      </c>
      <c r="L2052">
        <f>STDEV(H2052:H2056)</f>
        <v>87.16799678</v>
      </c>
      <c r="M2052" s="70">
        <v>186.152287935668</v>
      </c>
      <c r="N2052" s="70">
        <v>186.152287935668</v>
      </c>
      <c r="O2052" s="70">
        <v>4.31666985377997</v>
      </c>
      <c r="P2052" s="70">
        <v>4.31666985377997</v>
      </c>
    </row>
    <row r="2053" hidden="1">
      <c r="A2053" s="67" t="s">
        <v>2813</v>
      </c>
      <c r="B2053" s="67" t="s">
        <v>268</v>
      </c>
      <c r="C2053" s="68">
        <v>0.1</v>
      </c>
      <c r="D2053" s="68">
        <v>0.25</v>
      </c>
      <c r="E2053" s="68">
        <v>5.0</v>
      </c>
      <c r="F2053" s="68">
        <v>1.0</v>
      </c>
      <c r="G2053" s="68">
        <v>0.467489314643222</v>
      </c>
      <c r="H2053" s="68">
        <v>0.559611722484267</v>
      </c>
      <c r="I2053" s="69">
        <v>44316.95104166667</v>
      </c>
      <c r="J2053" s="69">
        <v>44316.951215277775</v>
      </c>
      <c r="K2053">
        <f>AVERAGE(H2052:H2056)</f>
        <v>83.69037703</v>
      </c>
      <c r="L2053">
        <f>STDEV(H2052:H2056)</f>
        <v>87.16799678</v>
      </c>
      <c r="M2053" s="70">
        <v>0.559611722484267</v>
      </c>
      <c r="N2053" s="70">
        <v>0.559611722484267</v>
      </c>
      <c r="O2053" s="70">
        <v>0.467489314643222</v>
      </c>
      <c r="P2053" s="70">
        <v>0.467489314643222</v>
      </c>
    </row>
    <row r="2054" hidden="1">
      <c r="A2054" s="67" t="s">
        <v>2814</v>
      </c>
      <c r="B2054" s="67" t="s">
        <v>268</v>
      </c>
      <c r="C2054" s="68">
        <v>0.1</v>
      </c>
      <c r="D2054" s="68">
        <v>0.25</v>
      </c>
      <c r="E2054" s="68">
        <v>5.0</v>
      </c>
      <c r="F2054" s="68">
        <v>2.0</v>
      </c>
      <c r="G2054" s="68">
        <v>0.657300413358112</v>
      </c>
      <c r="H2054" s="68">
        <v>1.21944240985285</v>
      </c>
      <c r="I2054" s="69">
        <v>44316.9519212963</v>
      </c>
      <c r="J2054" s="69">
        <v>44316.952685185184</v>
      </c>
      <c r="K2054">
        <f>AVERAGE(H2052:H2056)</f>
        <v>83.69037703</v>
      </c>
      <c r="L2054">
        <f>STDEV(H2052:H2056)</f>
        <v>87.16799678</v>
      </c>
      <c r="M2054" s="70">
        <v>1.21944240985285</v>
      </c>
      <c r="N2054" s="70">
        <v>1.21944240985285</v>
      </c>
      <c r="O2054" s="70">
        <v>0.657300413358112</v>
      </c>
      <c r="P2054" s="70">
        <v>0.657300413358112</v>
      </c>
    </row>
    <row r="2055" hidden="1">
      <c r="A2055" s="67" t="s">
        <v>2815</v>
      </c>
      <c r="B2055" s="67" t="s">
        <v>268</v>
      </c>
      <c r="C2055" s="68">
        <v>0.1</v>
      </c>
      <c r="D2055" s="68">
        <v>0.25</v>
      </c>
      <c r="E2055" s="68">
        <v>5.0</v>
      </c>
      <c r="F2055" s="68">
        <v>3.0</v>
      </c>
      <c r="G2055" s="68">
        <v>1.35195323058392</v>
      </c>
      <c r="H2055" s="68">
        <v>69.4940187824628</v>
      </c>
      <c r="I2055" s="69">
        <v>44316.95340277778</v>
      </c>
      <c r="J2055" s="69">
        <v>44316.95447916666</v>
      </c>
      <c r="K2055">
        <f>AVERAGE(H2052:H2056)</f>
        <v>83.69037703</v>
      </c>
      <c r="L2055">
        <f>STDEV(H2052:H2056)</f>
        <v>87.16799678</v>
      </c>
      <c r="M2055" s="70">
        <v>69.4940187824628</v>
      </c>
      <c r="N2055" s="70">
        <v>69.4940187824628</v>
      </c>
      <c r="O2055" s="70">
        <v>1.35195323058392</v>
      </c>
      <c r="P2055" s="70">
        <v>1.35195323058392</v>
      </c>
    </row>
    <row r="2056" hidden="1">
      <c r="A2056" s="67" t="s">
        <v>2816</v>
      </c>
      <c r="B2056" s="67" t="s">
        <v>268</v>
      </c>
      <c r="C2056" s="68">
        <v>0.1</v>
      </c>
      <c r="D2056" s="68">
        <v>0.25</v>
      </c>
      <c r="E2056" s="68">
        <v>5.0</v>
      </c>
      <c r="F2056" s="68">
        <v>4.0</v>
      </c>
      <c r="G2056" s="68">
        <v>4.77447941072672</v>
      </c>
      <c r="H2056" s="68">
        <v>161.026524322024</v>
      </c>
      <c r="I2056" s="69">
        <v>44316.95518518519</v>
      </c>
      <c r="J2056" s="69">
        <v>44316.955405092594</v>
      </c>
      <c r="K2056">
        <f>AVERAGE(H2052:H2056)</f>
        <v>83.69037703</v>
      </c>
      <c r="L2056">
        <f>STDEV(H2052:H2056)</f>
        <v>87.16799678</v>
      </c>
      <c r="M2056" s="70">
        <v>161.026524322024</v>
      </c>
      <c r="N2056" s="70">
        <v>161.026524322024</v>
      </c>
      <c r="O2056" s="70">
        <v>4.77447941072672</v>
      </c>
      <c r="P2056" s="70">
        <v>4.77447941072672</v>
      </c>
    </row>
    <row r="2057" hidden="1">
      <c r="A2057" s="67" t="s">
        <v>2817</v>
      </c>
      <c r="B2057" s="67" t="s">
        <v>268</v>
      </c>
      <c r="C2057" s="68">
        <v>0.1</v>
      </c>
      <c r="D2057" s="68">
        <v>0.5</v>
      </c>
      <c r="E2057" s="68">
        <v>5.0</v>
      </c>
      <c r="F2057" s="68">
        <v>0.0</v>
      </c>
      <c r="G2057" s="68">
        <v>2.88693702198425</v>
      </c>
      <c r="H2057" s="68">
        <v>138.725099963521</v>
      </c>
      <c r="I2057" s="69">
        <v>44316.95612268519</v>
      </c>
      <c r="J2057" s="69">
        <v>44317.00939814815</v>
      </c>
      <c r="K2057">
        <f>AVERAGE(H2057:H2061)</f>
        <v>165.6122536</v>
      </c>
      <c r="L2057">
        <f>STDEV(H2057:H2061)</f>
        <v>79.28438344</v>
      </c>
      <c r="M2057" s="70">
        <v>138.725099963521</v>
      </c>
      <c r="N2057" s="70">
        <v>138.725099963521</v>
      </c>
      <c r="O2057" s="70">
        <v>2.88693702198425</v>
      </c>
      <c r="P2057" s="70">
        <v>2.88693702198425</v>
      </c>
    </row>
    <row r="2058" hidden="1">
      <c r="A2058" s="67" t="s">
        <v>2818</v>
      </c>
      <c r="B2058" s="67" t="s">
        <v>268</v>
      </c>
      <c r="C2058" s="68">
        <v>0.1</v>
      </c>
      <c r="D2058" s="68">
        <v>0.5</v>
      </c>
      <c r="E2058" s="68">
        <v>5.0</v>
      </c>
      <c r="F2058" s="68">
        <v>1.0</v>
      </c>
      <c r="G2058" s="68">
        <v>8.28365757012675</v>
      </c>
      <c r="H2058" s="68">
        <v>288.638865612839</v>
      </c>
      <c r="I2058" s="69">
        <v>44317.01011574074</v>
      </c>
      <c r="J2058" s="69">
        <v>44317.01106481482</v>
      </c>
      <c r="K2058">
        <f>AVERAGE(H2057:H2061)</f>
        <v>165.6122536</v>
      </c>
      <c r="L2058">
        <f>STDEV(H2057:H2061)</f>
        <v>79.28438344</v>
      </c>
      <c r="M2058" s="70">
        <v>288.638865612839</v>
      </c>
      <c r="N2058" s="70">
        <v>288.638865612839</v>
      </c>
      <c r="O2058" s="70">
        <v>8.28365757012675</v>
      </c>
      <c r="P2058" s="70">
        <v>8.28365757012675</v>
      </c>
    </row>
    <row r="2059" hidden="1">
      <c r="A2059" s="67" t="s">
        <v>2819</v>
      </c>
      <c r="B2059" s="67" t="s">
        <v>268</v>
      </c>
      <c r="C2059" s="68">
        <v>0.1</v>
      </c>
      <c r="D2059" s="68">
        <v>0.5</v>
      </c>
      <c r="E2059" s="68">
        <v>5.0</v>
      </c>
      <c r="F2059" s="68">
        <v>2.0</v>
      </c>
      <c r="G2059" s="68">
        <v>4.77156875722403</v>
      </c>
      <c r="H2059" s="68">
        <v>160.946422780825</v>
      </c>
      <c r="I2059" s="69">
        <v>44317.011770833335</v>
      </c>
      <c r="J2059" s="69">
        <v>44317.01199074074</v>
      </c>
      <c r="K2059">
        <f>AVERAGE(H2057:H2061)</f>
        <v>165.6122536</v>
      </c>
      <c r="L2059">
        <f>STDEV(H2057:H2061)</f>
        <v>79.28438344</v>
      </c>
      <c r="M2059" s="70">
        <v>160.946422780825</v>
      </c>
      <c r="N2059" s="70">
        <v>160.946422780825</v>
      </c>
      <c r="O2059" s="70">
        <v>4.77156875722403</v>
      </c>
      <c r="P2059" s="70">
        <v>4.77156875722403</v>
      </c>
    </row>
    <row r="2060" hidden="1">
      <c r="A2060" s="67" t="s">
        <v>2820</v>
      </c>
      <c r="B2060" s="67" t="s">
        <v>268</v>
      </c>
      <c r="C2060" s="68">
        <v>0.1</v>
      </c>
      <c r="D2060" s="68">
        <v>0.5</v>
      </c>
      <c r="E2060" s="68">
        <v>5.0</v>
      </c>
      <c r="F2060" s="68">
        <v>3.0</v>
      </c>
      <c r="G2060" s="68">
        <v>4.4695799596726</v>
      </c>
      <c r="H2060" s="68">
        <v>170.274374725911</v>
      </c>
      <c r="I2060" s="69">
        <v>44317.012708333335</v>
      </c>
      <c r="J2060" s="69">
        <v>44317.012766203705</v>
      </c>
      <c r="K2060">
        <f>AVERAGE(H2057:H2061)</f>
        <v>165.6122536</v>
      </c>
      <c r="L2060">
        <f>STDEV(H2057:H2061)</f>
        <v>79.28438344</v>
      </c>
      <c r="M2060" s="70">
        <v>170.274374725911</v>
      </c>
      <c r="N2060" s="70">
        <v>170.274374725911</v>
      </c>
      <c r="O2060" s="70">
        <v>4.4695799596726</v>
      </c>
      <c r="P2060" s="70">
        <v>4.4695799596726</v>
      </c>
    </row>
    <row r="2061" hidden="1">
      <c r="A2061" s="67" t="s">
        <v>2821</v>
      </c>
      <c r="B2061" s="67" t="s">
        <v>268</v>
      </c>
      <c r="C2061" s="68">
        <v>0.1</v>
      </c>
      <c r="D2061" s="68">
        <v>0.5</v>
      </c>
      <c r="E2061" s="68">
        <v>5.0</v>
      </c>
      <c r="F2061" s="68">
        <v>4.0</v>
      </c>
      <c r="G2061" s="68">
        <v>1.35161111926862</v>
      </c>
      <c r="H2061" s="68">
        <v>69.4765048754465</v>
      </c>
      <c r="I2061" s="69">
        <v>44317.01347222222</v>
      </c>
      <c r="J2061" s="69">
        <v>44317.01459490741</v>
      </c>
      <c r="K2061">
        <f>AVERAGE(H2057:H2061)</f>
        <v>165.6122536</v>
      </c>
      <c r="L2061">
        <f>STDEV(H2057:H2061)</f>
        <v>79.28438344</v>
      </c>
      <c r="M2061" s="70">
        <v>69.4765048754465</v>
      </c>
      <c r="N2061" s="70">
        <v>69.4765048754465</v>
      </c>
      <c r="O2061" s="70">
        <v>1.35161111926862</v>
      </c>
      <c r="P2061" s="70">
        <v>1.35161111926862</v>
      </c>
    </row>
    <row r="2062" hidden="1">
      <c r="A2062" s="67" t="s">
        <v>2822</v>
      </c>
      <c r="B2062" s="67" t="s">
        <v>268</v>
      </c>
      <c r="C2062" s="68">
        <v>0.1</v>
      </c>
      <c r="D2062" s="68">
        <v>0.75</v>
      </c>
      <c r="E2062" s="68">
        <v>5.0</v>
      </c>
      <c r="F2062" s="68">
        <v>0.0</v>
      </c>
      <c r="G2062" s="68">
        <v>1.72898024330463</v>
      </c>
      <c r="H2062" s="68">
        <v>28.0668386786042</v>
      </c>
      <c r="I2062" s="69">
        <v>44317.01530092592</v>
      </c>
      <c r="J2062" s="69">
        <v>44317.01594907408</v>
      </c>
      <c r="K2062">
        <f>AVERAGE(H2062:H2066)</f>
        <v>131.3396854</v>
      </c>
      <c r="L2062">
        <f>STDEV(H2062:H2066)</f>
        <v>63.21421883</v>
      </c>
      <c r="M2062" s="70">
        <v>28.0668386786042</v>
      </c>
      <c r="N2062" s="70">
        <v>28.0668386786042</v>
      </c>
      <c r="O2062" s="70">
        <v>1.72898024330463</v>
      </c>
      <c r="P2062" s="70">
        <v>1.72898024330463</v>
      </c>
    </row>
    <row r="2063" hidden="1">
      <c r="A2063" s="67" t="s">
        <v>2823</v>
      </c>
      <c r="B2063" s="67" t="s">
        <v>268</v>
      </c>
      <c r="C2063" s="68">
        <v>0.1</v>
      </c>
      <c r="D2063" s="68">
        <v>0.75</v>
      </c>
      <c r="E2063" s="68">
        <v>5.0</v>
      </c>
      <c r="F2063" s="68">
        <v>1.0</v>
      </c>
      <c r="G2063" s="68">
        <v>4.39701976527191</v>
      </c>
      <c r="H2063" s="68">
        <v>197.508409592072</v>
      </c>
      <c r="I2063" s="69">
        <v>44317.01665509259</v>
      </c>
      <c r="J2063" s="69">
        <v>44317.031805555554</v>
      </c>
      <c r="K2063">
        <f>AVERAGE(H2062:H2066)</f>
        <v>131.3396854</v>
      </c>
      <c r="L2063">
        <f>STDEV(H2062:H2066)</f>
        <v>63.21421883</v>
      </c>
      <c r="M2063" s="70">
        <v>197.508409592072</v>
      </c>
      <c r="N2063" s="70">
        <v>197.508409592072</v>
      </c>
      <c r="O2063" s="70">
        <v>4.39701976527191</v>
      </c>
      <c r="P2063" s="70">
        <v>4.39701976527191</v>
      </c>
    </row>
    <row r="2064" hidden="1">
      <c r="A2064" s="67" t="s">
        <v>2824</v>
      </c>
      <c r="B2064" s="67" t="s">
        <v>268</v>
      </c>
      <c r="C2064" s="68">
        <v>0.1</v>
      </c>
      <c r="D2064" s="68">
        <v>0.75</v>
      </c>
      <c r="E2064" s="68">
        <v>5.0</v>
      </c>
      <c r="F2064" s="68">
        <v>2.0</v>
      </c>
      <c r="G2064" s="68">
        <v>2.90200363110989</v>
      </c>
      <c r="H2064" s="68">
        <v>138.11058302857</v>
      </c>
      <c r="I2064" s="69">
        <v>44317.03251157407</v>
      </c>
      <c r="J2064" s="69">
        <v>44317.055081018516</v>
      </c>
      <c r="K2064">
        <f>AVERAGE(H2062:H2066)</f>
        <v>131.3396854</v>
      </c>
      <c r="L2064">
        <f>STDEV(H2062:H2066)</f>
        <v>63.21421883</v>
      </c>
      <c r="M2064" s="70">
        <v>138.11058302857</v>
      </c>
      <c r="N2064" s="70">
        <v>138.11058302857</v>
      </c>
      <c r="O2064" s="70">
        <v>2.90200363110989</v>
      </c>
      <c r="P2064" s="70">
        <v>2.90200363110989</v>
      </c>
    </row>
    <row r="2065" hidden="1">
      <c r="A2065" s="67" t="s">
        <v>2825</v>
      </c>
      <c r="B2065" s="67" t="s">
        <v>268</v>
      </c>
      <c r="C2065" s="68">
        <v>0.1</v>
      </c>
      <c r="D2065" s="68">
        <v>0.75</v>
      </c>
      <c r="E2065" s="68">
        <v>5.0</v>
      </c>
      <c r="F2065" s="68">
        <v>3.0</v>
      </c>
      <c r="G2065" s="68">
        <v>4.78339299415728</v>
      </c>
      <c r="H2065" s="68">
        <v>161.248611032697</v>
      </c>
      <c r="I2065" s="69">
        <v>44317.05579861111</v>
      </c>
      <c r="J2065" s="69">
        <v>44317.05601851852</v>
      </c>
      <c r="K2065">
        <f>AVERAGE(H2062:H2066)</f>
        <v>131.3396854</v>
      </c>
      <c r="L2065">
        <f>STDEV(H2062:H2066)</f>
        <v>63.21421883</v>
      </c>
      <c r="M2065" s="70">
        <v>161.248611032697</v>
      </c>
      <c r="N2065" s="70">
        <v>161.248611032697</v>
      </c>
      <c r="O2065" s="70">
        <v>4.78339299415728</v>
      </c>
      <c r="P2065" s="70">
        <v>4.78339299415728</v>
      </c>
    </row>
    <row r="2066" hidden="1">
      <c r="A2066" s="67" t="s">
        <v>2826</v>
      </c>
      <c r="B2066" s="67" t="s">
        <v>268</v>
      </c>
      <c r="C2066" s="68">
        <v>0.1</v>
      </c>
      <c r="D2066" s="68">
        <v>0.75</v>
      </c>
      <c r="E2066" s="68">
        <v>5.0</v>
      </c>
      <c r="F2066" s="68">
        <v>4.0</v>
      </c>
      <c r="G2066" s="68">
        <v>2.48686057732635</v>
      </c>
      <c r="H2066" s="68">
        <v>131.763984870928</v>
      </c>
      <c r="I2066" s="69">
        <v>44317.05672453704</v>
      </c>
      <c r="J2066" s="69">
        <v>44317.05695601852</v>
      </c>
      <c r="K2066">
        <f>AVERAGE(H2062:H2066)</f>
        <v>131.3396854</v>
      </c>
      <c r="L2066">
        <f>STDEV(H2062:H2066)</f>
        <v>63.21421883</v>
      </c>
      <c r="M2066" s="70">
        <v>131.763984870928</v>
      </c>
      <c r="N2066" s="70">
        <v>131.763984870928</v>
      </c>
      <c r="O2066" s="70">
        <v>2.48686057732635</v>
      </c>
      <c r="P2066" s="70">
        <v>2.48686057732635</v>
      </c>
    </row>
    <row r="2067" hidden="1">
      <c r="A2067" s="67" t="s">
        <v>2827</v>
      </c>
      <c r="B2067" s="67" t="s">
        <v>268</v>
      </c>
      <c r="C2067" s="68">
        <v>0.1</v>
      </c>
      <c r="D2067" s="68">
        <v>1.0</v>
      </c>
      <c r="E2067" s="68">
        <v>5.0</v>
      </c>
      <c r="F2067" s="68">
        <v>0.0</v>
      </c>
      <c r="G2067" s="68">
        <v>8.18354919808195</v>
      </c>
      <c r="H2067" s="68">
        <v>285.478153503232</v>
      </c>
      <c r="I2067" s="69">
        <v>44295.33688657408</v>
      </c>
      <c r="J2067" s="69">
        <v>44295.338229166664</v>
      </c>
      <c r="K2067">
        <f>AVERAGE(H2067:H2071)</f>
        <v>141.1030383</v>
      </c>
      <c r="L2067">
        <f>STDEV(H2067:H2071)</f>
        <v>101.3179145</v>
      </c>
      <c r="M2067" s="70">
        <v>285.478153503232</v>
      </c>
      <c r="N2067" s="70">
        <v>285.478153503232</v>
      </c>
      <c r="O2067" s="70">
        <v>8.18354919808195</v>
      </c>
      <c r="P2067" s="70">
        <v>8.18354919808195</v>
      </c>
    </row>
    <row r="2068" hidden="1">
      <c r="A2068" s="67" t="s">
        <v>2828</v>
      </c>
      <c r="B2068" s="67" t="s">
        <v>268</v>
      </c>
      <c r="C2068" s="68">
        <v>0.1</v>
      </c>
      <c r="D2068" s="68">
        <v>1.0</v>
      </c>
      <c r="E2068" s="68">
        <v>5.0</v>
      </c>
      <c r="F2068" s="68">
        <v>1.0</v>
      </c>
      <c r="G2068" s="68">
        <v>2.94648326624118</v>
      </c>
      <c r="H2068" s="68">
        <v>128.471443789524</v>
      </c>
      <c r="I2068" s="69">
        <v>44295.33892361111</v>
      </c>
      <c r="J2068" s="69">
        <v>44295.34409722222</v>
      </c>
      <c r="K2068">
        <f>AVERAGE(H2067:H2071)</f>
        <v>141.1030383</v>
      </c>
      <c r="L2068">
        <f>STDEV(H2067:H2071)</f>
        <v>101.3179145</v>
      </c>
      <c r="M2068" s="70">
        <v>128.471443789524</v>
      </c>
      <c r="N2068" s="70">
        <v>128.471443789524</v>
      </c>
      <c r="O2068" s="70">
        <v>2.94648326624118</v>
      </c>
      <c r="P2068" s="70">
        <v>2.94648326624118</v>
      </c>
    </row>
    <row r="2069" hidden="1">
      <c r="A2069" s="67" t="s">
        <v>2829</v>
      </c>
      <c r="B2069" s="67" t="s">
        <v>268</v>
      </c>
      <c r="C2069" s="68">
        <v>0.1</v>
      </c>
      <c r="D2069" s="68">
        <v>1.0</v>
      </c>
      <c r="E2069" s="68">
        <v>5.0</v>
      </c>
      <c r="F2069" s="68">
        <v>2.0</v>
      </c>
      <c r="G2069" s="68">
        <v>2.64804552822738</v>
      </c>
      <c r="H2069" s="68">
        <v>4.14886586724848</v>
      </c>
      <c r="I2069" s="69">
        <v>44295.34479166667</v>
      </c>
      <c r="J2069" s="69">
        <v>44295.34490740741</v>
      </c>
      <c r="K2069">
        <f>AVERAGE(H2067:H2071)</f>
        <v>141.1030383</v>
      </c>
      <c r="L2069">
        <f>STDEV(H2067:H2071)</f>
        <v>101.3179145</v>
      </c>
      <c r="M2069" s="70">
        <v>4.14886586724848</v>
      </c>
      <c r="N2069" s="70">
        <v>4.14886586724848</v>
      </c>
      <c r="O2069" s="70">
        <v>2.64804552822738</v>
      </c>
      <c r="P2069" s="70">
        <v>2.64804552822738</v>
      </c>
    </row>
    <row r="2070" hidden="1">
      <c r="A2070" s="67" t="s">
        <v>2830</v>
      </c>
      <c r="B2070" s="67" t="s">
        <v>268</v>
      </c>
      <c r="C2070" s="68">
        <v>0.1</v>
      </c>
      <c r="D2070" s="68">
        <v>1.0</v>
      </c>
      <c r="E2070" s="68">
        <v>5.0</v>
      </c>
      <c r="F2070" s="68">
        <v>3.0</v>
      </c>
      <c r="G2070" s="68">
        <v>3.55005594447994</v>
      </c>
      <c r="H2070" s="68">
        <v>169.080862511735</v>
      </c>
      <c r="I2070" s="69">
        <v>44295.345601851855</v>
      </c>
      <c r="J2070" s="69">
        <v>44295.36613425926</v>
      </c>
      <c r="K2070">
        <f>AVERAGE(H2067:H2071)</f>
        <v>141.1030383</v>
      </c>
      <c r="L2070">
        <f>STDEV(H2067:H2071)</f>
        <v>101.3179145</v>
      </c>
      <c r="M2070" s="70">
        <v>169.080862511735</v>
      </c>
      <c r="N2070" s="70">
        <v>169.080862511735</v>
      </c>
      <c r="O2070" s="70">
        <v>3.55005594447994</v>
      </c>
      <c r="P2070" s="70">
        <v>3.55005594447994</v>
      </c>
    </row>
    <row r="2071" hidden="1">
      <c r="A2071" s="67" t="s">
        <v>2831</v>
      </c>
      <c r="B2071" s="67" t="s">
        <v>268</v>
      </c>
      <c r="C2071" s="68">
        <v>0.1</v>
      </c>
      <c r="D2071" s="68">
        <v>1.0</v>
      </c>
      <c r="E2071" s="68">
        <v>5.0</v>
      </c>
      <c r="F2071" s="68">
        <v>4.0</v>
      </c>
      <c r="G2071" s="68">
        <v>2.38510833146567</v>
      </c>
      <c r="H2071" s="68">
        <v>118.335866062408</v>
      </c>
      <c r="I2071" s="69">
        <v>44295.36682870371</v>
      </c>
      <c r="J2071" s="69">
        <v>44295.40131944444</v>
      </c>
      <c r="K2071">
        <f>AVERAGE(H2067:H2071)</f>
        <v>141.1030383</v>
      </c>
      <c r="L2071">
        <f>STDEV(H2067:H2071)</f>
        <v>101.3179145</v>
      </c>
      <c r="M2071" s="70">
        <v>118.335866062408</v>
      </c>
      <c r="N2071" s="70">
        <v>118.335866062408</v>
      </c>
      <c r="O2071" s="70">
        <v>2.38510833146567</v>
      </c>
      <c r="P2071" s="70">
        <v>2.38510833146567</v>
      </c>
    </row>
    <row r="2072" hidden="1">
      <c r="A2072" s="67" t="s">
        <v>2832</v>
      </c>
      <c r="B2072" s="67" t="s">
        <v>268</v>
      </c>
      <c r="C2072" s="68">
        <v>0.25</v>
      </c>
      <c r="D2072" s="68">
        <v>0.1</v>
      </c>
      <c r="E2072" s="68">
        <v>5.0</v>
      </c>
      <c r="F2072" s="68">
        <v>0.0</v>
      </c>
      <c r="G2072" s="68">
        <v>2.61852109489654</v>
      </c>
      <c r="H2072" s="68">
        <v>137.586789371434</v>
      </c>
      <c r="I2072" s="69">
        <v>44317.057662037034</v>
      </c>
      <c r="J2072" s="69">
        <v>44317.093206018515</v>
      </c>
      <c r="K2072">
        <f>AVERAGE(H2072:H2076)</f>
        <v>166.0165799</v>
      </c>
      <c r="L2072">
        <f>STDEV(H2072:H2076)</f>
        <v>20.93990925</v>
      </c>
      <c r="M2072" s="70">
        <v>137.586789371434</v>
      </c>
      <c r="N2072" s="70">
        <v>137.586789371434</v>
      </c>
      <c r="O2072" s="70">
        <v>2.61852109489654</v>
      </c>
      <c r="P2072" s="70">
        <v>2.61852109489654</v>
      </c>
    </row>
    <row r="2073" hidden="1">
      <c r="A2073" s="67" t="s">
        <v>2833</v>
      </c>
      <c r="B2073" s="67" t="s">
        <v>268</v>
      </c>
      <c r="C2073" s="68">
        <v>0.25</v>
      </c>
      <c r="D2073" s="68">
        <v>0.1</v>
      </c>
      <c r="E2073" s="68">
        <v>5.0</v>
      </c>
      <c r="F2073" s="68">
        <v>1.0</v>
      </c>
      <c r="G2073" s="68">
        <v>4.9655944156021</v>
      </c>
      <c r="H2073" s="68">
        <v>155.330397250719</v>
      </c>
      <c r="I2073" s="69">
        <v>44317.09392361111</v>
      </c>
      <c r="J2073" s="69">
        <v>44317.0940162037</v>
      </c>
      <c r="K2073">
        <f>AVERAGE(H2072:H2076)</f>
        <v>166.0165799</v>
      </c>
      <c r="L2073">
        <f>STDEV(H2072:H2076)</f>
        <v>20.93990925</v>
      </c>
      <c r="M2073" s="70">
        <v>155.330397250719</v>
      </c>
      <c r="N2073" s="70">
        <v>155.330397250719</v>
      </c>
      <c r="O2073" s="70">
        <v>4.9655944156021</v>
      </c>
      <c r="P2073" s="70">
        <v>4.9655944156021</v>
      </c>
    </row>
    <row r="2074" hidden="1">
      <c r="A2074" s="67" t="s">
        <v>2834</v>
      </c>
      <c r="B2074" s="67" t="s">
        <v>268</v>
      </c>
      <c r="C2074" s="68">
        <v>0.25</v>
      </c>
      <c r="D2074" s="68">
        <v>0.1</v>
      </c>
      <c r="E2074" s="68">
        <v>5.0</v>
      </c>
      <c r="F2074" s="68">
        <v>2.0</v>
      </c>
      <c r="G2074" s="68">
        <v>3.89856151101753</v>
      </c>
      <c r="H2074" s="68">
        <v>173.301789471526</v>
      </c>
      <c r="I2074" s="69">
        <v>44317.094722222224</v>
      </c>
      <c r="J2074" s="69">
        <v>44317.125925925924</v>
      </c>
      <c r="K2074">
        <f>AVERAGE(H2072:H2076)</f>
        <v>166.0165799</v>
      </c>
      <c r="L2074">
        <f>STDEV(H2072:H2076)</f>
        <v>20.93990925</v>
      </c>
      <c r="M2074" s="70">
        <v>173.301789471526</v>
      </c>
      <c r="N2074" s="70">
        <v>173.301789471526</v>
      </c>
      <c r="O2074" s="70">
        <v>3.89856151101753</v>
      </c>
      <c r="P2074" s="70">
        <v>3.89856151101753</v>
      </c>
    </row>
    <row r="2075" hidden="1">
      <c r="A2075" s="67" t="s">
        <v>2835</v>
      </c>
      <c r="B2075" s="67" t="s">
        <v>268</v>
      </c>
      <c r="C2075" s="68">
        <v>0.25</v>
      </c>
      <c r="D2075" s="68">
        <v>0.1</v>
      </c>
      <c r="E2075" s="68">
        <v>5.0</v>
      </c>
      <c r="F2075" s="68">
        <v>3.0</v>
      </c>
      <c r="G2075" s="68">
        <v>8.03182170252901</v>
      </c>
      <c r="H2075" s="68">
        <v>193.589548799332</v>
      </c>
      <c r="I2075" s="69">
        <v>44317.12663194445</v>
      </c>
      <c r="J2075" s="69">
        <v>44317.12667824074</v>
      </c>
      <c r="K2075">
        <f>AVERAGE(H2072:H2076)</f>
        <v>166.0165799</v>
      </c>
      <c r="L2075">
        <f>STDEV(H2072:H2076)</f>
        <v>20.93990925</v>
      </c>
      <c r="M2075" s="70">
        <v>193.589548799332</v>
      </c>
      <c r="N2075" s="70">
        <v>193.589548799332</v>
      </c>
      <c r="O2075" s="70">
        <v>8.03182170252901</v>
      </c>
      <c r="P2075" s="70">
        <v>8.03182170252901</v>
      </c>
    </row>
    <row r="2076" hidden="1">
      <c r="A2076" s="67" t="s">
        <v>2836</v>
      </c>
      <c r="B2076" s="67" t="s">
        <v>268</v>
      </c>
      <c r="C2076" s="68">
        <v>0.25</v>
      </c>
      <c r="D2076" s="68">
        <v>0.1</v>
      </c>
      <c r="E2076" s="68">
        <v>5.0</v>
      </c>
      <c r="F2076" s="68">
        <v>4.0</v>
      </c>
      <c r="G2076" s="68">
        <v>4.4695799596726</v>
      </c>
      <c r="H2076" s="68">
        <v>170.274374725911</v>
      </c>
      <c r="I2076" s="69">
        <v>44317.127384259256</v>
      </c>
      <c r="J2076" s="69">
        <v>44317.1274537037</v>
      </c>
      <c r="K2076">
        <f>AVERAGE(H2072:H2076)</f>
        <v>166.0165799</v>
      </c>
      <c r="L2076">
        <f>STDEV(H2072:H2076)</f>
        <v>20.93990925</v>
      </c>
      <c r="M2076" s="70">
        <v>170.274374725911</v>
      </c>
      <c r="N2076" s="70">
        <v>170.274374725911</v>
      </c>
      <c r="O2076" s="70">
        <v>4.4695799596726</v>
      </c>
      <c r="P2076" s="70">
        <v>4.4695799596726</v>
      </c>
    </row>
    <row r="2077" hidden="1">
      <c r="A2077" s="67" t="s">
        <v>2837</v>
      </c>
      <c r="B2077" s="67" t="s">
        <v>268</v>
      </c>
      <c r="C2077" s="68">
        <v>0.25</v>
      </c>
      <c r="D2077" s="68">
        <v>0.25</v>
      </c>
      <c r="E2077" s="68">
        <v>5.0</v>
      </c>
      <c r="F2077" s="68">
        <v>0.0</v>
      </c>
      <c r="G2077" s="68">
        <v>0.65503133140189</v>
      </c>
      <c r="H2077" s="68">
        <v>1.21433998350205</v>
      </c>
      <c r="I2077" s="69">
        <v>44317.12815972222</v>
      </c>
      <c r="J2077" s="69">
        <v>44317.12899305556</v>
      </c>
      <c r="K2077">
        <f>AVERAGE(H2077:H2081)</f>
        <v>96.26614334</v>
      </c>
      <c r="L2077">
        <f>STDEV(H2077:H2081)</f>
        <v>135.0456873</v>
      </c>
      <c r="M2077" s="70">
        <v>1.21433998350205</v>
      </c>
      <c r="N2077" s="70">
        <v>1.21433998350205</v>
      </c>
      <c r="O2077" s="70">
        <v>0.65503133140189</v>
      </c>
      <c r="P2077" s="70">
        <v>0.65503133140189</v>
      </c>
    </row>
    <row r="2078" hidden="1">
      <c r="A2078" s="67" t="s">
        <v>2838</v>
      </c>
      <c r="B2078" s="67" t="s">
        <v>268</v>
      </c>
      <c r="C2078" s="68">
        <v>0.25</v>
      </c>
      <c r="D2078" s="68">
        <v>0.25</v>
      </c>
      <c r="E2078" s="68">
        <v>5.0</v>
      </c>
      <c r="F2078" s="68">
        <v>1.0</v>
      </c>
      <c r="G2078" s="68">
        <v>3.47438721363127</v>
      </c>
      <c r="H2078" s="68">
        <v>155.345640753493</v>
      </c>
      <c r="I2078" s="69">
        <v>44317.129699074074</v>
      </c>
      <c r="J2078" s="69">
        <v>44317.18618055555</v>
      </c>
      <c r="K2078">
        <f>AVERAGE(H2077:H2081)</f>
        <v>96.26614334</v>
      </c>
      <c r="L2078">
        <f>STDEV(H2077:H2081)</f>
        <v>135.0456873</v>
      </c>
      <c r="M2078" s="70">
        <v>155.345640753493</v>
      </c>
      <c r="N2078" s="70">
        <v>155.345640753493</v>
      </c>
      <c r="O2078" s="70">
        <v>3.47438721363127</v>
      </c>
      <c r="P2078" s="70">
        <v>3.47438721363127</v>
      </c>
    </row>
    <row r="2079" hidden="1">
      <c r="A2079" s="67" t="s">
        <v>2839</v>
      </c>
      <c r="B2079" s="67" t="s">
        <v>268</v>
      </c>
      <c r="C2079" s="68">
        <v>0.25</v>
      </c>
      <c r="D2079" s="68">
        <v>0.25</v>
      </c>
      <c r="E2079" s="68">
        <v>5.0</v>
      </c>
      <c r="F2079" s="68">
        <v>2.0</v>
      </c>
      <c r="G2079" s="68">
        <v>0.712997756536142</v>
      </c>
      <c r="H2079" s="68">
        <v>0.950093966860787</v>
      </c>
      <c r="I2079" s="69">
        <v>44317.186886574076</v>
      </c>
      <c r="J2079" s="69">
        <v>44317.18711805555</v>
      </c>
      <c r="K2079">
        <f>AVERAGE(H2077:H2081)</f>
        <v>96.26614334</v>
      </c>
      <c r="L2079">
        <f>STDEV(H2077:H2081)</f>
        <v>135.0456873</v>
      </c>
      <c r="M2079" s="70">
        <v>0.950093966860787</v>
      </c>
      <c r="N2079" s="70">
        <v>0.950093966860787</v>
      </c>
      <c r="O2079" s="70">
        <v>0.712997756536142</v>
      </c>
      <c r="P2079" s="70">
        <v>0.712997756536142</v>
      </c>
    </row>
    <row r="2080" hidden="1">
      <c r="A2080" s="67" t="s">
        <v>2840</v>
      </c>
      <c r="B2080" s="67" t="s">
        <v>268</v>
      </c>
      <c r="C2080" s="68">
        <v>0.25</v>
      </c>
      <c r="D2080" s="68">
        <v>0.25</v>
      </c>
      <c r="E2080" s="68">
        <v>5.0</v>
      </c>
      <c r="F2080" s="68">
        <v>3.0</v>
      </c>
      <c r="G2080" s="68">
        <v>1.20054717121771</v>
      </c>
      <c r="H2080" s="68">
        <v>15.7585968874935</v>
      </c>
      <c r="I2080" s="69">
        <v>44317.18782407408</v>
      </c>
      <c r="J2080" s="69">
        <v>44317.18796296296</v>
      </c>
      <c r="K2080">
        <f>AVERAGE(H2077:H2081)</f>
        <v>96.26614334</v>
      </c>
      <c r="L2080">
        <f>STDEV(H2077:H2081)</f>
        <v>135.0456873</v>
      </c>
      <c r="M2080" s="70">
        <v>15.7585968874935</v>
      </c>
      <c r="N2080" s="70">
        <v>15.7585968874935</v>
      </c>
      <c r="O2080" s="70">
        <v>1.20054717121771</v>
      </c>
      <c r="P2080" s="70">
        <v>1.20054717121771</v>
      </c>
    </row>
    <row r="2081" hidden="1">
      <c r="A2081" s="67" t="s">
        <v>2841</v>
      </c>
      <c r="B2081" s="67" t="s">
        <v>268</v>
      </c>
      <c r="C2081" s="68">
        <v>0.25</v>
      </c>
      <c r="D2081" s="68">
        <v>0.25</v>
      </c>
      <c r="E2081" s="68">
        <v>5.0</v>
      </c>
      <c r="F2081" s="68">
        <v>4.0</v>
      </c>
      <c r="G2081" s="68">
        <v>9.24277639407863</v>
      </c>
      <c r="H2081" s="68">
        <v>308.062045104749</v>
      </c>
      <c r="I2081" s="69">
        <v>44317.18866898148</v>
      </c>
      <c r="J2081" s="69">
        <v>44317.18912037037</v>
      </c>
      <c r="K2081">
        <f>AVERAGE(H2077:H2081)</f>
        <v>96.26614334</v>
      </c>
      <c r="L2081">
        <f>STDEV(H2077:H2081)</f>
        <v>135.0456873</v>
      </c>
      <c r="M2081" s="70">
        <v>308.062045104749</v>
      </c>
      <c r="N2081" s="70">
        <v>308.062045104749</v>
      </c>
      <c r="O2081" s="70">
        <v>9.24277639407863</v>
      </c>
      <c r="P2081" s="70">
        <v>9.24277639407863</v>
      </c>
    </row>
    <row r="2082" hidden="1">
      <c r="A2082" s="67" t="s">
        <v>2842</v>
      </c>
      <c r="B2082" s="67" t="s">
        <v>268</v>
      </c>
      <c r="C2082" s="68">
        <v>0.25</v>
      </c>
      <c r="D2082" s="68">
        <v>0.5</v>
      </c>
      <c r="E2082" s="68">
        <v>5.0</v>
      </c>
      <c r="F2082" s="68">
        <v>0.0</v>
      </c>
      <c r="G2082" s="68">
        <v>2.09735392680329</v>
      </c>
      <c r="H2082" s="68">
        <v>101.795242927654</v>
      </c>
      <c r="I2082" s="69">
        <v>44317.18982638889</v>
      </c>
      <c r="J2082" s="69">
        <v>44317.19721064815</v>
      </c>
      <c r="K2082">
        <f>AVERAGE(H2082:H2086)</f>
        <v>120.4832885</v>
      </c>
      <c r="L2082">
        <f>STDEV(H2082:H2086)</f>
        <v>120.055085</v>
      </c>
      <c r="M2082" s="70">
        <v>101.795242927654</v>
      </c>
      <c r="N2082" s="70">
        <v>101.795242927654</v>
      </c>
      <c r="O2082" s="70">
        <v>2.09735392680329</v>
      </c>
      <c r="P2082" s="70">
        <v>2.09735392680329</v>
      </c>
    </row>
    <row r="2083" hidden="1">
      <c r="A2083" s="67" t="s">
        <v>2843</v>
      </c>
      <c r="B2083" s="67" t="s">
        <v>268</v>
      </c>
      <c r="C2083" s="68">
        <v>0.25</v>
      </c>
      <c r="D2083" s="68">
        <v>0.5</v>
      </c>
      <c r="E2083" s="68">
        <v>5.0</v>
      </c>
      <c r="F2083" s="68">
        <v>1.0</v>
      </c>
      <c r="G2083" s="68">
        <v>3.56183090411235</v>
      </c>
      <c r="H2083" s="68">
        <v>166.236446161291</v>
      </c>
      <c r="I2083" s="69">
        <v>44317.19792824074</v>
      </c>
      <c r="J2083" s="69">
        <v>44317.23888888889</v>
      </c>
      <c r="K2083">
        <f>AVERAGE(H2082:H2086)</f>
        <v>120.4832885</v>
      </c>
      <c r="L2083">
        <f>STDEV(H2082:H2086)</f>
        <v>120.055085</v>
      </c>
      <c r="M2083" s="70">
        <v>166.236446161291</v>
      </c>
      <c r="N2083" s="70">
        <v>166.236446161291</v>
      </c>
      <c r="O2083" s="70">
        <v>3.56183090411235</v>
      </c>
      <c r="P2083" s="70">
        <v>3.56183090411235</v>
      </c>
    </row>
    <row r="2084" hidden="1">
      <c r="A2084" s="67" t="s">
        <v>2844</v>
      </c>
      <c r="B2084" s="67" t="s">
        <v>268</v>
      </c>
      <c r="C2084" s="68">
        <v>0.25</v>
      </c>
      <c r="D2084" s="68">
        <v>0.5</v>
      </c>
      <c r="E2084" s="68">
        <v>5.0</v>
      </c>
      <c r="F2084" s="68">
        <v>2.0</v>
      </c>
      <c r="G2084" s="68">
        <v>8.9457852485062</v>
      </c>
      <c r="H2084" s="68">
        <v>302.39764687874</v>
      </c>
      <c r="I2084" s="69">
        <v>44317.239594907405</v>
      </c>
      <c r="J2084" s="69">
        <v>44317.240069444444</v>
      </c>
      <c r="K2084">
        <f>AVERAGE(H2082:H2086)</f>
        <v>120.4832885</v>
      </c>
      <c r="L2084">
        <f>STDEV(H2082:H2086)</f>
        <v>120.055085</v>
      </c>
      <c r="M2084" s="70">
        <v>302.39764687874</v>
      </c>
      <c r="N2084" s="70">
        <v>302.39764687874</v>
      </c>
      <c r="O2084" s="70">
        <v>8.9457852485062</v>
      </c>
      <c r="P2084" s="70">
        <v>8.9457852485062</v>
      </c>
    </row>
    <row r="2085" hidden="1">
      <c r="A2085" s="67" t="s">
        <v>2845</v>
      </c>
      <c r="B2085" s="67" t="s">
        <v>268</v>
      </c>
      <c r="C2085" s="68">
        <v>0.25</v>
      </c>
      <c r="D2085" s="68">
        <v>0.5</v>
      </c>
      <c r="E2085" s="68">
        <v>5.0</v>
      </c>
      <c r="F2085" s="68">
        <v>3.0</v>
      </c>
      <c r="G2085" s="68">
        <v>1.72389673355556</v>
      </c>
      <c r="H2085" s="68">
        <v>27.8522192469412</v>
      </c>
      <c r="I2085" s="69">
        <v>44317.24077546296</v>
      </c>
      <c r="J2085" s="69">
        <v>44317.241435185184</v>
      </c>
      <c r="K2085">
        <f>AVERAGE(H2082:H2086)</f>
        <v>120.4832885</v>
      </c>
      <c r="L2085">
        <f>STDEV(H2082:H2086)</f>
        <v>120.055085</v>
      </c>
      <c r="M2085" s="70">
        <v>27.8522192469412</v>
      </c>
      <c r="N2085" s="70">
        <v>27.8522192469412</v>
      </c>
      <c r="O2085" s="70">
        <v>1.72389673355556</v>
      </c>
      <c r="P2085" s="70">
        <v>1.72389673355556</v>
      </c>
    </row>
    <row r="2086" hidden="1">
      <c r="A2086" s="67" t="s">
        <v>2846</v>
      </c>
      <c r="B2086" s="67" t="s">
        <v>268</v>
      </c>
      <c r="C2086" s="68">
        <v>0.25</v>
      </c>
      <c r="D2086" s="68">
        <v>0.5</v>
      </c>
      <c r="E2086" s="68">
        <v>5.0</v>
      </c>
      <c r="F2086" s="68">
        <v>4.0</v>
      </c>
      <c r="G2086" s="68">
        <v>2.63887578269689</v>
      </c>
      <c r="H2086" s="68">
        <v>4.13488737133798</v>
      </c>
      <c r="I2086" s="69">
        <v>44317.2421412037</v>
      </c>
      <c r="J2086" s="69">
        <v>44317.2422337963</v>
      </c>
      <c r="K2086">
        <f>AVERAGE(H2082:H2086)</f>
        <v>120.4832885</v>
      </c>
      <c r="L2086">
        <f>STDEV(H2082:H2086)</f>
        <v>120.055085</v>
      </c>
      <c r="M2086" s="70">
        <v>4.13488737133798</v>
      </c>
      <c r="N2086" s="70">
        <v>4.13488737133798</v>
      </c>
      <c r="O2086" s="70">
        <v>2.63887578269689</v>
      </c>
      <c r="P2086" s="70">
        <v>2.63887578269689</v>
      </c>
    </row>
    <row r="2087" hidden="1">
      <c r="A2087" s="67" t="s">
        <v>2847</v>
      </c>
      <c r="B2087" s="67" t="s">
        <v>268</v>
      </c>
      <c r="C2087" s="68">
        <v>0.25</v>
      </c>
      <c r="D2087" s="68">
        <v>0.75</v>
      </c>
      <c r="E2087" s="68">
        <v>5.0</v>
      </c>
      <c r="F2087" s="68">
        <v>0.0</v>
      </c>
      <c r="G2087" s="68">
        <v>4.10704487640967</v>
      </c>
      <c r="H2087" s="68">
        <v>172.832020252827</v>
      </c>
      <c r="I2087" s="69">
        <v>44317.242939814816</v>
      </c>
      <c r="J2087" s="69">
        <v>44317.269907407404</v>
      </c>
      <c r="K2087">
        <f>AVERAGE(H2087:H2091)</f>
        <v>89.77763752</v>
      </c>
      <c r="L2087">
        <f>STDEV(H2087:H2091)</f>
        <v>93.40665611</v>
      </c>
      <c r="M2087" s="70">
        <v>172.832020252827</v>
      </c>
      <c r="N2087" s="70">
        <v>172.832020252827</v>
      </c>
      <c r="O2087" s="70">
        <v>4.10704487640967</v>
      </c>
      <c r="P2087" s="70">
        <v>4.10704487640967</v>
      </c>
    </row>
    <row r="2088" hidden="1">
      <c r="A2088" s="67" t="s">
        <v>2848</v>
      </c>
      <c r="B2088" s="67" t="s">
        <v>268</v>
      </c>
      <c r="C2088" s="68">
        <v>0.25</v>
      </c>
      <c r="D2088" s="68">
        <v>0.75</v>
      </c>
      <c r="E2088" s="68">
        <v>5.0</v>
      </c>
      <c r="F2088" s="68">
        <v>1.0</v>
      </c>
      <c r="G2088" s="68">
        <v>1.64251577244766</v>
      </c>
      <c r="H2088" s="68">
        <v>75.7120892477785</v>
      </c>
      <c r="I2088" s="69">
        <v>44317.27061342593</v>
      </c>
      <c r="J2088" s="69">
        <v>44317.27525462963</v>
      </c>
      <c r="K2088">
        <f>AVERAGE(H2087:H2091)</f>
        <v>89.77763752</v>
      </c>
      <c r="L2088">
        <f>STDEV(H2087:H2091)</f>
        <v>93.40665611</v>
      </c>
      <c r="M2088" s="70">
        <v>75.7120892477785</v>
      </c>
      <c r="N2088" s="70">
        <v>75.7120892477785</v>
      </c>
      <c r="O2088" s="70">
        <v>1.64251577244766</v>
      </c>
      <c r="P2088" s="70">
        <v>1.64251577244766</v>
      </c>
    </row>
    <row r="2089" hidden="1">
      <c r="A2089" s="67" t="s">
        <v>2849</v>
      </c>
      <c r="B2089" s="67" t="s">
        <v>268</v>
      </c>
      <c r="C2089" s="68">
        <v>0.25</v>
      </c>
      <c r="D2089" s="68">
        <v>0.75</v>
      </c>
      <c r="E2089" s="68">
        <v>5.0</v>
      </c>
      <c r="F2089" s="68">
        <v>2.0</v>
      </c>
      <c r="G2089" s="68">
        <v>4.4249246276598</v>
      </c>
      <c r="H2089" s="68">
        <v>198.985015796218</v>
      </c>
      <c r="I2089" s="69">
        <v>44317.27596064815</v>
      </c>
      <c r="J2089" s="69">
        <v>44317.28146990741</v>
      </c>
      <c r="K2089">
        <f>AVERAGE(H2087:H2091)</f>
        <v>89.77763752</v>
      </c>
      <c r="L2089">
        <f>STDEV(H2087:H2091)</f>
        <v>93.40665611</v>
      </c>
      <c r="M2089" s="70">
        <v>198.985015796218</v>
      </c>
      <c r="N2089" s="70">
        <v>198.985015796218</v>
      </c>
      <c r="O2089" s="70">
        <v>4.4249246276598</v>
      </c>
      <c r="P2089" s="70">
        <v>4.4249246276598</v>
      </c>
    </row>
    <row r="2090" hidden="1">
      <c r="A2090" s="67" t="s">
        <v>2850</v>
      </c>
      <c r="B2090" s="67" t="s">
        <v>268</v>
      </c>
      <c r="C2090" s="68">
        <v>0.25</v>
      </c>
      <c r="D2090" s="68">
        <v>0.75</v>
      </c>
      <c r="E2090" s="68">
        <v>5.0</v>
      </c>
      <c r="F2090" s="68">
        <v>3.0</v>
      </c>
      <c r="G2090" s="68">
        <v>0.319096105615425</v>
      </c>
      <c r="H2090" s="68">
        <v>0.408517979006142</v>
      </c>
      <c r="I2090" s="69">
        <v>44317.282175925924</v>
      </c>
      <c r="J2090" s="69">
        <v>44317.28223379629</v>
      </c>
      <c r="K2090">
        <f>AVERAGE(H2087:H2091)</f>
        <v>89.77763752</v>
      </c>
      <c r="L2090">
        <f>STDEV(H2087:H2091)</f>
        <v>93.40665611</v>
      </c>
      <c r="M2090" s="70">
        <v>0.408517979006142</v>
      </c>
      <c r="N2090" s="70">
        <v>0.408517979006142</v>
      </c>
      <c r="O2090" s="70">
        <v>0.319096105615425</v>
      </c>
      <c r="P2090" s="70">
        <v>0.319096105615425</v>
      </c>
    </row>
    <row r="2091" hidden="1">
      <c r="A2091" s="67" t="s">
        <v>2851</v>
      </c>
      <c r="B2091" s="67" t="s">
        <v>268</v>
      </c>
      <c r="C2091" s="68">
        <v>0.25</v>
      </c>
      <c r="D2091" s="68">
        <v>0.75</v>
      </c>
      <c r="E2091" s="68">
        <v>5.0</v>
      </c>
      <c r="F2091" s="68">
        <v>4.0</v>
      </c>
      <c r="G2091" s="68">
        <v>0.736192093514763</v>
      </c>
      <c r="H2091" s="68">
        <v>0.950544336758399</v>
      </c>
      <c r="I2091" s="69">
        <v>44317.28295138889</v>
      </c>
      <c r="J2091" s="69">
        <v>44317.283159722225</v>
      </c>
      <c r="K2091">
        <f>AVERAGE(H2087:H2091)</f>
        <v>89.77763752</v>
      </c>
      <c r="L2091">
        <f>STDEV(H2087:H2091)</f>
        <v>93.40665611</v>
      </c>
      <c r="M2091" s="70">
        <v>0.950544336758399</v>
      </c>
      <c r="N2091" s="70">
        <v>0.950544336758399</v>
      </c>
      <c r="O2091" s="70">
        <v>0.736192093514763</v>
      </c>
      <c r="P2091" s="70">
        <v>0.736192093514763</v>
      </c>
    </row>
    <row r="2092" hidden="1">
      <c r="A2092" s="67" t="s">
        <v>2852</v>
      </c>
      <c r="B2092" s="67" t="s">
        <v>268</v>
      </c>
      <c r="C2092" s="68">
        <v>0.25</v>
      </c>
      <c r="D2092" s="68">
        <v>1.0</v>
      </c>
      <c r="E2092" s="68">
        <v>5.0</v>
      </c>
      <c r="F2092" s="68">
        <v>0.0</v>
      </c>
      <c r="G2092" s="68">
        <v>8.17334956836465</v>
      </c>
      <c r="H2092" s="68">
        <v>285.289397485195</v>
      </c>
      <c r="I2092" s="69">
        <v>44317.28387731482</v>
      </c>
      <c r="J2092" s="69">
        <v>44317.28445601852</v>
      </c>
      <c r="K2092">
        <f>AVERAGE(H2092:H2096)</f>
        <v>148.2829224</v>
      </c>
      <c r="L2092">
        <f>STDEV(H2092:H2096)</f>
        <v>100.9472489</v>
      </c>
      <c r="M2092" s="70">
        <v>285.289397485195</v>
      </c>
      <c r="N2092" s="70">
        <v>285.289397485195</v>
      </c>
      <c r="O2092" s="70">
        <v>8.17334956836465</v>
      </c>
      <c r="P2092" s="70">
        <v>8.17334956836465</v>
      </c>
    </row>
    <row r="2093" hidden="1">
      <c r="A2093" s="67" t="s">
        <v>2853</v>
      </c>
      <c r="B2093" s="67" t="s">
        <v>268</v>
      </c>
      <c r="C2093" s="68">
        <v>0.25</v>
      </c>
      <c r="D2093" s="68">
        <v>1.0</v>
      </c>
      <c r="E2093" s="68">
        <v>5.0</v>
      </c>
      <c r="F2093" s="68">
        <v>1.0</v>
      </c>
      <c r="G2093" s="68">
        <v>2.82762365722043</v>
      </c>
      <c r="H2093" s="68">
        <v>139.272473332694</v>
      </c>
      <c r="I2093" s="69">
        <v>44317.28517361111</v>
      </c>
      <c r="J2093" s="69">
        <v>44317.349652777775</v>
      </c>
      <c r="K2093">
        <f>AVERAGE(H2092:H2096)</f>
        <v>148.2829224</v>
      </c>
      <c r="L2093">
        <f>STDEV(H2092:H2096)</f>
        <v>100.9472489</v>
      </c>
      <c r="M2093" s="70">
        <v>139.272473332694</v>
      </c>
      <c r="N2093" s="70">
        <v>139.272473332694</v>
      </c>
      <c r="O2093" s="70">
        <v>2.82762365722043</v>
      </c>
      <c r="P2093" s="70">
        <v>2.82762365722043</v>
      </c>
    </row>
    <row r="2094" hidden="1">
      <c r="A2094" s="67" t="s">
        <v>2854</v>
      </c>
      <c r="B2094" s="67" t="s">
        <v>268</v>
      </c>
      <c r="C2094" s="68">
        <v>0.25</v>
      </c>
      <c r="D2094" s="68">
        <v>1.0</v>
      </c>
      <c r="E2094" s="68">
        <v>5.0</v>
      </c>
      <c r="F2094" s="68">
        <v>2.0</v>
      </c>
      <c r="G2094" s="68">
        <v>4.76175231870075</v>
      </c>
      <c r="H2094" s="68">
        <v>160.776199755782</v>
      </c>
      <c r="I2094" s="69">
        <v>44317.35037037037</v>
      </c>
      <c r="J2094" s="69">
        <v>44317.35057870371</v>
      </c>
      <c r="K2094">
        <f>AVERAGE(H2092:H2096)</f>
        <v>148.2829224</v>
      </c>
      <c r="L2094">
        <f>STDEV(H2092:H2096)</f>
        <v>100.9472489</v>
      </c>
      <c r="M2094" s="70">
        <v>160.776199755782</v>
      </c>
      <c r="N2094" s="70">
        <v>160.776199755782</v>
      </c>
      <c r="O2094" s="70">
        <v>4.76175231870075</v>
      </c>
      <c r="P2094" s="70">
        <v>4.76175231870075</v>
      </c>
    </row>
    <row r="2095" hidden="1">
      <c r="A2095" s="67" t="s">
        <v>2855</v>
      </c>
      <c r="B2095" s="67" t="s">
        <v>268</v>
      </c>
      <c r="C2095" s="68">
        <v>0.25</v>
      </c>
      <c r="D2095" s="68">
        <v>1.0</v>
      </c>
      <c r="E2095" s="68">
        <v>5.0</v>
      </c>
      <c r="F2095" s="68">
        <v>3.0</v>
      </c>
      <c r="G2095" s="68">
        <v>4.95412374415906</v>
      </c>
      <c r="H2095" s="68">
        <v>155.124980405851</v>
      </c>
      <c r="I2095" s="69">
        <v>44317.3512962963</v>
      </c>
      <c r="J2095" s="69">
        <v>44317.35138888889</v>
      </c>
      <c r="K2095">
        <f>AVERAGE(H2092:H2096)</f>
        <v>148.2829224</v>
      </c>
      <c r="L2095">
        <f>STDEV(H2092:H2096)</f>
        <v>100.9472489</v>
      </c>
      <c r="M2095" s="70">
        <v>155.124980405851</v>
      </c>
      <c r="N2095" s="70">
        <v>155.124980405851</v>
      </c>
      <c r="O2095" s="70">
        <v>4.95412374415906</v>
      </c>
      <c r="P2095" s="70">
        <v>4.95412374415906</v>
      </c>
    </row>
    <row r="2096" hidden="1">
      <c r="A2096" s="67" t="s">
        <v>2856</v>
      </c>
      <c r="B2096" s="67" t="s">
        <v>268</v>
      </c>
      <c r="C2096" s="68">
        <v>0.25</v>
      </c>
      <c r="D2096" s="68">
        <v>1.0</v>
      </c>
      <c r="E2096" s="68">
        <v>5.0</v>
      </c>
      <c r="F2096" s="68">
        <v>4.0</v>
      </c>
      <c r="G2096" s="68">
        <v>0.73722706430504</v>
      </c>
      <c r="H2096" s="68">
        <v>0.951560817488761</v>
      </c>
      <c r="I2096" s="69">
        <v>44317.35209490741</v>
      </c>
      <c r="J2096" s="69">
        <v>44317.35229166667</v>
      </c>
      <c r="K2096">
        <f>AVERAGE(H2092:H2096)</f>
        <v>148.2829224</v>
      </c>
      <c r="L2096">
        <f>STDEV(H2092:H2096)</f>
        <v>100.9472489</v>
      </c>
      <c r="M2096" s="70">
        <v>0.951560817488761</v>
      </c>
      <c r="N2096" s="70">
        <v>0.951560817488761</v>
      </c>
      <c r="O2096" s="70">
        <v>0.73722706430504</v>
      </c>
      <c r="P2096" s="70">
        <v>0.73722706430504</v>
      </c>
    </row>
    <row r="2097" hidden="1">
      <c r="A2097" s="67" t="s">
        <v>2857</v>
      </c>
      <c r="B2097" s="67" t="s">
        <v>268</v>
      </c>
      <c r="C2097" s="68">
        <v>0.5</v>
      </c>
      <c r="D2097" s="68">
        <v>0.1</v>
      </c>
      <c r="E2097" s="68">
        <v>5.0</v>
      </c>
      <c r="F2097" s="68">
        <v>0.0</v>
      </c>
      <c r="G2097" s="68">
        <v>8.35524852988909</v>
      </c>
      <c r="H2097" s="68">
        <v>290.025615026503</v>
      </c>
      <c r="I2097" s="69">
        <v>44317.352997685186</v>
      </c>
      <c r="J2097" s="69">
        <v>44317.35396990741</v>
      </c>
      <c r="K2097">
        <f>AVERAGE(H2097:H2101)</f>
        <v>111.1451436</v>
      </c>
      <c r="L2097">
        <f>STDEV(H2097:H2101)</f>
        <v>117.4725237</v>
      </c>
      <c r="M2097" s="70">
        <v>290.025615026503</v>
      </c>
      <c r="N2097" s="70">
        <v>290.025615026503</v>
      </c>
      <c r="O2097" s="70">
        <v>8.35524852988909</v>
      </c>
      <c r="P2097" s="70">
        <v>8.35524852988909</v>
      </c>
    </row>
    <row r="2098" hidden="1">
      <c r="A2098" s="67" t="s">
        <v>2858</v>
      </c>
      <c r="B2098" s="67" t="s">
        <v>268</v>
      </c>
      <c r="C2098" s="68">
        <v>0.5</v>
      </c>
      <c r="D2098" s="68">
        <v>0.1</v>
      </c>
      <c r="E2098" s="68">
        <v>5.0</v>
      </c>
      <c r="F2098" s="68">
        <v>1.0</v>
      </c>
      <c r="G2098" s="68">
        <v>0.656893640287881</v>
      </c>
      <c r="H2098" s="68">
        <v>1.21725036970723</v>
      </c>
      <c r="I2098" s="69">
        <v>44317.354675925926</v>
      </c>
      <c r="J2098" s="69">
        <v>44317.355462962965</v>
      </c>
      <c r="K2098">
        <f>AVERAGE(H2097:H2101)</f>
        <v>111.1451436</v>
      </c>
      <c r="L2098">
        <f>STDEV(H2097:H2101)</f>
        <v>117.4725237</v>
      </c>
      <c r="M2098" s="70">
        <v>1.21725036970723</v>
      </c>
      <c r="N2098" s="70">
        <v>1.21725036970723</v>
      </c>
      <c r="O2098" s="70">
        <v>0.656893640287881</v>
      </c>
      <c r="P2098" s="70">
        <v>0.656893640287881</v>
      </c>
    </row>
    <row r="2099" hidden="1">
      <c r="A2099" s="67" t="s">
        <v>2859</v>
      </c>
      <c r="B2099" s="67" t="s">
        <v>268</v>
      </c>
      <c r="C2099" s="68">
        <v>0.5</v>
      </c>
      <c r="D2099" s="68">
        <v>0.1</v>
      </c>
      <c r="E2099" s="68">
        <v>5.0</v>
      </c>
      <c r="F2099" s="68">
        <v>2.0</v>
      </c>
      <c r="G2099" s="68">
        <v>3.67209174947974</v>
      </c>
      <c r="H2099" s="68">
        <v>163.569058620589</v>
      </c>
      <c r="I2099" s="69">
        <v>44317.35616898148</v>
      </c>
      <c r="J2099" s="69">
        <v>44317.38594907407</v>
      </c>
      <c r="K2099">
        <f>AVERAGE(H2097:H2101)</f>
        <v>111.1451436</v>
      </c>
      <c r="L2099">
        <f>STDEV(H2097:H2101)</f>
        <v>117.4725237</v>
      </c>
      <c r="M2099" s="70">
        <v>163.569058620589</v>
      </c>
      <c r="N2099" s="70">
        <v>163.569058620589</v>
      </c>
      <c r="O2099" s="70">
        <v>3.67209174947974</v>
      </c>
      <c r="P2099" s="70">
        <v>3.67209174947974</v>
      </c>
    </row>
    <row r="2100" hidden="1">
      <c r="A2100" s="67" t="s">
        <v>2860</v>
      </c>
      <c r="B2100" s="67" t="s">
        <v>268</v>
      </c>
      <c r="C2100" s="68">
        <v>0.5</v>
      </c>
      <c r="D2100" s="68">
        <v>0.1</v>
      </c>
      <c r="E2100" s="68">
        <v>5.0</v>
      </c>
      <c r="F2100" s="68">
        <v>3.0</v>
      </c>
      <c r="G2100" s="68">
        <v>1.72576905648531</v>
      </c>
      <c r="H2100" s="68">
        <v>28.0692097506169</v>
      </c>
      <c r="I2100" s="69">
        <v>44317.386655092596</v>
      </c>
      <c r="J2100" s="69">
        <v>44317.38725694444</v>
      </c>
      <c r="K2100">
        <f>AVERAGE(H2097:H2101)</f>
        <v>111.1451436</v>
      </c>
      <c r="L2100">
        <f>STDEV(H2097:H2101)</f>
        <v>117.4725237</v>
      </c>
      <c r="M2100" s="70">
        <v>28.0692097506169</v>
      </c>
      <c r="N2100" s="70">
        <v>28.0692097506169</v>
      </c>
      <c r="O2100" s="70">
        <v>1.72576905648531</v>
      </c>
      <c r="P2100" s="70">
        <v>1.72576905648531</v>
      </c>
    </row>
    <row r="2101" hidden="1">
      <c r="A2101" s="67" t="s">
        <v>2861</v>
      </c>
      <c r="B2101" s="67" t="s">
        <v>268</v>
      </c>
      <c r="C2101" s="68">
        <v>0.5</v>
      </c>
      <c r="D2101" s="68">
        <v>0.1</v>
      </c>
      <c r="E2101" s="68">
        <v>5.0</v>
      </c>
      <c r="F2101" s="68">
        <v>4.0</v>
      </c>
      <c r="G2101" s="68">
        <v>1.4387833549495</v>
      </c>
      <c r="H2101" s="68">
        <v>72.8445843065117</v>
      </c>
      <c r="I2101" s="69">
        <v>44317.38796296297</v>
      </c>
      <c r="J2101" s="69">
        <v>44317.38884259259</v>
      </c>
      <c r="K2101">
        <f>AVERAGE(H2097:H2101)</f>
        <v>111.1451436</v>
      </c>
      <c r="L2101">
        <f>STDEV(H2097:H2101)</f>
        <v>117.4725237</v>
      </c>
      <c r="M2101" s="70">
        <v>72.8445843065117</v>
      </c>
      <c r="N2101" s="70">
        <v>72.8445843065117</v>
      </c>
      <c r="O2101" s="70">
        <v>1.4387833549495</v>
      </c>
      <c r="P2101" s="70">
        <v>1.4387833549495</v>
      </c>
    </row>
    <row r="2102" hidden="1">
      <c r="A2102" s="67" t="s">
        <v>2862</v>
      </c>
      <c r="B2102" s="67" t="s">
        <v>268</v>
      </c>
      <c r="C2102" s="68">
        <v>0.5</v>
      </c>
      <c r="D2102" s="68">
        <v>0.25</v>
      </c>
      <c r="E2102" s="68">
        <v>5.0</v>
      </c>
      <c r="F2102" s="68">
        <v>0.0</v>
      </c>
      <c r="G2102" s="68">
        <v>4.59202204159694</v>
      </c>
      <c r="H2102" s="68">
        <v>172.597164673922</v>
      </c>
      <c r="I2102" s="69">
        <v>44317.389548611114</v>
      </c>
      <c r="J2102" s="69">
        <v>44317.38961805555</v>
      </c>
      <c r="K2102">
        <f>AVERAGE(H2102:H2106)</f>
        <v>116.7024058</v>
      </c>
      <c r="L2102">
        <f>STDEV(H2102:H2106)</f>
        <v>68.78125098</v>
      </c>
      <c r="M2102" s="70">
        <v>172.597164673922</v>
      </c>
      <c r="N2102" s="70">
        <v>172.597164673922</v>
      </c>
      <c r="O2102" s="70">
        <v>4.59202204159694</v>
      </c>
      <c r="P2102" s="70">
        <v>4.59202204159694</v>
      </c>
    </row>
    <row r="2103" hidden="1">
      <c r="A2103" s="67" t="s">
        <v>2863</v>
      </c>
      <c r="B2103" s="67" t="s">
        <v>268</v>
      </c>
      <c r="C2103" s="68">
        <v>0.5</v>
      </c>
      <c r="D2103" s="68">
        <v>0.25</v>
      </c>
      <c r="E2103" s="68">
        <v>5.0</v>
      </c>
      <c r="F2103" s="68">
        <v>1.0</v>
      </c>
      <c r="G2103" s="68">
        <v>4.21453803099847</v>
      </c>
      <c r="H2103" s="68">
        <v>116.116006113591</v>
      </c>
      <c r="I2103" s="69">
        <v>44317.39032407408</v>
      </c>
      <c r="J2103" s="69">
        <v>44317.390393518515</v>
      </c>
      <c r="K2103">
        <f>AVERAGE(H2102:H2106)</f>
        <v>116.7024058</v>
      </c>
      <c r="L2103">
        <f>STDEV(H2102:H2106)</f>
        <v>68.78125098</v>
      </c>
      <c r="M2103" s="70">
        <v>116.116006113591</v>
      </c>
      <c r="N2103" s="70">
        <v>116.116006113591</v>
      </c>
      <c r="O2103" s="70">
        <v>4.21453803099847</v>
      </c>
      <c r="P2103" s="70">
        <v>4.21453803099847</v>
      </c>
    </row>
    <row r="2104" hidden="1">
      <c r="A2104" s="67" t="s">
        <v>2864</v>
      </c>
      <c r="B2104" s="67" t="s">
        <v>268</v>
      </c>
      <c r="C2104" s="68">
        <v>0.5</v>
      </c>
      <c r="D2104" s="68">
        <v>0.25</v>
      </c>
      <c r="E2104" s="68">
        <v>5.0</v>
      </c>
      <c r="F2104" s="68">
        <v>2.0</v>
      </c>
      <c r="G2104" s="68">
        <v>2.49328034962596</v>
      </c>
      <c r="H2104" s="68">
        <v>131.969316164947</v>
      </c>
      <c r="I2104" s="69">
        <v>44317.39109953704</v>
      </c>
      <c r="J2104" s="69">
        <v>44317.391331018516</v>
      </c>
      <c r="K2104">
        <f>AVERAGE(H2102:H2106)</f>
        <v>116.7024058</v>
      </c>
      <c r="L2104">
        <f>STDEV(H2102:H2106)</f>
        <v>68.78125098</v>
      </c>
      <c r="M2104" s="70">
        <v>131.969316164947</v>
      </c>
      <c r="N2104" s="70">
        <v>131.969316164947</v>
      </c>
      <c r="O2104" s="70">
        <v>2.49328034962596</v>
      </c>
      <c r="P2104" s="70">
        <v>2.49328034962596</v>
      </c>
    </row>
    <row r="2105" hidden="1">
      <c r="A2105" s="67" t="s">
        <v>2865</v>
      </c>
      <c r="B2105" s="67" t="s">
        <v>268</v>
      </c>
      <c r="C2105" s="68">
        <v>0.5</v>
      </c>
      <c r="D2105" s="68">
        <v>0.25</v>
      </c>
      <c r="E2105" s="68">
        <v>5.0</v>
      </c>
      <c r="F2105" s="68">
        <v>3.0</v>
      </c>
      <c r="G2105" s="68">
        <v>0.466491018990041</v>
      </c>
      <c r="H2105" s="68">
        <v>0.558846337991739</v>
      </c>
      <c r="I2105" s="69">
        <v>44317.39204861111</v>
      </c>
      <c r="J2105" s="69">
        <v>44317.392222222225</v>
      </c>
      <c r="K2105">
        <f>AVERAGE(H2102:H2106)</f>
        <v>116.7024058</v>
      </c>
      <c r="L2105">
        <f>STDEV(H2102:H2106)</f>
        <v>68.78125098</v>
      </c>
      <c r="M2105" s="70">
        <v>0.558846337991739</v>
      </c>
      <c r="N2105" s="70">
        <v>0.558846337991739</v>
      </c>
      <c r="O2105" s="70">
        <v>0.466491018990041</v>
      </c>
      <c r="P2105" s="70">
        <v>0.466491018990041</v>
      </c>
    </row>
    <row r="2106" hidden="1">
      <c r="A2106" s="67" t="s">
        <v>2866</v>
      </c>
      <c r="B2106" s="67" t="s">
        <v>268</v>
      </c>
      <c r="C2106" s="68">
        <v>0.5</v>
      </c>
      <c r="D2106" s="68">
        <v>0.25</v>
      </c>
      <c r="E2106" s="68">
        <v>5.0</v>
      </c>
      <c r="F2106" s="68">
        <v>4.0</v>
      </c>
      <c r="G2106" s="68">
        <v>3.51510636897139</v>
      </c>
      <c r="H2106" s="68">
        <v>162.270695835423</v>
      </c>
      <c r="I2106" s="69">
        <v>44317.39292824074</v>
      </c>
      <c r="J2106" s="69">
        <v>44317.49204861111</v>
      </c>
      <c r="K2106">
        <f>AVERAGE(H2102:H2106)</f>
        <v>116.7024058</v>
      </c>
      <c r="L2106">
        <f>STDEV(H2102:H2106)</f>
        <v>68.78125098</v>
      </c>
      <c r="M2106" s="70">
        <v>162.270695835423</v>
      </c>
      <c r="N2106" s="70">
        <v>162.270695835423</v>
      </c>
      <c r="O2106" s="70">
        <v>3.51510636897139</v>
      </c>
      <c r="P2106" s="70">
        <v>3.51510636897139</v>
      </c>
    </row>
    <row r="2107" hidden="1">
      <c r="A2107" s="67" t="s">
        <v>2867</v>
      </c>
      <c r="B2107" s="67" t="s">
        <v>268</v>
      </c>
      <c r="C2107" s="68">
        <v>0.5</v>
      </c>
      <c r="D2107" s="68">
        <v>0.5</v>
      </c>
      <c r="E2107" s="68">
        <v>5.0</v>
      </c>
      <c r="F2107" s="68">
        <v>0.0</v>
      </c>
      <c r="G2107" s="68">
        <v>4.55056385255057</v>
      </c>
      <c r="H2107" s="68">
        <v>159.646434995302</v>
      </c>
      <c r="I2107" s="69">
        <v>44317.49275462963</v>
      </c>
      <c r="J2107" s="69">
        <v>44317.493159722224</v>
      </c>
      <c r="K2107">
        <f>AVERAGE(H2107:H2111)</f>
        <v>111.6665938</v>
      </c>
      <c r="L2107">
        <f>STDEV(H2107:H2111)</f>
        <v>85.00241606</v>
      </c>
      <c r="M2107" s="70">
        <v>159.646434995302</v>
      </c>
      <c r="N2107" s="70">
        <v>159.646434995302</v>
      </c>
      <c r="O2107" s="70">
        <v>4.55056385255057</v>
      </c>
      <c r="P2107" s="70">
        <v>4.55056385255057</v>
      </c>
    </row>
    <row r="2108" hidden="1">
      <c r="A2108" s="67" t="s">
        <v>2868</v>
      </c>
      <c r="B2108" s="67" t="s">
        <v>268</v>
      </c>
      <c r="C2108" s="68">
        <v>0.5</v>
      </c>
      <c r="D2108" s="68">
        <v>0.5</v>
      </c>
      <c r="E2108" s="68">
        <v>5.0</v>
      </c>
      <c r="F2108" s="68">
        <v>1.0</v>
      </c>
      <c r="G2108" s="68">
        <v>1.70420263865987</v>
      </c>
      <c r="H2108" s="68">
        <v>26.9024126372865</v>
      </c>
      <c r="I2108" s="69">
        <v>44317.49387731482</v>
      </c>
      <c r="J2108" s="69">
        <v>44317.49451388889</v>
      </c>
      <c r="K2108">
        <f>AVERAGE(H2107:H2111)</f>
        <v>111.6665938</v>
      </c>
      <c r="L2108">
        <f>STDEV(H2107:H2111)</f>
        <v>85.00241606</v>
      </c>
      <c r="M2108" s="70">
        <v>26.9024126372865</v>
      </c>
      <c r="N2108" s="70">
        <v>26.9024126372865</v>
      </c>
      <c r="O2108" s="70">
        <v>1.70420263865987</v>
      </c>
      <c r="P2108" s="70">
        <v>1.70420263865987</v>
      </c>
    </row>
    <row r="2109" hidden="1">
      <c r="A2109" s="67" t="s">
        <v>2869</v>
      </c>
      <c r="B2109" s="67" t="s">
        <v>268</v>
      </c>
      <c r="C2109" s="68">
        <v>0.5</v>
      </c>
      <c r="D2109" s="68">
        <v>0.5</v>
      </c>
      <c r="E2109" s="68">
        <v>5.0</v>
      </c>
      <c r="F2109" s="68">
        <v>2.0</v>
      </c>
      <c r="G2109" s="68">
        <v>3.08244143416849</v>
      </c>
      <c r="H2109" s="68">
        <v>150.889098062429</v>
      </c>
      <c r="I2109" s="69">
        <v>44317.49521990741</v>
      </c>
      <c r="J2109" s="69">
        <v>44317.524826388886</v>
      </c>
      <c r="K2109">
        <f>AVERAGE(H2107:H2111)</f>
        <v>111.6665938</v>
      </c>
      <c r="L2109">
        <f>STDEV(H2107:H2111)</f>
        <v>85.00241606</v>
      </c>
      <c r="M2109" s="70">
        <v>150.889098062429</v>
      </c>
      <c r="N2109" s="70">
        <v>150.889098062429</v>
      </c>
      <c r="O2109" s="70">
        <v>3.08244143416849</v>
      </c>
      <c r="P2109" s="70">
        <v>3.08244143416849</v>
      </c>
    </row>
    <row r="2110" hidden="1">
      <c r="A2110" s="67" t="s">
        <v>2870</v>
      </c>
      <c r="B2110" s="67" t="s">
        <v>268</v>
      </c>
      <c r="C2110" s="68">
        <v>0.5</v>
      </c>
      <c r="D2110" s="68">
        <v>0.5</v>
      </c>
      <c r="E2110" s="68">
        <v>5.0</v>
      </c>
      <c r="F2110" s="68">
        <v>3.0</v>
      </c>
      <c r="G2110" s="68">
        <v>1.21492982122998</v>
      </c>
      <c r="H2110" s="68">
        <v>15.9138292822944</v>
      </c>
      <c r="I2110" s="69">
        <v>44317.52554398148</v>
      </c>
      <c r="J2110" s="69">
        <v>44317.525671296295</v>
      </c>
      <c r="K2110">
        <f>AVERAGE(H2107:H2111)</f>
        <v>111.6665938</v>
      </c>
      <c r="L2110">
        <f>STDEV(H2107:H2111)</f>
        <v>85.00241606</v>
      </c>
      <c r="M2110" s="70">
        <v>15.9138292822944</v>
      </c>
      <c r="N2110" s="70">
        <v>15.9138292822944</v>
      </c>
      <c r="O2110" s="70">
        <v>1.21492982122998</v>
      </c>
      <c r="P2110" s="70">
        <v>1.21492982122998</v>
      </c>
    </row>
    <row r="2111" hidden="1">
      <c r="A2111" s="67" t="s">
        <v>2871</v>
      </c>
      <c r="B2111" s="67" t="s">
        <v>268</v>
      </c>
      <c r="C2111" s="68">
        <v>0.5</v>
      </c>
      <c r="D2111" s="68">
        <v>0.5</v>
      </c>
      <c r="E2111" s="68">
        <v>5.0</v>
      </c>
      <c r="F2111" s="68">
        <v>4.0</v>
      </c>
      <c r="G2111" s="68">
        <v>4.73763819343573</v>
      </c>
      <c r="H2111" s="68">
        <v>204.981194045826</v>
      </c>
      <c r="I2111" s="69">
        <v>44317.52638888889</v>
      </c>
      <c r="J2111" s="69">
        <v>44317.53071759259</v>
      </c>
      <c r="K2111">
        <f>AVERAGE(H2107:H2111)</f>
        <v>111.6665938</v>
      </c>
      <c r="L2111">
        <f>STDEV(H2107:H2111)</f>
        <v>85.00241606</v>
      </c>
      <c r="M2111" s="70">
        <v>204.981194045826</v>
      </c>
      <c r="N2111" s="70">
        <v>204.981194045826</v>
      </c>
      <c r="O2111" s="70">
        <v>4.73763819343573</v>
      </c>
      <c r="P2111" s="70">
        <v>4.73763819343573</v>
      </c>
    </row>
    <row r="2112" hidden="1">
      <c r="A2112" s="67" t="s">
        <v>2872</v>
      </c>
      <c r="B2112" s="67" t="s">
        <v>268</v>
      </c>
      <c r="C2112" s="68">
        <v>0.5</v>
      </c>
      <c r="D2112" s="68">
        <v>0.75</v>
      </c>
      <c r="E2112" s="68">
        <v>5.0</v>
      </c>
      <c r="F2112" s="68">
        <v>0.0</v>
      </c>
      <c r="G2112" s="68">
        <v>1.50161163099607</v>
      </c>
      <c r="H2112" s="68">
        <v>75.0530268883259</v>
      </c>
      <c r="I2112" s="69">
        <v>44317.531435185185</v>
      </c>
      <c r="J2112" s="69">
        <v>44317.53230324074</v>
      </c>
      <c r="K2112">
        <f>AVERAGE(H2112:H2116)</f>
        <v>88.55809578</v>
      </c>
      <c r="L2112">
        <f>STDEV(H2112:H2116)</f>
        <v>78.89706145</v>
      </c>
      <c r="M2112" s="70">
        <v>75.0530268883259</v>
      </c>
      <c r="N2112" s="70">
        <v>75.0530268883259</v>
      </c>
      <c r="O2112" s="70">
        <v>1.50161163099607</v>
      </c>
      <c r="P2112" s="70">
        <v>1.50161163099607</v>
      </c>
    </row>
    <row r="2113" hidden="1">
      <c r="A2113" s="67" t="s">
        <v>2873</v>
      </c>
      <c r="B2113" s="67" t="s">
        <v>268</v>
      </c>
      <c r="C2113" s="68">
        <v>0.5</v>
      </c>
      <c r="D2113" s="68">
        <v>0.75</v>
      </c>
      <c r="E2113" s="68">
        <v>5.0</v>
      </c>
      <c r="F2113" s="68">
        <v>1.0</v>
      </c>
      <c r="G2113" s="68">
        <v>0.466302059947925</v>
      </c>
      <c r="H2113" s="68">
        <v>0.558605536113522</v>
      </c>
      <c r="I2113" s="69">
        <v>44317.53302083333</v>
      </c>
      <c r="J2113" s="69">
        <v>44317.53319444445</v>
      </c>
      <c r="K2113">
        <f>AVERAGE(H2112:H2116)</f>
        <v>88.55809578</v>
      </c>
      <c r="L2113">
        <f>STDEV(H2112:H2116)</f>
        <v>78.89706145</v>
      </c>
      <c r="M2113" s="70">
        <v>0.558605536113522</v>
      </c>
      <c r="N2113" s="70">
        <v>0.558605536113522</v>
      </c>
      <c r="O2113" s="70">
        <v>0.466302059947925</v>
      </c>
      <c r="P2113" s="70">
        <v>0.466302059947925</v>
      </c>
    </row>
    <row r="2114" hidden="1">
      <c r="A2114" s="67" t="s">
        <v>2874</v>
      </c>
      <c r="B2114" s="67" t="s">
        <v>268</v>
      </c>
      <c r="C2114" s="68">
        <v>0.5</v>
      </c>
      <c r="D2114" s="68">
        <v>0.75</v>
      </c>
      <c r="E2114" s="68">
        <v>5.0</v>
      </c>
      <c r="F2114" s="68">
        <v>2.0</v>
      </c>
      <c r="G2114" s="68">
        <v>4.78653372473381</v>
      </c>
      <c r="H2114" s="68">
        <v>161.338521869251</v>
      </c>
      <c r="I2114" s="69">
        <v>44317.53391203703</v>
      </c>
      <c r="J2114" s="69">
        <v>44317.53413194444</v>
      </c>
      <c r="K2114">
        <f>AVERAGE(H2112:H2116)</f>
        <v>88.55809578</v>
      </c>
      <c r="L2114">
        <f>STDEV(H2112:H2116)</f>
        <v>78.89706145</v>
      </c>
      <c r="M2114" s="70">
        <v>161.338521869251</v>
      </c>
      <c r="N2114" s="70">
        <v>161.338521869251</v>
      </c>
      <c r="O2114" s="70">
        <v>4.78653372473381</v>
      </c>
      <c r="P2114" s="70">
        <v>4.78653372473381</v>
      </c>
    </row>
    <row r="2115" hidden="1">
      <c r="A2115" s="67" t="s">
        <v>2875</v>
      </c>
      <c r="B2115" s="67" t="s">
        <v>268</v>
      </c>
      <c r="C2115" s="68">
        <v>0.5</v>
      </c>
      <c r="D2115" s="68">
        <v>0.75</v>
      </c>
      <c r="E2115" s="68">
        <v>5.0</v>
      </c>
      <c r="F2115" s="68">
        <v>3.0</v>
      </c>
      <c r="G2115" s="68">
        <v>3.91644041676502</v>
      </c>
      <c r="H2115" s="68">
        <v>177.964015207499</v>
      </c>
      <c r="I2115" s="69">
        <v>44317.534849537034</v>
      </c>
      <c r="J2115" s="69">
        <v>44317.59538194445</v>
      </c>
      <c r="K2115">
        <f>AVERAGE(H2112:H2116)</f>
        <v>88.55809578</v>
      </c>
      <c r="L2115">
        <f>STDEV(H2112:H2116)</f>
        <v>78.89706145</v>
      </c>
      <c r="M2115" s="70">
        <v>177.964015207499</v>
      </c>
      <c r="N2115" s="70">
        <v>177.964015207499</v>
      </c>
      <c r="O2115" s="70">
        <v>3.91644041676502</v>
      </c>
      <c r="P2115" s="70">
        <v>3.91644041676502</v>
      </c>
    </row>
    <row r="2116" hidden="1">
      <c r="A2116" s="67" t="s">
        <v>2876</v>
      </c>
      <c r="B2116" s="67" t="s">
        <v>268</v>
      </c>
      <c r="C2116" s="68">
        <v>0.5</v>
      </c>
      <c r="D2116" s="68">
        <v>0.75</v>
      </c>
      <c r="E2116" s="68">
        <v>5.0</v>
      </c>
      <c r="F2116" s="68">
        <v>4.0</v>
      </c>
      <c r="G2116" s="68">
        <v>1.72981223821209</v>
      </c>
      <c r="H2116" s="68">
        <v>27.8763093895817</v>
      </c>
      <c r="I2116" s="69">
        <v>44317.59609953704</v>
      </c>
      <c r="J2116" s="69">
        <v>44317.596724537034</v>
      </c>
      <c r="K2116">
        <f>AVERAGE(H2112:H2116)</f>
        <v>88.55809578</v>
      </c>
      <c r="L2116">
        <f>STDEV(H2112:H2116)</f>
        <v>78.89706145</v>
      </c>
      <c r="M2116" s="70">
        <v>27.8763093895817</v>
      </c>
      <c r="N2116" s="70">
        <v>27.8763093895817</v>
      </c>
      <c r="O2116" s="70">
        <v>1.72981223821209</v>
      </c>
      <c r="P2116" s="70">
        <v>1.72981223821209</v>
      </c>
    </row>
    <row r="2117" hidden="1">
      <c r="A2117" s="67" t="s">
        <v>2877</v>
      </c>
      <c r="B2117" s="67" t="s">
        <v>268</v>
      </c>
      <c r="C2117" s="68">
        <v>0.5</v>
      </c>
      <c r="D2117" s="68">
        <v>1.0</v>
      </c>
      <c r="E2117" s="68">
        <v>5.0</v>
      </c>
      <c r="F2117" s="68">
        <v>0.0</v>
      </c>
      <c r="G2117" s="68">
        <v>1.09487060506055</v>
      </c>
      <c r="H2117" s="68">
        <v>1.87550721349451</v>
      </c>
      <c r="I2117" s="69">
        <v>44317.59744212963</v>
      </c>
      <c r="J2117" s="69">
        <v>44317.59747685185</v>
      </c>
      <c r="K2117">
        <f>AVERAGE(H2117:H2121)</f>
        <v>70.07415517</v>
      </c>
      <c r="L2117">
        <f>STDEV(H2117:H2121)</f>
        <v>94.11345291</v>
      </c>
      <c r="M2117" s="70">
        <v>1.87550721349451</v>
      </c>
      <c r="N2117" s="70">
        <v>1.87550721349451</v>
      </c>
      <c r="O2117" s="70">
        <v>1.09487060506055</v>
      </c>
      <c r="P2117" s="70">
        <v>1.09487060506055</v>
      </c>
    </row>
    <row r="2118" hidden="1">
      <c r="A2118" s="67" t="s">
        <v>2878</v>
      </c>
      <c r="B2118" s="67" t="s">
        <v>268</v>
      </c>
      <c r="C2118" s="68">
        <v>0.5</v>
      </c>
      <c r="D2118" s="68">
        <v>1.0</v>
      </c>
      <c r="E2118" s="68">
        <v>5.0</v>
      </c>
      <c r="F2118" s="68">
        <v>1.0</v>
      </c>
      <c r="G2118" s="68">
        <v>3.96136993651829</v>
      </c>
      <c r="H2118" s="68">
        <v>174.551448027599</v>
      </c>
      <c r="I2118" s="69">
        <v>44317.59819444444</v>
      </c>
      <c r="J2118" s="69">
        <v>44317.67141203704</v>
      </c>
      <c r="K2118">
        <f>AVERAGE(H2117:H2121)</f>
        <v>70.07415517</v>
      </c>
      <c r="L2118">
        <f>STDEV(H2117:H2121)</f>
        <v>94.11345291</v>
      </c>
      <c r="M2118" s="70">
        <v>174.551448027599</v>
      </c>
      <c r="N2118" s="70">
        <v>174.551448027599</v>
      </c>
      <c r="O2118" s="70">
        <v>3.96136993651829</v>
      </c>
      <c r="P2118" s="70">
        <v>3.96136993651829</v>
      </c>
    </row>
    <row r="2119" hidden="1">
      <c r="A2119" s="67" t="s">
        <v>2879</v>
      </c>
      <c r="B2119" s="67" t="s">
        <v>268</v>
      </c>
      <c r="C2119" s="68">
        <v>0.5</v>
      </c>
      <c r="D2119" s="68">
        <v>1.0</v>
      </c>
      <c r="E2119" s="68">
        <v>5.0</v>
      </c>
      <c r="F2119" s="68">
        <v>2.0</v>
      </c>
      <c r="G2119" s="68">
        <v>4.5436761869075</v>
      </c>
      <c r="H2119" s="68">
        <v>171.776583746669</v>
      </c>
      <c r="I2119" s="69">
        <v>44317.67212962963</v>
      </c>
      <c r="J2119" s="69">
        <v>44317.6721875</v>
      </c>
      <c r="K2119">
        <f>AVERAGE(H2117:H2121)</f>
        <v>70.07415517</v>
      </c>
      <c r="L2119">
        <f>STDEV(H2117:H2121)</f>
        <v>94.11345291</v>
      </c>
      <c r="M2119" s="70">
        <v>171.776583746669</v>
      </c>
      <c r="N2119" s="70">
        <v>171.776583746669</v>
      </c>
      <c r="O2119" s="70">
        <v>4.5436761869075</v>
      </c>
      <c r="P2119" s="70">
        <v>4.5436761869075</v>
      </c>
    </row>
    <row r="2120" hidden="1">
      <c r="A2120" s="67" t="s">
        <v>2880</v>
      </c>
      <c r="B2120" s="67" t="s">
        <v>268</v>
      </c>
      <c r="C2120" s="68">
        <v>0.5</v>
      </c>
      <c r="D2120" s="68">
        <v>1.0</v>
      </c>
      <c r="E2120" s="68">
        <v>5.0</v>
      </c>
      <c r="F2120" s="68">
        <v>3.0</v>
      </c>
      <c r="G2120" s="68">
        <v>0.656056426986656</v>
      </c>
      <c r="H2120" s="68">
        <v>1.21679555650784</v>
      </c>
      <c r="I2120" s="69">
        <v>44317.67290509259</v>
      </c>
      <c r="J2120" s="69">
        <v>44317.67364583333</v>
      </c>
      <c r="K2120">
        <f>AVERAGE(H2117:H2121)</f>
        <v>70.07415517</v>
      </c>
      <c r="L2120">
        <f>STDEV(H2117:H2121)</f>
        <v>94.11345291</v>
      </c>
      <c r="M2120" s="70">
        <v>1.21679555650784</v>
      </c>
      <c r="N2120" s="70">
        <v>1.21679555650784</v>
      </c>
      <c r="O2120" s="70">
        <v>0.656056426986656</v>
      </c>
      <c r="P2120" s="70">
        <v>0.656056426986656</v>
      </c>
    </row>
    <row r="2121" hidden="1">
      <c r="A2121" s="67" t="s">
        <v>2881</v>
      </c>
      <c r="B2121" s="67" t="s">
        <v>268</v>
      </c>
      <c r="C2121" s="68">
        <v>0.5</v>
      </c>
      <c r="D2121" s="68">
        <v>1.0</v>
      </c>
      <c r="E2121" s="68">
        <v>5.0</v>
      </c>
      <c r="F2121" s="68">
        <v>4.0</v>
      </c>
      <c r="G2121" s="68">
        <v>0.713359368910705</v>
      </c>
      <c r="H2121" s="68">
        <v>0.950441294744195</v>
      </c>
      <c r="I2121" s="69">
        <v>44317.674363425926</v>
      </c>
      <c r="J2121" s="69">
        <v>44317.67458333333</v>
      </c>
      <c r="K2121">
        <f>AVERAGE(H2117:H2121)</f>
        <v>70.07415517</v>
      </c>
      <c r="L2121">
        <f>STDEV(H2117:H2121)</f>
        <v>94.11345291</v>
      </c>
      <c r="M2121" s="70">
        <v>0.950441294744195</v>
      </c>
      <c r="N2121" s="70">
        <v>0.950441294744195</v>
      </c>
      <c r="O2121" s="70">
        <v>0.713359368910705</v>
      </c>
      <c r="P2121" s="70">
        <v>0.713359368910705</v>
      </c>
    </row>
    <row r="2122" hidden="1">
      <c r="A2122" s="67" t="s">
        <v>2882</v>
      </c>
      <c r="B2122" s="67" t="s">
        <v>268</v>
      </c>
      <c r="C2122" s="68">
        <v>0.75</v>
      </c>
      <c r="D2122" s="68">
        <v>0.1</v>
      </c>
      <c r="E2122" s="68">
        <v>5.0</v>
      </c>
      <c r="F2122" s="68">
        <v>0.0</v>
      </c>
      <c r="G2122" s="68">
        <v>3.6728463192507</v>
      </c>
      <c r="H2122" s="68">
        <v>176.339554805649</v>
      </c>
      <c r="I2122" s="69">
        <v>44317.67530092593</v>
      </c>
      <c r="J2122" s="69">
        <v>44317.681608796294</v>
      </c>
      <c r="K2122">
        <f>AVERAGE(H2122:H2126)</f>
        <v>117.9188045</v>
      </c>
      <c r="L2122">
        <f>STDEV(H2122:H2126)</f>
        <v>69.59131838</v>
      </c>
      <c r="M2122" s="70">
        <v>176.339554805649</v>
      </c>
      <c r="N2122" s="70">
        <v>176.339554805649</v>
      </c>
      <c r="O2122" s="70">
        <v>3.6728463192507</v>
      </c>
      <c r="P2122" s="70">
        <v>3.6728463192507</v>
      </c>
    </row>
    <row r="2123" hidden="1">
      <c r="A2123" s="67" t="s">
        <v>2883</v>
      </c>
      <c r="B2123" s="67" t="s">
        <v>268</v>
      </c>
      <c r="C2123" s="68">
        <v>0.75</v>
      </c>
      <c r="D2123" s="68">
        <v>0.1</v>
      </c>
      <c r="E2123" s="68">
        <v>5.0</v>
      </c>
      <c r="F2123" s="68">
        <v>1.0</v>
      </c>
      <c r="G2123" s="68">
        <v>0.655996016952792</v>
      </c>
      <c r="H2123" s="68">
        <v>1.21586677331768</v>
      </c>
      <c r="I2123" s="69">
        <v>44317.68231481482</v>
      </c>
      <c r="J2123" s="69">
        <v>44317.683125</v>
      </c>
      <c r="K2123">
        <f>AVERAGE(H2122:H2126)</f>
        <v>117.9188045</v>
      </c>
      <c r="L2123">
        <f>STDEV(H2122:H2126)</f>
        <v>69.59131838</v>
      </c>
      <c r="M2123" s="70">
        <v>1.21586677331768</v>
      </c>
      <c r="N2123" s="70">
        <v>1.21586677331768</v>
      </c>
      <c r="O2123" s="70">
        <v>0.655996016952792</v>
      </c>
      <c r="P2123" s="70">
        <v>0.655996016952792</v>
      </c>
    </row>
    <row r="2124" hidden="1">
      <c r="A2124" s="67" t="s">
        <v>2884</v>
      </c>
      <c r="B2124" s="67" t="s">
        <v>268</v>
      </c>
      <c r="C2124" s="68">
        <v>0.75</v>
      </c>
      <c r="D2124" s="68">
        <v>0.1</v>
      </c>
      <c r="E2124" s="68">
        <v>5.0</v>
      </c>
      <c r="F2124" s="68">
        <v>2.0</v>
      </c>
      <c r="G2124" s="68">
        <v>3.79329706690374</v>
      </c>
      <c r="H2124" s="68">
        <v>164.314953694857</v>
      </c>
      <c r="I2124" s="69">
        <v>44317.683842592596</v>
      </c>
      <c r="J2124" s="69">
        <v>44317.73039351852</v>
      </c>
      <c r="K2124">
        <f>AVERAGE(H2122:H2126)</f>
        <v>117.9188045</v>
      </c>
      <c r="L2124">
        <f>STDEV(H2122:H2126)</f>
        <v>69.59131838</v>
      </c>
      <c r="M2124" s="70">
        <v>164.314953694857</v>
      </c>
      <c r="N2124" s="70">
        <v>164.314953694857</v>
      </c>
      <c r="O2124" s="70">
        <v>3.79329706690374</v>
      </c>
      <c r="P2124" s="70">
        <v>3.79329706690374</v>
      </c>
    </row>
    <row r="2125" hidden="1">
      <c r="A2125" s="67" t="s">
        <v>2885</v>
      </c>
      <c r="B2125" s="67" t="s">
        <v>268</v>
      </c>
      <c r="C2125" s="68">
        <v>0.75</v>
      </c>
      <c r="D2125" s="68">
        <v>0.1</v>
      </c>
      <c r="E2125" s="68">
        <v>5.0</v>
      </c>
      <c r="F2125" s="68">
        <v>3.0</v>
      </c>
      <c r="G2125" s="68">
        <v>2.47872686139537</v>
      </c>
      <c r="H2125" s="68">
        <v>131.477761625673</v>
      </c>
      <c r="I2125" s="69">
        <v>44317.73111111111</v>
      </c>
      <c r="J2125" s="69">
        <v>44317.73134259259</v>
      </c>
      <c r="K2125">
        <f>AVERAGE(H2122:H2126)</f>
        <v>117.9188045</v>
      </c>
      <c r="L2125">
        <f>STDEV(H2122:H2126)</f>
        <v>69.59131838</v>
      </c>
      <c r="M2125" s="70">
        <v>131.477761625673</v>
      </c>
      <c r="N2125" s="70">
        <v>131.477761625673</v>
      </c>
      <c r="O2125" s="70">
        <v>2.47872686139537</v>
      </c>
      <c r="P2125" s="70">
        <v>2.47872686139537</v>
      </c>
    </row>
    <row r="2126" hidden="1">
      <c r="A2126" s="67" t="s">
        <v>2886</v>
      </c>
      <c r="B2126" s="67" t="s">
        <v>268</v>
      </c>
      <c r="C2126" s="68">
        <v>0.75</v>
      </c>
      <c r="D2126" s="68">
        <v>0.1</v>
      </c>
      <c r="E2126" s="68">
        <v>5.0</v>
      </c>
      <c r="F2126" s="68">
        <v>4.0</v>
      </c>
      <c r="G2126" s="68">
        <v>4.223310010839</v>
      </c>
      <c r="H2126" s="68">
        <v>116.245885825268</v>
      </c>
      <c r="I2126" s="69">
        <v>44317.73204861111</v>
      </c>
      <c r="J2126" s="69">
        <v>44317.73211805556</v>
      </c>
      <c r="K2126">
        <f>AVERAGE(H2122:H2126)</f>
        <v>117.9188045</v>
      </c>
      <c r="L2126">
        <f>STDEV(H2122:H2126)</f>
        <v>69.59131838</v>
      </c>
      <c r="M2126" s="70">
        <v>116.245885825268</v>
      </c>
      <c r="N2126" s="70">
        <v>116.245885825268</v>
      </c>
      <c r="O2126" s="70">
        <v>4.223310010839</v>
      </c>
      <c r="P2126" s="70">
        <v>4.223310010839</v>
      </c>
    </row>
    <row r="2127" hidden="1">
      <c r="A2127" s="67" t="s">
        <v>2887</v>
      </c>
      <c r="B2127" s="67" t="s">
        <v>268</v>
      </c>
      <c r="C2127" s="68">
        <v>0.75</v>
      </c>
      <c r="D2127" s="68">
        <v>0.25</v>
      </c>
      <c r="E2127" s="68">
        <v>5.0</v>
      </c>
      <c r="F2127" s="68">
        <v>0.0</v>
      </c>
      <c r="G2127" s="68">
        <v>7.06287146495877</v>
      </c>
      <c r="H2127" s="68">
        <v>267.211751250948</v>
      </c>
      <c r="I2127" s="69">
        <v>44317.732824074075</v>
      </c>
      <c r="J2127" s="69">
        <v>44317.733622685184</v>
      </c>
      <c r="K2127">
        <f>AVERAGE(H2127:H2131)</f>
        <v>95.38171044</v>
      </c>
      <c r="L2127">
        <f>STDEV(H2127:H2131)</f>
        <v>119.0058404</v>
      </c>
      <c r="M2127" s="70">
        <v>267.211751250948</v>
      </c>
      <c r="N2127" s="70">
        <v>267.211751250948</v>
      </c>
      <c r="O2127" s="70">
        <v>7.06287146495877</v>
      </c>
      <c r="P2127" s="70">
        <v>7.06287146495877</v>
      </c>
    </row>
    <row r="2128" hidden="1">
      <c r="A2128" s="67" t="s">
        <v>2888</v>
      </c>
      <c r="B2128" s="67" t="s">
        <v>268</v>
      </c>
      <c r="C2128" s="68">
        <v>0.75</v>
      </c>
      <c r="D2128" s="68">
        <v>0.25</v>
      </c>
      <c r="E2128" s="68">
        <v>5.0</v>
      </c>
      <c r="F2128" s="68">
        <v>1.0</v>
      </c>
      <c r="G2128" s="68">
        <v>1.07991001504809</v>
      </c>
      <c r="H2128" s="68">
        <v>1.4504242499467</v>
      </c>
      <c r="I2128" s="69">
        <v>44317.7343287037</v>
      </c>
      <c r="J2128" s="69">
        <v>44317.734444444446</v>
      </c>
      <c r="K2128">
        <f>AVERAGE(H2127:H2131)</f>
        <v>95.38171044</v>
      </c>
      <c r="L2128">
        <f>STDEV(H2127:H2131)</f>
        <v>119.0058404</v>
      </c>
      <c r="M2128" s="70">
        <v>1.4504242499467</v>
      </c>
      <c r="N2128" s="70">
        <v>1.4504242499467</v>
      </c>
      <c r="O2128" s="70">
        <v>1.07991001504809</v>
      </c>
      <c r="P2128" s="70">
        <v>1.07991001504809</v>
      </c>
    </row>
    <row r="2129" hidden="1">
      <c r="A2129" s="67" t="s">
        <v>2889</v>
      </c>
      <c r="B2129" s="67" t="s">
        <v>268</v>
      </c>
      <c r="C2129" s="68">
        <v>0.75</v>
      </c>
      <c r="D2129" s="68">
        <v>0.25</v>
      </c>
      <c r="E2129" s="68">
        <v>5.0</v>
      </c>
      <c r="F2129" s="68">
        <v>2.0</v>
      </c>
      <c r="G2129" s="68">
        <v>4.00329169559497</v>
      </c>
      <c r="H2129" s="68">
        <v>172.91854503776</v>
      </c>
      <c r="I2129" s="69">
        <v>44317.73516203704</v>
      </c>
      <c r="J2129" s="69">
        <v>44317.77521990741</v>
      </c>
      <c r="K2129">
        <f>AVERAGE(H2127:H2131)</f>
        <v>95.38171044</v>
      </c>
      <c r="L2129">
        <f>STDEV(H2127:H2131)</f>
        <v>119.0058404</v>
      </c>
      <c r="M2129" s="70">
        <v>172.91854503776</v>
      </c>
      <c r="N2129" s="70">
        <v>172.91854503776</v>
      </c>
      <c r="O2129" s="70">
        <v>4.00329169559497</v>
      </c>
      <c r="P2129" s="70">
        <v>4.00329169559497</v>
      </c>
    </row>
    <row r="2130" hidden="1">
      <c r="A2130" s="67" t="s">
        <v>2890</v>
      </c>
      <c r="B2130" s="67" t="s">
        <v>268</v>
      </c>
      <c r="C2130" s="68">
        <v>0.75</v>
      </c>
      <c r="D2130" s="68">
        <v>0.25</v>
      </c>
      <c r="E2130" s="68">
        <v>5.0</v>
      </c>
      <c r="F2130" s="68">
        <v>3.0</v>
      </c>
      <c r="G2130" s="68">
        <v>0.640422107839324</v>
      </c>
      <c r="H2130" s="68">
        <v>7.44533503615973</v>
      </c>
      <c r="I2130" s="69">
        <v>44317.7759375</v>
      </c>
      <c r="J2130" s="69">
        <v>44317.77846064815</v>
      </c>
      <c r="K2130">
        <f>AVERAGE(H2127:H2131)</f>
        <v>95.38171044</v>
      </c>
      <c r="L2130">
        <f>STDEV(H2127:H2131)</f>
        <v>119.0058404</v>
      </c>
      <c r="M2130" s="70">
        <v>7.44533503615973</v>
      </c>
      <c r="N2130" s="70">
        <v>7.44533503615973</v>
      </c>
      <c r="O2130" s="70">
        <v>0.640422107839324</v>
      </c>
      <c r="P2130" s="70">
        <v>0.640422107839324</v>
      </c>
    </row>
    <row r="2131" hidden="1">
      <c r="A2131" s="67" t="s">
        <v>2891</v>
      </c>
      <c r="B2131" s="67" t="s">
        <v>268</v>
      </c>
      <c r="C2131" s="68">
        <v>0.75</v>
      </c>
      <c r="D2131" s="68">
        <v>0.25</v>
      </c>
      <c r="E2131" s="68">
        <v>5.0</v>
      </c>
      <c r="F2131" s="68">
        <v>4.0</v>
      </c>
      <c r="G2131" s="68">
        <v>1.72737146836026</v>
      </c>
      <c r="H2131" s="68">
        <v>27.8824966102828</v>
      </c>
      <c r="I2131" s="69">
        <v>44317.779178240744</v>
      </c>
      <c r="J2131" s="69">
        <v>44317.77980324074</v>
      </c>
      <c r="K2131">
        <f>AVERAGE(H2127:H2131)</f>
        <v>95.38171044</v>
      </c>
      <c r="L2131">
        <f>STDEV(H2127:H2131)</f>
        <v>119.0058404</v>
      </c>
      <c r="M2131" s="70">
        <v>27.8824966102828</v>
      </c>
      <c r="N2131" s="70">
        <v>27.8824966102828</v>
      </c>
      <c r="O2131" s="70">
        <v>1.72737146836026</v>
      </c>
      <c r="P2131" s="70">
        <v>1.72737146836026</v>
      </c>
    </row>
    <row r="2132" hidden="1">
      <c r="A2132" s="67" t="s">
        <v>2892</v>
      </c>
      <c r="B2132" s="67" t="s">
        <v>268</v>
      </c>
      <c r="C2132" s="68">
        <v>0.75</v>
      </c>
      <c r="D2132" s="68">
        <v>0.5</v>
      </c>
      <c r="E2132" s="68">
        <v>5.0</v>
      </c>
      <c r="F2132" s="68">
        <v>0.0</v>
      </c>
      <c r="G2132" s="68">
        <v>1.17104420413794</v>
      </c>
      <c r="H2132" s="68">
        <v>78.4702868107615</v>
      </c>
      <c r="I2132" s="69">
        <v>44317.78052083333</v>
      </c>
      <c r="J2132" s="69">
        <v>44317.78251157407</v>
      </c>
      <c r="K2132">
        <f>AVERAGE(H2132:H2136)</f>
        <v>111.8081672</v>
      </c>
      <c r="L2132">
        <f>STDEV(H2132:H2136)</f>
        <v>116.6639103</v>
      </c>
      <c r="M2132" s="70">
        <v>78.4702868107615</v>
      </c>
      <c r="N2132" s="70">
        <v>78.4702868107615</v>
      </c>
      <c r="O2132" s="70">
        <v>1.17104420413794</v>
      </c>
      <c r="P2132" s="70">
        <v>1.17104420413794</v>
      </c>
    </row>
    <row r="2133" hidden="1">
      <c r="A2133" s="67" t="s">
        <v>2893</v>
      </c>
      <c r="B2133" s="67" t="s">
        <v>268</v>
      </c>
      <c r="C2133" s="68">
        <v>0.75</v>
      </c>
      <c r="D2133" s="68">
        <v>0.5</v>
      </c>
      <c r="E2133" s="68">
        <v>5.0</v>
      </c>
      <c r="F2133" s="68">
        <v>1.0</v>
      </c>
      <c r="G2133" s="68">
        <v>8.34878635273175</v>
      </c>
      <c r="H2133" s="68">
        <v>289.912926494911</v>
      </c>
      <c r="I2133" s="69">
        <v>44317.783217592594</v>
      </c>
      <c r="J2133" s="69">
        <v>44317.78418981482</v>
      </c>
      <c r="K2133">
        <f>AVERAGE(H2132:H2136)</f>
        <v>111.8081672</v>
      </c>
      <c r="L2133">
        <f>STDEV(H2132:H2136)</f>
        <v>116.6639103</v>
      </c>
      <c r="M2133" s="70">
        <v>289.912926494911</v>
      </c>
      <c r="N2133" s="70">
        <v>289.912926494911</v>
      </c>
      <c r="O2133" s="70">
        <v>8.34878635273175</v>
      </c>
      <c r="P2133" s="70">
        <v>8.34878635273175</v>
      </c>
    </row>
    <row r="2134" hidden="1">
      <c r="A2134" s="67" t="s">
        <v>2894</v>
      </c>
      <c r="B2134" s="67" t="s">
        <v>268</v>
      </c>
      <c r="C2134" s="68">
        <v>0.75</v>
      </c>
      <c r="D2134" s="68">
        <v>0.5</v>
      </c>
      <c r="E2134" s="68">
        <v>5.0</v>
      </c>
      <c r="F2134" s="68">
        <v>2.0</v>
      </c>
      <c r="G2134" s="68">
        <v>1.07991001504809</v>
      </c>
      <c r="H2134" s="68">
        <v>1.4504242499467</v>
      </c>
      <c r="I2134" s="69">
        <v>44317.784907407404</v>
      </c>
      <c r="J2134" s="69">
        <v>44317.78501157407</v>
      </c>
      <c r="K2134">
        <f>AVERAGE(H2132:H2136)</f>
        <v>111.8081672</v>
      </c>
      <c r="L2134">
        <f>STDEV(H2132:H2136)</f>
        <v>116.6639103</v>
      </c>
      <c r="M2134" s="70">
        <v>1.4504242499467</v>
      </c>
      <c r="N2134" s="70">
        <v>1.4504242499467</v>
      </c>
      <c r="O2134" s="70">
        <v>1.07991001504809</v>
      </c>
      <c r="P2134" s="70">
        <v>1.07991001504809</v>
      </c>
    </row>
    <row r="2135" hidden="1">
      <c r="A2135" s="67" t="s">
        <v>2895</v>
      </c>
      <c r="B2135" s="67" t="s">
        <v>268</v>
      </c>
      <c r="C2135" s="68">
        <v>0.75</v>
      </c>
      <c r="D2135" s="68">
        <v>0.5</v>
      </c>
      <c r="E2135" s="68">
        <v>5.0</v>
      </c>
      <c r="F2135" s="68">
        <v>3.0</v>
      </c>
      <c r="G2135" s="68">
        <v>3.58648370862842</v>
      </c>
      <c r="H2135" s="68">
        <v>161.080386728568</v>
      </c>
      <c r="I2135" s="69">
        <v>44317.785729166666</v>
      </c>
      <c r="J2135" s="69">
        <v>44317.83230324074</v>
      </c>
      <c r="K2135">
        <f>AVERAGE(H2132:H2136)</f>
        <v>111.8081672</v>
      </c>
      <c r="L2135">
        <f>STDEV(H2132:H2136)</f>
        <v>116.6639103</v>
      </c>
      <c r="M2135" s="70">
        <v>161.080386728568</v>
      </c>
      <c r="N2135" s="70">
        <v>161.080386728568</v>
      </c>
      <c r="O2135" s="70">
        <v>3.58648370862842</v>
      </c>
      <c r="P2135" s="70">
        <v>3.58648370862842</v>
      </c>
    </row>
    <row r="2136" hidden="1">
      <c r="A2136" s="67" t="s">
        <v>2896</v>
      </c>
      <c r="B2136" s="67" t="s">
        <v>268</v>
      </c>
      <c r="C2136" s="68">
        <v>0.75</v>
      </c>
      <c r="D2136" s="68">
        <v>0.5</v>
      </c>
      <c r="E2136" s="68">
        <v>5.0</v>
      </c>
      <c r="F2136" s="68">
        <v>4.0</v>
      </c>
      <c r="G2136" s="68">
        <v>1.72300430152958</v>
      </c>
      <c r="H2136" s="68">
        <v>28.1268116683826</v>
      </c>
      <c r="I2136" s="69">
        <v>44317.83300925926</v>
      </c>
      <c r="J2136" s="69">
        <v>44317.83361111111</v>
      </c>
      <c r="K2136">
        <f>AVERAGE(H2132:H2136)</f>
        <v>111.8081672</v>
      </c>
      <c r="L2136">
        <f>STDEV(H2132:H2136)</f>
        <v>116.6639103</v>
      </c>
      <c r="M2136" s="70">
        <v>28.1268116683826</v>
      </c>
      <c r="N2136" s="70">
        <v>28.1268116683826</v>
      </c>
      <c r="O2136" s="70">
        <v>1.72300430152958</v>
      </c>
      <c r="P2136" s="70">
        <v>1.72300430152958</v>
      </c>
    </row>
    <row r="2137" hidden="1">
      <c r="A2137" s="67" t="s">
        <v>2897</v>
      </c>
      <c r="B2137" s="67" t="s">
        <v>268</v>
      </c>
      <c r="C2137" s="68">
        <v>0.75</v>
      </c>
      <c r="D2137" s="68">
        <v>0.75</v>
      </c>
      <c r="E2137" s="68">
        <v>5.0</v>
      </c>
      <c r="F2137" s="68">
        <v>0.0</v>
      </c>
      <c r="G2137" s="68">
        <v>4.10958575979338</v>
      </c>
      <c r="H2137" s="68">
        <v>189.459404486492</v>
      </c>
      <c r="I2137" s="69">
        <v>44317.834328703706</v>
      </c>
      <c r="J2137" s="69">
        <v>44317.837233796294</v>
      </c>
      <c r="K2137">
        <f>AVERAGE(H2137:H2141)</f>
        <v>103.2060201</v>
      </c>
      <c r="L2137">
        <f>STDEV(H2137:H2141)</f>
        <v>87.9830331</v>
      </c>
      <c r="M2137" s="70">
        <v>189.459404486492</v>
      </c>
      <c r="N2137" s="70">
        <v>189.459404486492</v>
      </c>
      <c r="O2137" s="70">
        <v>4.10958575979338</v>
      </c>
      <c r="P2137" s="70">
        <v>4.10958575979338</v>
      </c>
    </row>
    <row r="2138" hidden="1">
      <c r="A2138" s="67" t="s">
        <v>2898</v>
      </c>
      <c r="B2138" s="67" t="s">
        <v>268</v>
      </c>
      <c r="C2138" s="68">
        <v>0.75</v>
      </c>
      <c r="D2138" s="68">
        <v>0.75</v>
      </c>
      <c r="E2138" s="68">
        <v>5.0</v>
      </c>
      <c r="F2138" s="68">
        <v>1.0</v>
      </c>
      <c r="G2138" s="68">
        <v>4.77768105433788</v>
      </c>
      <c r="H2138" s="68">
        <v>161.088305480721</v>
      </c>
      <c r="I2138" s="69">
        <v>44317.83795138889</v>
      </c>
      <c r="J2138" s="69">
        <v>44317.838171296295</v>
      </c>
      <c r="K2138">
        <f>AVERAGE(H2137:H2141)</f>
        <v>103.2060201</v>
      </c>
      <c r="L2138">
        <f>STDEV(H2137:H2141)</f>
        <v>87.9830331</v>
      </c>
      <c r="M2138" s="70">
        <v>161.088305480721</v>
      </c>
      <c r="N2138" s="70">
        <v>161.088305480721</v>
      </c>
      <c r="O2138" s="70">
        <v>4.77768105433788</v>
      </c>
      <c r="P2138" s="70">
        <v>4.77768105433788</v>
      </c>
    </row>
    <row r="2139" hidden="1">
      <c r="A2139" s="67" t="s">
        <v>2899</v>
      </c>
      <c r="B2139" s="67" t="s">
        <v>268</v>
      </c>
      <c r="C2139" s="68">
        <v>0.75</v>
      </c>
      <c r="D2139" s="68">
        <v>0.75</v>
      </c>
      <c r="E2139" s="68">
        <v>5.0</v>
      </c>
      <c r="F2139" s="68">
        <v>2.0</v>
      </c>
      <c r="G2139" s="68">
        <v>3.14654868868291</v>
      </c>
      <c r="H2139" s="68">
        <v>148.737907661957</v>
      </c>
      <c r="I2139" s="69">
        <v>44317.83887731482</v>
      </c>
      <c r="J2139" s="69">
        <v>44317.90179398148</v>
      </c>
      <c r="K2139">
        <f>AVERAGE(H2137:H2141)</f>
        <v>103.2060201</v>
      </c>
      <c r="L2139">
        <f>STDEV(H2137:H2141)</f>
        <v>87.9830331</v>
      </c>
      <c r="M2139" s="70">
        <v>148.737907661957</v>
      </c>
      <c r="N2139" s="70">
        <v>148.737907661957</v>
      </c>
      <c r="O2139" s="70">
        <v>3.14654868868291</v>
      </c>
      <c r="P2139" s="70">
        <v>3.14654868868291</v>
      </c>
    </row>
    <row r="2140" hidden="1">
      <c r="A2140" s="67" t="s">
        <v>2900</v>
      </c>
      <c r="B2140" s="67" t="s">
        <v>268</v>
      </c>
      <c r="C2140" s="68">
        <v>0.75</v>
      </c>
      <c r="D2140" s="68">
        <v>0.75</v>
      </c>
      <c r="E2140" s="68">
        <v>5.0</v>
      </c>
      <c r="F2140" s="68">
        <v>3.0</v>
      </c>
      <c r="G2140" s="68">
        <v>0.591005414130622</v>
      </c>
      <c r="H2140" s="68">
        <v>0.822168776326228</v>
      </c>
      <c r="I2140" s="69">
        <v>44317.9025</v>
      </c>
      <c r="J2140" s="69">
        <v>44317.90251157407</v>
      </c>
      <c r="K2140">
        <f>AVERAGE(H2137:H2141)</f>
        <v>103.2060201</v>
      </c>
      <c r="L2140">
        <f>STDEV(H2137:H2141)</f>
        <v>87.9830331</v>
      </c>
      <c r="M2140" s="70">
        <v>0.822168776326228</v>
      </c>
      <c r="N2140" s="70">
        <v>0.822168776326228</v>
      </c>
      <c r="O2140" s="70">
        <v>0.591005414130622</v>
      </c>
      <c r="P2140" s="70">
        <v>0.591005414130622</v>
      </c>
    </row>
    <row r="2141" hidden="1">
      <c r="A2141" s="67" t="s">
        <v>2901</v>
      </c>
      <c r="B2141" s="67" t="s">
        <v>268</v>
      </c>
      <c r="C2141" s="68">
        <v>0.75</v>
      </c>
      <c r="D2141" s="68">
        <v>0.75</v>
      </c>
      <c r="E2141" s="68">
        <v>5.0</v>
      </c>
      <c r="F2141" s="68">
        <v>4.0</v>
      </c>
      <c r="G2141" s="68">
        <v>1.21593702315599</v>
      </c>
      <c r="H2141" s="68">
        <v>15.9223138572581</v>
      </c>
      <c r="I2141" s="69">
        <v>44317.90321759259</v>
      </c>
      <c r="J2141" s="69">
        <v>44317.90335648148</v>
      </c>
      <c r="K2141">
        <f>AVERAGE(H2137:H2141)</f>
        <v>103.2060201</v>
      </c>
      <c r="L2141">
        <f>STDEV(H2137:H2141)</f>
        <v>87.9830331</v>
      </c>
      <c r="M2141" s="70">
        <v>15.9223138572581</v>
      </c>
      <c r="N2141" s="70">
        <v>15.9223138572581</v>
      </c>
      <c r="O2141" s="70">
        <v>1.21593702315599</v>
      </c>
      <c r="P2141" s="70">
        <v>1.21593702315599</v>
      </c>
    </row>
    <row r="2142" hidden="1">
      <c r="A2142" s="67" t="s">
        <v>2902</v>
      </c>
      <c r="B2142" s="67" t="s">
        <v>268</v>
      </c>
      <c r="C2142" s="68">
        <v>0.75</v>
      </c>
      <c r="D2142" s="68">
        <v>1.0</v>
      </c>
      <c r="E2142" s="68">
        <v>5.0</v>
      </c>
      <c r="F2142" s="68">
        <v>0.0</v>
      </c>
      <c r="G2142" s="68">
        <v>1.71999875541041</v>
      </c>
      <c r="H2142" s="68">
        <v>27.9228878710464</v>
      </c>
      <c r="I2142" s="69">
        <v>44317.9040625</v>
      </c>
      <c r="J2142" s="69">
        <v>44317.9046875</v>
      </c>
      <c r="K2142">
        <f>AVERAGE(H2142:H2146)</f>
        <v>104.5626971</v>
      </c>
      <c r="L2142">
        <f>STDEV(H2142:H2146)</f>
        <v>87.74093353</v>
      </c>
      <c r="M2142" s="70">
        <v>27.9228878710464</v>
      </c>
      <c r="N2142" s="70">
        <v>27.9228878710464</v>
      </c>
      <c r="O2142" s="70">
        <v>1.71999875541041</v>
      </c>
      <c r="P2142" s="70">
        <v>1.71999875541041</v>
      </c>
    </row>
    <row r="2143" hidden="1">
      <c r="A2143" s="67" t="s">
        <v>2903</v>
      </c>
      <c r="B2143" s="67" t="s">
        <v>268</v>
      </c>
      <c r="C2143" s="68">
        <v>0.75</v>
      </c>
      <c r="D2143" s="68">
        <v>1.0</v>
      </c>
      <c r="E2143" s="68">
        <v>5.0</v>
      </c>
      <c r="F2143" s="68">
        <v>1.0</v>
      </c>
      <c r="G2143" s="68">
        <v>4.68759513167589</v>
      </c>
      <c r="H2143" s="68">
        <v>209.040936052246</v>
      </c>
      <c r="I2143" s="69">
        <v>44317.90540509259</v>
      </c>
      <c r="J2143" s="69">
        <v>44317.90846064815</v>
      </c>
      <c r="K2143">
        <f>AVERAGE(H2142:H2146)</f>
        <v>104.5626971</v>
      </c>
      <c r="L2143">
        <f>STDEV(H2142:H2146)</f>
        <v>87.74093353</v>
      </c>
      <c r="M2143" s="70">
        <v>209.040936052246</v>
      </c>
      <c r="N2143" s="70">
        <v>209.040936052246</v>
      </c>
      <c r="O2143" s="70">
        <v>4.68759513167589</v>
      </c>
      <c r="P2143" s="70">
        <v>4.68759513167589</v>
      </c>
    </row>
    <row r="2144" hidden="1">
      <c r="A2144" s="67" t="s">
        <v>2904</v>
      </c>
      <c r="B2144" s="67" t="s">
        <v>268</v>
      </c>
      <c r="C2144" s="68">
        <v>0.75</v>
      </c>
      <c r="D2144" s="68">
        <v>1.0</v>
      </c>
      <c r="E2144" s="68">
        <v>5.0</v>
      </c>
      <c r="F2144" s="68">
        <v>2.0</v>
      </c>
      <c r="G2144" s="68">
        <v>0.319096105615425</v>
      </c>
      <c r="H2144" s="68">
        <v>0.408517979006142</v>
      </c>
      <c r="I2144" s="69">
        <v>44317.909166666665</v>
      </c>
      <c r="J2144" s="69">
        <v>44317.909224537034</v>
      </c>
      <c r="K2144">
        <f>AVERAGE(H2142:H2146)</f>
        <v>104.5626971</v>
      </c>
      <c r="L2144">
        <f>STDEV(H2142:H2146)</f>
        <v>87.74093353</v>
      </c>
      <c r="M2144" s="70">
        <v>0.408517979006142</v>
      </c>
      <c r="N2144" s="70">
        <v>0.408517979006142</v>
      </c>
      <c r="O2144" s="70">
        <v>0.319096105615425</v>
      </c>
      <c r="P2144" s="70">
        <v>0.319096105615425</v>
      </c>
    </row>
    <row r="2145" hidden="1">
      <c r="A2145" s="67" t="s">
        <v>2905</v>
      </c>
      <c r="B2145" s="67" t="s">
        <v>268</v>
      </c>
      <c r="C2145" s="68">
        <v>0.75</v>
      </c>
      <c r="D2145" s="68">
        <v>1.0</v>
      </c>
      <c r="E2145" s="68">
        <v>5.0</v>
      </c>
      <c r="F2145" s="68">
        <v>3.0</v>
      </c>
      <c r="G2145" s="68">
        <v>3.3740014896772</v>
      </c>
      <c r="H2145" s="68">
        <v>153.774599567007</v>
      </c>
      <c r="I2145" s="69">
        <v>44317.90994212963</v>
      </c>
      <c r="J2145" s="69">
        <v>44317.962430555555</v>
      </c>
      <c r="K2145">
        <f>AVERAGE(H2142:H2146)</f>
        <v>104.5626971</v>
      </c>
      <c r="L2145">
        <f>STDEV(H2142:H2146)</f>
        <v>87.74093353</v>
      </c>
      <c r="M2145" s="70">
        <v>153.774599567007</v>
      </c>
      <c r="N2145" s="70">
        <v>153.774599567007</v>
      </c>
      <c r="O2145" s="70">
        <v>3.3740014896772</v>
      </c>
      <c r="P2145" s="70">
        <v>3.3740014896772</v>
      </c>
    </row>
    <row r="2146" hidden="1">
      <c r="A2146" s="67" t="s">
        <v>2906</v>
      </c>
      <c r="B2146" s="67" t="s">
        <v>268</v>
      </c>
      <c r="C2146" s="68">
        <v>0.75</v>
      </c>
      <c r="D2146" s="68">
        <v>1.0</v>
      </c>
      <c r="E2146" s="68">
        <v>5.0</v>
      </c>
      <c r="F2146" s="68">
        <v>4.0</v>
      </c>
      <c r="G2146" s="68">
        <v>2.48387657144364</v>
      </c>
      <c r="H2146" s="68">
        <v>131.666544097173</v>
      </c>
      <c r="I2146" s="69">
        <v>44317.96313657407</v>
      </c>
      <c r="J2146" s="69">
        <v>44317.963368055556</v>
      </c>
      <c r="K2146">
        <f>AVERAGE(H2142:H2146)</f>
        <v>104.5626971</v>
      </c>
      <c r="L2146">
        <f>STDEV(H2142:H2146)</f>
        <v>87.74093353</v>
      </c>
      <c r="M2146" s="70">
        <v>131.666544097173</v>
      </c>
      <c r="N2146" s="70">
        <v>131.666544097173</v>
      </c>
      <c r="O2146" s="70">
        <v>2.48387657144364</v>
      </c>
      <c r="P2146" s="70">
        <v>2.48387657144364</v>
      </c>
    </row>
    <row r="2147" hidden="1">
      <c r="A2147" s="67" t="s">
        <v>2907</v>
      </c>
      <c r="B2147" s="67" t="s">
        <v>268</v>
      </c>
      <c r="C2147" s="68">
        <v>1.0</v>
      </c>
      <c r="D2147" s="68">
        <v>0.1</v>
      </c>
      <c r="E2147" s="68">
        <v>5.0</v>
      </c>
      <c r="F2147" s="68">
        <v>0.0</v>
      </c>
      <c r="G2147" s="68">
        <v>5.74669413565689</v>
      </c>
      <c r="H2147" s="68">
        <v>246.099073827874</v>
      </c>
      <c r="I2147" s="69">
        <v>44317.96407407407</v>
      </c>
      <c r="J2147" s="69">
        <v>44317.97377314815</v>
      </c>
      <c r="K2147">
        <f>AVERAGE(H2147:H2151)</f>
        <v>122.5903969</v>
      </c>
      <c r="L2147">
        <f>STDEV(H2147:H2151)</f>
        <v>88.34622018</v>
      </c>
      <c r="M2147" s="70">
        <v>246.099073827874</v>
      </c>
      <c r="N2147" s="70">
        <v>246.099073827874</v>
      </c>
      <c r="O2147" s="70">
        <v>5.74669413565689</v>
      </c>
      <c r="P2147" s="70">
        <v>5.74669413565689</v>
      </c>
    </row>
    <row r="2148" hidden="1">
      <c r="A2148" s="67" t="s">
        <v>2908</v>
      </c>
      <c r="B2148" s="67" t="s">
        <v>268</v>
      </c>
      <c r="C2148" s="68">
        <v>1.0</v>
      </c>
      <c r="D2148" s="68">
        <v>0.1</v>
      </c>
      <c r="E2148" s="68">
        <v>5.0</v>
      </c>
      <c r="F2148" s="68">
        <v>1.0</v>
      </c>
      <c r="G2148" s="68">
        <v>4.19513815267797</v>
      </c>
      <c r="H2148" s="68">
        <v>115.793222145536</v>
      </c>
      <c r="I2148" s="69">
        <v>44317.974490740744</v>
      </c>
      <c r="J2148" s="69">
        <v>44317.97454861111</v>
      </c>
      <c r="K2148">
        <f>AVERAGE(H2147:H2151)</f>
        <v>122.5903969</v>
      </c>
      <c r="L2148">
        <f>STDEV(H2147:H2151)</f>
        <v>88.34622018</v>
      </c>
      <c r="M2148" s="70">
        <v>115.793222145536</v>
      </c>
      <c r="N2148" s="70">
        <v>115.793222145536</v>
      </c>
      <c r="O2148" s="70">
        <v>4.19513815267797</v>
      </c>
      <c r="P2148" s="70">
        <v>4.19513815267797</v>
      </c>
    </row>
    <row r="2149" hidden="1">
      <c r="A2149" s="67" t="s">
        <v>2909</v>
      </c>
      <c r="B2149" s="67" t="s">
        <v>268</v>
      </c>
      <c r="C2149" s="68">
        <v>1.0</v>
      </c>
      <c r="D2149" s="68">
        <v>0.1</v>
      </c>
      <c r="E2149" s="68">
        <v>5.0</v>
      </c>
      <c r="F2149" s="68">
        <v>2.0</v>
      </c>
      <c r="G2149" s="68">
        <v>3.61971701658578</v>
      </c>
      <c r="H2149" s="68">
        <v>149.367566956801</v>
      </c>
      <c r="I2149" s="69">
        <v>44317.97525462963</v>
      </c>
      <c r="J2149" s="69">
        <v>44317.975648148145</v>
      </c>
      <c r="K2149">
        <f>AVERAGE(H2147:H2151)</f>
        <v>122.5903969</v>
      </c>
      <c r="L2149">
        <f>STDEV(H2147:H2151)</f>
        <v>88.34622018</v>
      </c>
      <c r="M2149" s="70">
        <v>149.367566956801</v>
      </c>
      <c r="N2149" s="70">
        <v>149.367566956801</v>
      </c>
      <c r="O2149" s="70">
        <v>3.61971701658578</v>
      </c>
      <c r="P2149" s="70">
        <v>3.61971701658578</v>
      </c>
    </row>
    <row r="2150" hidden="1">
      <c r="A2150" s="67" t="s">
        <v>2910</v>
      </c>
      <c r="B2150" s="67" t="s">
        <v>268</v>
      </c>
      <c r="C2150" s="68">
        <v>1.0</v>
      </c>
      <c r="D2150" s="68">
        <v>0.1</v>
      </c>
      <c r="E2150" s="68">
        <v>5.0</v>
      </c>
      <c r="F2150" s="68">
        <v>3.0</v>
      </c>
      <c r="G2150" s="68">
        <v>0.955026638306434</v>
      </c>
      <c r="H2150" s="68">
        <v>1.30765518018918</v>
      </c>
      <c r="I2150" s="69">
        <v>44317.97635416667</v>
      </c>
      <c r="J2150" s="69">
        <v>44317.97636574074</v>
      </c>
      <c r="K2150">
        <f>AVERAGE(H2147:H2151)</f>
        <v>122.5903969</v>
      </c>
      <c r="L2150">
        <f>STDEV(H2147:H2151)</f>
        <v>88.34622018</v>
      </c>
      <c r="M2150" s="70">
        <v>1.30765518018918</v>
      </c>
      <c r="N2150" s="70">
        <v>1.30765518018918</v>
      </c>
      <c r="O2150" s="70">
        <v>0.955026638306434</v>
      </c>
      <c r="P2150" s="70">
        <v>0.955026638306434</v>
      </c>
    </row>
    <row r="2151" hidden="1">
      <c r="A2151" s="67" t="s">
        <v>2911</v>
      </c>
      <c r="B2151" s="67" t="s">
        <v>268</v>
      </c>
      <c r="C2151" s="68">
        <v>1.0</v>
      </c>
      <c r="D2151" s="68">
        <v>0.1</v>
      </c>
      <c r="E2151" s="68">
        <v>5.0</v>
      </c>
      <c r="F2151" s="68">
        <v>4.0</v>
      </c>
      <c r="G2151" s="68">
        <v>2.22834955442861</v>
      </c>
      <c r="H2151" s="68">
        <v>100.384466547542</v>
      </c>
      <c r="I2151" s="69">
        <v>44317.97707175926</v>
      </c>
      <c r="J2151" s="69">
        <v>44318.028136574074</v>
      </c>
      <c r="K2151">
        <f>AVERAGE(H2147:H2151)</f>
        <v>122.5903969</v>
      </c>
      <c r="L2151">
        <f>STDEV(H2147:H2151)</f>
        <v>88.34622018</v>
      </c>
      <c r="M2151" s="70">
        <v>100.384466547542</v>
      </c>
      <c r="N2151" s="70">
        <v>100.384466547542</v>
      </c>
      <c r="O2151" s="70">
        <v>2.22834955442861</v>
      </c>
      <c r="P2151" s="70">
        <v>2.22834955442861</v>
      </c>
    </row>
    <row r="2152" hidden="1">
      <c r="A2152" s="67" t="s">
        <v>2912</v>
      </c>
      <c r="B2152" s="67" t="s">
        <v>268</v>
      </c>
      <c r="C2152" s="68">
        <v>1.0</v>
      </c>
      <c r="D2152" s="68">
        <v>0.25</v>
      </c>
      <c r="E2152" s="68">
        <v>5.0</v>
      </c>
      <c r="F2152" s="68">
        <v>0.0</v>
      </c>
      <c r="G2152" s="68">
        <v>3.60510487674275</v>
      </c>
      <c r="H2152" s="68">
        <v>162.896027073119</v>
      </c>
      <c r="I2152" s="69">
        <v>44318.02884259259</v>
      </c>
      <c r="J2152" s="69">
        <v>44318.056122685186</v>
      </c>
      <c r="K2152">
        <f>AVERAGE(H2152:H2156)</f>
        <v>75.32069727</v>
      </c>
      <c r="L2152">
        <f>STDEV(H2152:H2156)</f>
        <v>94.17539294</v>
      </c>
      <c r="M2152" s="70">
        <v>162.896027073119</v>
      </c>
      <c r="N2152" s="70">
        <v>162.896027073119</v>
      </c>
      <c r="O2152" s="70">
        <v>3.60510487674275</v>
      </c>
      <c r="P2152" s="70">
        <v>3.60510487674275</v>
      </c>
    </row>
    <row r="2153" hidden="1">
      <c r="A2153" s="67" t="s">
        <v>2913</v>
      </c>
      <c r="B2153" s="67" t="s">
        <v>268</v>
      </c>
      <c r="C2153" s="68">
        <v>1.0</v>
      </c>
      <c r="D2153" s="68">
        <v>0.25</v>
      </c>
      <c r="E2153" s="68">
        <v>5.0</v>
      </c>
      <c r="F2153" s="68">
        <v>1.0</v>
      </c>
      <c r="G2153" s="68">
        <v>0.655606981885601</v>
      </c>
      <c r="H2153" s="68">
        <v>1.21539164002286</v>
      </c>
      <c r="I2153" s="69">
        <v>44318.05684027778</v>
      </c>
      <c r="J2153" s="69">
        <v>44318.05761574074</v>
      </c>
      <c r="K2153">
        <f>AVERAGE(H2152:H2156)</f>
        <v>75.32069727</v>
      </c>
      <c r="L2153">
        <f>STDEV(H2152:H2156)</f>
        <v>94.17539294</v>
      </c>
      <c r="M2153" s="70">
        <v>1.21539164002286</v>
      </c>
      <c r="N2153" s="70">
        <v>1.21539164002286</v>
      </c>
      <c r="O2153" s="70">
        <v>0.655606981885601</v>
      </c>
      <c r="P2153" s="70">
        <v>0.655606981885601</v>
      </c>
    </row>
    <row r="2154" hidden="1">
      <c r="A2154" s="67" t="s">
        <v>2914</v>
      </c>
      <c r="B2154" s="67" t="s">
        <v>268</v>
      </c>
      <c r="C2154" s="68">
        <v>1.0</v>
      </c>
      <c r="D2154" s="68">
        <v>0.25</v>
      </c>
      <c r="E2154" s="68">
        <v>5.0</v>
      </c>
      <c r="F2154" s="68">
        <v>2.0</v>
      </c>
      <c r="G2154" s="68">
        <v>4.40536904951159</v>
      </c>
      <c r="H2154" s="68">
        <v>192.445463513738</v>
      </c>
      <c r="I2154" s="69">
        <v>44318.05832175926</v>
      </c>
      <c r="J2154" s="69">
        <v>44318.063101851854</v>
      </c>
      <c r="K2154">
        <f>AVERAGE(H2152:H2156)</f>
        <v>75.32069727</v>
      </c>
      <c r="L2154">
        <f>STDEV(H2152:H2156)</f>
        <v>94.17539294</v>
      </c>
      <c r="M2154" s="70">
        <v>192.445463513738</v>
      </c>
      <c r="N2154" s="70">
        <v>192.445463513738</v>
      </c>
      <c r="O2154" s="70">
        <v>4.40536904951159</v>
      </c>
      <c r="P2154" s="70">
        <v>4.40536904951159</v>
      </c>
    </row>
    <row r="2155" hidden="1">
      <c r="A2155" s="67" t="s">
        <v>2915</v>
      </c>
      <c r="B2155" s="67" t="s">
        <v>268</v>
      </c>
      <c r="C2155" s="68">
        <v>1.0</v>
      </c>
      <c r="D2155" s="68">
        <v>0.25</v>
      </c>
      <c r="E2155" s="68">
        <v>5.0</v>
      </c>
      <c r="F2155" s="68">
        <v>3.0</v>
      </c>
      <c r="G2155" s="68">
        <v>1.21437453905074</v>
      </c>
      <c r="H2155" s="68">
        <v>15.9085939614324</v>
      </c>
      <c r="I2155" s="69">
        <v>44318.06380787037</v>
      </c>
      <c r="J2155" s="69">
        <v>44318.06394675926</v>
      </c>
      <c r="K2155">
        <f>AVERAGE(H2152:H2156)</f>
        <v>75.32069727</v>
      </c>
      <c r="L2155">
        <f>STDEV(H2152:H2156)</f>
        <v>94.17539294</v>
      </c>
      <c r="M2155" s="70">
        <v>15.9085939614324</v>
      </c>
      <c r="N2155" s="70">
        <v>15.9085939614324</v>
      </c>
      <c r="O2155" s="70">
        <v>1.21437453905074</v>
      </c>
      <c r="P2155" s="70">
        <v>1.21437453905074</v>
      </c>
    </row>
    <row r="2156" hidden="1">
      <c r="A2156" s="67" t="s">
        <v>2916</v>
      </c>
      <c r="B2156" s="67" t="s">
        <v>268</v>
      </c>
      <c r="C2156" s="68">
        <v>1.0</v>
      </c>
      <c r="D2156" s="68">
        <v>0.25</v>
      </c>
      <c r="E2156" s="68">
        <v>5.0</v>
      </c>
      <c r="F2156" s="68">
        <v>4.0</v>
      </c>
      <c r="G2156" s="68">
        <v>2.64145420487137</v>
      </c>
      <c r="H2156" s="68">
        <v>4.1380101737941</v>
      </c>
      <c r="I2156" s="69">
        <v>44318.06465277778</v>
      </c>
      <c r="J2156" s="69">
        <v>44318.06474537037</v>
      </c>
      <c r="K2156">
        <f>AVERAGE(H2152:H2156)</f>
        <v>75.32069727</v>
      </c>
      <c r="L2156">
        <f>STDEV(H2152:H2156)</f>
        <v>94.17539294</v>
      </c>
      <c r="M2156" s="70">
        <v>4.1380101737941</v>
      </c>
      <c r="N2156" s="70">
        <v>4.1380101737941</v>
      </c>
      <c r="O2156" s="70">
        <v>2.64145420487137</v>
      </c>
      <c r="P2156" s="70">
        <v>2.64145420487137</v>
      </c>
    </row>
    <row r="2157" hidden="1">
      <c r="A2157" s="67" t="s">
        <v>2917</v>
      </c>
      <c r="B2157" s="67" t="s">
        <v>268</v>
      </c>
      <c r="C2157" s="68">
        <v>1.0</v>
      </c>
      <c r="D2157" s="68">
        <v>0.5</v>
      </c>
      <c r="E2157" s="68">
        <v>5.0</v>
      </c>
      <c r="F2157" s="68">
        <v>0.0</v>
      </c>
      <c r="G2157" s="68">
        <v>0.424740733311385</v>
      </c>
      <c r="H2157" s="68">
        <v>3.94747005599549</v>
      </c>
      <c r="I2157" s="69">
        <v>44318.06545138889</v>
      </c>
      <c r="J2157" s="69">
        <v>44318.06569444444</v>
      </c>
      <c r="K2157">
        <f>AVERAGE(H2157:H2161)</f>
        <v>88.5879616</v>
      </c>
      <c r="L2157">
        <f>STDEV(H2157:H2161)</f>
        <v>127.676766</v>
      </c>
      <c r="M2157" s="70">
        <v>3.94747005599549</v>
      </c>
      <c r="N2157" s="70">
        <v>3.94747005599549</v>
      </c>
      <c r="O2157" s="70">
        <v>0.424740733311385</v>
      </c>
      <c r="P2157" s="70">
        <v>0.424740733311385</v>
      </c>
    </row>
    <row r="2158" hidden="1">
      <c r="A2158" s="67" t="s">
        <v>2918</v>
      </c>
      <c r="B2158" s="67" t="s">
        <v>268</v>
      </c>
      <c r="C2158" s="68">
        <v>1.0</v>
      </c>
      <c r="D2158" s="68">
        <v>0.5</v>
      </c>
      <c r="E2158" s="68">
        <v>5.0</v>
      </c>
      <c r="F2158" s="68">
        <v>1.0</v>
      </c>
      <c r="G2158" s="68">
        <v>2.64145420487137</v>
      </c>
      <c r="H2158" s="68">
        <v>4.1380101737941</v>
      </c>
      <c r="I2158" s="69">
        <v>44318.066412037035</v>
      </c>
      <c r="J2158" s="69">
        <v>44318.06650462963</v>
      </c>
      <c r="K2158">
        <f>AVERAGE(H2157:H2161)</f>
        <v>88.5879616</v>
      </c>
      <c r="L2158">
        <f>STDEV(H2157:H2161)</f>
        <v>127.676766</v>
      </c>
      <c r="M2158" s="70">
        <v>4.1380101737941</v>
      </c>
      <c r="N2158" s="70">
        <v>4.1380101737941</v>
      </c>
      <c r="O2158" s="70">
        <v>2.64145420487137</v>
      </c>
      <c r="P2158" s="70">
        <v>2.64145420487137</v>
      </c>
    </row>
    <row r="2159" hidden="1">
      <c r="A2159" s="67" t="s">
        <v>2919</v>
      </c>
      <c r="B2159" s="67" t="s">
        <v>268</v>
      </c>
      <c r="C2159" s="68">
        <v>1.0</v>
      </c>
      <c r="D2159" s="68">
        <v>0.5</v>
      </c>
      <c r="E2159" s="68">
        <v>5.0</v>
      </c>
      <c r="F2159" s="68">
        <v>2.0</v>
      </c>
      <c r="G2159" s="68">
        <v>3.12088664201125</v>
      </c>
      <c r="H2159" s="68">
        <v>145.289931663488</v>
      </c>
      <c r="I2159" s="69">
        <v>44318.06721064815</v>
      </c>
      <c r="J2159" s="69">
        <v>44318.1196412037</v>
      </c>
      <c r="K2159">
        <f>AVERAGE(H2157:H2161)</f>
        <v>88.5879616</v>
      </c>
      <c r="L2159">
        <f>STDEV(H2157:H2161)</f>
        <v>127.676766</v>
      </c>
      <c r="M2159" s="70">
        <v>145.289931663488</v>
      </c>
      <c r="N2159" s="70">
        <v>145.289931663488</v>
      </c>
      <c r="O2159" s="70">
        <v>3.12088664201125</v>
      </c>
      <c r="P2159" s="70">
        <v>3.12088664201125</v>
      </c>
    </row>
    <row r="2160" hidden="1">
      <c r="A2160" s="67" t="s">
        <v>2920</v>
      </c>
      <c r="B2160" s="67" t="s">
        <v>268</v>
      </c>
      <c r="C2160" s="68">
        <v>1.0</v>
      </c>
      <c r="D2160" s="68">
        <v>0.5</v>
      </c>
      <c r="E2160" s="68">
        <v>5.0</v>
      </c>
      <c r="F2160" s="68">
        <v>3.0</v>
      </c>
      <c r="G2160" s="68">
        <v>0.707145019473237</v>
      </c>
      <c r="H2160" s="68">
        <v>0.943883703531331</v>
      </c>
      <c r="I2160" s="69">
        <v>44318.12034722222</v>
      </c>
      <c r="J2160" s="69">
        <v>44318.12056712963</v>
      </c>
      <c r="K2160">
        <f>AVERAGE(H2157:H2161)</f>
        <v>88.5879616</v>
      </c>
      <c r="L2160">
        <f>STDEV(H2157:H2161)</f>
        <v>127.676766</v>
      </c>
      <c r="M2160" s="70">
        <v>0.943883703531331</v>
      </c>
      <c r="N2160" s="70">
        <v>0.943883703531331</v>
      </c>
      <c r="O2160" s="70">
        <v>0.707145019473237</v>
      </c>
      <c r="P2160" s="70">
        <v>0.707145019473237</v>
      </c>
    </row>
    <row r="2161" hidden="1">
      <c r="A2161" s="67" t="s">
        <v>2921</v>
      </c>
      <c r="B2161" s="67" t="s">
        <v>268</v>
      </c>
      <c r="C2161" s="68">
        <v>1.0</v>
      </c>
      <c r="D2161" s="68">
        <v>0.5</v>
      </c>
      <c r="E2161" s="68">
        <v>5.0</v>
      </c>
      <c r="F2161" s="68">
        <v>4.0</v>
      </c>
      <c r="G2161" s="68">
        <v>8.27801561472309</v>
      </c>
      <c r="H2161" s="68">
        <v>288.620512395839</v>
      </c>
      <c r="I2161" s="69">
        <v>44318.12128472222</v>
      </c>
      <c r="J2161" s="69">
        <v>44318.12229166667</v>
      </c>
      <c r="K2161">
        <f>AVERAGE(H2157:H2161)</f>
        <v>88.5879616</v>
      </c>
      <c r="L2161">
        <f>STDEV(H2157:H2161)</f>
        <v>127.676766</v>
      </c>
      <c r="M2161" s="70">
        <v>288.620512395839</v>
      </c>
      <c r="N2161" s="70">
        <v>288.620512395839</v>
      </c>
      <c r="O2161" s="70">
        <v>8.27801561472309</v>
      </c>
      <c r="P2161" s="70">
        <v>8.27801561472309</v>
      </c>
    </row>
    <row r="2162" hidden="1">
      <c r="A2162" s="67" t="s">
        <v>2922</v>
      </c>
      <c r="B2162" s="67" t="s">
        <v>268</v>
      </c>
      <c r="C2162" s="68">
        <v>1.0</v>
      </c>
      <c r="D2162" s="68">
        <v>0.75</v>
      </c>
      <c r="E2162" s="68">
        <v>5.0</v>
      </c>
      <c r="F2162" s="68">
        <v>0.0</v>
      </c>
      <c r="G2162" s="68">
        <v>3.22963740863766</v>
      </c>
      <c r="H2162" s="68">
        <v>132.837173474684</v>
      </c>
      <c r="I2162" s="69">
        <v>44318.12300925926</v>
      </c>
      <c r="J2162" s="69">
        <v>44318.1424537037</v>
      </c>
      <c r="K2162">
        <f>AVERAGE(H2162:H2166)</f>
        <v>107.6732156</v>
      </c>
      <c r="L2162">
        <f>STDEV(H2162:H2166)</f>
        <v>101.8400663</v>
      </c>
      <c r="M2162" s="70">
        <v>132.837173474684</v>
      </c>
      <c r="N2162" s="70">
        <v>132.837173474684</v>
      </c>
      <c r="O2162" s="70">
        <v>3.22963740863766</v>
      </c>
      <c r="P2162" s="70">
        <v>3.22963740863766</v>
      </c>
    </row>
    <row r="2163" hidden="1">
      <c r="A2163" s="67" t="s">
        <v>2923</v>
      </c>
      <c r="B2163" s="67" t="s">
        <v>268</v>
      </c>
      <c r="C2163" s="68">
        <v>1.0</v>
      </c>
      <c r="D2163" s="68">
        <v>0.75</v>
      </c>
      <c r="E2163" s="68">
        <v>5.0</v>
      </c>
      <c r="F2163" s="68">
        <v>1.0</v>
      </c>
      <c r="G2163" s="68">
        <v>4.05750988080846</v>
      </c>
      <c r="H2163" s="68">
        <v>189.662935356008</v>
      </c>
      <c r="I2163" s="69">
        <v>44318.143171296295</v>
      </c>
      <c r="J2163" s="69">
        <v>44318.14616898148</v>
      </c>
      <c r="K2163">
        <f>AVERAGE(H2162:H2166)</f>
        <v>107.6732156</v>
      </c>
      <c r="L2163">
        <f>STDEV(H2162:H2166)</f>
        <v>101.8400663</v>
      </c>
      <c r="M2163" s="70">
        <v>189.662935356008</v>
      </c>
      <c r="N2163" s="70">
        <v>189.662935356008</v>
      </c>
      <c r="O2163" s="70">
        <v>4.05750988080846</v>
      </c>
      <c r="P2163" s="70">
        <v>4.05750988080846</v>
      </c>
    </row>
    <row r="2164" hidden="1">
      <c r="A2164" s="67" t="s">
        <v>2924</v>
      </c>
      <c r="B2164" s="67" t="s">
        <v>268</v>
      </c>
      <c r="C2164" s="68">
        <v>1.0</v>
      </c>
      <c r="D2164" s="68">
        <v>0.75</v>
      </c>
      <c r="E2164" s="68">
        <v>5.0</v>
      </c>
      <c r="F2164" s="68">
        <v>2.0</v>
      </c>
      <c r="G2164" s="68">
        <v>0.465082406858503</v>
      </c>
      <c r="H2164" s="68">
        <v>0.557407603295964</v>
      </c>
      <c r="I2164" s="69">
        <v>44318.146886574075</v>
      </c>
      <c r="J2164" s="69">
        <v>44318.14706018518</v>
      </c>
      <c r="K2164">
        <f>AVERAGE(H2162:H2166)</f>
        <v>107.6732156</v>
      </c>
      <c r="L2164">
        <f>STDEV(H2162:H2166)</f>
        <v>101.8400663</v>
      </c>
      <c r="M2164" s="70">
        <v>0.557407603295964</v>
      </c>
      <c r="N2164" s="70">
        <v>0.557407603295964</v>
      </c>
      <c r="O2164" s="70">
        <v>0.465082406858503</v>
      </c>
      <c r="P2164" s="70">
        <v>0.465082406858503</v>
      </c>
    </row>
    <row r="2165" hidden="1">
      <c r="A2165" s="67" t="s">
        <v>2925</v>
      </c>
      <c r="B2165" s="67" t="s">
        <v>268</v>
      </c>
      <c r="C2165" s="68">
        <v>1.0</v>
      </c>
      <c r="D2165" s="68">
        <v>0.75</v>
      </c>
      <c r="E2165" s="68">
        <v>5.0</v>
      </c>
      <c r="F2165" s="68">
        <v>3.0</v>
      </c>
      <c r="G2165" s="68">
        <v>0.65844632199543</v>
      </c>
      <c r="H2165" s="68">
        <v>1.22059134811482</v>
      </c>
      <c r="I2165" s="69">
        <v>44318.14776620371</v>
      </c>
      <c r="J2165" s="69">
        <v>44318.148564814815</v>
      </c>
      <c r="K2165">
        <f>AVERAGE(H2162:H2166)</f>
        <v>107.6732156</v>
      </c>
      <c r="L2165">
        <f>STDEV(H2162:H2166)</f>
        <v>101.8400663</v>
      </c>
      <c r="M2165" s="70">
        <v>1.22059134811482</v>
      </c>
      <c r="N2165" s="70">
        <v>1.22059134811482</v>
      </c>
      <c r="O2165" s="70">
        <v>0.65844632199543</v>
      </c>
      <c r="P2165" s="70">
        <v>0.65844632199543</v>
      </c>
    </row>
    <row r="2166" hidden="1">
      <c r="A2166" s="67" t="s">
        <v>2926</v>
      </c>
      <c r="B2166" s="67" t="s">
        <v>268</v>
      </c>
      <c r="C2166" s="68">
        <v>1.0</v>
      </c>
      <c r="D2166" s="68">
        <v>0.75</v>
      </c>
      <c r="E2166" s="68">
        <v>5.0</v>
      </c>
      <c r="F2166" s="68">
        <v>4.0</v>
      </c>
      <c r="G2166" s="68">
        <v>5.00138179814121</v>
      </c>
      <c r="H2166" s="68">
        <v>214.087969982778</v>
      </c>
      <c r="I2166" s="69">
        <v>44318.14927083333</v>
      </c>
      <c r="J2166" s="69">
        <v>44318.15280092593</v>
      </c>
      <c r="K2166">
        <f>AVERAGE(H2162:H2166)</f>
        <v>107.6732156</v>
      </c>
      <c r="L2166">
        <f>STDEV(H2162:H2166)</f>
        <v>101.8400663</v>
      </c>
      <c r="M2166" s="70">
        <v>214.087969982778</v>
      </c>
      <c r="N2166" s="70">
        <v>214.087969982778</v>
      </c>
      <c r="O2166" s="70">
        <v>5.00138179814121</v>
      </c>
      <c r="P2166" s="70">
        <v>5.00138179814121</v>
      </c>
    </row>
    <row r="2167" hidden="1">
      <c r="A2167" s="67" t="s">
        <v>2927</v>
      </c>
      <c r="B2167" s="67" t="s">
        <v>268</v>
      </c>
      <c r="C2167" s="68">
        <v>1.0</v>
      </c>
      <c r="D2167" s="68">
        <v>1.0</v>
      </c>
      <c r="E2167" s="68">
        <v>5.0</v>
      </c>
      <c r="F2167" s="68">
        <v>0.0</v>
      </c>
      <c r="G2167" s="68">
        <v>2.57246213396168</v>
      </c>
      <c r="H2167" s="68">
        <v>134.340117638335</v>
      </c>
      <c r="I2167" s="69">
        <v>44318.15350694444</v>
      </c>
      <c r="J2167" s="69">
        <v>44318.15372685185</v>
      </c>
      <c r="K2167">
        <f>AVERAGE(H2167:H2171)</f>
        <v>130.1666113</v>
      </c>
      <c r="L2167">
        <f>STDEV(H2167:H2171)</f>
        <v>75.29718425</v>
      </c>
      <c r="M2167" s="70">
        <v>134.340117638335</v>
      </c>
      <c r="N2167" s="70">
        <v>134.340117638335</v>
      </c>
      <c r="O2167" s="70">
        <v>2.57246213396168</v>
      </c>
      <c r="P2167" s="70">
        <v>2.57246213396168</v>
      </c>
    </row>
    <row r="2168" hidden="1">
      <c r="A2168" s="67" t="s">
        <v>2928</v>
      </c>
      <c r="B2168" s="67" t="s">
        <v>268</v>
      </c>
      <c r="C2168" s="68">
        <v>1.0</v>
      </c>
      <c r="D2168" s="68">
        <v>1.0</v>
      </c>
      <c r="E2168" s="68">
        <v>5.0</v>
      </c>
      <c r="F2168" s="68">
        <v>1.0</v>
      </c>
      <c r="G2168" s="68">
        <v>0.706975593186279</v>
      </c>
      <c r="H2168" s="68">
        <v>0.943808022031494</v>
      </c>
      <c r="I2168" s="69">
        <v>44318.15443287037</v>
      </c>
      <c r="J2168" s="69">
        <v>44318.15466435185</v>
      </c>
      <c r="K2168">
        <f>AVERAGE(H2167:H2171)</f>
        <v>130.1666113</v>
      </c>
      <c r="L2168">
        <f>STDEV(H2167:H2171)</f>
        <v>75.29718425</v>
      </c>
      <c r="M2168" s="70">
        <v>0.943808022031494</v>
      </c>
      <c r="N2168" s="70">
        <v>0.943808022031494</v>
      </c>
      <c r="O2168" s="70">
        <v>0.706975593186279</v>
      </c>
      <c r="P2168" s="70">
        <v>0.706975593186279</v>
      </c>
    </row>
    <row r="2169" hidden="1">
      <c r="A2169" s="67" t="s">
        <v>2929</v>
      </c>
      <c r="B2169" s="67" t="s">
        <v>268</v>
      </c>
      <c r="C2169" s="68">
        <v>1.0</v>
      </c>
      <c r="D2169" s="68">
        <v>1.0</v>
      </c>
      <c r="E2169" s="68">
        <v>5.0</v>
      </c>
      <c r="F2169" s="68">
        <v>2.0</v>
      </c>
      <c r="G2169" s="68">
        <v>3.24099872990282</v>
      </c>
      <c r="H2169" s="68">
        <v>150.342452364862</v>
      </c>
      <c r="I2169" s="69">
        <v>44318.15537037037</v>
      </c>
      <c r="J2169" s="69">
        <v>44318.19662037037</v>
      </c>
      <c r="K2169">
        <f>AVERAGE(H2167:H2171)</f>
        <v>130.1666113</v>
      </c>
      <c r="L2169">
        <f>STDEV(H2167:H2171)</f>
        <v>75.29718425</v>
      </c>
      <c r="M2169" s="70">
        <v>150.342452364862</v>
      </c>
      <c r="N2169" s="70">
        <v>150.342452364862</v>
      </c>
      <c r="O2169" s="70">
        <v>3.24099872990282</v>
      </c>
      <c r="P2169" s="70">
        <v>3.24099872990282</v>
      </c>
    </row>
    <row r="2170" hidden="1">
      <c r="A2170" s="67" t="s">
        <v>2930</v>
      </c>
      <c r="B2170" s="67" t="s">
        <v>268</v>
      </c>
      <c r="C2170" s="68">
        <v>1.0</v>
      </c>
      <c r="D2170" s="68">
        <v>1.0</v>
      </c>
      <c r="E2170" s="68">
        <v>5.0</v>
      </c>
      <c r="F2170" s="68">
        <v>3.0</v>
      </c>
      <c r="G2170" s="68">
        <v>6.95744990431435</v>
      </c>
      <c r="H2170" s="68">
        <v>177.291684722384</v>
      </c>
      <c r="I2170" s="69">
        <v>44318.19733796296</v>
      </c>
      <c r="J2170" s="69">
        <v>44318.19739583333</v>
      </c>
      <c r="K2170">
        <f>AVERAGE(H2167:H2171)</f>
        <v>130.1666113</v>
      </c>
      <c r="L2170">
        <f>STDEV(H2167:H2171)</f>
        <v>75.29718425</v>
      </c>
      <c r="M2170" s="70">
        <v>177.291684722384</v>
      </c>
      <c r="N2170" s="70">
        <v>177.291684722384</v>
      </c>
      <c r="O2170" s="70">
        <v>6.95744990431435</v>
      </c>
      <c r="P2170" s="70">
        <v>6.95744990431435</v>
      </c>
    </row>
    <row r="2171" hidden="1">
      <c r="A2171" s="67" t="s">
        <v>2931</v>
      </c>
      <c r="B2171" s="67" t="s">
        <v>268</v>
      </c>
      <c r="C2171" s="68">
        <v>1.0</v>
      </c>
      <c r="D2171" s="68">
        <v>1.0</v>
      </c>
      <c r="E2171" s="68">
        <v>5.0</v>
      </c>
      <c r="F2171" s="68">
        <v>4.0</v>
      </c>
      <c r="G2171" s="68">
        <v>4.01212283749124</v>
      </c>
      <c r="H2171" s="68">
        <v>187.914993726584</v>
      </c>
      <c r="I2171" s="69">
        <v>44318.19810185185</v>
      </c>
      <c r="J2171" s="69">
        <v>44318.20101851852</v>
      </c>
      <c r="K2171">
        <f>AVERAGE(H2167:H2171)</f>
        <v>130.1666113</v>
      </c>
      <c r="L2171">
        <f>STDEV(H2167:H2171)</f>
        <v>75.29718425</v>
      </c>
      <c r="M2171" s="70">
        <v>187.914993726584</v>
      </c>
      <c r="N2171" s="70">
        <v>187.914993726584</v>
      </c>
      <c r="O2171" s="70">
        <v>4.01212283749124</v>
      </c>
      <c r="P2171" s="70">
        <v>4.01212283749124</v>
      </c>
    </row>
    <row r="2172" hidden="1">
      <c r="A2172" s="67" t="s">
        <v>2932</v>
      </c>
      <c r="B2172" s="67" t="s">
        <v>519</v>
      </c>
      <c r="C2172" s="68">
        <v>0.1</v>
      </c>
      <c r="D2172" s="68">
        <v>0.1</v>
      </c>
      <c r="E2172" s="68">
        <v>5.0</v>
      </c>
      <c r="F2172" s="68">
        <v>0.0</v>
      </c>
      <c r="G2172" s="68">
        <v>0.750636531262653</v>
      </c>
      <c r="H2172" s="68">
        <v>2.20937677744893</v>
      </c>
      <c r="I2172" s="69">
        <v>44318.201736111114</v>
      </c>
      <c r="J2172" s="69">
        <v>44318.201736111114</v>
      </c>
      <c r="K2172">
        <f>AVERAGE(H2172:H2176)</f>
        <v>88.06538769</v>
      </c>
      <c r="L2172">
        <f>STDEV(H2172:H2176)</f>
        <v>88.05621138</v>
      </c>
      <c r="M2172" s="70">
        <v>2.20937677744893</v>
      </c>
      <c r="N2172" s="70">
        <v>2.20937677744893</v>
      </c>
      <c r="O2172" s="70">
        <v>0.750636531262653</v>
      </c>
      <c r="P2172" s="70">
        <v>0.750636531262653</v>
      </c>
    </row>
    <row r="2173" hidden="1">
      <c r="A2173" s="67" t="s">
        <v>2933</v>
      </c>
      <c r="B2173" s="67" t="s">
        <v>519</v>
      </c>
      <c r="C2173" s="68">
        <v>0.1</v>
      </c>
      <c r="D2173" s="68">
        <v>0.1</v>
      </c>
      <c r="E2173" s="68">
        <v>5.0</v>
      </c>
      <c r="F2173" s="68">
        <v>1.0</v>
      </c>
      <c r="G2173" s="68">
        <v>2.79694960544801</v>
      </c>
      <c r="H2173" s="68">
        <v>123.558814777595</v>
      </c>
      <c r="I2173" s="69">
        <v>44318.20245370371</v>
      </c>
      <c r="J2173" s="69">
        <v>44318.22099537037</v>
      </c>
      <c r="K2173">
        <f>AVERAGE(H2172:H2176)</f>
        <v>88.06538769</v>
      </c>
      <c r="L2173">
        <f>STDEV(H2172:H2176)</f>
        <v>88.05621138</v>
      </c>
      <c r="M2173" s="70">
        <v>123.558814777595</v>
      </c>
      <c r="N2173" s="70">
        <v>123.558814777595</v>
      </c>
      <c r="O2173" s="70">
        <v>2.79694960544801</v>
      </c>
      <c r="P2173" s="70">
        <v>2.79694960544801</v>
      </c>
    </row>
    <row r="2174" hidden="1">
      <c r="A2174" s="67" t="s">
        <v>2934</v>
      </c>
      <c r="B2174" s="67" t="s">
        <v>519</v>
      </c>
      <c r="C2174" s="68">
        <v>0.1</v>
      </c>
      <c r="D2174" s="68">
        <v>0.1</v>
      </c>
      <c r="E2174" s="68">
        <v>5.0</v>
      </c>
      <c r="F2174" s="68">
        <v>2.0</v>
      </c>
      <c r="G2174" s="68">
        <v>5.29836617396347</v>
      </c>
      <c r="H2174" s="68">
        <v>221.704543384826</v>
      </c>
      <c r="I2174" s="69">
        <v>44318.22170138889</v>
      </c>
      <c r="J2174" s="69">
        <v>44318.23056712963</v>
      </c>
      <c r="K2174">
        <f>AVERAGE(H2172:H2176)</f>
        <v>88.06538769</v>
      </c>
      <c r="L2174">
        <f>STDEV(H2172:H2176)</f>
        <v>88.05621138</v>
      </c>
      <c r="M2174" s="70">
        <v>221.704543384826</v>
      </c>
      <c r="N2174" s="70">
        <v>221.704543384826</v>
      </c>
      <c r="O2174" s="70">
        <v>5.29836617396347</v>
      </c>
      <c r="P2174" s="70">
        <v>5.29836617396347</v>
      </c>
    </row>
    <row r="2175" hidden="1">
      <c r="A2175" s="67" t="s">
        <v>2935</v>
      </c>
      <c r="B2175" s="67" t="s">
        <v>519</v>
      </c>
      <c r="C2175" s="68">
        <v>0.1</v>
      </c>
      <c r="D2175" s="68">
        <v>0.1</v>
      </c>
      <c r="E2175" s="68">
        <v>5.0</v>
      </c>
      <c r="F2175" s="68">
        <v>3.0</v>
      </c>
      <c r="G2175" s="68">
        <v>1.3507722819561</v>
      </c>
      <c r="H2175" s="68">
        <v>69.4230778280268</v>
      </c>
      <c r="I2175" s="69">
        <v>44318.23127314815</v>
      </c>
      <c r="J2175" s="69">
        <v>44318.232303240744</v>
      </c>
      <c r="K2175">
        <f>AVERAGE(H2172:H2176)</f>
        <v>88.06538769</v>
      </c>
      <c r="L2175">
        <f>STDEV(H2172:H2176)</f>
        <v>88.05621138</v>
      </c>
      <c r="M2175" s="70">
        <v>69.4230778280268</v>
      </c>
      <c r="N2175" s="70">
        <v>69.4230778280268</v>
      </c>
      <c r="O2175" s="70">
        <v>1.3507722819561</v>
      </c>
      <c r="P2175" s="70">
        <v>1.3507722819561</v>
      </c>
    </row>
    <row r="2176" hidden="1">
      <c r="A2176" s="67" t="s">
        <v>2936</v>
      </c>
      <c r="B2176" s="67" t="s">
        <v>519</v>
      </c>
      <c r="C2176" s="68">
        <v>0.1</v>
      </c>
      <c r="D2176" s="68">
        <v>0.1</v>
      </c>
      <c r="E2176" s="68">
        <v>5.0</v>
      </c>
      <c r="F2176" s="68">
        <v>4.0</v>
      </c>
      <c r="G2176" s="68">
        <v>1.44477567196369</v>
      </c>
      <c r="H2176" s="68">
        <v>23.4311256816033</v>
      </c>
      <c r="I2176" s="69">
        <v>44318.23300925926</v>
      </c>
      <c r="J2176" s="69">
        <v>44318.23327546296</v>
      </c>
      <c r="K2176">
        <f>AVERAGE(H2172:H2176)</f>
        <v>88.06538769</v>
      </c>
      <c r="L2176">
        <f>STDEV(H2172:H2176)</f>
        <v>88.05621138</v>
      </c>
      <c r="M2176" s="70">
        <v>23.4311256816033</v>
      </c>
      <c r="N2176" s="70">
        <v>23.4311256816033</v>
      </c>
      <c r="O2176" s="70">
        <v>1.44477567196369</v>
      </c>
      <c r="P2176" s="70">
        <v>1.44477567196369</v>
      </c>
    </row>
    <row r="2177" hidden="1">
      <c r="A2177" s="67" t="s">
        <v>2937</v>
      </c>
      <c r="B2177" s="67" t="s">
        <v>519</v>
      </c>
      <c r="C2177" s="68">
        <v>0.1</v>
      </c>
      <c r="D2177" s="68">
        <v>0.25</v>
      </c>
      <c r="E2177" s="68">
        <v>5.0</v>
      </c>
      <c r="F2177" s="68">
        <v>0.0</v>
      </c>
      <c r="G2177" s="68">
        <v>1.34571651982712</v>
      </c>
      <c r="H2177" s="68">
        <v>67.8195855473597</v>
      </c>
      <c r="I2177" s="69">
        <v>44318.233981481484</v>
      </c>
      <c r="J2177" s="69">
        <v>44318.23519675926</v>
      </c>
      <c r="K2177">
        <f>AVERAGE(H2177:H2181)</f>
        <v>134.4843189</v>
      </c>
      <c r="L2177">
        <f>STDEV(H2177:H2181)</f>
        <v>95.51087892</v>
      </c>
      <c r="M2177" s="70">
        <v>67.8195855473597</v>
      </c>
      <c r="N2177" s="70">
        <v>67.8195855473597</v>
      </c>
      <c r="O2177" s="70">
        <v>1.34571651982712</v>
      </c>
      <c r="P2177" s="70">
        <v>1.34571651982712</v>
      </c>
    </row>
    <row r="2178" hidden="1">
      <c r="A2178" s="67" t="s">
        <v>2938</v>
      </c>
      <c r="B2178" s="67" t="s">
        <v>519</v>
      </c>
      <c r="C2178" s="68">
        <v>0.1</v>
      </c>
      <c r="D2178" s="68">
        <v>0.25</v>
      </c>
      <c r="E2178" s="68">
        <v>5.0</v>
      </c>
      <c r="F2178" s="68">
        <v>1.0</v>
      </c>
      <c r="G2178" s="68">
        <v>3.61061936891988</v>
      </c>
      <c r="H2178" s="68">
        <v>164.416071155403</v>
      </c>
      <c r="I2178" s="69">
        <v>44318.235914351855</v>
      </c>
      <c r="J2178" s="69">
        <v>44318.28239583333</v>
      </c>
      <c r="K2178">
        <f>AVERAGE(H2177:H2181)</f>
        <v>134.4843189</v>
      </c>
      <c r="L2178">
        <f>STDEV(H2177:H2181)</f>
        <v>95.51087892</v>
      </c>
      <c r="M2178" s="70">
        <v>164.416071155403</v>
      </c>
      <c r="N2178" s="70">
        <v>164.416071155403</v>
      </c>
      <c r="O2178" s="70">
        <v>3.61061936891988</v>
      </c>
      <c r="P2178" s="70">
        <v>3.61061936891988</v>
      </c>
    </row>
    <row r="2179" hidden="1">
      <c r="A2179" s="67" t="s">
        <v>2939</v>
      </c>
      <c r="B2179" s="67" t="s">
        <v>519</v>
      </c>
      <c r="C2179" s="68">
        <v>0.1</v>
      </c>
      <c r="D2179" s="68">
        <v>0.25</v>
      </c>
      <c r="E2179" s="68">
        <v>5.0</v>
      </c>
      <c r="F2179" s="68">
        <v>2.0</v>
      </c>
      <c r="G2179" s="68">
        <v>1.47554112997852</v>
      </c>
      <c r="H2179" s="68">
        <v>23.8641262750473</v>
      </c>
      <c r="I2179" s="69">
        <v>44318.283101851855</v>
      </c>
      <c r="J2179" s="69">
        <v>44318.283425925925</v>
      </c>
      <c r="K2179">
        <f>AVERAGE(H2177:H2181)</f>
        <v>134.4843189</v>
      </c>
      <c r="L2179">
        <f>STDEV(H2177:H2181)</f>
        <v>95.51087892</v>
      </c>
      <c r="M2179" s="70">
        <v>23.8641262750473</v>
      </c>
      <c r="N2179" s="70">
        <v>23.8641262750473</v>
      </c>
      <c r="O2179" s="70">
        <v>1.47554112997852</v>
      </c>
      <c r="P2179" s="70">
        <v>1.47554112997852</v>
      </c>
    </row>
    <row r="2180" hidden="1">
      <c r="A2180" s="67" t="s">
        <v>2940</v>
      </c>
      <c r="B2180" s="67" t="s">
        <v>519</v>
      </c>
      <c r="C2180" s="68">
        <v>0.1</v>
      </c>
      <c r="D2180" s="68">
        <v>0.25</v>
      </c>
      <c r="E2180" s="68">
        <v>5.0</v>
      </c>
      <c r="F2180" s="68">
        <v>3.0</v>
      </c>
      <c r="G2180" s="68">
        <v>4.11666630646588</v>
      </c>
      <c r="H2180" s="68">
        <v>144.694735413655</v>
      </c>
      <c r="I2180" s="69">
        <v>44318.28413194444</v>
      </c>
      <c r="J2180" s="69">
        <v>44318.28424768519</v>
      </c>
      <c r="K2180">
        <f>AVERAGE(H2177:H2181)</f>
        <v>134.4843189</v>
      </c>
      <c r="L2180">
        <f>STDEV(H2177:H2181)</f>
        <v>95.51087892</v>
      </c>
      <c r="M2180" s="70">
        <v>144.694735413655</v>
      </c>
      <c r="N2180" s="70">
        <v>144.694735413655</v>
      </c>
      <c r="O2180" s="70">
        <v>4.11666630646588</v>
      </c>
      <c r="P2180" s="70">
        <v>4.11666630646588</v>
      </c>
    </row>
    <row r="2181" hidden="1">
      <c r="A2181" s="67" t="s">
        <v>2941</v>
      </c>
      <c r="B2181" s="67" t="s">
        <v>519</v>
      </c>
      <c r="C2181" s="68">
        <v>0.1</v>
      </c>
      <c r="D2181" s="68">
        <v>0.25</v>
      </c>
      <c r="E2181" s="68">
        <v>5.0</v>
      </c>
      <c r="F2181" s="68">
        <v>4.0</v>
      </c>
      <c r="G2181" s="68">
        <v>7.36513299628606</v>
      </c>
      <c r="H2181" s="68">
        <v>271.627076201361</v>
      </c>
      <c r="I2181" s="69">
        <v>44318.284953703704</v>
      </c>
      <c r="J2181" s="69">
        <v>44318.28523148148</v>
      </c>
      <c r="K2181">
        <f>AVERAGE(H2177:H2181)</f>
        <v>134.4843189</v>
      </c>
      <c r="L2181">
        <f>STDEV(H2177:H2181)</f>
        <v>95.51087892</v>
      </c>
      <c r="M2181" s="70">
        <v>271.627076201361</v>
      </c>
      <c r="N2181" s="70">
        <v>271.627076201361</v>
      </c>
      <c r="O2181" s="70">
        <v>7.36513299628606</v>
      </c>
      <c r="P2181" s="70">
        <v>7.36513299628606</v>
      </c>
    </row>
    <row r="2182" hidden="1">
      <c r="A2182" s="67" t="s">
        <v>2942</v>
      </c>
      <c r="B2182" s="67" t="s">
        <v>519</v>
      </c>
      <c r="C2182" s="68">
        <v>0.1</v>
      </c>
      <c r="D2182" s="68">
        <v>0.5</v>
      </c>
      <c r="E2182" s="68">
        <v>5.0</v>
      </c>
      <c r="F2182" s="68">
        <v>0.0</v>
      </c>
      <c r="G2182" s="68">
        <v>8.15253183386839</v>
      </c>
      <c r="H2182" s="68">
        <v>286.982289260173</v>
      </c>
      <c r="I2182" s="69">
        <v>44318.2859375</v>
      </c>
      <c r="J2182" s="69">
        <v>44318.286990740744</v>
      </c>
      <c r="K2182">
        <f>AVERAGE(H2182:H2186)</f>
        <v>141.2945774</v>
      </c>
      <c r="L2182">
        <f>STDEV(H2182:H2186)</f>
        <v>117.7058319</v>
      </c>
      <c r="M2182" s="70">
        <v>286.982289260173</v>
      </c>
      <c r="N2182" s="70">
        <v>286.982289260173</v>
      </c>
      <c r="O2182" s="70">
        <v>8.15253183386839</v>
      </c>
      <c r="P2182" s="70">
        <v>8.15253183386839</v>
      </c>
    </row>
    <row r="2183" hidden="1">
      <c r="A2183" s="67" t="s">
        <v>2943</v>
      </c>
      <c r="B2183" s="67" t="s">
        <v>519</v>
      </c>
      <c r="C2183" s="68">
        <v>0.1</v>
      </c>
      <c r="D2183" s="68">
        <v>0.5</v>
      </c>
      <c r="E2183" s="68">
        <v>5.0</v>
      </c>
      <c r="F2183" s="68">
        <v>1.0</v>
      </c>
      <c r="G2183" s="68">
        <v>6.97849462301254</v>
      </c>
      <c r="H2183" s="68">
        <v>223.528046276313</v>
      </c>
      <c r="I2183" s="69">
        <v>44318.28769675926</v>
      </c>
      <c r="J2183" s="69">
        <v>44318.28884259259</v>
      </c>
      <c r="K2183">
        <f>AVERAGE(H2182:H2186)</f>
        <v>141.2945774</v>
      </c>
      <c r="L2183">
        <f>STDEV(H2182:H2186)</f>
        <v>117.7058319</v>
      </c>
      <c r="M2183" s="70">
        <v>223.528046276313</v>
      </c>
      <c r="N2183" s="70">
        <v>223.528046276313</v>
      </c>
      <c r="O2183" s="70">
        <v>6.97849462301254</v>
      </c>
      <c r="P2183" s="70">
        <v>6.97849462301254</v>
      </c>
    </row>
    <row r="2184" hidden="1">
      <c r="A2184" s="67" t="s">
        <v>2944</v>
      </c>
      <c r="B2184" s="67" t="s">
        <v>519</v>
      </c>
      <c r="C2184" s="68">
        <v>0.1</v>
      </c>
      <c r="D2184" s="68">
        <v>0.5</v>
      </c>
      <c r="E2184" s="68">
        <v>5.0</v>
      </c>
      <c r="F2184" s="68">
        <v>2.0</v>
      </c>
      <c r="G2184" s="68">
        <v>0.467486395204292</v>
      </c>
      <c r="H2184" s="68">
        <v>0.559685521642051</v>
      </c>
      <c r="I2184" s="69">
        <v>44318.28954861111</v>
      </c>
      <c r="J2184" s="69">
        <v>44318.28973379629</v>
      </c>
      <c r="K2184">
        <f>AVERAGE(H2182:H2186)</f>
        <v>141.2945774</v>
      </c>
      <c r="L2184">
        <f>STDEV(H2182:H2186)</f>
        <v>117.7058319</v>
      </c>
      <c r="M2184" s="70">
        <v>0.559685521642051</v>
      </c>
      <c r="N2184" s="70">
        <v>0.559685521642051</v>
      </c>
      <c r="O2184" s="70">
        <v>0.467486395204292</v>
      </c>
      <c r="P2184" s="70">
        <v>0.467486395204292</v>
      </c>
    </row>
    <row r="2185" hidden="1">
      <c r="A2185" s="67" t="s">
        <v>2945</v>
      </c>
      <c r="B2185" s="67" t="s">
        <v>519</v>
      </c>
      <c r="C2185" s="68">
        <v>0.1</v>
      </c>
      <c r="D2185" s="68">
        <v>0.5</v>
      </c>
      <c r="E2185" s="68">
        <v>5.0</v>
      </c>
      <c r="F2185" s="68">
        <v>3.0</v>
      </c>
      <c r="G2185" s="68">
        <v>2.71632972230713</v>
      </c>
      <c r="H2185" s="68">
        <v>141.429938578826</v>
      </c>
      <c r="I2185" s="69">
        <v>44318.29043981482</v>
      </c>
      <c r="J2185" s="69">
        <v>44318.32040509259</v>
      </c>
      <c r="K2185">
        <f>AVERAGE(H2182:H2186)</f>
        <v>141.2945774</v>
      </c>
      <c r="L2185">
        <f>STDEV(H2182:H2186)</f>
        <v>117.7058319</v>
      </c>
      <c r="M2185" s="70">
        <v>141.429938578826</v>
      </c>
      <c r="N2185" s="70">
        <v>141.429938578826</v>
      </c>
      <c r="O2185" s="70">
        <v>2.71632972230713</v>
      </c>
      <c r="P2185" s="70">
        <v>2.71632972230713</v>
      </c>
    </row>
    <row r="2186" hidden="1">
      <c r="A2186" s="67" t="s">
        <v>2946</v>
      </c>
      <c r="B2186" s="67" t="s">
        <v>519</v>
      </c>
      <c r="C2186" s="68">
        <v>0.1</v>
      </c>
      <c r="D2186" s="68">
        <v>0.5</v>
      </c>
      <c r="E2186" s="68">
        <v>5.0</v>
      </c>
      <c r="F2186" s="68">
        <v>4.0</v>
      </c>
      <c r="G2186" s="68">
        <v>1.41780063780929</v>
      </c>
      <c r="H2186" s="68">
        <v>53.972927262381</v>
      </c>
      <c r="I2186" s="69">
        <v>44318.32111111111</v>
      </c>
      <c r="J2186" s="69">
        <v>44318.32792824074</v>
      </c>
      <c r="K2186">
        <f>AVERAGE(H2182:H2186)</f>
        <v>141.2945774</v>
      </c>
      <c r="L2186">
        <f>STDEV(H2182:H2186)</f>
        <v>117.7058319</v>
      </c>
      <c r="M2186" s="70">
        <v>53.972927262381</v>
      </c>
      <c r="N2186" s="70">
        <v>53.972927262381</v>
      </c>
      <c r="O2186" s="70">
        <v>1.41780063780929</v>
      </c>
      <c r="P2186" s="70">
        <v>1.41780063780929</v>
      </c>
    </row>
    <row r="2187" hidden="1">
      <c r="A2187" s="67" t="s">
        <v>2947</v>
      </c>
      <c r="B2187" s="67" t="s">
        <v>519</v>
      </c>
      <c r="C2187" s="68">
        <v>0.1</v>
      </c>
      <c r="D2187" s="68">
        <v>0.75</v>
      </c>
      <c r="E2187" s="68">
        <v>5.0</v>
      </c>
      <c r="F2187" s="68">
        <v>0.0</v>
      </c>
      <c r="G2187" s="68">
        <v>2.68680992585361</v>
      </c>
      <c r="H2187" s="68">
        <v>162.256466027697</v>
      </c>
      <c r="I2187" s="69">
        <v>44318.32864583333</v>
      </c>
      <c r="J2187" s="69">
        <v>44318.32947916666</v>
      </c>
      <c r="K2187">
        <f>AVERAGE(H2187:H2191)</f>
        <v>135.7786218</v>
      </c>
      <c r="L2187">
        <f>STDEV(H2187:H2191)</f>
        <v>83.69166464</v>
      </c>
      <c r="M2187" s="70">
        <v>162.256466027697</v>
      </c>
      <c r="N2187" s="70">
        <v>162.256466027697</v>
      </c>
      <c r="O2187" s="70">
        <v>2.68680992585361</v>
      </c>
      <c r="P2187" s="70">
        <v>2.68680992585361</v>
      </c>
    </row>
    <row r="2188" hidden="1">
      <c r="A2188" s="67" t="s">
        <v>2948</v>
      </c>
      <c r="B2188" s="67" t="s">
        <v>519</v>
      </c>
      <c r="C2188" s="68">
        <v>0.1</v>
      </c>
      <c r="D2188" s="68">
        <v>0.75</v>
      </c>
      <c r="E2188" s="68">
        <v>5.0</v>
      </c>
      <c r="F2188" s="68">
        <v>1.0</v>
      </c>
      <c r="G2188" s="68">
        <v>2.50556894126087</v>
      </c>
      <c r="H2188" s="68">
        <v>113.990479121374</v>
      </c>
      <c r="I2188" s="69">
        <v>44318.330196759256</v>
      </c>
      <c r="J2188" s="69">
        <v>44318.35349537037</v>
      </c>
      <c r="K2188">
        <f>AVERAGE(H2187:H2191)</f>
        <v>135.7786218</v>
      </c>
      <c r="L2188">
        <f>STDEV(H2187:H2191)</f>
        <v>83.69166464</v>
      </c>
      <c r="M2188" s="70">
        <v>113.990479121374</v>
      </c>
      <c r="N2188" s="70">
        <v>113.990479121374</v>
      </c>
      <c r="O2188" s="70">
        <v>2.50556894126087</v>
      </c>
      <c r="P2188" s="70">
        <v>2.50556894126087</v>
      </c>
    </row>
    <row r="2189" hidden="1">
      <c r="A2189" s="67" t="s">
        <v>2949</v>
      </c>
      <c r="B2189" s="67" t="s">
        <v>519</v>
      </c>
      <c r="C2189" s="68">
        <v>0.1</v>
      </c>
      <c r="D2189" s="68">
        <v>0.75</v>
      </c>
      <c r="E2189" s="68">
        <v>5.0</v>
      </c>
      <c r="F2189" s="68">
        <v>2.0</v>
      </c>
      <c r="G2189" s="68">
        <v>6.36642541748701</v>
      </c>
      <c r="H2189" s="68">
        <v>190.419260373961</v>
      </c>
      <c r="I2189" s="69">
        <v>44318.354212962964</v>
      </c>
      <c r="J2189" s="69">
        <v>44318.35434027778</v>
      </c>
      <c r="K2189">
        <f>AVERAGE(H2187:H2191)</f>
        <v>135.7786218</v>
      </c>
      <c r="L2189">
        <f>STDEV(H2187:H2191)</f>
        <v>83.69166464</v>
      </c>
      <c r="M2189" s="70">
        <v>190.419260373961</v>
      </c>
      <c r="N2189" s="70">
        <v>190.419260373961</v>
      </c>
      <c r="O2189" s="70">
        <v>6.36642541748701</v>
      </c>
      <c r="P2189" s="70">
        <v>6.36642541748701</v>
      </c>
    </row>
    <row r="2190" hidden="1">
      <c r="A2190" s="67" t="s">
        <v>2950</v>
      </c>
      <c r="B2190" s="67" t="s">
        <v>519</v>
      </c>
      <c r="C2190" s="68">
        <v>0.1</v>
      </c>
      <c r="D2190" s="68">
        <v>0.75</v>
      </c>
      <c r="E2190" s="68">
        <v>5.0</v>
      </c>
      <c r="F2190" s="68">
        <v>3.0</v>
      </c>
      <c r="G2190" s="68">
        <v>4.97495120572894</v>
      </c>
      <c r="H2190" s="68">
        <v>211.222289543821</v>
      </c>
      <c r="I2190" s="69">
        <v>44318.355046296296</v>
      </c>
      <c r="J2190" s="69">
        <v>44318.36388888889</v>
      </c>
      <c r="K2190">
        <f>AVERAGE(H2187:H2191)</f>
        <v>135.7786218</v>
      </c>
      <c r="L2190">
        <f>STDEV(H2187:H2191)</f>
        <v>83.69166464</v>
      </c>
      <c r="M2190" s="70">
        <v>211.222289543821</v>
      </c>
      <c r="N2190" s="70">
        <v>211.222289543821</v>
      </c>
      <c r="O2190" s="70">
        <v>4.97495120572894</v>
      </c>
      <c r="P2190" s="70">
        <v>4.97495120572894</v>
      </c>
    </row>
    <row r="2191" hidden="1">
      <c r="A2191" s="67" t="s">
        <v>2951</v>
      </c>
      <c r="B2191" s="67" t="s">
        <v>519</v>
      </c>
      <c r="C2191" s="68">
        <v>0.1</v>
      </c>
      <c r="D2191" s="68">
        <v>0.75</v>
      </c>
      <c r="E2191" s="68">
        <v>5.0</v>
      </c>
      <c r="F2191" s="68">
        <v>4.0</v>
      </c>
      <c r="G2191" s="68">
        <v>0.698663645941078</v>
      </c>
      <c r="H2191" s="68">
        <v>1.00461415501317</v>
      </c>
      <c r="I2191" s="69">
        <v>44318.364594907405</v>
      </c>
      <c r="J2191" s="69">
        <v>44318.36479166667</v>
      </c>
      <c r="K2191">
        <f>AVERAGE(H2187:H2191)</f>
        <v>135.7786218</v>
      </c>
      <c r="L2191">
        <f>STDEV(H2187:H2191)</f>
        <v>83.69166464</v>
      </c>
      <c r="M2191" s="70">
        <v>1.00461415501317</v>
      </c>
      <c r="N2191" s="70">
        <v>1.00461415501317</v>
      </c>
      <c r="O2191" s="70">
        <v>0.698663645941078</v>
      </c>
      <c r="P2191" s="70">
        <v>0.698663645941078</v>
      </c>
    </row>
    <row r="2192" hidden="1">
      <c r="A2192" s="67" t="s">
        <v>2952</v>
      </c>
      <c r="B2192" s="67" t="s">
        <v>519</v>
      </c>
      <c r="C2192" s="68">
        <v>0.1</v>
      </c>
      <c r="D2192" s="68">
        <v>1.0</v>
      </c>
      <c r="E2192" s="68">
        <v>5.0</v>
      </c>
      <c r="F2192" s="68">
        <v>0.0</v>
      </c>
      <c r="G2192" s="68">
        <v>2.69092744757673</v>
      </c>
      <c r="H2192" s="68">
        <v>133.481923368989</v>
      </c>
      <c r="I2192" s="69">
        <v>44318.36550925926</v>
      </c>
      <c r="J2192" s="69">
        <v>44318.40704861111</v>
      </c>
      <c r="K2192">
        <f>AVERAGE(H2192:H2196)</f>
        <v>102.4658439</v>
      </c>
      <c r="L2192">
        <f>STDEV(H2192:H2196)</f>
        <v>96.19410645</v>
      </c>
      <c r="M2192" s="70">
        <v>133.481923368989</v>
      </c>
      <c r="N2192" s="70">
        <v>133.481923368989</v>
      </c>
      <c r="O2192" s="70">
        <v>2.69092744757673</v>
      </c>
      <c r="P2192" s="70">
        <v>2.69092744757673</v>
      </c>
    </row>
    <row r="2193" hidden="1">
      <c r="A2193" s="67" t="s">
        <v>2953</v>
      </c>
      <c r="B2193" s="67" t="s">
        <v>519</v>
      </c>
      <c r="C2193" s="68">
        <v>0.1</v>
      </c>
      <c r="D2193" s="68">
        <v>1.0</v>
      </c>
      <c r="E2193" s="68">
        <v>5.0</v>
      </c>
      <c r="F2193" s="68">
        <v>1.0</v>
      </c>
      <c r="G2193" s="68">
        <v>0.464195835755317</v>
      </c>
      <c r="H2193" s="68">
        <v>0.556912959316821</v>
      </c>
      <c r="I2193" s="69">
        <v>44318.4077662037</v>
      </c>
      <c r="J2193" s="69">
        <v>44318.40793981482</v>
      </c>
      <c r="K2193">
        <f>AVERAGE(H2192:H2196)</f>
        <v>102.4658439</v>
      </c>
      <c r="L2193">
        <f>STDEV(H2192:H2196)</f>
        <v>96.19410645</v>
      </c>
      <c r="M2193" s="70">
        <v>0.556912959316821</v>
      </c>
      <c r="N2193" s="70">
        <v>0.556912959316821</v>
      </c>
      <c r="O2193" s="70">
        <v>0.464195835755317</v>
      </c>
      <c r="P2193" s="70">
        <v>0.464195835755317</v>
      </c>
    </row>
    <row r="2194" hidden="1">
      <c r="A2194" s="67" t="s">
        <v>2954</v>
      </c>
      <c r="B2194" s="67" t="s">
        <v>519</v>
      </c>
      <c r="C2194" s="68">
        <v>0.1</v>
      </c>
      <c r="D2194" s="68">
        <v>1.0</v>
      </c>
      <c r="E2194" s="68">
        <v>5.0</v>
      </c>
      <c r="F2194" s="68">
        <v>2.0</v>
      </c>
      <c r="G2194" s="68">
        <v>4.86421860396228</v>
      </c>
      <c r="H2194" s="68">
        <v>204.446397302527</v>
      </c>
      <c r="I2194" s="69">
        <v>44318.40864583333</v>
      </c>
      <c r="J2194" s="69">
        <v>44318.42003472222</v>
      </c>
      <c r="K2194">
        <f>AVERAGE(H2192:H2196)</f>
        <v>102.4658439</v>
      </c>
      <c r="L2194">
        <f>STDEV(H2192:H2196)</f>
        <v>96.19410645</v>
      </c>
      <c r="M2194" s="70">
        <v>204.446397302527</v>
      </c>
      <c r="N2194" s="70">
        <v>204.446397302527</v>
      </c>
      <c r="O2194" s="70">
        <v>4.86421860396228</v>
      </c>
      <c r="P2194" s="70">
        <v>4.86421860396228</v>
      </c>
    </row>
    <row r="2195" hidden="1">
      <c r="A2195" s="67" t="s">
        <v>2955</v>
      </c>
      <c r="B2195" s="67" t="s">
        <v>519</v>
      </c>
      <c r="C2195" s="68">
        <v>0.1</v>
      </c>
      <c r="D2195" s="68">
        <v>1.0</v>
      </c>
      <c r="E2195" s="68">
        <v>5.0</v>
      </c>
      <c r="F2195" s="68">
        <v>3.0</v>
      </c>
      <c r="G2195" s="68">
        <v>0.712432953281438</v>
      </c>
      <c r="H2195" s="68">
        <v>0.949493841078137</v>
      </c>
      <c r="I2195" s="69">
        <v>44318.42074074074</v>
      </c>
      <c r="J2195" s="69">
        <v>44318.42097222222</v>
      </c>
      <c r="K2195">
        <f>AVERAGE(H2192:H2196)</f>
        <v>102.4658439</v>
      </c>
      <c r="L2195">
        <f>STDEV(H2192:H2196)</f>
        <v>96.19410645</v>
      </c>
      <c r="M2195" s="70">
        <v>0.949493841078137</v>
      </c>
      <c r="N2195" s="70">
        <v>0.949493841078137</v>
      </c>
      <c r="O2195" s="70">
        <v>0.712432953281438</v>
      </c>
      <c r="P2195" s="70">
        <v>0.712432953281438</v>
      </c>
    </row>
    <row r="2196" hidden="1">
      <c r="A2196" s="67" t="s">
        <v>2956</v>
      </c>
      <c r="B2196" s="67" t="s">
        <v>519</v>
      </c>
      <c r="C2196" s="68">
        <v>0.1</v>
      </c>
      <c r="D2196" s="68">
        <v>1.0</v>
      </c>
      <c r="E2196" s="68">
        <v>5.0</v>
      </c>
      <c r="F2196" s="68">
        <v>4.0</v>
      </c>
      <c r="G2196" s="68">
        <v>5.73733734014171</v>
      </c>
      <c r="H2196" s="68">
        <v>172.89449198126</v>
      </c>
      <c r="I2196" s="69">
        <v>44318.42167824074</v>
      </c>
      <c r="J2196" s="69">
        <v>44318.4218287037</v>
      </c>
      <c r="K2196">
        <f>AVERAGE(H2192:H2196)</f>
        <v>102.4658439</v>
      </c>
      <c r="L2196">
        <f>STDEV(H2192:H2196)</f>
        <v>96.19410645</v>
      </c>
      <c r="M2196" s="70">
        <v>172.89449198126</v>
      </c>
      <c r="N2196" s="70">
        <v>172.89449198126</v>
      </c>
      <c r="O2196" s="70">
        <v>5.73733734014171</v>
      </c>
      <c r="P2196" s="70">
        <v>5.73733734014171</v>
      </c>
    </row>
    <row r="2197" hidden="1">
      <c r="A2197" s="67" t="s">
        <v>2957</v>
      </c>
      <c r="B2197" s="67" t="s">
        <v>519</v>
      </c>
      <c r="C2197" s="68">
        <v>0.25</v>
      </c>
      <c r="D2197" s="68">
        <v>0.1</v>
      </c>
      <c r="E2197" s="68">
        <v>5.0</v>
      </c>
      <c r="F2197" s="68">
        <v>0.0</v>
      </c>
      <c r="G2197" s="68">
        <v>0.931448108718372</v>
      </c>
      <c r="H2197" s="68">
        <v>13.7612856792798</v>
      </c>
      <c r="I2197" s="69">
        <v>44318.422534722224</v>
      </c>
      <c r="J2197" s="69">
        <v>44318.422627314816</v>
      </c>
      <c r="K2197">
        <f>AVERAGE(H2197:H2201)</f>
        <v>123.1896188</v>
      </c>
      <c r="L2197">
        <f>STDEV(H2197:H2201)</f>
        <v>78.59599008</v>
      </c>
      <c r="M2197" s="70">
        <v>13.7612856792798</v>
      </c>
      <c r="N2197" s="70">
        <v>13.7612856792798</v>
      </c>
      <c r="O2197" s="70">
        <v>0.931448108718372</v>
      </c>
      <c r="P2197" s="70">
        <v>0.931448108718372</v>
      </c>
    </row>
    <row r="2198" hidden="1">
      <c r="A2198" s="67" t="s">
        <v>2958</v>
      </c>
      <c r="B2198" s="67" t="s">
        <v>519</v>
      </c>
      <c r="C2198" s="68">
        <v>0.25</v>
      </c>
      <c r="D2198" s="68">
        <v>0.1</v>
      </c>
      <c r="E2198" s="68">
        <v>5.0</v>
      </c>
      <c r="F2198" s="68">
        <v>1.0</v>
      </c>
      <c r="G2198" s="68">
        <v>4.49893784211615</v>
      </c>
      <c r="H2198" s="68">
        <v>170.84930599264</v>
      </c>
      <c r="I2198" s="69">
        <v>44318.42333333333</v>
      </c>
      <c r="J2198" s="69">
        <v>44318.42340277778</v>
      </c>
      <c r="K2198">
        <f>AVERAGE(H2197:H2201)</f>
        <v>123.1896188</v>
      </c>
      <c r="L2198">
        <f>STDEV(H2197:H2201)</f>
        <v>78.59599008</v>
      </c>
      <c r="M2198" s="70">
        <v>170.84930599264</v>
      </c>
      <c r="N2198" s="70">
        <v>170.84930599264</v>
      </c>
      <c r="O2198" s="70">
        <v>4.49893784211615</v>
      </c>
      <c r="P2198" s="70">
        <v>4.49893784211615</v>
      </c>
    </row>
    <row r="2199" hidden="1">
      <c r="A2199" s="67" t="s">
        <v>2959</v>
      </c>
      <c r="B2199" s="67" t="s">
        <v>519</v>
      </c>
      <c r="C2199" s="68">
        <v>0.25</v>
      </c>
      <c r="D2199" s="68">
        <v>0.1</v>
      </c>
      <c r="E2199" s="68">
        <v>5.0</v>
      </c>
      <c r="F2199" s="68">
        <v>2.0</v>
      </c>
      <c r="G2199" s="68">
        <v>4.73167232988748</v>
      </c>
      <c r="H2199" s="68">
        <v>201.265805538727</v>
      </c>
      <c r="I2199" s="69">
        <v>44318.424108796295</v>
      </c>
      <c r="J2199" s="69">
        <v>44318.46642361111</v>
      </c>
      <c r="K2199">
        <f>AVERAGE(H2197:H2201)</f>
        <v>123.1896188</v>
      </c>
      <c r="L2199">
        <f>STDEV(H2197:H2201)</f>
        <v>78.59599008</v>
      </c>
      <c r="M2199" s="70">
        <v>201.265805538727</v>
      </c>
      <c r="N2199" s="70">
        <v>201.265805538727</v>
      </c>
      <c r="O2199" s="70">
        <v>4.73167232988748</v>
      </c>
      <c r="P2199" s="70">
        <v>4.73167232988748</v>
      </c>
    </row>
    <row r="2200" hidden="1">
      <c r="A2200" s="67" t="s">
        <v>2960</v>
      </c>
      <c r="B2200" s="67" t="s">
        <v>519</v>
      </c>
      <c r="C2200" s="68">
        <v>0.25</v>
      </c>
      <c r="D2200" s="68">
        <v>0.1</v>
      </c>
      <c r="E2200" s="68">
        <v>5.0</v>
      </c>
      <c r="F2200" s="68">
        <v>3.0</v>
      </c>
      <c r="G2200" s="68">
        <v>1.44573704523337</v>
      </c>
      <c r="H2200" s="68">
        <v>69.0225139709692</v>
      </c>
      <c r="I2200" s="69">
        <v>44318.467141203706</v>
      </c>
      <c r="J2200" s="69">
        <v>44318.47866898148</v>
      </c>
      <c r="K2200">
        <f>AVERAGE(H2197:H2201)</f>
        <v>123.1896188</v>
      </c>
      <c r="L2200">
        <f>STDEV(H2197:H2201)</f>
        <v>78.59599008</v>
      </c>
      <c r="M2200" s="70">
        <v>69.0225139709692</v>
      </c>
      <c r="N2200" s="70">
        <v>69.0225139709692</v>
      </c>
      <c r="O2200" s="70">
        <v>1.44573704523337</v>
      </c>
      <c r="P2200" s="70">
        <v>1.44573704523337</v>
      </c>
    </row>
    <row r="2201" hidden="1">
      <c r="A2201" s="67" t="s">
        <v>2961</v>
      </c>
      <c r="B2201" s="67" t="s">
        <v>519</v>
      </c>
      <c r="C2201" s="68">
        <v>0.25</v>
      </c>
      <c r="D2201" s="68">
        <v>0.1</v>
      </c>
      <c r="E2201" s="68">
        <v>5.0</v>
      </c>
      <c r="F2201" s="68">
        <v>4.0</v>
      </c>
      <c r="G2201" s="68">
        <v>3.92729548178421</v>
      </c>
      <c r="H2201" s="68">
        <v>161.049182646308</v>
      </c>
      <c r="I2201" s="69">
        <v>44318.479375</v>
      </c>
      <c r="J2201" s="69">
        <v>44318.47966435185</v>
      </c>
      <c r="K2201">
        <f>AVERAGE(H2197:H2201)</f>
        <v>123.1896188</v>
      </c>
      <c r="L2201">
        <f>STDEV(H2197:H2201)</f>
        <v>78.59599008</v>
      </c>
      <c r="M2201" s="70">
        <v>161.049182646308</v>
      </c>
      <c r="N2201" s="70">
        <v>161.049182646308</v>
      </c>
      <c r="O2201" s="70">
        <v>3.92729548178421</v>
      </c>
      <c r="P2201" s="70">
        <v>3.92729548178421</v>
      </c>
    </row>
    <row r="2202" hidden="1">
      <c r="A2202" s="67" t="s">
        <v>2962</v>
      </c>
      <c r="B2202" s="67" t="s">
        <v>519</v>
      </c>
      <c r="C2202" s="68">
        <v>0.25</v>
      </c>
      <c r="D2202" s="68">
        <v>0.25</v>
      </c>
      <c r="E2202" s="68">
        <v>5.0</v>
      </c>
      <c r="F2202" s="68">
        <v>0.0</v>
      </c>
      <c r="G2202" s="68">
        <v>1.36745989798555</v>
      </c>
      <c r="H2202" s="68">
        <v>70.069726469225</v>
      </c>
      <c r="I2202" s="69">
        <v>44318.48038194444</v>
      </c>
      <c r="J2202" s="69">
        <v>44318.48148148148</v>
      </c>
      <c r="K2202">
        <f>AVERAGE(H2202:H2206)</f>
        <v>162.1296573</v>
      </c>
      <c r="L2202">
        <f>STDEV(H2202:H2206)</f>
        <v>78.93301386</v>
      </c>
      <c r="M2202" s="70">
        <v>70.069726469225</v>
      </c>
      <c r="N2202" s="70">
        <v>70.069726469225</v>
      </c>
      <c r="O2202" s="70">
        <v>1.36745989798555</v>
      </c>
      <c r="P2202" s="70">
        <v>1.36745989798555</v>
      </c>
    </row>
    <row r="2203" hidden="1">
      <c r="A2203" s="67" t="s">
        <v>2963</v>
      </c>
      <c r="B2203" s="67" t="s">
        <v>519</v>
      </c>
      <c r="C2203" s="68">
        <v>0.25</v>
      </c>
      <c r="D2203" s="68">
        <v>0.25</v>
      </c>
      <c r="E2203" s="68">
        <v>5.0</v>
      </c>
      <c r="F2203" s="68">
        <v>1.0</v>
      </c>
      <c r="G2203" s="68">
        <v>8.01975815023757</v>
      </c>
      <c r="H2203" s="68">
        <v>199.27630581223</v>
      </c>
      <c r="I2203" s="69">
        <v>44318.482199074075</v>
      </c>
      <c r="J2203" s="69">
        <v>44318.48237268518</v>
      </c>
      <c r="K2203">
        <f>AVERAGE(H2202:H2206)</f>
        <v>162.1296573</v>
      </c>
      <c r="L2203">
        <f>STDEV(H2202:H2206)</f>
        <v>78.93301386</v>
      </c>
      <c r="M2203" s="70">
        <v>199.27630581223</v>
      </c>
      <c r="N2203" s="70">
        <v>199.27630581223</v>
      </c>
      <c r="O2203" s="70">
        <v>8.01975815023757</v>
      </c>
      <c r="P2203" s="70">
        <v>8.01975815023757</v>
      </c>
    </row>
    <row r="2204" hidden="1">
      <c r="A2204" s="67" t="s">
        <v>2964</v>
      </c>
      <c r="B2204" s="67" t="s">
        <v>519</v>
      </c>
      <c r="C2204" s="68">
        <v>0.25</v>
      </c>
      <c r="D2204" s="68">
        <v>0.25</v>
      </c>
      <c r="E2204" s="68">
        <v>5.0</v>
      </c>
      <c r="F2204" s="68">
        <v>2.0</v>
      </c>
      <c r="G2204" s="68">
        <v>3.26463859637579</v>
      </c>
      <c r="H2204" s="68">
        <v>159.669058067622</v>
      </c>
      <c r="I2204" s="69">
        <v>44318.483090277776</v>
      </c>
      <c r="J2204" s="69">
        <v>44318.547164351854</v>
      </c>
      <c r="K2204">
        <f>AVERAGE(H2202:H2206)</f>
        <v>162.1296573</v>
      </c>
      <c r="L2204">
        <f>STDEV(H2202:H2206)</f>
        <v>78.93301386</v>
      </c>
      <c r="M2204" s="70">
        <v>159.669058067622</v>
      </c>
      <c r="N2204" s="70">
        <v>159.669058067622</v>
      </c>
      <c r="O2204" s="70">
        <v>3.26463859637579</v>
      </c>
      <c r="P2204" s="70">
        <v>3.26463859637579</v>
      </c>
    </row>
    <row r="2205" hidden="1">
      <c r="A2205" s="67" t="s">
        <v>2965</v>
      </c>
      <c r="B2205" s="67" t="s">
        <v>519</v>
      </c>
      <c r="C2205" s="68">
        <v>0.25</v>
      </c>
      <c r="D2205" s="68">
        <v>0.25</v>
      </c>
      <c r="E2205" s="68">
        <v>5.0</v>
      </c>
      <c r="F2205" s="68">
        <v>3.0</v>
      </c>
      <c r="G2205" s="68">
        <v>2.52063481878796</v>
      </c>
      <c r="H2205" s="68">
        <v>108.917749891294</v>
      </c>
      <c r="I2205" s="69">
        <v>44318.54788194445</v>
      </c>
      <c r="J2205" s="69">
        <v>44318.548159722224</v>
      </c>
      <c r="K2205">
        <f>AVERAGE(H2202:H2206)</f>
        <v>162.1296573</v>
      </c>
      <c r="L2205">
        <f>STDEV(H2202:H2206)</f>
        <v>78.93301386</v>
      </c>
      <c r="M2205" s="70">
        <v>108.917749891294</v>
      </c>
      <c r="N2205" s="70">
        <v>108.917749891294</v>
      </c>
      <c r="O2205" s="70">
        <v>2.52063481878796</v>
      </c>
      <c r="P2205" s="70">
        <v>2.52063481878796</v>
      </c>
    </row>
    <row r="2206" hidden="1">
      <c r="A2206" s="67" t="s">
        <v>2966</v>
      </c>
      <c r="B2206" s="67" t="s">
        <v>519</v>
      </c>
      <c r="C2206" s="68">
        <v>0.25</v>
      </c>
      <c r="D2206" s="68">
        <v>0.25</v>
      </c>
      <c r="E2206" s="68">
        <v>5.0</v>
      </c>
      <c r="F2206" s="68">
        <v>4.0</v>
      </c>
      <c r="G2206" s="68">
        <v>7.4321444816699</v>
      </c>
      <c r="H2206" s="68">
        <v>272.71544620989</v>
      </c>
      <c r="I2206" s="69">
        <v>44318.54887731482</v>
      </c>
      <c r="J2206" s="69">
        <v>44318.54914351852</v>
      </c>
      <c r="K2206">
        <f>AVERAGE(H2202:H2206)</f>
        <v>162.1296573</v>
      </c>
      <c r="L2206">
        <f>STDEV(H2202:H2206)</f>
        <v>78.93301386</v>
      </c>
      <c r="M2206" s="70">
        <v>272.71544620989</v>
      </c>
      <c r="N2206" s="70">
        <v>272.71544620989</v>
      </c>
      <c r="O2206" s="70">
        <v>7.4321444816699</v>
      </c>
      <c r="P2206" s="70">
        <v>7.4321444816699</v>
      </c>
    </row>
    <row r="2207" hidden="1">
      <c r="A2207" s="67" t="s">
        <v>2967</v>
      </c>
      <c r="B2207" s="67" t="s">
        <v>519</v>
      </c>
      <c r="C2207" s="68">
        <v>0.25</v>
      </c>
      <c r="D2207" s="68">
        <v>0.5</v>
      </c>
      <c r="E2207" s="68">
        <v>5.0</v>
      </c>
      <c r="F2207" s="68">
        <v>0.0</v>
      </c>
      <c r="G2207" s="68">
        <v>4.4695799596726</v>
      </c>
      <c r="H2207" s="68">
        <v>170.274374725911</v>
      </c>
      <c r="I2207" s="69">
        <v>44318.54986111111</v>
      </c>
      <c r="J2207" s="69">
        <v>44318.54991898148</v>
      </c>
      <c r="K2207">
        <f>AVERAGE(H2207:H2211)</f>
        <v>121.9142517</v>
      </c>
      <c r="L2207">
        <f>STDEV(H2207:H2211)</f>
        <v>72.80010579</v>
      </c>
      <c r="M2207" s="70">
        <v>170.274374725911</v>
      </c>
      <c r="N2207" s="70">
        <v>170.274374725911</v>
      </c>
      <c r="O2207" s="70">
        <v>4.4695799596726</v>
      </c>
      <c r="P2207" s="70">
        <v>4.4695799596726</v>
      </c>
    </row>
    <row r="2208" hidden="1">
      <c r="A2208" s="67" t="s">
        <v>2968</v>
      </c>
      <c r="B2208" s="67" t="s">
        <v>519</v>
      </c>
      <c r="C2208" s="68">
        <v>0.25</v>
      </c>
      <c r="D2208" s="68">
        <v>0.5</v>
      </c>
      <c r="E2208" s="68">
        <v>5.0</v>
      </c>
      <c r="F2208" s="68">
        <v>1.0</v>
      </c>
      <c r="G2208" s="68">
        <v>1.29672300465532</v>
      </c>
      <c r="H2208" s="68">
        <v>3.59594591333457</v>
      </c>
      <c r="I2208" s="69">
        <v>44318.55063657407</v>
      </c>
      <c r="J2208" s="69">
        <v>44318.550671296296</v>
      </c>
      <c r="K2208">
        <f>AVERAGE(H2207:H2211)</f>
        <v>121.9142517</v>
      </c>
      <c r="L2208">
        <f>STDEV(H2207:H2211)</f>
        <v>72.80010579</v>
      </c>
      <c r="M2208" s="70">
        <v>3.59594591333457</v>
      </c>
      <c r="N2208" s="70">
        <v>3.59594591333457</v>
      </c>
      <c r="O2208" s="70">
        <v>1.29672300465532</v>
      </c>
      <c r="P2208" s="70">
        <v>1.29672300465532</v>
      </c>
    </row>
    <row r="2209" hidden="1">
      <c r="A2209" s="67" t="s">
        <v>2969</v>
      </c>
      <c r="B2209" s="67" t="s">
        <v>519</v>
      </c>
      <c r="C2209" s="68">
        <v>0.25</v>
      </c>
      <c r="D2209" s="68">
        <v>0.5</v>
      </c>
      <c r="E2209" s="68">
        <v>5.0</v>
      </c>
      <c r="F2209" s="68">
        <v>2.0</v>
      </c>
      <c r="G2209" s="68">
        <v>4.62996008200395</v>
      </c>
      <c r="H2209" s="68">
        <v>165.26886500045</v>
      </c>
      <c r="I2209" s="69">
        <v>44318.55138888889</v>
      </c>
      <c r="J2209" s="69">
        <v>44318.55149305556</v>
      </c>
      <c r="K2209">
        <f>AVERAGE(H2207:H2211)</f>
        <v>121.9142517</v>
      </c>
      <c r="L2209">
        <f>STDEV(H2207:H2211)</f>
        <v>72.80010579</v>
      </c>
      <c r="M2209" s="70">
        <v>165.26886500045</v>
      </c>
      <c r="N2209" s="70">
        <v>165.26886500045</v>
      </c>
      <c r="O2209" s="70">
        <v>4.62996008200395</v>
      </c>
      <c r="P2209" s="70">
        <v>4.62996008200395</v>
      </c>
    </row>
    <row r="2210" hidden="1">
      <c r="A2210" s="67" t="s">
        <v>2970</v>
      </c>
      <c r="B2210" s="67" t="s">
        <v>519</v>
      </c>
      <c r="C2210" s="68">
        <v>0.25</v>
      </c>
      <c r="D2210" s="68">
        <v>0.5</v>
      </c>
      <c r="E2210" s="68">
        <v>5.0</v>
      </c>
      <c r="F2210" s="68">
        <v>3.0</v>
      </c>
      <c r="G2210" s="68">
        <v>3.73053379102449</v>
      </c>
      <c r="H2210" s="68">
        <v>171.465182444685</v>
      </c>
      <c r="I2210" s="69">
        <v>44318.55221064815</v>
      </c>
      <c r="J2210" s="69">
        <v>44318.62269675926</v>
      </c>
      <c r="K2210">
        <f>AVERAGE(H2207:H2211)</f>
        <v>121.9142517</v>
      </c>
      <c r="L2210">
        <f>STDEV(H2207:H2211)</f>
        <v>72.80010579</v>
      </c>
      <c r="M2210" s="70">
        <v>171.465182444685</v>
      </c>
      <c r="N2210" s="70">
        <v>171.465182444685</v>
      </c>
      <c r="O2210" s="70">
        <v>3.73053379102449</v>
      </c>
      <c r="P2210" s="70">
        <v>3.73053379102449</v>
      </c>
    </row>
    <row r="2211" hidden="1">
      <c r="A2211" s="67" t="s">
        <v>2971</v>
      </c>
      <c r="B2211" s="67" t="s">
        <v>519</v>
      </c>
      <c r="C2211" s="68">
        <v>0.25</v>
      </c>
      <c r="D2211" s="68">
        <v>0.5</v>
      </c>
      <c r="E2211" s="68">
        <v>5.0</v>
      </c>
      <c r="F2211" s="68">
        <v>4.0</v>
      </c>
      <c r="G2211" s="68">
        <v>1.85399862974819</v>
      </c>
      <c r="H2211" s="68">
        <v>98.9668903278964</v>
      </c>
      <c r="I2211" s="69">
        <v>44318.62341435185</v>
      </c>
      <c r="J2211" s="69">
        <v>44318.62548611111</v>
      </c>
      <c r="K2211">
        <f>AVERAGE(H2207:H2211)</f>
        <v>121.9142517</v>
      </c>
      <c r="L2211">
        <f>STDEV(H2207:H2211)</f>
        <v>72.80010579</v>
      </c>
      <c r="M2211" s="70">
        <v>98.9668903278964</v>
      </c>
      <c r="N2211" s="70">
        <v>98.9668903278964</v>
      </c>
      <c r="O2211" s="70">
        <v>1.85399862974819</v>
      </c>
      <c r="P2211" s="70">
        <v>1.85399862974819</v>
      </c>
    </row>
    <row r="2212" hidden="1">
      <c r="A2212" s="67" t="s">
        <v>2972</v>
      </c>
      <c r="B2212" s="67" t="s">
        <v>519</v>
      </c>
      <c r="C2212" s="68">
        <v>0.25</v>
      </c>
      <c r="D2212" s="68">
        <v>0.75</v>
      </c>
      <c r="E2212" s="68">
        <v>5.0</v>
      </c>
      <c r="F2212" s="68">
        <v>0.0</v>
      </c>
      <c r="G2212" s="68">
        <v>2.48363014980036</v>
      </c>
      <c r="H2212" s="68">
        <v>131.642945991947</v>
      </c>
      <c r="I2212" s="69">
        <v>44318.6262037037</v>
      </c>
      <c r="J2212" s="69">
        <v>44318.626435185186</v>
      </c>
      <c r="K2212">
        <f>AVERAGE(H2212:H2216)</f>
        <v>167.0565114</v>
      </c>
      <c r="L2212">
        <f>STDEV(H2212:H2216)</f>
        <v>59.19018921</v>
      </c>
      <c r="M2212" s="70">
        <v>131.642945991947</v>
      </c>
      <c r="N2212" s="70">
        <v>131.642945991947</v>
      </c>
      <c r="O2212" s="70">
        <v>2.48363014980036</v>
      </c>
      <c r="P2212" s="70">
        <v>2.48363014980036</v>
      </c>
    </row>
    <row r="2213" hidden="1">
      <c r="A2213" s="67" t="s">
        <v>2973</v>
      </c>
      <c r="B2213" s="67" t="s">
        <v>519</v>
      </c>
      <c r="C2213" s="68">
        <v>0.25</v>
      </c>
      <c r="D2213" s="68">
        <v>0.75</v>
      </c>
      <c r="E2213" s="68">
        <v>5.0</v>
      </c>
      <c r="F2213" s="68">
        <v>1.0</v>
      </c>
      <c r="G2213" s="68">
        <v>3.97411435882076</v>
      </c>
      <c r="H2213" s="68">
        <v>152.258747534536</v>
      </c>
      <c r="I2213" s="69">
        <v>44318.62715277778</v>
      </c>
      <c r="J2213" s="69">
        <v>44318.62972222222</v>
      </c>
      <c r="K2213">
        <f>AVERAGE(H2212:H2216)</f>
        <v>167.0565114</v>
      </c>
      <c r="L2213">
        <f>STDEV(H2212:H2216)</f>
        <v>59.19018921</v>
      </c>
      <c r="M2213" s="70">
        <v>152.258747534536</v>
      </c>
      <c r="N2213" s="70">
        <v>152.258747534536</v>
      </c>
      <c r="O2213" s="70">
        <v>3.97411435882076</v>
      </c>
      <c r="P2213" s="70">
        <v>3.97411435882076</v>
      </c>
    </row>
    <row r="2214" hidden="1">
      <c r="A2214" s="67" t="s">
        <v>2974</v>
      </c>
      <c r="B2214" s="67" t="s">
        <v>519</v>
      </c>
      <c r="C2214" s="68">
        <v>0.25</v>
      </c>
      <c r="D2214" s="68">
        <v>0.75</v>
      </c>
      <c r="E2214" s="68">
        <v>5.0</v>
      </c>
      <c r="F2214" s="68">
        <v>2.0</v>
      </c>
      <c r="G2214" s="68">
        <v>7.37231374504142</v>
      </c>
      <c r="H2214" s="68">
        <v>271.379700769382</v>
      </c>
      <c r="I2214" s="69">
        <v>44318.63043981481</v>
      </c>
      <c r="J2214" s="69">
        <v>44318.63071759259</v>
      </c>
      <c r="K2214">
        <f>AVERAGE(H2212:H2216)</f>
        <v>167.0565114</v>
      </c>
      <c r="L2214">
        <f>STDEV(H2212:H2216)</f>
        <v>59.19018921</v>
      </c>
      <c r="M2214" s="70">
        <v>271.379700769382</v>
      </c>
      <c r="N2214" s="70">
        <v>271.379700769382</v>
      </c>
      <c r="O2214" s="70">
        <v>7.37231374504142</v>
      </c>
      <c r="P2214" s="70">
        <v>7.37231374504142</v>
      </c>
    </row>
    <row r="2215" hidden="1">
      <c r="A2215" s="67" t="s">
        <v>2975</v>
      </c>
      <c r="B2215" s="67" t="s">
        <v>519</v>
      </c>
      <c r="C2215" s="68">
        <v>0.25</v>
      </c>
      <c r="D2215" s="68">
        <v>0.75</v>
      </c>
      <c r="E2215" s="68">
        <v>5.0</v>
      </c>
      <c r="F2215" s="68">
        <v>3.0</v>
      </c>
      <c r="G2215" s="68">
        <v>2.93681446344441</v>
      </c>
      <c r="H2215" s="68">
        <v>149.83534170732</v>
      </c>
      <c r="I2215" s="69">
        <v>44318.631423611114</v>
      </c>
      <c r="J2215" s="69">
        <v>44318.69085648148</v>
      </c>
      <c r="K2215">
        <f>AVERAGE(H2212:H2216)</f>
        <v>167.0565114</v>
      </c>
      <c r="L2215">
        <f>STDEV(H2212:H2216)</f>
        <v>59.19018921</v>
      </c>
      <c r="M2215" s="70">
        <v>149.83534170732</v>
      </c>
      <c r="N2215" s="70">
        <v>149.83534170732</v>
      </c>
      <c r="O2215" s="70">
        <v>2.93681446344441</v>
      </c>
      <c r="P2215" s="70">
        <v>2.93681446344441</v>
      </c>
    </row>
    <row r="2216" hidden="1">
      <c r="A2216" s="67" t="s">
        <v>2976</v>
      </c>
      <c r="B2216" s="67" t="s">
        <v>519</v>
      </c>
      <c r="C2216" s="68">
        <v>0.25</v>
      </c>
      <c r="D2216" s="68">
        <v>0.75</v>
      </c>
      <c r="E2216" s="68">
        <v>5.0</v>
      </c>
      <c r="F2216" s="68">
        <v>4.0</v>
      </c>
      <c r="G2216" s="68">
        <v>3.67798601393657</v>
      </c>
      <c r="H2216" s="68">
        <v>130.165820994545</v>
      </c>
      <c r="I2216" s="69">
        <v>44318.69157407407</v>
      </c>
      <c r="J2216" s="69">
        <v>44318.69173611111</v>
      </c>
      <c r="K2216">
        <f>AVERAGE(H2212:H2216)</f>
        <v>167.0565114</v>
      </c>
      <c r="L2216">
        <f>STDEV(H2212:H2216)</f>
        <v>59.19018921</v>
      </c>
      <c r="M2216" s="70">
        <v>130.165820994545</v>
      </c>
      <c r="N2216" s="70">
        <v>130.165820994545</v>
      </c>
      <c r="O2216" s="70">
        <v>3.67798601393657</v>
      </c>
      <c r="P2216" s="70">
        <v>3.67798601393657</v>
      </c>
    </row>
    <row r="2217" hidden="1">
      <c r="A2217" s="67" t="s">
        <v>2977</v>
      </c>
      <c r="B2217" s="67" t="s">
        <v>519</v>
      </c>
      <c r="C2217" s="68">
        <v>0.25</v>
      </c>
      <c r="D2217" s="68">
        <v>1.0</v>
      </c>
      <c r="E2217" s="68">
        <v>5.0</v>
      </c>
      <c r="F2217" s="68">
        <v>0.0</v>
      </c>
      <c r="G2217" s="68">
        <v>0.695859804721295</v>
      </c>
      <c r="H2217" s="68">
        <v>0.915286713003068</v>
      </c>
      <c r="I2217" s="69">
        <v>44318.69244212963</v>
      </c>
      <c r="J2217" s="69">
        <v>44318.692662037036</v>
      </c>
      <c r="K2217">
        <f>AVERAGE(H2217:H2221)</f>
        <v>141.2029178</v>
      </c>
      <c r="L2217">
        <f>STDEV(H2217:H2221)</f>
        <v>88.95169369</v>
      </c>
      <c r="M2217" s="70">
        <v>0.915286713003068</v>
      </c>
      <c r="N2217" s="70">
        <v>0.915286713003068</v>
      </c>
      <c r="O2217" s="70">
        <v>0.695859804721295</v>
      </c>
      <c r="P2217" s="70">
        <v>0.695859804721295</v>
      </c>
    </row>
    <row r="2218" hidden="1">
      <c r="A2218" s="67" t="s">
        <v>2978</v>
      </c>
      <c r="B2218" s="67" t="s">
        <v>519</v>
      </c>
      <c r="C2218" s="68">
        <v>0.25</v>
      </c>
      <c r="D2218" s="68">
        <v>1.0</v>
      </c>
      <c r="E2218" s="68">
        <v>5.0</v>
      </c>
      <c r="F2218" s="68">
        <v>1.0</v>
      </c>
      <c r="G2218" s="68">
        <v>3.12204396882274</v>
      </c>
      <c r="H2218" s="68">
        <v>114.858192067395</v>
      </c>
      <c r="I2218" s="69">
        <v>44318.69337962963</v>
      </c>
      <c r="J2218" s="69">
        <v>44318.69447916667</v>
      </c>
      <c r="K2218">
        <f>AVERAGE(H2217:H2221)</f>
        <v>141.2029178</v>
      </c>
      <c r="L2218">
        <f>STDEV(H2217:H2221)</f>
        <v>88.95169369</v>
      </c>
      <c r="M2218" s="70">
        <v>114.858192067395</v>
      </c>
      <c r="N2218" s="70">
        <v>114.858192067395</v>
      </c>
      <c r="O2218" s="70">
        <v>3.12204396882274</v>
      </c>
      <c r="P2218" s="70">
        <v>3.12204396882274</v>
      </c>
    </row>
    <row r="2219" hidden="1">
      <c r="A2219" s="67" t="s">
        <v>2979</v>
      </c>
      <c r="B2219" s="67" t="s">
        <v>519</v>
      </c>
      <c r="C2219" s="68">
        <v>0.25</v>
      </c>
      <c r="D2219" s="68">
        <v>1.0</v>
      </c>
      <c r="E2219" s="68">
        <v>5.0</v>
      </c>
      <c r="F2219" s="68">
        <v>2.0</v>
      </c>
      <c r="G2219" s="68">
        <v>3.17018871947694</v>
      </c>
      <c r="H2219" s="68">
        <v>160.231350540639</v>
      </c>
      <c r="I2219" s="69">
        <v>44318.69519675926</v>
      </c>
      <c r="J2219" s="69">
        <v>44318.756053240744</v>
      </c>
      <c r="K2219">
        <f>AVERAGE(H2217:H2221)</f>
        <v>141.2029178</v>
      </c>
      <c r="L2219">
        <f>STDEV(H2217:H2221)</f>
        <v>88.95169369</v>
      </c>
      <c r="M2219" s="70">
        <v>160.231350540639</v>
      </c>
      <c r="N2219" s="70">
        <v>160.231350540639</v>
      </c>
      <c r="O2219" s="70">
        <v>3.17018871947694</v>
      </c>
      <c r="P2219" s="70">
        <v>3.17018871947694</v>
      </c>
    </row>
    <row r="2220" hidden="1">
      <c r="A2220" s="67" t="s">
        <v>2980</v>
      </c>
      <c r="B2220" s="67" t="s">
        <v>519</v>
      </c>
      <c r="C2220" s="68">
        <v>0.25</v>
      </c>
      <c r="D2220" s="68">
        <v>1.0</v>
      </c>
      <c r="E2220" s="68">
        <v>5.0</v>
      </c>
      <c r="F2220" s="68">
        <v>3.0</v>
      </c>
      <c r="G2220" s="68">
        <v>9.13826774749177</v>
      </c>
      <c r="H2220" s="68">
        <v>218.120228260079</v>
      </c>
      <c r="I2220" s="69">
        <v>44318.75677083333</v>
      </c>
      <c r="J2220" s="69">
        <v>44318.756886574076</v>
      </c>
      <c r="K2220">
        <f>AVERAGE(H2217:H2221)</f>
        <v>141.2029178</v>
      </c>
      <c r="L2220">
        <f>STDEV(H2217:H2221)</f>
        <v>88.95169369</v>
      </c>
      <c r="M2220" s="70">
        <v>218.120228260079</v>
      </c>
      <c r="N2220" s="70">
        <v>218.120228260079</v>
      </c>
      <c r="O2220" s="70">
        <v>9.13826774749177</v>
      </c>
      <c r="P2220" s="70">
        <v>9.13826774749177</v>
      </c>
    </row>
    <row r="2221" hidden="1">
      <c r="A2221" s="67" t="s">
        <v>2981</v>
      </c>
      <c r="B2221" s="67" t="s">
        <v>519</v>
      </c>
      <c r="C2221" s="68">
        <v>0.25</v>
      </c>
      <c r="D2221" s="68">
        <v>1.0</v>
      </c>
      <c r="E2221" s="68">
        <v>5.0</v>
      </c>
      <c r="F2221" s="68">
        <v>4.0</v>
      </c>
      <c r="G2221" s="68">
        <v>4.88458118629078</v>
      </c>
      <c r="H2221" s="68">
        <v>211.889531324261</v>
      </c>
      <c r="I2221" s="69">
        <v>44318.75760416667</v>
      </c>
      <c r="J2221" s="69">
        <v>44318.758263888885</v>
      </c>
      <c r="K2221">
        <f>AVERAGE(H2217:H2221)</f>
        <v>141.2029178</v>
      </c>
      <c r="L2221">
        <f>STDEV(H2217:H2221)</f>
        <v>88.95169369</v>
      </c>
      <c r="M2221" s="70">
        <v>211.889531324261</v>
      </c>
      <c r="N2221" s="70">
        <v>211.889531324261</v>
      </c>
      <c r="O2221" s="70">
        <v>4.88458118629078</v>
      </c>
      <c r="P2221" s="70">
        <v>4.88458118629078</v>
      </c>
    </row>
    <row r="2222" hidden="1">
      <c r="A2222" s="67" t="s">
        <v>2982</v>
      </c>
      <c r="B2222" s="67" t="s">
        <v>519</v>
      </c>
      <c r="C2222" s="68">
        <v>0.5</v>
      </c>
      <c r="D2222" s="68">
        <v>0.1</v>
      </c>
      <c r="E2222" s="68">
        <v>5.0</v>
      </c>
      <c r="F2222" s="68">
        <v>0.0</v>
      </c>
      <c r="G2222" s="68">
        <v>0.50031556464406</v>
      </c>
      <c r="H2222" s="68">
        <v>0.612128542484922</v>
      </c>
      <c r="I2222" s="69">
        <v>44318.75898148148</v>
      </c>
      <c r="J2222" s="69">
        <v>44318.75943287037</v>
      </c>
      <c r="K2222">
        <f>AVERAGE(H2222:H2226)</f>
        <v>121.0197305</v>
      </c>
      <c r="L2222">
        <f>STDEV(H2222:H2226)</f>
        <v>105.5237244</v>
      </c>
      <c r="M2222" s="70">
        <v>0.612128542484922</v>
      </c>
      <c r="N2222" s="70">
        <v>0.612128542484922</v>
      </c>
      <c r="O2222" s="70">
        <v>0.50031556464406</v>
      </c>
      <c r="P2222" s="70">
        <v>0.50031556464406</v>
      </c>
    </row>
    <row r="2223" hidden="1">
      <c r="A2223" s="67" t="s">
        <v>2983</v>
      </c>
      <c r="B2223" s="67" t="s">
        <v>519</v>
      </c>
      <c r="C2223" s="68">
        <v>0.5</v>
      </c>
      <c r="D2223" s="68">
        <v>0.1</v>
      </c>
      <c r="E2223" s="68">
        <v>5.0</v>
      </c>
      <c r="F2223" s="68">
        <v>1.0</v>
      </c>
      <c r="G2223" s="68">
        <v>3.02082750177881</v>
      </c>
      <c r="H2223" s="68">
        <v>146.153034176971</v>
      </c>
      <c r="I2223" s="69">
        <v>44318.760150462964</v>
      </c>
      <c r="J2223" s="69">
        <v>44318.79767361111</v>
      </c>
      <c r="K2223">
        <f>AVERAGE(H2222:H2226)</f>
        <v>121.0197305</v>
      </c>
      <c r="L2223">
        <f>STDEV(H2222:H2226)</f>
        <v>105.5237244</v>
      </c>
      <c r="M2223" s="70">
        <v>146.153034176971</v>
      </c>
      <c r="N2223" s="70">
        <v>146.153034176971</v>
      </c>
      <c r="O2223" s="70">
        <v>3.02082750177881</v>
      </c>
      <c r="P2223" s="70">
        <v>3.02082750177881</v>
      </c>
    </row>
    <row r="2224" hidden="1">
      <c r="A2224" s="67" t="s">
        <v>2984</v>
      </c>
      <c r="B2224" s="67" t="s">
        <v>519</v>
      </c>
      <c r="C2224" s="68">
        <v>0.5</v>
      </c>
      <c r="D2224" s="68">
        <v>0.1</v>
      </c>
      <c r="E2224" s="68">
        <v>5.0</v>
      </c>
      <c r="F2224" s="68">
        <v>2.0</v>
      </c>
      <c r="G2224" s="68">
        <v>10.319859251294</v>
      </c>
      <c r="H2224" s="68">
        <v>284.029571141016</v>
      </c>
      <c r="I2224" s="69">
        <v>44318.79837962963</v>
      </c>
      <c r="J2224" s="69">
        <v>44318.79907407407</v>
      </c>
      <c r="K2224">
        <f>AVERAGE(H2222:H2226)</f>
        <v>121.0197305</v>
      </c>
      <c r="L2224">
        <f>STDEV(H2222:H2226)</f>
        <v>105.5237244</v>
      </c>
      <c r="M2224" s="70">
        <v>284.029571141016</v>
      </c>
      <c r="N2224" s="70">
        <v>284.029571141016</v>
      </c>
      <c r="O2224" s="70">
        <v>10.319859251294</v>
      </c>
      <c r="P2224" s="70">
        <v>10.319859251294</v>
      </c>
    </row>
    <row r="2225" hidden="1">
      <c r="A2225" s="67" t="s">
        <v>2985</v>
      </c>
      <c r="B2225" s="67" t="s">
        <v>519</v>
      </c>
      <c r="C2225" s="68">
        <v>0.5</v>
      </c>
      <c r="D2225" s="68">
        <v>0.1</v>
      </c>
      <c r="E2225" s="68">
        <v>5.0</v>
      </c>
      <c r="F2225" s="68">
        <v>3.0</v>
      </c>
      <c r="G2225" s="68">
        <v>2.55070523946273</v>
      </c>
      <c r="H2225" s="68">
        <v>103.660928304456</v>
      </c>
      <c r="I2225" s="69">
        <v>44318.799791666665</v>
      </c>
      <c r="J2225" s="69">
        <v>44318.800208333334</v>
      </c>
      <c r="K2225">
        <f>AVERAGE(H2222:H2226)</f>
        <v>121.0197305</v>
      </c>
      <c r="L2225">
        <f>STDEV(H2222:H2226)</f>
        <v>105.5237244</v>
      </c>
      <c r="M2225" s="70">
        <v>103.660928304456</v>
      </c>
      <c r="N2225" s="70">
        <v>103.660928304456</v>
      </c>
      <c r="O2225" s="70">
        <v>2.55070523946273</v>
      </c>
      <c r="P2225" s="70">
        <v>2.55070523946273</v>
      </c>
    </row>
    <row r="2226" hidden="1">
      <c r="A2226" s="67" t="s">
        <v>2986</v>
      </c>
      <c r="B2226" s="67" t="s">
        <v>519</v>
      </c>
      <c r="C2226" s="68">
        <v>0.5</v>
      </c>
      <c r="D2226" s="68">
        <v>0.1</v>
      </c>
      <c r="E2226" s="68">
        <v>5.0</v>
      </c>
      <c r="F2226" s="68">
        <v>4.0</v>
      </c>
      <c r="G2226" s="68">
        <v>1.43559173156676</v>
      </c>
      <c r="H2226" s="68">
        <v>70.642990198295</v>
      </c>
      <c r="I2226" s="69">
        <v>44318.80092592593</v>
      </c>
      <c r="J2226" s="69">
        <v>44318.801666666666</v>
      </c>
      <c r="K2226">
        <f>AVERAGE(H2222:H2226)</f>
        <v>121.0197305</v>
      </c>
      <c r="L2226">
        <f>STDEV(H2222:H2226)</f>
        <v>105.5237244</v>
      </c>
      <c r="M2226" s="70">
        <v>70.642990198295</v>
      </c>
      <c r="N2226" s="70">
        <v>70.642990198295</v>
      </c>
      <c r="O2226" s="70">
        <v>1.43559173156676</v>
      </c>
      <c r="P2226" s="70">
        <v>1.43559173156676</v>
      </c>
    </row>
    <row r="2227" hidden="1">
      <c r="A2227" s="67" t="s">
        <v>2987</v>
      </c>
      <c r="B2227" s="67" t="s">
        <v>519</v>
      </c>
      <c r="C2227" s="68">
        <v>0.5</v>
      </c>
      <c r="D2227" s="68">
        <v>0.25</v>
      </c>
      <c r="E2227" s="68">
        <v>5.0</v>
      </c>
      <c r="F2227" s="68">
        <v>0.0</v>
      </c>
      <c r="G2227" s="68">
        <v>7.23512263229369</v>
      </c>
      <c r="H2227" s="68">
        <v>202.359907065401</v>
      </c>
      <c r="I2227" s="69">
        <v>44318.80238425926</v>
      </c>
      <c r="J2227" s="69">
        <v>44318.80252314815</v>
      </c>
      <c r="K2227">
        <f>AVERAGE(H2227:H2231)</f>
        <v>137.2923276</v>
      </c>
      <c r="L2227">
        <f>STDEV(H2227:H2231)</f>
        <v>80.08298901</v>
      </c>
      <c r="M2227" s="70">
        <v>202.359907065401</v>
      </c>
      <c r="N2227" s="70">
        <v>202.359907065401</v>
      </c>
      <c r="O2227" s="70">
        <v>7.23512263229369</v>
      </c>
      <c r="P2227" s="70">
        <v>7.23512263229369</v>
      </c>
    </row>
    <row r="2228" hidden="1">
      <c r="A2228" s="67" t="s">
        <v>2988</v>
      </c>
      <c r="B2228" s="67" t="s">
        <v>519</v>
      </c>
      <c r="C2228" s="68">
        <v>0.5</v>
      </c>
      <c r="D2228" s="68">
        <v>0.25</v>
      </c>
      <c r="E2228" s="68">
        <v>5.0</v>
      </c>
      <c r="F2228" s="68">
        <v>1.0</v>
      </c>
      <c r="G2228" s="68">
        <v>3.0080996732644</v>
      </c>
      <c r="H2228" s="68">
        <v>136.824347624642</v>
      </c>
      <c r="I2228" s="69">
        <v>44318.80324074074</v>
      </c>
      <c r="J2228" s="69">
        <v>44318.816157407404</v>
      </c>
      <c r="K2228">
        <f>AVERAGE(H2227:H2231)</f>
        <v>137.2923276</v>
      </c>
      <c r="L2228">
        <f>STDEV(H2227:H2231)</f>
        <v>80.08298901</v>
      </c>
      <c r="M2228" s="70">
        <v>136.824347624642</v>
      </c>
      <c r="N2228" s="70">
        <v>136.824347624642</v>
      </c>
      <c r="O2228" s="70">
        <v>3.0080996732644</v>
      </c>
      <c r="P2228" s="70">
        <v>3.0080996732644</v>
      </c>
    </row>
    <row r="2229" hidden="1">
      <c r="A2229" s="67" t="s">
        <v>2989</v>
      </c>
      <c r="B2229" s="67" t="s">
        <v>519</v>
      </c>
      <c r="C2229" s="68">
        <v>0.5</v>
      </c>
      <c r="D2229" s="68">
        <v>0.25</v>
      </c>
      <c r="E2229" s="68">
        <v>5.0</v>
      </c>
      <c r="F2229" s="68">
        <v>2.0</v>
      </c>
      <c r="G2229" s="68">
        <v>0.479846784360075</v>
      </c>
      <c r="H2229" s="68">
        <v>0.599539600623937</v>
      </c>
      <c r="I2229" s="69">
        <v>44318.816875</v>
      </c>
      <c r="J2229" s="69">
        <v>44318.817245370374</v>
      </c>
      <c r="K2229">
        <f>AVERAGE(H2227:H2231)</f>
        <v>137.2923276</v>
      </c>
      <c r="L2229">
        <f>STDEV(H2227:H2231)</f>
        <v>80.08298901</v>
      </c>
      <c r="M2229" s="70">
        <v>0.599539600623937</v>
      </c>
      <c r="N2229" s="70">
        <v>0.599539600623937</v>
      </c>
      <c r="O2229" s="70">
        <v>0.479846784360075</v>
      </c>
      <c r="P2229" s="70">
        <v>0.479846784360075</v>
      </c>
    </row>
    <row r="2230" hidden="1">
      <c r="A2230" s="67" t="s">
        <v>2990</v>
      </c>
      <c r="B2230" s="67" t="s">
        <v>519</v>
      </c>
      <c r="C2230" s="68">
        <v>0.5</v>
      </c>
      <c r="D2230" s="68">
        <v>0.25</v>
      </c>
      <c r="E2230" s="68">
        <v>5.0</v>
      </c>
      <c r="F2230" s="68">
        <v>3.0</v>
      </c>
      <c r="G2230" s="68">
        <v>3.51415822907066</v>
      </c>
      <c r="H2230" s="68">
        <v>181.569942863518</v>
      </c>
      <c r="I2230" s="69">
        <v>44318.81796296296</v>
      </c>
      <c r="J2230" s="69">
        <v>44318.854467592595</v>
      </c>
      <c r="K2230">
        <f>AVERAGE(H2227:H2231)</f>
        <v>137.2923276</v>
      </c>
      <c r="L2230">
        <f>STDEV(H2227:H2231)</f>
        <v>80.08298901</v>
      </c>
      <c r="M2230" s="70">
        <v>181.569942863518</v>
      </c>
      <c r="N2230" s="70">
        <v>181.569942863518</v>
      </c>
      <c r="O2230" s="70">
        <v>3.51415822907066</v>
      </c>
      <c r="P2230" s="70">
        <v>3.51415822907066</v>
      </c>
    </row>
    <row r="2231" hidden="1">
      <c r="A2231" s="67" t="s">
        <v>2991</v>
      </c>
      <c r="B2231" s="67" t="s">
        <v>519</v>
      </c>
      <c r="C2231" s="68">
        <v>0.5</v>
      </c>
      <c r="D2231" s="68">
        <v>0.25</v>
      </c>
      <c r="E2231" s="68">
        <v>5.0</v>
      </c>
      <c r="F2231" s="68">
        <v>4.0</v>
      </c>
      <c r="G2231" s="68">
        <v>4.66171639339358</v>
      </c>
      <c r="H2231" s="68">
        <v>165.107900734379</v>
      </c>
      <c r="I2231" s="69">
        <v>44318.85518518519</v>
      </c>
      <c r="J2231" s="69">
        <v>44318.8553125</v>
      </c>
      <c r="K2231">
        <f>AVERAGE(H2227:H2231)</f>
        <v>137.2923276</v>
      </c>
      <c r="L2231">
        <f>STDEV(H2227:H2231)</f>
        <v>80.08298901</v>
      </c>
      <c r="M2231" s="70">
        <v>165.107900734379</v>
      </c>
      <c r="N2231" s="70">
        <v>165.107900734379</v>
      </c>
      <c r="O2231" s="70">
        <v>4.66171639339358</v>
      </c>
      <c r="P2231" s="70">
        <v>4.66171639339358</v>
      </c>
    </row>
    <row r="2232" hidden="1">
      <c r="A2232" s="67" t="s">
        <v>2992</v>
      </c>
      <c r="B2232" s="67" t="s">
        <v>519</v>
      </c>
      <c r="C2232" s="68">
        <v>0.5</v>
      </c>
      <c r="D2232" s="68">
        <v>0.5</v>
      </c>
      <c r="E2232" s="68">
        <v>5.0</v>
      </c>
      <c r="F2232" s="68">
        <v>0.0</v>
      </c>
      <c r="G2232" s="68">
        <v>5.30313961240362</v>
      </c>
      <c r="H2232" s="68">
        <v>187.356471826254</v>
      </c>
      <c r="I2232" s="69">
        <v>44318.85601851852</v>
      </c>
      <c r="J2232" s="69">
        <v>44318.85802083334</v>
      </c>
      <c r="K2232">
        <f>AVERAGE(H2232:H2236)</f>
        <v>94.14000669</v>
      </c>
      <c r="L2232">
        <f>STDEV(H2232:H2236)</f>
        <v>91.83240208</v>
      </c>
      <c r="M2232" s="70">
        <v>187.356471826254</v>
      </c>
      <c r="N2232" s="70">
        <v>187.356471826254</v>
      </c>
      <c r="O2232" s="70">
        <v>5.30313961240362</v>
      </c>
      <c r="P2232" s="70">
        <v>5.30313961240362</v>
      </c>
    </row>
    <row r="2233" hidden="1">
      <c r="A2233" s="67" t="s">
        <v>2993</v>
      </c>
      <c r="B2233" s="67" t="s">
        <v>519</v>
      </c>
      <c r="C2233" s="68">
        <v>0.5</v>
      </c>
      <c r="D2233" s="68">
        <v>0.5</v>
      </c>
      <c r="E2233" s="68">
        <v>5.0</v>
      </c>
      <c r="F2233" s="68">
        <v>1.0</v>
      </c>
      <c r="G2233" s="68">
        <v>1.75612515946037</v>
      </c>
      <c r="H2233" s="68">
        <v>98.7929406606297</v>
      </c>
      <c r="I2233" s="69">
        <v>44318.85873842592</v>
      </c>
      <c r="J2233" s="69">
        <v>44318.86115740741</v>
      </c>
      <c r="K2233">
        <f>AVERAGE(H2232:H2236)</f>
        <v>94.14000669</v>
      </c>
      <c r="L2233">
        <f>STDEV(H2232:H2236)</f>
        <v>91.83240208</v>
      </c>
      <c r="M2233" s="70">
        <v>98.7929406606297</v>
      </c>
      <c r="N2233" s="70">
        <v>98.7929406606297</v>
      </c>
      <c r="O2233" s="70">
        <v>1.75612515946037</v>
      </c>
      <c r="P2233" s="70">
        <v>1.75612515946037</v>
      </c>
    </row>
    <row r="2234" hidden="1">
      <c r="A2234" s="67" t="s">
        <v>2994</v>
      </c>
      <c r="B2234" s="67" t="s">
        <v>519</v>
      </c>
      <c r="C2234" s="68">
        <v>0.5</v>
      </c>
      <c r="D2234" s="68">
        <v>0.5</v>
      </c>
      <c r="E2234" s="68">
        <v>5.0</v>
      </c>
      <c r="F2234" s="68">
        <v>2.0</v>
      </c>
      <c r="G2234" s="68">
        <v>1.07991001504809</v>
      </c>
      <c r="H2234" s="68">
        <v>1.4504242499467</v>
      </c>
      <c r="I2234" s="69">
        <v>44318.861875</v>
      </c>
      <c r="J2234" s="69">
        <v>44318.86199074074</v>
      </c>
      <c r="K2234">
        <f>AVERAGE(H2232:H2236)</f>
        <v>94.14000669</v>
      </c>
      <c r="L2234">
        <f>STDEV(H2232:H2236)</f>
        <v>91.83240208</v>
      </c>
      <c r="M2234" s="70">
        <v>1.4504242499467</v>
      </c>
      <c r="N2234" s="70">
        <v>1.4504242499467</v>
      </c>
      <c r="O2234" s="70">
        <v>1.07991001504809</v>
      </c>
      <c r="P2234" s="70">
        <v>1.07991001504809</v>
      </c>
    </row>
    <row r="2235" hidden="1">
      <c r="A2235" s="67" t="s">
        <v>2995</v>
      </c>
      <c r="B2235" s="67" t="s">
        <v>519</v>
      </c>
      <c r="C2235" s="68">
        <v>0.5</v>
      </c>
      <c r="D2235" s="68">
        <v>0.5</v>
      </c>
      <c r="E2235" s="68">
        <v>5.0</v>
      </c>
      <c r="F2235" s="68">
        <v>3.0</v>
      </c>
      <c r="G2235" s="68">
        <v>3.79386536776344</v>
      </c>
      <c r="H2235" s="68">
        <v>182.150945976419</v>
      </c>
      <c r="I2235" s="69">
        <v>44318.86269675926</v>
      </c>
      <c r="J2235" s="69">
        <v>44318.89674768518</v>
      </c>
      <c r="K2235">
        <f>AVERAGE(H2232:H2236)</f>
        <v>94.14000669</v>
      </c>
      <c r="L2235">
        <f>STDEV(H2232:H2236)</f>
        <v>91.83240208</v>
      </c>
      <c r="M2235" s="70">
        <v>182.150945976419</v>
      </c>
      <c r="N2235" s="70">
        <v>182.150945976419</v>
      </c>
      <c r="O2235" s="70">
        <v>3.79386536776344</v>
      </c>
      <c r="P2235" s="70">
        <v>3.79386536776344</v>
      </c>
    </row>
    <row r="2236" hidden="1">
      <c r="A2236" s="67" t="s">
        <v>2996</v>
      </c>
      <c r="B2236" s="67" t="s">
        <v>519</v>
      </c>
      <c r="C2236" s="68">
        <v>0.5</v>
      </c>
      <c r="D2236" s="68">
        <v>0.5</v>
      </c>
      <c r="E2236" s="68">
        <v>5.0</v>
      </c>
      <c r="F2236" s="68">
        <v>4.0</v>
      </c>
      <c r="G2236" s="68">
        <v>0.712368747006467</v>
      </c>
      <c r="H2236" s="68">
        <v>0.949250738237319</v>
      </c>
      <c r="I2236" s="69">
        <v>44318.89745370371</v>
      </c>
      <c r="J2236" s="69">
        <v>44318.897685185184</v>
      </c>
      <c r="K2236">
        <f>AVERAGE(H2232:H2236)</f>
        <v>94.14000669</v>
      </c>
      <c r="L2236">
        <f>STDEV(H2232:H2236)</f>
        <v>91.83240208</v>
      </c>
      <c r="M2236" s="70">
        <v>0.949250738237319</v>
      </c>
      <c r="N2236" s="70">
        <v>0.949250738237319</v>
      </c>
      <c r="O2236" s="70">
        <v>0.712368747006467</v>
      </c>
      <c r="P2236" s="70">
        <v>0.712368747006467</v>
      </c>
    </row>
    <row r="2237" hidden="1">
      <c r="A2237" s="67" t="s">
        <v>2997</v>
      </c>
      <c r="B2237" s="67" t="s">
        <v>519</v>
      </c>
      <c r="C2237" s="68">
        <v>0.5</v>
      </c>
      <c r="D2237" s="68">
        <v>0.75</v>
      </c>
      <c r="E2237" s="68">
        <v>5.0</v>
      </c>
      <c r="F2237" s="68">
        <v>0.0</v>
      </c>
      <c r="G2237" s="68">
        <v>2.50257803372252</v>
      </c>
      <c r="H2237" s="68">
        <v>132.498324886626</v>
      </c>
      <c r="I2237" s="69">
        <v>44318.8983912037</v>
      </c>
      <c r="J2237" s="69">
        <v>44318.898622685185</v>
      </c>
      <c r="K2237">
        <f>AVERAGE(H2237:H2241)</f>
        <v>150.8226685</v>
      </c>
      <c r="L2237">
        <f>STDEV(H2237:H2241)</f>
        <v>61.97183707</v>
      </c>
      <c r="M2237" s="70">
        <v>132.498324886626</v>
      </c>
      <c r="N2237" s="70">
        <v>132.498324886626</v>
      </c>
      <c r="O2237" s="70">
        <v>2.50257803372252</v>
      </c>
      <c r="P2237" s="70">
        <v>2.50257803372252</v>
      </c>
    </row>
    <row r="2238" hidden="1">
      <c r="A2238" s="67" t="s">
        <v>2998</v>
      </c>
      <c r="B2238" s="67" t="s">
        <v>519</v>
      </c>
      <c r="C2238" s="68">
        <v>0.5</v>
      </c>
      <c r="D2238" s="68">
        <v>0.75</v>
      </c>
      <c r="E2238" s="68">
        <v>5.0</v>
      </c>
      <c r="F2238" s="68">
        <v>1.0</v>
      </c>
      <c r="G2238" s="68">
        <v>3.80781543805545</v>
      </c>
      <c r="H2238" s="68">
        <v>178.719367483669</v>
      </c>
      <c r="I2238" s="69">
        <v>44318.8993287037</v>
      </c>
      <c r="J2238" s="69">
        <v>44318.939722222225</v>
      </c>
      <c r="K2238">
        <f>AVERAGE(H2237:H2241)</f>
        <v>150.8226685</v>
      </c>
      <c r="L2238">
        <f>STDEV(H2237:H2241)</f>
        <v>61.97183707</v>
      </c>
      <c r="M2238" s="70">
        <v>178.719367483669</v>
      </c>
      <c r="N2238" s="70">
        <v>178.719367483669</v>
      </c>
      <c r="O2238" s="70">
        <v>3.80781543805545</v>
      </c>
      <c r="P2238" s="70">
        <v>3.80781543805545</v>
      </c>
    </row>
    <row r="2239" hidden="1">
      <c r="A2239" s="67" t="s">
        <v>2999</v>
      </c>
      <c r="B2239" s="67" t="s">
        <v>519</v>
      </c>
      <c r="C2239" s="68">
        <v>0.5</v>
      </c>
      <c r="D2239" s="68">
        <v>0.75</v>
      </c>
      <c r="E2239" s="68">
        <v>5.0</v>
      </c>
      <c r="F2239" s="68">
        <v>2.0</v>
      </c>
      <c r="G2239" s="68">
        <v>5.56242801182323</v>
      </c>
      <c r="H2239" s="68">
        <v>169.881294669037</v>
      </c>
      <c r="I2239" s="69">
        <v>44318.94043981482</v>
      </c>
      <c r="J2239" s="69">
        <v>44318.94059027778</v>
      </c>
      <c r="K2239">
        <f>AVERAGE(H2237:H2241)</f>
        <v>150.8226685</v>
      </c>
      <c r="L2239">
        <f>STDEV(H2237:H2241)</f>
        <v>61.97183707</v>
      </c>
      <c r="M2239" s="70">
        <v>169.881294669037</v>
      </c>
      <c r="N2239" s="70">
        <v>169.881294669037</v>
      </c>
      <c r="O2239" s="70">
        <v>5.56242801182323</v>
      </c>
      <c r="P2239" s="70">
        <v>5.56242801182323</v>
      </c>
    </row>
    <row r="2240" hidden="1">
      <c r="A2240" s="67" t="s">
        <v>3000</v>
      </c>
      <c r="B2240" s="67" t="s">
        <v>519</v>
      </c>
      <c r="C2240" s="68">
        <v>0.5</v>
      </c>
      <c r="D2240" s="68">
        <v>0.75</v>
      </c>
      <c r="E2240" s="68">
        <v>5.0</v>
      </c>
      <c r="F2240" s="68">
        <v>3.0</v>
      </c>
      <c r="G2240" s="68">
        <v>9.16045690125823</v>
      </c>
      <c r="H2240" s="68">
        <v>218.589237899693</v>
      </c>
      <c r="I2240" s="69">
        <v>44318.94130787037</v>
      </c>
      <c r="J2240" s="69">
        <v>44318.94142361111</v>
      </c>
      <c r="K2240">
        <f>AVERAGE(H2237:H2241)</f>
        <v>150.8226685</v>
      </c>
      <c r="L2240">
        <f>STDEV(H2237:H2241)</f>
        <v>61.97183707</v>
      </c>
      <c r="M2240" s="70">
        <v>218.589237899693</v>
      </c>
      <c r="N2240" s="70">
        <v>218.589237899693</v>
      </c>
      <c r="O2240" s="70">
        <v>9.16045690125823</v>
      </c>
      <c r="P2240" s="70">
        <v>9.16045690125823</v>
      </c>
    </row>
    <row r="2241" hidden="1">
      <c r="A2241" s="67" t="s">
        <v>3001</v>
      </c>
      <c r="B2241" s="67" t="s">
        <v>519</v>
      </c>
      <c r="C2241" s="68">
        <v>0.5</v>
      </c>
      <c r="D2241" s="68">
        <v>0.75</v>
      </c>
      <c r="E2241" s="68">
        <v>5.0</v>
      </c>
      <c r="F2241" s="68">
        <v>4.0</v>
      </c>
      <c r="G2241" s="68">
        <v>1.06675381755896</v>
      </c>
      <c r="H2241" s="68">
        <v>54.42511760479</v>
      </c>
      <c r="I2241" s="69">
        <v>44318.94212962963</v>
      </c>
      <c r="J2241" s="69">
        <v>44318.9450462963</v>
      </c>
      <c r="K2241">
        <f>AVERAGE(H2237:H2241)</f>
        <v>150.8226685</v>
      </c>
      <c r="L2241">
        <f>STDEV(H2237:H2241)</f>
        <v>61.97183707</v>
      </c>
      <c r="M2241" s="70">
        <v>54.42511760479</v>
      </c>
      <c r="N2241" s="70">
        <v>54.42511760479</v>
      </c>
      <c r="O2241" s="70">
        <v>1.06675381755896</v>
      </c>
      <c r="P2241" s="70">
        <v>1.06675381755896</v>
      </c>
    </row>
    <row r="2242" hidden="1">
      <c r="A2242" s="67" t="s">
        <v>3002</v>
      </c>
      <c r="B2242" s="67" t="s">
        <v>519</v>
      </c>
      <c r="C2242" s="68">
        <v>0.5</v>
      </c>
      <c r="D2242" s="68">
        <v>1.0</v>
      </c>
      <c r="E2242" s="68">
        <v>5.0</v>
      </c>
      <c r="F2242" s="68">
        <v>0.0</v>
      </c>
      <c r="G2242" s="68">
        <v>3.57048453118489</v>
      </c>
      <c r="H2242" s="68">
        <v>169.489518303931</v>
      </c>
      <c r="I2242" s="69">
        <v>44318.945763888885</v>
      </c>
      <c r="J2242" s="69">
        <v>44319.02306712963</v>
      </c>
      <c r="K2242">
        <f>AVERAGE(H2242:H2246)</f>
        <v>103.1504913</v>
      </c>
      <c r="L2242">
        <f>STDEV(H2242:H2246)</f>
        <v>98.71591617</v>
      </c>
      <c r="M2242" s="70">
        <v>169.489518303931</v>
      </c>
      <c r="N2242" s="70">
        <v>169.489518303931</v>
      </c>
      <c r="O2242" s="70">
        <v>3.57048453118489</v>
      </c>
      <c r="P2242" s="70">
        <v>3.57048453118489</v>
      </c>
    </row>
    <row r="2243" hidden="1">
      <c r="A2243" s="67" t="s">
        <v>3003</v>
      </c>
      <c r="B2243" s="67" t="s">
        <v>519</v>
      </c>
      <c r="C2243" s="68">
        <v>0.5</v>
      </c>
      <c r="D2243" s="68">
        <v>1.0</v>
      </c>
      <c r="E2243" s="68">
        <v>5.0</v>
      </c>
      <c r="F2243" s="68">
        <v>1.0</v>
      </c>
      <c r="G2243" s="68">
        <v>0.695859804721295</v>
      </c>
      <c r="H2243" s="68">
        <v>0.915286713003068</v>
      </c>
      <c r="I2243" s="69">
        <v>44319.02378472222</v>
      </c>
      <c r="J2243" s="69">
        <v>44319.023993055554</v>
      </c>
      <c r="K2243">
        <f>AVERAGE(H2242:H2246)</f>
        <v>103.1504913</v>
      </c>
      <c r="L2243">
        <f>STDEV(H2242:H2246)</f>
        <v>98.71591617</v>
      </c>
      <c r="M2243" s="70">
        <v>0.915286713003068</v>
      </c>
      <c r="N2243" s="70">
        <v>0.915286713003068</v>
      </c>
      <c r="O2243" s="70">
        <v>0.695859804721295</v>
      </c>
      <c r="P2243" s="70">
        <v>0.695859804721295</v>
      </c>
    </row>
    <row r="2244" hidden="1">
      <c r="A2244" s="67" t="s">
        <v>3004</v>
      </c>
      <c r="B2244" s="67" t="s">
        <v>519</v>
      </c>
      <c r="C2244" s="68">
        <v>0.5</v>
      </c>
      <c r="D2244" s="68">
        <v>1.0</v>
      </c>
      <c r="E2244" s="68">
        <v>5.0</v>
      </c>
      <c r="F2244" s="68">
        <v>2.0</v>
      </c>
      <c r="G2244" s="68">
        <v>2.6112168081268</v>
      </c>
      <c r="H2244" s="68">
        <v>125.466006930849</v>
      </c>
      <c r="I2244" s="69">
        <v>44319.02469907407</v>
      </c>
      <c r="J2244" s="69">
        <v>44319.02539351852</v>
      </c>
      <c r="K2244">
        <f>AVERAGE(H2242:H2246)</f>
        <v>103.1504913</v>
      </c>
      <c r="L2244">
        <f>STDEV(H2242:H2246)</f>
        <v>98.71591617</v>
      </c>
      <c r="M2244" s="70">
        <v>125.466006930849</v>
      </c>
      <c r="N2244" s="70">
        <v>125.466006930849</v>
      </c>
      <c r="O2244" s="70">
        <v>2.6112168081268</v>
      </c>
      <c r="P2244" s="70">
        <v>2.6112168081268</v>
      </c>
    </row>
    <row r="2245" hidden="1">
      <c r="A2245" s="67" t="s">
        <v>3005</v>
      </c>
      <c r="B2245" s="67" t="s">
        <v>519</v>
      </c>
      <c r="C2245" s="68">
        <v>0.5</v>
      </c>
      <c r="D2245" s="68">
        <v>1.0</v>
      </c>
      <c r="E2245" s="68">
        <v>5.0</v>
      </c>
      <c r="F2245" s="68">
        <v>3.0</v>
      </c>
      <c r="G2245" s="68">
        <v>9.16309281861913</v>
      </c>
      <c r="H2245" s="68">
        <v>218.421754667141</v>
      </c>
      <c r="I2245" s="69">
        <v>44319.02611111111</v>
      </c>
      <c r="J2245" s="69">
        <v>44319.02622685185</v>
      </c>
      <c r="K2245">
        <f>AVERAGE(H2242:H2246)</f>
        <v>103.1504913</v>
      </c>
      <c r="L2245">
        <f>STDEV(H2242:H2246)</f>
        <v>98.71591617</v>
      </c>
      <c r="M2245" s="70">
        <v>218.421754667141</v>
      </c>
      <c r="N2245" s="70">
        <v>218.421754667141</v>
      </c>
      <c r="O2245" s="70">
        <v>9.16309281861913</v>
      </c>
      <c r="P2245" s="70">
        <v>9.16309281861913</v>
      </c>
    </row>
    <row r="2246" hidden="1">
      <c r="A2246" s="67" t="s">
        <v>3006</v>
      </c>
      <c r="B2246" s="67" t="s">
        <v>519</v>
      </c>
      <c r="C2246" s="68">
        <v>0.5</v>
      </c>
      <c r="D2246" s="68">
        <v>1.0</v>
      </c>
      <c r="E2246" s="68">
        <v>5.0</v>
      </c>
      <c r="F2246" s="68">
        <v>4.0</v>
      </c>
      <c r="G2246" s="68">
        <v>1.08813236561883</v>
      </c>
      <c r="H2246" s="68">
        <v>1.45988965629567</v>
      </c>
      <c r="I2246" s="69">
        <v>44319.02694444444</v>
      </c>
      <c r="J2246" s="69">
        <v>44319.02704861111</v>
      </c>
      <c r="K2246">
        <f>AVERAGE(H2242:H2246)</f>
        <v>103.1504913</v>
      </c>
      <c r="L2246">
        <f>STDEV(H2242:H2246)</f>
        <v>98.71591617</v>
      </c>
      <c r="M2246" s="70">
        <v>1.45988965629567</v>
      </c>
      <c r="N2246" s="70">
        <v>1.45988965629567</v>
      </c>
      <c r="O2246" s="70">
        <v>1.08813236561883</v>
      </c>
      <c r="P2246" s="70">
        <v>1.08813236561883</v>
      </c>
    </row>
    <row r="2247" hidden="1">
      <c r="A2247" s="67" t="s">
        <v>3007</v>
      </c>
      <c r="B2247" s="67" t="s">
        <v>519</v>
      </c>
      <c r="C2247" s="68">
        <v>0.75</v>
      </c>
      <c r="D2247" s="68">
        <v>0.1</v>
      </c>
      <c r="E2247" s="68">
        <v>5.0</v>
      </c>
      <c r="F2247" s="68">
        <v>0.0</v>
      </c>
      <c r="G2247" s="68">
        <v>3.27326007891641</v>
      </c>
      <c r="H2247" s="68">
        <v>170.932537965072</v>
      </c>
      <c r="I2247" s="69">
        <v>44319.027766203704</v>
      </c>
      <c r="J2247" s="69">
        <v>44319.062106481484</v>
      </c>
      <c r="K2247">
        <f>AVERAGE(H2247:H2251)</f>
        <v>116.7590486</v>
      </c>
      <c r="L2247">
        <f>STDEV(H2247:H2251)</f>
        <v>97.88174761</v>
      </c>
      <c r="M2247" s="70">
        <v>170.932537965072</v>
      </c>
      <c r="N2247" s="70">
        <v>170.932537965072</v>
      </c>
      <c r="O2247" s="70">
        <v>3.27326007891641</v>
      </c>
      <c r="P2247" s="70">
        <v>3.27326007891641</v>
      </c>
    </row>
    <row r="2248" hidden="1">
      <c r="A2248" s="67" t="s">
        <v>3008</v>
      </c>
      <c r="B2248" s="67" t="s">
        <v>519</v>
      </c>
      <c r="C2248" s="68">
        <v>0.75</v>
      </c>
      <c r="D2248" s="68">
        <v>0.1</v>
      </c>
      <c r="E2248" s="68">
        <v>5.0</v>
      </c>
      <c r="F2248" s="68">
        <v>1.0</v>
      </c>
      <c r="G2248" s="68">
        <v>0.396528241486887</v>
      </c>
      <c r="H2248" s="68">
        <v>0.497167713305429</v>
      </c>
      <c r="I2248" s="69">
        <v>44319.0628125</v>
      </c>
      <c r="J2248" s="69">
        <v>44319.06292824074</v>
      </c>
      <c r="K2248">
        <f>AVERAGE(H2247:H2251)</f>
        <v>116.7590486</v>
      </c>
      <c r="L2248">
        <f>STDEV(H2247:H2251)</f>
        <v>97.88174761</v>
      </c>
      <c r="M2248" s="70">
        <v>0.497167713305429</v>
      </c>
      <c r="N2248" s="70">
        <v>0.497167713305429</v>
      </c>
      <c r="O2248" s="70">
        <v>0.396528241486887</v>
      </c>
      <c r="P2248" s="70">
        <v>0.396528241486887</v>
      </c>
    </row>
    <row r="2249" hidden="1">
      <c r="A2249" s="67" t="s">
        <v>3009</v>
      </c>
      <c r="B2249" s="67" t="s">
        <v>519</v>
      </c>
      <c r="C2249" s="68">
        <v>0.75</v>
      </c>
      <c r="D2249" s="68">
        <v>0.1</v>
      </c>
      <c r="E2249" s="68">
        <v>5.0</v>
      </c>
      <c r="F2249" s="68">
        <v>2.0</v>
      </c>
      <c r="G2249" s="68">
        <v>3.95633998659631</v>
      </c>
      <c r="H2249" s="68">
        <v>169.940482495851</v>
      </c>
      <c r="I2249" s="69">
        <v>44319.06364583333</v>
      </c>
      <c r="J2249" s="69">
        <v>44319.067025462966</v>
      </c>
      <c r="K2249">
        <f>AVERAGE(H2247:H2251)</f>
        <v>116.7590486</v>
      </c>
      <c r="L2249">
        <f>STDEV(H2247:H2251)</f>
        <v>97.88174761</v>
      </c>
      <c r="M2249" s="70">
        <v>169.940482495851</v>
      </c>
      <c r="N2249" s="70">
        <v>169.940482495851</v>
      </c>
      <c r="O2249" s="70">
        <v>3.95633998659631</v>
      </c>
      <c r="P2249" s="70">
        <v>3.95633998659631</v>
      </c>
    </row>
    <row r="2250" hidden="1">
      <c r="A2250" s="67" t="s">
        <v>3010</v>
      </c>
      <c r="B2250" s="67" t="s">
        <v>519</v>
      </c>
      <c r="C2250" s="68">
        <v>0.75</v>
      </c>
      <c r="D2250" s="68">
        <v>0.1</v>
      </c>
      <c r="E2250" s="68">
        <v>5.0</v>
      </c>
      <c r="F2250" s="68">
        <v>3.0</v>
      </c>
      <c r="G2250" s="68">
        <v>9.16728650968161</v>
      </c>
      <c r="H2250" s="68">
        <v>218.690274338287</v>
      </c>
      <c r="I2250" s="69">
        <v>44319.06773148148</v>
      </c>
      <c r="J2250" s="69">
        <v>44319.06784722222</v>
      </c>
      <c r="K2250">
        <f>AVERAGE(H2247:H2251)</f>
        <v>116.7590486</v>
      </c>
      <c r="L2250">
        <f>STDEV(H2247:H2251)</f>
        <v>97.88174761</v>
      </c>
      <c r="M2250" s="70">
        <v>218.690274338287</v>
      </c>
      <c r="N2250" s="70">
        <v>218.690274338287</v>
      </c>
      <c r="O2250" s="70">
        <v>9.16728650968161</v>
      </c>
      <c r="P2250" s="70">
        <v>9.16728650968161</v>
      </c>
    </row>
    <row r="2251" hidden="1">
      <c r="A2251" s="67" t="s">
        <v>3011</v>
      </c>
      <c r="B2251" s="67" t="s">
        <v>519</v>
      </c>
      <c r="C2251" s="68">
        <v>0.75</v>
      </c>
      <c r="D2251" s="68">
        <v>0.1</v>
      </c>
      <c r="E2251" s="68">
        <v>5.0</v>
      </c>
      <c r="F2251" s="68">
        <v>4.0</v>
      </c>
      <c r="G2251" s="68">
        <v>1.46249219824188</v>
      </c>
      <c r="H2251" s="68">
        <v>23.7347804119856</v>
      </c>
      <c r="I2251" s="69">
        <v>44319.068564814814</v>
      </c>
      <c r="J2251" s="69">
        <v>44319.06893518518</v>
      </c>
      <c r="K2251">
        <f>AVERAGE(H2247:H2251)</f>
        <v>116.7590486</v>
      </c>
      <c r="L2251">
        <f>STDEV(H2247:H2251)</f>
        <v>97.88174761</v>
      </c>
      <c r="M2251" s="70">
        <v>23.7347804119856</v>
      </c>
      <c r="N2251" s="70">
        <v>23.7347804119856</v>
      </c>
      <c r="O2251" s="70">
        <v>1.46249219824188</v>
      </c>
      <c r="P2251" s="70">
        <v>1.46249219824188</v>
      </c>
    </row>
    <row r="2252" hidden="1">
      <c r="A2252" s="67" t="s">
        <v>3012</v>
      </c>
      <c r="B2252" s="67" t="s">
        <v>519</v>
      </c>
      <c r="C2252" s="68">
        <v>0.75</v>
      </c>
      <c r="D2252" s="68">
        <v>0.25</v>
      </c>
      <c r="E2252" s="68">
        <v>5.0</v>
      </c>
      <c r="F2252" s="68">
        <v>0.0</v>
      </c>
      <c r="G2252" s="68">
        <v>6.14781044011186</v>
      </c>
      <c r="H2252" s="68">
        <v>173.74350193617</v>
      </c>
      <c r="I2252" s="69">
        <v>44319.06964120371</v>
      </c>
      <c r="J2252" s="69">
        <v>44319.069861111115</v>
      </c>
      <c r="K2252">
        <f>AVERAGE(H2252:H2256)</f>
        <v>185.7230816</v>
      </c>
      <c r="L2252">
        <f>STDEV(H2252:H2256)</f>
        <v>62.72489184</v>
      </c>
      <c r="M2252" s="70">
        <v>173.74350193617</v>
      </c>
      <c r="N2252" s="70">
        <v>173.74350193617</v>
      </c>
      <c r="O2252" s="70">
        <v>6.14781044011186</v>
      </c>
      <c r="P2252" s="70">
        <v>6.14781044011186</v>
      </c>
    </row>
    <row r="2253" hidden="1">
      <c r="A2253" s="67" t="s">
        <v>3013</v>
      </c>
      <c r="B2253" s="67" t="s">
        <v>519</v>
      </c>
      <c r="C2253" s="68">
        <v>0.75</v>
      </c>
      <c r="D2253" s="68">
        <v>0.25</v>
      </c>
      <c r="E2253" s="68">
        <v>5.0</v>
      </c>
      <c r="F2253" s="68">
        <v>1.0</v>
      </c>
      <c r="G2253" s="68">
        <v>2.42758956378056</v>
      </c>
      <c r="H2253" s="68">
        <v>133.909244343252</v>
      </c>
      <c r="I2253" s="69">
        <v>44319.0705787037</v>
      </c>
      <c r="J2253" s="69">
        <v>44319.13474537037</v>
      </c>
      <c r="K2253">
        <f>AVERAGE(H2252:H2256)</f>
        <v>185.7230816</v>
      </c>
      <c r="L2253">
        <f>STDEV(H2252:H2256)</f>
        <v>62.72489184</v>
      </c>
      <c r="M2253" s="70">
        <v>133.909244343252</v>
      </c>
      <c r="N2253" s="70">
        <v>133.909244343252</v>
      </c>
      <c r="O2253" s="70">
        <v>2.42758956378056</v>
      </c>
      <c r="P2253" s="70">
        <v>2.42758956378056</v>
      </c>
    </row>
    <row r="2254" hidden="1">
      <c r="A2254" s="67" t="s">
        <v>3014</v>
      </c>
      <c r="B2254" s="67" t="s">
        <v>519</v>
      </c>
      <c r="C2254" s="68">
        <v>0.75</v>
      </c>
      <c r="D2254" s="68">
        <v>0.25</v>
      </c>
      <c r="E2254" s="68">
        <v>5.0</v>
      </c>
      <c r="F2254" s="68">
        <v>2.0</v>
      </c>
      <c r="G2254" s="68">
        <v>4.82260979348</v>
      </c>
      <c r="H2254" s="68">
        <v>168.085703427503</v>
      </c>
      <c r="I2254" s="69">
        <v>44319.135462962964</v>
      </c>
      <c r="J2254" s="69">
        <v>44319.1355787037</v>
      </c>
      <c r="K2254">
        <f>AVERAGE(H2252:H2256)</f>
        <v>185.7230816</v>
      </c>
      <c r="L2254">
        <f>STDEV(H2252:H2256)</f>
        <v>62.72489184</v>
      </c>
      <c r="M2254" s="70">
        <v>168.085703427503</v>
      </c>
      <c r="N2254" s="70">
        <v>168.085703427503</v>
      </c>
      <c r="O2254" s="70">
        <v>4.82260979348</v>
      </c>
      <c r="P2254" s="70">
        <v>4.82260979348</v>
      </c>
    </row>
    <row r="2255" hidden="1">
      <c r="A2255" s="67" t="s">
        <v>3015</v>
      </c>
      <c r="B2255" s="67" t="s">
        <v>519</v>
      </c>
      <c r="C2255" s="68">
        <v>0.75</v>
      </c>
      <c r="D2255" s="68">
        <v>0.25</v>
      </c>
      <c r="E2255" s="68">
        <v>5.0</v>
      </c>
      <c r="F2255" s="68">
        <v>3.0</v>
      </c>
      <c r="G2255" s="68">
        <v>4.74609805093865</v>
      </c>
      <c r="H2255" s="68">
        <v>158.310291539773</v>
      </c>
      <c r="I2255" s="69">
        <v>44319.13628472222</v>
      </c>
      <c r="J2255" s="69">
        <v>44319.136469907404</v>
      </c>
      <c r="K2255">
        <f>AVERAGE(H2252:H2256)</f>
        <v>185.7230816</v>
      </c>
      <c r="L2255">
        <f>STDEV(H2252:H2256)</f>
        <v>62.72489184</v>
      </c>
      <c r="M2255" s="70">
        <v>158.310291539773</v>
      </c>
      <c r="N2255" s="70">
        <v>158.310291539773</v>
      </c>
      <c r="O2255" s="70">
        <v>4.74609805093865</v>
      </c>
      <c r="P2255" s="70">
        <v>4.74609805093865</v>
      </c>
    </row>
    <row r="2256" hidden="1">
      <c r="A2256" s="67" t="s">
        <v>3016</v>
      </c>
      <c r="B2256" s="67" t="s">
        <v>519</v>
      </c>
      <c r="C2256" s="68">
        <v>0.75</v>
      </c>
      <c r="D2256" s="68">
        <v>0.25</v>
      </c>
      <c r="E2256" s="68">
        <v>5.0</v>
      </c>
      <c r="F2256" s="68">
        <v>4.0</v>
      </c>
      <c r="G2256" s="68">
        <v>8.49447245173756</v>
      </c>
      <c r="H2256" s="68">
        <v>294.566666608721</v>
      </c>
      <c r="I2256" s="69">
        <v>44319.13717592593</v>
      </c>
      <c r="J2256" s="69">
        <v>44319.13811342593</v>
      </c>
      <c r="K2256">
        <f>AVERAGE(H2252:H2256)</f>
        <v>185.7230816</v>
      </c>
      <c r="L2256">
        <f>STDEV(H2252:H2256)</f>
        <v>62.72489184</v>
      </c>
      <c r="M2256" s="70">
        <v>294.566666608721</v>
      </c>
      <c r="N2256" s="70">
        <v>294.566666608721</v>
      </c>
      <c r="O2256" s="70">
        <v>8.49447245173756</v>
      </c>
      <c r="P2256" s="70">
        <v>8.49447245173756</v>
      </c>
    </row>
    <row r="2257" hidden="1">
      <c r="A2257" s="67" t="s">
        <v>3017</v>
      </c>
      <c r="B2257" s="67" t="s">
        <v>519</v>
      </c>
      <c r="C2257" s="68">
        <v>0.75</v>
      </c>
      <c r="D2257" s="68">
        <v>0.5</v>
      </c>
      <c r="E2257" s="68">
        <v>5.0</v>
      </c>
      <c r="F2257" s="68">
        <v>0.0</v>
      </c>
      <c r="G2257" s="68">
        <v>2.30254408325867</v>
      </c>
      <c r="H2257" s="68">
        <v>103.144092572771</v>
      </c>
      <c r="I2257" s="69">
        <v>44319.13883101852</v>
      </c>
      <c r="J2257" s="69">
        <v>44319.13917824074</v>
      </c>
      <c r="K2257">
        <f>AVERAGE(H2257:H2261)</f>
        <v>140.8572515</v>
      </c>
      <c r="L2257">
        <f>STDEV(H2257:H2261)</f>
        <v>101.2335362</v>
      </c>
      <c r="M2257" s="70">
        <v>103.144092572771</v>
      </c>
      <c r="N2257" s="70">
        <v>103.144092572771</v>
      </c>
      <c r="O2257" s="70">
        <v>2.30254408325867</v>
      </c>
      <c r="P2257" s="70">
        <v>2.30254408325867</v>
      </c>
    </row>
    <row r="2258" hidden="1">
      <c r="A2258" s="67" t="s">
        <v>3018</v>
      </c>
      <c r="B2258" s="67" t="s">
        <v>519</v>
      </c>
      <c r="C2258" s="68">
        <v>0.75</v>
      </c>
      <c r="D2258" s="68">
        <v>0.5</v>
      </c>
      <c r="E2258" s="68">
        <v>5.0</v>
      </c>
      <c r="F2258" s="68">
        <v>1.0</v>
      </c>
      <c r="G2258" s="68">
        <v>2.92284393349779</v>
      </c>
      <c r="H2258" s="68">
        <v>148.949079935665</v>
      </c>
      <c r="I2258" s="69">
        <v>44319.13988425926</v>
      </c>
      <c r="J2258" s="69">
        <v>44319.21207175926</v>
      </c>
      <c r="K2258">
        <f>AVERAGE(H2257:H2261)</f>
        <v>140.8572515</v>
      </c>
      <c r="L2258">
        <f>STDEV(H2257:H2261)</f>
        <v>101.2335362</v>
      </c>
      <c r="M2258" s="70">
        <v>148.949079935665</v>
      </c>
      <c r="N2258" s="70">
        <v>148.949079935665</v>
      </c>
      <c r="O2258" s="70">
        <v>2.92284393349779</v>
      </c>
      <c r="P2258" s="70">
        <v>2.92284393349779</v>
      </c>
    </row>
    <row r="2259" hidden="1">
      <c r="A2259" s="67" t="s">
        <v>3019</v>
      </c>
      <c r="B2259" s="67" t="s">
        <v>519</v>
      </c>
      <c r="C2259" s="68">
        <v>0.75</v>
      </c>
      <c r="D2259" s="68">
        <v>0.5</v>
      </c>
      <c r="E2259" s="68">
        <v>5.0</v>
      </c>
      <c r="F2259" s="68">
        <v>2.0</v>
      </c>
      <c r="G2259" s="68">
        <v>4.75325129870394</v>
      </c>
      <c r="H2259" s="68">
        <v>174.04501406761</v>
      </c>
      <c r="I2259" s="69">
        <v>44319.21277777778</v>
      </c>
      <c r="J2259" s="69">
        <v>44319.2130787037</v>
      </c>
      <c r="K2259">
        <f>AVERAGE(H2257:H2261)</f>
        <v>140.8572515</v>
      </c>
      <c r="L2259">
        <f>STDEV(H2257:H2261)</f>
        <v>101.2335362</v>
      </c>
      <c r="M2259" s="70">
        <v>174.04501406761</v>
      </c>
      <c r="N2259" s="70">
        <v>174.04501406761</v>
      </c>
      <c r="O2259" s="70">
        <v>4.75325129870394</v>
      </c>
      <c r="P2259" s="70">
        <v>4.75325129870394</v>
      </c>
    </row>
    <row r="2260" hidden="1">
      <c r="A2260" s="67" t="s">
        <v>3020</v>
      </c>
      <c r="B2260" s="67" t="s">
        <v>519</v>
      </c>
      <c r="C2260" s="68">
        <v>0.75</v>
      </c>
      <c r="D2260" s="68">
        <v>0.5</v>
      </c>
      <c r="E2260" s="68">
        <v>5.0</v>
      </c>
      <c r="F2260" s="68">
        <v>3.0</v>
      </c>
      <c r="G2260" s="68">
        <v>11.1704405542896</v>
      </c>
      <c r="H2260" s="68">
        <v>277.633351232484</v>
      </c>
      <c r="I2260" s="69">
        <v>44319.213796296295</v>
      </c>
      <c r="J2260" s="69">
        <v>44319.2140625</v>
      </c>
      <c r="K2260">
        <f>AVERAGE(H2257:H2261)</f>
        <v>140.8572515</v>
      </c>
      <c r="L2260">
        <f>STDEV(H2257:H2261)</f>
        <v>101.2335362</v>
      </c>
      <c r="M2260" s="70">
        <v>277.633351232484</v>
      </c>
      <c r="N2260" s="70">
        <v>277.633351232484</v>
      </c>
      <c r="O2260" s="70">
        <v>11.1704405542896</v>
      </c>
      <c r="P2260" s="70">
        <v>11.1704405542896</v>
      </c>
    </row>
    <row r="2261" hidden="1">
      <c r="A2261" s="67" t="s">
        <v>3021</v>
      </c>
      <c r="B2261" s="67" t="s">
        <v>519</v>
      </c>
      <c r="C2261" s="68">
        <v>0.75</v>
      </c>
      <c r="D2261" s="68">
        <v>0.5</v>
      </c>
      <c r="E2261" s="68">
        <v>5.0</v>
      </c>
      <c r="F2261" s="68">
        <v>4.0</v>
      </c>
      <c r="G2261" s="68">
        <v>0.430640032667167</v>
      </c>
      <c r="H2261" s="68">
        <v>0.514719488085794</v>
      </c>
      <c r="I2261" s="69">
        <v>44319.214780092596</v>
      </c>
      <c r="J2261" s="69">
        <v>44319.214907407404</v>
      </c>
      <c r="K2261">
        <f>AVERAGE(H2257:H2261)</f>
        <v>140.8572515</v>
      </c>
      <c r="L2261">
        <f>STDEV(H2257:H2261)</f>
        <v>101.2335362</v>
      </c>
      <c r="M2261" s="70">
        <v>0.514719488085794</v>
      </c>
      <c r="N2261" s="70">
        <v>0.514719488085794</v>
      </c>
      <c r="O2261" s="70">
        <v>0.430640032667167</v>
      </c>
      <c r="P2261" s="70">
        <v>0.430640032667167</v>
      </c>
    </row>
    <row r="2262" hidden="1">
      <c r="A2262" s="67" t="s">
        <v>3022</v>
      </c>
      <c r="B2262" s="67" t="s">
        <v>519</v>
      </c>
      <c r="C2262" s="68">
        <v>0.75</v>
      </c>
      <c r="D2262" s="68">
        <v>0.75</v>
      </c>
      <c r="E2262" s="68">
        <v>5.0</v>
      </c>
      <c r="F2262" s="68">
        <v>0.0</v>
      </c>
      <c r="G2262" s="68">
        <v>0.606181780742918</v>
      </c>
      <c r="H2262" s="68">
        <v>0.784365970835277</v>
      </c>
      <c r="I2262" s="69">
        <v>44319.215625</v>
      </c>
      <c r="J2262" s="69">
        <v>44319.21618055556</v>
      </c>
      <c r="K2262">
        <f>AVERAGE(H2262:H2266)</f>
        <v>164.1803335</v>
      </c>
      <c r="L2262">
        <f>STDEV(H2262:H2266)</f>
        <v>103.0748505</v>
      </c>
      <c r="M2262" s="70">
        <v>0.784365970835277</v>
      </c>
      <c r="N2262" s="70">
        <v>0.784365970835277</v>
      </c>
      <c r="O2262" s="70">
        <v>0.606181780742918</v>
      </c>
      <c r="P2262" s="70">
        <v>0.606181780742918</v>
      </c>
    </row>
    <row r="2263" hidden="1">
      <c r="A2263" s="67" t="s">
        <v>3023</v>
      </c>
      <c r="B2263" s="67" t="s">
        <v>519</v>
      </c>
      <c r="C2263" s="68">
        <v>0.75</v>
      </c>
      <c r="D2263" s="68">
        <v>0.75</v>
      </c>
      <c r="E2263" s="68">
        <v>5.0</v>
      </c>
      <c r="F2263" s="68">
        <v>1.0</v>
      </c>
      <c r="G2263" s="68">
        <v>9.15993654676367</v>
      </c>
      <c r="H2263" s="68">
        <v>218.589242910801</v>
      </c>
      <c r="I2263" s="69">
        <v>44319.216898148145</v>
      </c>
      <c r="J2263" s="69">
        <v>44319.21701388889</v>
      </c>
      <c r="K2263">
        <f>AVERAGE(H2262:H2266)</f>
        <v>164.1803335</v>
      </c>
      <c r="L2263">
        <f>STDEV(H2262:H2266)</f>
        <v>103.0748505</v>
      </c>
      <c r="M2263" s="70">
        <v>218.589242910801</v>
      </c>
      <c r="N2263" s="70">
        <v>218.589242910801</v>
      </c>
      <c r="O2263" s="70">
        <v>9.15993654676367</v>
      </c>
      <c r="P2263" s="70">
        <v>9.15993654676367</v>
      </c>
    </row>
    <row r="2264" hidden="1">
      <c r="A2264" s="67" t="s">
        <v>3024</v>
      </c>
      <c r="B2264" s="67" t="s">
        <v>519</v>
      </c>
      <c r="C2264" s="68">
        <v>0.75</v>
      </c>
      <c r="D2264" s="68">
        <v>0.75</v>
      </c>
      <c r="E2264" s="68">
        <v>5.0</v>
      </c>
      <c r="F2264" s="68">
        <v>2.0</v>
      </c>
      <c r="G2264" s="68">
        <v>5.45647846007894</v>
      </c>
      <c r="H2264" s="68">
        <v>170.303022706432</v>
      </c>
      <c r="I2264" s="69">
        <v>44319.21771990741</v>
      </c>
      <c r="J2264" s="69">
        <v>44319.21787037037</v>
      </c>
      <c r="K2264">
        <f>AVERAGE(H2262:H2266)</f>
        <v>164.1803335</v>
      </c>
      <c r="L2264">
        <f>STDEV(H2262:H2266)</f>
        <v>103.0748505</v>
      </c>
      <c r="M2264" s="70">
        <v>170.303022706432</v>
      </c>
      <c r="N2264" s="70">
        <v>170.303022706432</v>
      </c>
      <c r="O2264" s="70">
        <v>5.45647846007894</v>
      </c>
      <c r="P2264" s="70">
        <v>5.45647846007894</v>
      </c>
    </row>
    <row r="2265" hidden="1">
      <c r="A2265" s="67" t="s">
        <v>3025</v>
      </c>
      <c r="B2265" s="67" t="s">
        <v>519</v>
      </c>
      <c r="C2265" s="68">
        <v>0.75</v>
      </c>
      <c r="D2265" s="68">
        <v>0.75</v>
      </c>
      <c r="E2265" s="68">
        <v>5.0</v>
      </c>
      <c r="F2265" s="68">
        <v>3.0</v>
      </c>
      <c r="G2265" s="68">
        <v>3.10628853381693</v>
      </c>
      <c r="H2265" s="68">
        <v>154.329971297643</v>
      </c>
      <c r="I2265" s="69">
        <v>44319.21858796296</v>
      </c>
      <c r="J2265" s="69">
        <v>44319.290625</v>
      </c>
      <c r="K2265">
        <f>AVERAGE(H2262:H2266)</f>
        <v>164.1803335</v>
      </c>
      <c r="L2265">
        <f>STDEV(H2262:H2266)</f>
        <v>103.0748505</v>
      </c>
      <c r="M2265" s="70">
        <v>154.329971297643</v>
      </c>
      <c r="N2265" s="70">
        <v>154.329971297643</v>
      </c>
      <c r="O2265" s="70">
        <v>3.10628853381693</v>
      </c>
      <c r="P2265" s="70">
        <v>3.10628853381693</v>
      </c>
    </row>
    <row r="2266" hidden="1">
      <c r="A2266" s="67" t="s">
        <v>3026</v>
      </c>
      <c r="B2266" s="67" t="s">
        <v>519</v>
      </c>
      <c r="C2266" s="68">
        <v>0.75</v>
      </c>
      <c r="D2266" s="68">
        <v>0.75</v>
      </c>
      <c r="E2266" s="68">
        <v>5.0</v>
      </c>
      <c r="F2266" s="68">
        <v>4.0</v>
      </c>
      <c r="G2266" s="68">
        <v>7.64790764507277</v>
      </c>
      <c r="H2266" s="68">
        <v>276.895064571138</v>
      </c>
      <c r="I2266" s="69">
        <v>44319.291342592594</v>
      </c>
      <c r="J2266" s="69">
        <v>44319.29158564815</v>
      </c>
      <c r="K2266">
        <f>AVERAGE(H2262:H2266)</f>
        <v>164.1803335</v>
      </c>
      <c r="L2266">
        <f>STDEV(H2262:H2266)</f>
        <v>103.0748505</v>
      </c>
      <c r="M2266" s="70">
        <v>276.895064571138</v>
      </c>
      <c r="N2266" s="70">
        <v>276.895064571138</v>
      </c>
      <c r="O2266" s="70">
        <v>7.64790764507277</v>
      </c>
      <c r="P2266" s="70">
        <v>7.64790764507277</v>
      </c>
    </row>
    <row r="2267" hidden="1">
      <c r="A2267" s="67" t="s">
        <v>3027</v>
      </c>
      <c r="B2267" s="67" t="s">
        <v>519</v>
      </c>
      <c r="C2267" s="68">
        <v>0.75</v>
      </c>
      <c r="D2267" s="68">
        <v>1.0</v>
      </c>
      <c r="E2267" s="68">
        <v>5.0</v>
      </c>
      <c r="F2267" s="68">
        <v>0.0</v>
      </c>
      <c r="G2267" s="68">
        <v>3.35724250270845</v>
      </c>
      <c r="H2267" s="68">
        <v>164.099400454402</v>
      </c>
      <c r="I2267" s="69">
        <v>44319.292291666665</v>
      </c>
      <c r="J2267" s="69">
        <v>44319.373136574075</v>
      </c>
      <c r="K2267">
        <f>AVERAGE(H2267:H2271)</f>
        <v>107.9144097</v>
      </c>
      <c r="L2267">
        <f>STDEV(H2267:H2271)</f>
        <v>100.837998</v>
      </c>
      <c r="M2267" s="70">
        <v>164.099400454402</v>
      </c>
      <c r="N2267" s="70">
        <v>164.099400454402</v>
      </c>
      <c r="O2267" s="70">
        <v>3.35724250270845</v>
      </c>
      <c r="P2267" s="70">
        <v>3.35724250270845</v>
      </c>
    </row>
    <row r="2268" hidden="1">
      <c r="A2268" s="67" t="s">
        <v>3028</v>
      </c>
      <c r="B2268" s="67" t="s">
        <v>519</v>
      </c>
      <c r="C2268" s="68">
        <v>0.75</v>
      </c>
      <c r="D2268" s="68">
        <v>1.0</v>
      </c>
      <c r="E2268" s="68">
        <v>5.0</v>
      </c>
      <c r="F2268" s="68">
        <v>1.0</v>
      </c>
      <c r="G2268" s="68">
        <v>0.434839337727584</v>
      </c>
      <c r="H2268" s="68">
        <v>0.519039716006091</v>
      </c>
      <c r="I2268" s="69">
        <v>44319.37385416667</v>
      </c>
      <c r="J2268" s="69">
        <v>44319.37396990741</v>
      </c>
      <c r="K2268">
        <f>AVERAGE(H2267:H2271)</f>
        <v>107.9144097</v>
      </c>
      <c r="L2268">
        <f>STDEV(H2267:H2271)</f>
        <v>100.837998</v>
      </c>
      <c r="M2268" s="70">
        <v>0.519039716006091</v>
      </c>
      <c r="N2268" s="70">
        <v>0.519039716006091</v>
      </c>
      <c r="O2268" s="70">
        <v>0.434839337727584</v>
      </c>
      <c r="P2268" s="70">
        <v>0.434839337727584</v>
      </c>
    </row>
    <row r="2269" hidden="1">
      <c r="A2269" s="67" t="s">
        <v>3029</v>
      </c>
      <c r="B2269" s="67" t="s">
        <v>519</v>
      </c>
      <c r="C2269" s="68">
        <v>0.75</v>
      </c>
      <c r="D2269" s="68">
        <v>1.0</v>
      </c>
      <c r="E2269" s="68">
        <v>5.0</v>
      </c>
      <c r="F2269" s="68">
        <v>2.0</v>
      </c>
      <c r="G2269" s="68">
        <v>0.696332658760867</v>
      </c>
      <c r="H2269" s="68">
        <v>0.915935142035601</v>
      </c>
      <c r="I2269" s="69">
        <v>44319.37467592592</v>
      </c>
      <c r="J2269" s="69">
        <v>44319.37489583333</v>
      </c>
      <c r="K2269">
        <f>AVERAGE(H2267:H2271)</f>
        <v>107.9144097</v>
      </c>
      <c r="L2269">
        <f>STDEV(H2267:H2271)</f>
        <v>100.837998</v>
      </c>
      <c r="M2269" s="70">
        <v>0.915935142035601</v>
      </c>
      <c r="N2269" s="70">
        <v>0.915935142035601</v>
      </c>
      <c r="O2269" s="70">
        <v>0.696332658760867</v>
      </c>
      <c r="P2269" s="70">
        <v>0.696332658760867</v>
      </c>
    </row>
    <row r="2270" hidden="1">
      <c r="A2270" s="67" t="s">
        <v>3030</v>
      </c>
      <c r="B2270" s="67" t="s">
        <v>519</v>
      </c>
      <c r="C2270" s="68">
        <v>0.75</v>
      </c>
      <c r="D2270" s="68">
        <v>1.0</v>
      </c>
      <c r="E2270" s="68">
        <v>5.0</v>
      </c>
      <c r="F2270" s="68">
        <v>3.0</v>
      </c>
      <c r="G2270" s="68">
        <v>4.77029399336047</v>
      </c>
      <c r="H2270" s="68">
        <v>155.246250669808</v>
      </c>
      <c r="I2270" s="69">
        <v>44319.375601851854</v>
      </c>
      <c r="J2270" s="69">
        <v>44319.37579861111</v>
      </c>
      <c r="K2270">
        <f>AVERAGE(H2267:H2271)</f>
        <v>107.9144097</v>
      </c>
      <c r="L2270">
        <f>STDEV(H2267:H2271)</f>
        <v>100.837998</v>
      </c>
      <c r="M2270" s="70">
        <v>155.246250669808</v>
      </c>
      <c r="N2270" s="70">
        <v>155.246250669808</v>
      </c>
      <c r="O2270" s="70">
        <v>4.77029399336047</v>
      </c>
      <c r="P2270" s="70">
        <v>4.77029399336047</v>
      </c>
    </row>
    <row r="2271" hidden="1">
      <c r="A2271" s="67" t="s">
        <v>3031</v>
      </c>
      <c r="B2271" s="67" t="s">
        <v>519</v>
      </c>
      <c r="C2271" s="68">
        <v>0.75</v>
      </c>
      <c r="D2271" s="68">
        <v>1.0</v>
      </c>
      <c r="E2271" s="68">
        <v>5.0</v>
      </c>
      <c r="F2271" s="68">
        <v>4.0</v>
      </c>
      <c r="G2271" s="68">
        <v>9.17672354867105</v>
      </c>
      <c r="H2271" s="68">
        <v>218.79142230488</v>
      </c>
      <c r="I2271" s="69">
        <v>44319.3765162037</v>
      </c>
      <c r="J2271" s="69">
        <v>44319.37663194445</v>
      </c>
      <c r="K2271">
        <f>AVERAGE(H2267:H2271)</f>
        <v>107.9144097</v>
      </c>
      <c r="L2271">
        <f>STDEV(H2267:H2271)</f>
        <v>100.837998</v>
      </c>
      <c r="M2271" s="70">
        <v>218.79142230488</v>
      </c>
      <c r="N2271" s="70">
        <v>218.79142230488</v>
      </c>
      <c r="O2271" s="70">
        <v>9.17672354867105</v>
      </c>
      <c r="P2271" s="70">
        <v>9.17672354867105</v>
      </c>
    </row>
    <row r="2272" hidden="1">
      <c r="A2272" s="67" t="s">
        <v>3032</v>
      </c>
      <c r="B2272" s="67" t="s">
        <v>519</v>
      </c>
      <c r="C2272" s="68">
        <v>1.0</v>
      </c>
      <c r="D2272" s="68">
        <v>0.1</v>
      </c>
      <c r="E2272" s="68">
        <v>5.0</v>
      </c>
      <c r="F2272" s="68">
        <v>0.0</v>
      </c>
      <c r="G2272" s="68">
        <v>0.951271038673439</v>
      </c>
      <c r="H2272" s="68">
        <v>13.9971051848982</v>
      </c>
      <c r="I2272" s="69">
        <v>44319.377337962964</v>
      </c>
      <c r="J2272" s="69">
        <v>44319.37741898148</v>
      </c>
      <c r="K2272">
        <f>AVERAGE(H2272:H2276)</f>
        <v>138.6774586</v>
      </c>
      <c r="L2272">
        <f>STDEV(H2272:H2276)</f>
        <v>70.27493658</v>
      </c>
      <c r="M2272" s="70">
        <v>13.9971051848982</v>
      </c>
      <c r="N2272" s="70">
        <v>13.9971051848982</v>
      </c>
      <c r="O2272" s="70">
        <v>0.951271038673439</v>
      </c>
      <c r="P2272" s="70">
        <v>0.951271038673439</v>
      </c>
    </row>
    <row r="2273" hidden="1">
      <c r="A2273" s="67" t="s">
        <v>3033</v>
      </c>
      <c r="B2273" s="67" t="s">
        <v>519</v>
      </c>
      <c r="C2273" s="68">
        <v>1.0</v>
      </c>
      <c r="D2273" s="68">
        <v>0.1</v>
      </c>
      <c r="E2273" s="68">
        <v>5.0</v>
      </c>
      <c r="F2273" s="68">
        <v>1.0</v>
      </c>
      <c r="G2273" s="68">
        <v>6.1988300702717</v>
      </c>
      <c r="H2273" s="68">
        <v>177.478745802486</v>
      </c>
      <c r="I2273" s="69">
        <v>44319.37813657407</v>
      </c>
      <c r="J2273" s="69">
        <v>44319.37832175926</v>
      </c>
      <c r="K2273">
        <f>AVERAGE(H2272:H2276)</f>
        <v>138.6774586</v>
      </c>
      <c r="L2273">
        <f>STDEV(H2272:H2276)</f>
        <v>70.27493658</v>
      </c>
      <c r="M2273" s="70">
        <v>177.478745802486</v>
      </c>
      <c r="N2273" s="70">
        <v>177.478745802486</v>
      </c>
      <c r="O2273" s="70">
        <v>6.1988300702717</v>
      </c>
      <c r="P2273" s="70">
        <v>6.1988300702717</v>
      </c>
    </row>
    <row r="2274" hidden="1">
      <c r="A2274" s="67" t="s">
        <v>3034</v>
      </c>
      <c r="B2274" s="67" t="s">
        <v>519</v>
      </c>
      <c r="C2274" s="68">
        <v>1.0</v>
      </c>
      <c r="D2274" s="68">
        <v>0.1</v>
      </c>
      <c r="E2274" s="68">
        <v>5.0</v>
      </c>
      <c r="F2274" s="68">
        <v>2.0</v>
      </c>
      <c r="G2274" s="68">
        <v>3.64357921816931</v>
      </c>
      <c r="H2274" s="68">
        <v>179.836361094725</v>
      </c>
      <c r="I2274" s="69">
        <v>44319.37903935185</v>
      </c>
      <c r="J2274" s="69">
        <v>44319.37914351852</v>
      </c>
      <c r="K2274">
        <f>AVERAGE(H2272:H2276)</f>
        <v>138.6774586</v>
      </c>
      <c r="L2274">
        <f>STDEV(H2272:H2276)</f>
        <v>70.27493658</v>
      </c>
      <c r="M2274" s="70">
        <v>179.836361094725</v>
      </c>
      <c r="N2274" s="70">
        <v>179.836361094725</v>
      </c>
      <c r="O2274" s="70">
        <v>3.64357921816931</v>
      </c>
      <c r="P2274" s="70">
        <v>3.64357921816931</v>
      </c>
    </row>
    <row r="2275" hidden="1">
      <c r="A2275" s="67" t="s">
        <v>3035</v>
      </c>
      <c r="B2275" s="67" t="s">
        <v>519</v>
      </c>
      <c r="C2275" s="68">
        <v>1.0</v>
      </c>
      <c r="D2275" s="68">
        <v>0.1</v>
      </c>
      <c r="E2275" s="68">
        <v>5.0</v>
      </c>
      <c r="F2275" s="68">
        <v>3.0</v>
      </c>
      <c r="G2275" s="68">
        <v>5.43341355434447</v>
      </c>
      <c r="H2275" s="68">
        <v>163.220960965738</v>
      </c>
      <c r="I2275" s="69">
        <v>44319.37986111111</v>
      </c>
      <c r="J2275" s="69">
        <v>44319.3800462963</v>
      </c>
      <c r="K2275">
        <f>AVERAGE(H2272:H2276)</f>
        <v>138.6774586</v>
      </c>
      <c r="L2275">
        <f>STDEV(H2272:H2276)</f>
        <v>70.27493658</v>
      </c>
      <c r="M2275" s="70">
        <v>163.220960965738</v>
      </c>
      <c r="N2275" s="70">
        <v>163.220960965738</v>
      </c>
      <c r="O2275" s="70">
        <v>5.43341355434447</v>
      </c>
      <c r="P2275" s="70">
        <v>5.43341355434447</v>
      </c>
    </row>
    <row r="2276" hidden="1">
      <c r="A2276" s="67" t="s">
        <v>3036</v>
      </c>
      <c r="B2276" s="67" t="s">
        <v>519</v>
      </c>
      <c r="C2276" s="68">
        <v>1.0</v>
      </c>
      <c r="D2276" s="68">
        <v>0.1</v>
      </c>
      <c r="E2276" s="68">
        <v>5.0</v>
      </c>
      <c r="F2276" s="68">
        <v>4.0</v>
      </c>
      <c r="G2276" s="68">
        <v>3.15858098012156</v>
      </c>
      <c r="H2276" s="68">
        <v>158.854120070592</v>
      </c>
      <c r="I2276" s="69">
        <v>44319.38075231481</v>
      </c>
      <c r="J2276" s="69">
        <v>44319.45958333334</v>
      </c>
      <c r="K2276">
        <f>AVERAGE(H2272:H2276)</f>
        <v>138.6774586</v>
      </c>
      <c r="L2276">
        <f>STDEV(H2272:H2276)</f>
        <v>70.27493658</v>
      </c>
      <c r="M2276" s="70">
        <v>158.854120070592</v>
      </c>
      <c r="N2276" s="70">
        <v>158.854120070592</v>
      </c>
      <c r="O2276" s="70">
        <v>3.15858098012156</v>
      </c>
      <c r="P2276" s="70">
        <v>3.15858098012156</v>
      </c>
    </row>
    <row r="2277" hidden="1">
      <c r="A2277" s="67" t="s">
        <v>3037</v>
      </c>
      <c r="B2277" s="67" t="s">
        <v>519</v>
      </c>
      <c r="C2277" s="68">
        <v>1.0</v>
      </c>
      <c r="D2277" s="68">
        <v>0.25</v>
      </c>
      <c r="E2277" s="68">
        <v>5.0</v>
      </c>
      <c r="F2277" s="68">
        <v>0.0</v>
      </c>
      <c r="G2277" s="68">
        <v>3.47812911728803</v>
      </c>
      <c r="H2277" s="68">
        <v>170.830669052651</v>
      </c>
      <c r="I2277" s="69">
        <v>44319.46028935185</v>
      </c>
      <c r="J2277" s="69">
        <v>44319.514375</v>
      </c>
      <c r="K2277">
        <f>AVERAGE(H2277:H2281)</f>
        <v>114.541078</v>
      </c>
      <c r="L2277">
        <f>STDEV(H2277:H2281)</f>
        <v>61.94281434</v>
      </c>
      <c r="M2277" s="70">
        <v>170.830669052651</v>
      </c>
      <c r="N2277" s="70">
        <v>170.830669052651</v>
      </c>
      <c r="O2277" s="70">
        <v>3.47812911728803</v>
      </c>
      <c r="P2277" s="70">
        <v>3.47812911728803</v>
      </c>
    </row>
    <row r="2278" hidden="1">
      <c r="A2278" s="67" t="s">
        <v>3038</v>
      </c>
      <c r="B2278" s="67" t="s">
        <v>519</v>
      </c>
      <c r="C2278" s="68">
        <v>1.0</v>
      </c>
      <c r="D2278" s="68">
        <v>0.25</v>
      </c>
      <c r="E2278" s="68">
        <v>5.0</v>
      </c>
      <c r="F2278" s="68">
        <v>1.0</v>
      </c>
      <c r="G2278" s="68">
        <v>0.578395978654642</v>
      </c>
      <c r="H2278" s="68">
        <v>11.3450548532629</v>
      </c>
      <c r="I2278" s="69">
        <v>44319.51509259259</v>
      </c>
      <c r="J2278" s="69">
        <v>44319.51552083333</v>
      </c>
      <c r="K2278">
        <f>AVERAGE(H2277:H2281)</f>
        <v>114.541078</v>
      </c>
      <c r="L2278">
        <f>STDEV(H2277:H2281)</f>
        <v>61.94281434</v>
      </c>
      <c r="M2278" s="70">
        <v>11.3450548532629</v>
      </c>
      <c r="N2278" s="70">
        <v>11.3450548532629</v>
      </c>
      <c r="O2278" s="70">
        <v>0.578395978654642</v>
      </c>
      <c r="P2278" s="70">
        <v>0.578395978654642</v>
      </c>
    </row>
    <row r="2279" hidden="1">
      <c r="A2279" s="67" t="s">
        <v>3039</v>
      </c>
      <c r="B2279" s="67" t="s">
        <v>519</v>
      </c>
      <c r="C2279" s="68">
        <v>1.0</v>
      </c>
      <c r="D2279" s="68">
        <v>0.25</v>
      </c>
      <c r="E2279" s="68">
        <v>5.0</v>
      </c>
      <c r="F2279" s="68">
        <v>2.0</v>
      </c>
      <c r="G2279" s="68">
        <v>6.41066677783066</v>
      </c>
      <c r="H2279" s="68">
        <v>134.201984945011</v>
      </c>
      <c r="I2279" s="69">
        <v>44319.516238425924</v>
      </c>
      <c r="J2279" s="69">
        <v>44319.51627314815</v>
      </c>
      <c r="K2279">
        <f>AVERAGE(H2277:H2281)</f>
        <v>114.541078</v>
      </c>
      <c r="L2279">
        <f>STDEV(H2277:H2281)</f>
        <v>61.94281434</v>
      </c>
      <c r="M2279" s="70">
        <v>134.201984945011</v>
      </c>
      <c r="N2279" s="70">
        <v>134.201984945011</v>
      </c>
      <c r="O2279" s="70">
        <v>6.41066677783066</v>
      </c>
      <c r="P2279" s="70">
        <v>6.41066677783066</v>
      </c>
    </row>
    <row r="2280" hidden="1">
      <c r="A2280" s="67" t="s">
        <v>3040</v>
      </c>
      <c r="B2280" s="67" t="s">
        <v>519</v>
      </c>
      <c r="C2280" s="68">
        <v>1.0</v>
      </c>
      <c r="D2280" s="68">
        <v>0.25</v>
      </c>
      <c r="E2280" s="68">
        <v>5.0</v>
      </c>
      <c r="F2280" s="68">
        <v>3.0</v>
      </c>
      <c r="G2280" s="68">
        <v>4.22618154809841</v>
      </c>
      <c r="H2280" s="68">
        <v>108.516943121163</v>
      </c>
      <c r="I2280" s="69">
        <v>44319.51697916666</v>
      </c>
      <c r="J2280" s="69">
        <v>44319.517233796294</v>
      </c>
      <c r="K2280">
        <f>AVERAGE(H2277:H2281)</f>
        <v>114.541078</v>
      </c>
      <c r="L2280">
        <f>STDEV(H2277:H2281)</f>
        <v>61.94281434</v>
      </c>
      <c r="M2280" s="70">
        <v>108.516943121163</v>
      </c>
      <c r="N2280" s="70">
        <v>108.516943121163</v>
      </c>
      <c r="O2280" s="70">
        <v>4.22618154809841</v>
      </c>
      <c r="P2280" s="70">
        <v>4.22618154809841</v>
      </c>
    </row>
    <row r="2281" hidden="1">
      <c r="A2281" s="67" t="s">
        <v>3041</v>
      </c>
      <c r="B2281" s="67" t="s">
        <v>519</v>
      </c>
      <c r="C2281" s="68">
        <v>1.0</v>
      </c>
      <c r="D2281" s="68">
        <v>0.25</v>
      </c>
      <c r="E2281" s="68">
        <v>5.0</v>
      </c>
      <c r="F2281" s="68">
        <v>4.0</v>
      </c>
      <c r="G2281" s="68">
        <v>3.95714297167333</v>
      </c>
      <c r="H2281" s="68">
        <v>147.810737967167</v>
      </c>
      <c r="I2281" s="69">
        <v>44319.51793981482</v>
      </c>
      <c r="J2281" s="69">
        <v>44319.51832175926</v>
      </c>
      <c r="K2281">
        <f>AVERAGE(H2277:H2281)</f>
        <v>114.541078</v>
      </c>
      <c r="L2281">
        <f>STDEV(H2277:H2281)</f>
        <v>61.94281434</v>
      </c>
      <c r="M2281" s="70">
        <v>147.810737967167</v>
      </c>
      <c r="N2281" s="70">
        <v>147.810737967167</v>
      </c>
      <c r="O2281" s="70">
        <v>3.95714297167333</v>
      </c>
      <c r="P2281" s="70">
        <v>3.95714297167333</v>
      </c>
    </row>
    <row r="2282" hidden="1">
      <c r="A2282" s="67" t="s">
        <v>3042</v>
      </c>
      <c r="B2282" s="67" t="s">
        <v>519</v>
      </c>
      <c r="C2282" s="68">
        <v>1.0</v>
      </c>
      <c r="D2282" s="68">
        <v>0.5</v>
      </c>
      <c r="E2282" s="68">
        <v>5.0</v>
      </c>
      <c r="F2282" s="68">
        <v>0.0</v>
      </c>
      <c r="G2282" s="68">
        <v>3.48080598566861</v>
      </c>
      <c r="H2282" s="68">
        <v>144.597357286501</v>
      </c>
      <c r="I2282" s="69">
        <v>44319.51902777778</v>
      </c>
      <c r="J2282" s="69">
        <v>44319.51940972222</v>
      </c>
      <c r="K2282">
        <f>AVERAGE(H2282:H2286)</f>
        <v>142.700572</v>
      </c>
      <c r="L2282">
        <f>STDEV(H2282:H2286)</f>
        <v>84.05462323</v>
      </c>
      <c r="M2282" s="70">
        <v>144.597357286501</v>
      </c>
      <c r="N2282" s="70">
        <v>144.597357286501</v>
      </c>
      <c r="O2282" s="70">
        <v>3.48080598566861</v>
      </c>
      <c r="P2282" s="70">
        <v>3.48080598566861</v>
      </c>
    </row>
    <row r="2283" hidden="1">
      <c r="A2283" s="67" t="s">
        <v>3043</v>
      </c>
      <c r="B2283" s="67" t="s">
        <v>519</v>
      </c>
      <c r="C2283" s="68">
        <v>1.0</v>
      </c>
      <c r="D2283" s="68">
        <v>0.5</v>
      </c>
      <c r="E2283" s="68">
        <v>5.0</v>
      </c>
      <c r="F2283" s="68">
        <v>1.0</v>
      </c>
      <c r="G2283" s="68">
        <v>0.472514299291177</v>
      </c>
      <c r="H2283" s="68">
        <v>0.692839812737027</v>
      </c>
      <c r="I2283" s="69">
        <v>44319.52011574074</v>
      </c>
      <c r="J2283" s="69">
        <v>44319.52018518518</v>
      </c>
      <c r="K2283">
        <f>AVERAGE(H2282:H2286)</f>
        <v>142.700572</v>
      </c>
      <c r="L2283">
        <f>STDEV(H2282:H2286)</f>
        <v>84.05462323</v>
      </c>
      <c r="M2283" s="70">
        <v>0.692839812737027</v>
      </c>
      <c r="N2283" s="70">
        <v>0.692839812737027</v>
      </c>
      <c r="O2283" s="70">
        <v>0.472514299291177</v>
      </c>
      <c r="P2283" s="70">
        <v>0.472514299291177</v>
      </c>
    </row>
    <row r="2284" hidden="1">
      <c r="A2284" s="67" t="s">
        <v>3044</v>
      </c>
      <c r="B2284" s="67" t="s">
        <v>519</v>
      </c>
      <c r="C2284" s="68">
        <v>1.0</v>
      </c>
      <c r="D2284" s="68">
        <v>0.5</v>
      </c>
      <c r="E2284" s="68">
        <v>5.0</v>
      </c>
      <c r="F2284" s="68">
        <v>2.0</v>
      </c>
      <c r="G2284" s="68">
        <v>3.12964648962818</v>
      </c>
      <c r="H2284" s="68">
        <v>158.801096558533</v>
      </c>
      <c r="I2284" s="69">
        <v>44319.520891203705</v>
      </c>
      <c r="J2284" s="69">
        <v>44319.59861111111</v>
      </c>
      <c r="K2284">
        <f>AVERAGE(H2282:H2286)</f>
        <v>142.700572</v>
      </c>
      <c r="L2284">
        <f>STDEV(H2282:H2286)</f>
        <v>84.05462323</v>
      </c>
      <c r="M2284" s="70">
        <v>158.801096558533</v>
      </c>
      <c r="N2284" s="70">
        <v>158.801096558533</v>
      </c>
      <c r="O2284" s="70">
        <v>3.12964648962818</v>
      </c>
      <c r="P2284" s="70">
        <v>3.12964648962818</v>
      </c>
    </row>
    <row r="2285" hidden="1">
      <c r="A2285" s="67" t="s">
        <v>3045</v>
      </c>
      <c r="B2285" s="67" t="s">
        <v>519</v>
      </c>
      <c r="C2285" s="68">
        <v>1.0</v>
      </c>
      <c r="D2285" s="68">
        <v>0.5</v>
      </c>
      <c r="E2285" s="68">
        <v>5.0</v>
      </c>
      <c r="F2285" s="68">
        <v>3.0</v>
      </c>
      <c r="G2285" s="68">
        <v>6.61795276101304</v>
      </c>
      <c r="H2285" s="68">
        <v>196.26760776154</v>
      </c>
      <c r="I2285" s="69">
        <v>44319.599328703705</v>
      </c>
      <c r="J2285" s="69">
        <v>44319.59939814815</v>
      </c>
      <c r="K2285">
        <f>AVERAGE(H2282:H2286)</f>
        <v>142.700572</v>
      </c>
      <c r="L2285">
        <f>STDEV(H2282:H2286)</f>
        <v>84.05462323</v>
      </c>
      <c r="M2285" s="70">
        <v>196.26760776154</v>
      </c>
      <c r="N2285" s="70">
        <v>196.26760776154</v>
      </c>
      <c r="O2285" s="70">
        <v>6.61795276101304</v>
      </c>
      <c r="P2285" s="70">
        <v>6.61795276101304</v>
      </c>
    </row>
    <row r="2286" hidden="1">
      <c r="A2286" s="67" t="s">
        <v>3046</v>
      </c>
      <c r="B2286" s="67" t="s">
        <v>519</v>
      </c>
      <c r="C2286" s="68">
        <v>1.0</v>
      </c>
      <c r="D2286" s="68">
        <v>0.5</v>
      </c>
      <c r="E2286" s="68">
        <v>5.0</v>
      </c>
      <c r="F2286" s="68">
        <v>4.0</v>
      </c>
      <c r="G2286" s="68">
        <v>7.80512533834192</v>
      </c>
      <c r="H2286" s="68">
        <v>213.143958752364</v>
      </c>
      <c r="I2286" s="69">
        <v>44319.60011574074</v>
      </c>
      <c r="J2286" s="69">
        <v>44319.60028935185</v>
      </c>
      <c r="K2286">
        <f>AVERAGE(H2282:H2286)</f>
        <v>142.700572</v>
      </c>
      <c r="L2286">
        <f>STDEV(H2282:H2286)</f>
        <v>84.05462323</v>
      </c>
      <c r="M2286" s="70">
        <v>213.143958752364</v>
      </c>
      <c r="N2286" s="70">
        <v>213.143958752364</v>
      </c>
      <c r="O2286" s="70">
        <v>7.80512533834192</v>
      </c>
      <c r="P2286" s="70">
        <v>7.80512533834192</v>
      </c>
    </row>
    <row r="2287" hidden="1">
      <c r="A2287" s="67" t="s">
        <v>3047</v>
      </c>
      <c r="B2287" s="67" t="s">
        <v>519</v>
      </c>
      <c r="C2287" s="68">
        <v>1.0</v>
      </c>
      <c r="D2287" s="68">
        <v>0.75</v>
      </c>
      <c r="E2287" s="68">
        <v>5.0</v>
      </c>
      <c r="F2287" s="68">
        <v>0.0</v>
      </c>
      <c r="G2287" s="68">
        <v>2.5170687787092</v>
      </c>
      <c r="H2287" s="68">
        <v>134.194118469733</v>
      </c>
      <c r="I2287" s="69">
        <v>44319.601006944446</v>
      </c>
      <c r="J2287" s="69">
        <v>44319.66673611111</v>
      </c>
      <c r="K2287">
        <f>AVERAGE(H2287:H2291)</f>
        <v>169.6217258</v>
      </c>
      <c r="L2287">
        <f>STDEV(H2287:H2291)</f>
        <v>102.0976669</v>
      </c>
      <c r="M2287" s="70">
        <v>134.194118469733</v>
      </c>
      <c r="N2287" s="70">
        <v>134.194118469733</v>
      </c>
      <c r="O2287" s="70">
        <v>2.5170687787092</v>
      </c>
      <c r="P2287" s="70">
        <v>2.5170687787092</v>
      </c>
    </row>
    <row r="2288" hidden="1">
      <c r="A2288" s="67" t="s">
        <v>3048</v>
      </c>
      <c r="B2288" s="67" t="s">
        <v>519</v>
      </c>
      <c r="C2288" s="68">
        <v>1.0</v>
      </c>
      <c r="D2288" s="68">
        <v>0.75</v>
      </c>
      <c r="E2288" s="68">
        <v>5.0</v>
      </c>
      <c r="F2288" s="68">
        <v>1.0</v>
      </c>
      <c r="G2288" s="68">
        <v>8.5852502609336</v>
      </c>
      <c r="H2288" s="68">
        <v>296.210745803508</v>
      </c>
      <c r="I2288" s="69">
        <v>44319.6674537037</v>
      </c>
      <c r="J2288" s="69">
        <v>44319.668333333335</v>
      </c>
      <c r="K2288">
        <f>AVERAGE(H2287:H2291)</f>
        <v>169.6217258</v>
      </c>
      <c r="L2288">
        <f>STDEV(H2287:H2291)</f>
        <v>102.0976669</v>
      </c>
      <c r="M2288" s="70">
        <v>296.210745803508</v>
      </c>
      <c r="N2288" s="70">
        <v>296.210745803508</v>
      </c>
      <c r="O2288" s="70">
        <v>8.5852502609336</v>
      </c>
      <c r="P2288" s="70">
        <v>8.5852502609336</v>
      </c>
    </row>
    <row r="2289" hidden="1">
      <c r="A2289" s="67" t="s">
        <v>3049</v>
      </c>
      <c r="B2289" s="67" t="s">
        <v>519</v>
      </c>
      <c r="C2289" s="68">
        <v>1.0</v>
      </c>
      <c r="D2289" s="68">
        <v>0.75</v>
      </c>
      <c r="E2289" s="68">
        <v>5.0</v>
      </c>
      <c r="F2289" s="68">
        <v>2.0</v>
      </c>
      <c r="G2289" s="68">
        <v>1.44756650836221</v>
      </c>
      <c r="H2289" s="68">
        <v>21.5806253188816</v>
      </c>
      <c r="I2289" s="69">
        <v>44319.66905092593</v>
      </c>
      <c r="J2289" s="69">
        <v>44319.669594907406</v>
      </c>
      <c r="K2289">
        <f>AVERAGE(H2287:H2291)</f>
        <v>169.6217258</v>
      </c>
      <c r="L2289">
        <f>STDEV(H2287:H2291)</f>
        <v>102.0976669</v>
      </c>
      <c r="M2289" s="70">
        <v>21.5806253188816</v>
      </c>
      <c r="N2289" s="70">
        <v>21.5806253188816</v>
      </c>
      <c r="O2289" s="70">
        <v>1.44756650836221</v>
      </c>
      <c r="P2289" s="70">
        <v>1.44756650836221</v>
      </c>
    </row>
    <row r="2290" hidden="1">
      <c r="A2290" s="67" t="s">
        <v>3050</v>
      </c>
      <c r="B2290" s="67" t="s">
        <v>519</v>
      </c>
      <c r="C2290" s="68">
        <v>1.0</v>
      </c>
      <c r="D2290" s="68">
        <v>0.75</v>
      </c>
      <c r="E2290" s="68">
        <v>5.0</v>
      </c>
      <c r="F2290" s="68">
        <v>3.0</v>
      </c>
      <c r="G2290" s="68">
        <v>5.97534073794284</v>
      </c>
      <c r="H2290" s="68">
        <v>177.061305997343</v>
      </c>
      <c r="I2290" s="69">
        <v>44319.67030092593</v>
      </c>
      <c r="J2290" s="69">
        <v>44319.67045138889</v>
      </c>
      <c r="K2290">
        <f>AVERAGE(H2287:H2291)</f>
        <v>169.6217258</v>
      </c>
      <c r="L2290">
        <f>STDEV(H2287:H2291)</f>
        <v>102.0976669</v>
      </c>
      <c r="M2290" s="70">
        <v>177.061305997343</v>
      </c>
      <c r="N2290" s="70">
        <v>177.061305997343</v>
      </c>
      <c r="O2290" s="70">
        <v>5.97534073794284</v>
      </c>
      <c r="P2290" s="70">
        <v>5.97534073794284</v>
      </c>
    </row>
    <row r="2291" hidden="1">
      <c r="A2291" s="67" t="s">
        <v>3051</v>
      </c>
      <c r="B2291" s="67" t="s">
        <v>519</v>
      </c>
      <c r="C2291" s="68">
        <v>1.0</v>
      </c>
      <c r="D2291" s="68">
        <v>0.75</v>
      </c>
      <c r="E2291" s="68">
        <v>5.0</v>
      </c>
      <c r="F2291" s="68">
        <v>4.0</v>
      </c>
      <c r="G2291" s="68">
        <v>9.19716728696744</v>
      </c>
      <c r="H2291" s="68">
        <v>219.061833160824</v>
      </c>
      <c r="I2291" s="69">
        <v>44319.67115740741</v>
      </c>
      <c r="J2291" s="69">
        <v>44319.671273148146</v>
      </c>
      <c r="K2291">
        <f>AVERAGE(H2287:H2291)</f>
        <v>169.6217258</v>
      </c>
      <c r="L2291">
        <f>STDEV(H2287:H2291)</f>
        <v>102.0976669</v>
      </c>
      <c r="M2291" s="70">
        <v>219.061833160824</v>
      </c>
      <c r="N2291" s="70">
        <v>219.061833160824</v>
      </c>
      <c r="O2291" s="70">
        <v>9.19716728696744</v>
      </c>
      <c r="P2291" s="70">
        <v>9.19716728696744</v>
      </c>
    </row>
    <row r="2292" hidden="1">
      <c r="A2292" s="67" t="s">
        <v>3052</v>
      </c>
      <c r="B2292" s="67" t="s">
        <v>519</v>
      </c>
      <c r="C2292" s="68">
        <v>1.0</v>
      </c>
      <c r="D2292" s="68">
        <v>1.0</v>
      </c>
      <c r="E2292" s="68">
        <v>5.0</v>
      </c>
      <c r="F2292" s="68">
        <v>0.0</v>
      </c>
      <c r="G2292" s="68">
        <v>0.159111599352397</v>
      </c>
      <c r="H2292" s="68">
        <v>0.331849744796775</v>
      </c>
      <c r="I2292" s="69">
        <v>44319.67199074074</v>
      </c>
      <c r="J2292" s="69">
        <v>44319.672002314815</v>
      </c>
      <c r="K2292">
        <f>AVERAGE(H2292:H2296)</f>
        <v>114.8245821</v>
      </c>
      <c r="L2292">
        <f>STDEV(H2292:H2296)</f>
        <v>110.0190078</v>
      </c>
      <c r="M2292" s="70">
        <v>0.331849744796775</v>
      </c>
      <c r="N2292" s="70">
        <v>0.331849744796775</v>
      </c>
      <c r="O2292" s="70">
        <v>0.159111599352397</v>
      </c>
      <c r="P2292" s="70">
        <v>0.159111599352397</v>
      </c>
    </row>
    <row r="2293" hidden="1">
      <c r="A2293" s="67" t="s">
        <v>3053</v>
      </c>
      <c r="B2293" s="67" t="s">
        <v>519</v>
      </c>
      <c r="C2293" s="68">
        <v>1.0</v>
      </c>
      <c r="D2293" s="68">
        <v>1.0</v>
      </c>
      <c r="E2293" s="68">
        <v>5.0</v>
      </c>
      <c r="F2293" s="68">
        <v>1.0</v>
      </c>
      <c r="G2293" s="68">
        <v>11.6143962719938</v>
      </c>
      <c r="H2293" s="68">
        <v>247.086442909022</v>
      </c>
      <c r="I2293" s="69">
        <v>44319.67270833333</v>
      </c>
      <c r="J2293" s="69">
        <v>44319.672789351855</v>
      </c>
      <c r="K2293">
        <f>AVERAGE(H2292:H2296)</f>
        <v>114.8245821</v>
      </c>
      <c r="L2293">
        <f>STDEV(H2292:H2296)</f>
        <v>110.0190078</v>
      </c>
      <c r="M2293" s="70">
        <v>247.086442909022</v>
      </c>
      <c r="N2293" s="70">
        <v>247.086442909022</v>
      </c>
      <c r="O2293" s="70">
        <v>11.6143962719938</v>
      </c>
      <c r="P2293" s="70">
        <v>11.6143962719938</v>
      </c>
    </row>
    <row r="2294" hidden="1">
      <c r="A2294" s="67" t="s">
        <v>3054</v>
      </c>
      <c r="B2294" s="67" t="s">
        <v>519</v>
      </c>
      <c r="C2294" s="68">
        <v>1.0</v>
      </c>
      <c r="D2294" s="68">
        <v>1.0</v>
      </c>
      <c r="E2294" s="68">
        <v>5.0</v>
      </c>
      <c r="F2294" s="68">
        <v>2.0</v>
      </c>
      <c r="G2294" s="68">
        <v>5.42950189100578</v>
      </c>
      <c r="H2294" s="68">
        <v>169.923760940601</v>
      </c>
      <c r="I2294" s="69">
        <v>44319.67349537037</v>
      </c>
      <c r="J2294" s="69">
        <v>44319.67365740741</v>
      </c>
      <c r="K2294">
        <f>AVERAGE(H2292:H2296)</f>
        <v>114.8245821</v>
      </c>
      <c r="L2294">
        <f>STDEV(H2292:H2296)</f>
        <v>110.0190078</v>
      </c>
      <c r="M2294" s="70">
        <v>169.923760940601</v>
      </c>
      <c r="N2294" s="70">
        <v>169.923760940601</v>
      </c>
      <c r="O2294" s="70">
        <v>5.42950189100578</v>
      </c>
      <c r="P2294" s="70">
        <v>5.42950189100578</v>
      </c>
    </row>
    <row r="2295" hidden="1">
      <c r="A2295" s="67" t="s">
        <v>3055</v>
      </c>
      <c r="B2295" s="67" t="s">
        <v>519</v>
      </c>
      <c r="C2295" s="68">
        <v>1.0</v>
      </c>
      <c r="D2295" s="68">
        <v>1.0</v>
      </c>
      <c r="E2295" s="68">
        <v>5.0</v>
      </c>
      <c r="F2295" s="68">
        <v>3.0</v>
      </c>
      <c r="G2295" s="68">
        <v>0.440563429974047</v>
      </c>
      <c r="H2295" s="68">
        <v>0.531170418323316</v>
      </c>
      <c r="I2295" s="69">
        <v>44319.674363425926</v>
      </c>
      <c r="J2295" s="69">
        <v>44319.674375</v>
      </c>
      <c r="K2295">
        <f>AVERAGE(H2292:H2296)</f>
        <v>114.8245821</v>
      </c>
      <c r="L2295">
        <f>STDEV(H2292:H2296)</f>
        <v>110.0190078</v>
      </c>
      <c r="M2295" s="70">
        <v>0.531170418323316</v>
      </c>
      <c r="N2295" s="70">
        <v>0.531170418323316</v>
      </c>
      <c r="O2295" s="70">
        <v>0.440563429974047</v>
      </c>
      <c r="P2295" s="70">
        <v>0.440563429974047</v>
      </c>
    </row>
    <row r="2296" hidden="1">
      <c r="A2296" s="67" t="s">
        <v>3056</v>
      </c>
      <c r="B2296" s="67" t="s">
        <v>519</v>
      </c>
      <c r="C2296" s="68">
        <v>1.0</v>
      </c>
      <c r="D2296" s="68">
        <v>1.0</v>
      </c>
      <c r="E2296" s="68">
        <v>5.0</v>
      </c>
      <c r="F2296" s="68">
        <v>4.0</v>
      </c>
      <c r="G2296" s="68">
        <v>3.11190786612199</v>
      </c>
      <c r="H2296" s="68">
        <v>156.249686580488</v>
      </c>
      <c r="I2296" s="69">
        <v>44319.675092592595</v>
      </c>
      <c r="J2296" s="69">
        <v>44319.82212962963</v>
      </c>
      <c r="K2296">
        <f>AVERAGE(H2292:H2296)</f>
        <v>114.8245821</v>
      </c>
      <c r="L2296">
        <f>STDEV(H2292:H2296)</f>
        <v>110.0190078</v>
      </c>
      <c r="M2296" s="70">
        <v>156.249686580488</v>
      </c>
      <c r="N2296" s="70">
        <v>156.249686580488</v>
      </c>
      <c r="O2296" s="70">
        <v>3.11190786612199</v>
      </c>
      <c r="P2296" s="70">
        <v>3.11190786612199</v>
      </c>
    </row>
    <row r="2297" hidden="1">
      <c r="A2297" s="67" t="s">
        <v>3057</v>
      </c>
      <c r="B2297" s="67" t="s">
        <v>17</v>
      </c>
      <c r="C2297" s="68">
        <v>0.1</v>
      </c>
      <c r="D2297" s="68">
        <v>0.1</v>
      </c>
      <c r="E2297" s="68">
        <v>6.0</v>
      </c>
      <c r="F2297" s="68">
        <v>0.0</v>
      </c>
      <c r="G2297" s="68">
        <v>3.27797703449539</v>
      </c>
      <c r="H2297" s="68">
        <v>152.752597722749</v>
      </c>
      <c r="I2297" s="69">
        <v>44319.822847222225</v>
      </c>
      <c r="J2297" s="69">
        <v>44319.84851851852</v>
      </c>
      <c r="K2297">
        <f>AVERAGE(H2297:H2301)</f>
        <v>114.7612966</v>
      </c>
      <c r="L2297">
        <f>STDEV(H2297:H2301)</f>
        <v>93.92541512</v>
      </c>
      <c r="M2297" s="70">
        <v>152.752597722749</v>
      </c>
      <c r="N2297" s="70">
        <v>152.752597722749</v>
      </c>
      <c r="O2297" s="70">
        <v>3.27797703449539</v>
      </c>
      <c r="P2297" s="70">
        <v>3.27797703449539</v>
      </c>
    </row>
    <row r="2298" hidden="1">
      <c r="A2298" s="67" t="s">
        <v>3058</v>
      </c>
      <c r="B2298" s="67" t="s">
        <v>17</v>
      </c>
      <c r="C2298" s="68">
        <v>0.1</v>
      </c>
      <c r="D2298" s="68">
        <v>0.1</v>
      </c>
      <c r="E2298" s="68">
        <v>6.0</v>
      </c>
      <c r="F2298" s="68">
        <v>1.0</v>
      </c>
      <c r="G2298" s="68">
        <v>1.07991001504809</v>
      </c>
      <c r="H2298" s="68">
        <v>1.4504242499467</v>
      </c>
      <c r="I2298" s="69">
        <v>44319.84923611111</v>
      </c>
      <c r="J2298" s="69">
        <v>44319.849340277775</v>
      </c>
      <c r="K2298">
        <f>AVERAGE(H2297:H2301)</f>
        <v>114.7612966</v>
      </c>
      <c r="L2298">
        <f>STDEV(H2297:H2301)</f>
        <v>93.92541512</v>
      </c>
      <c r="M2298" s="70">
        <v>1.4504242499467</v>
      </c>
      <c r="N2298" s="70">
        <v>1.4504242499467</v>
      </c>
      <c r="O2298" s="70">
        <v>1.07991001504809</v>
      </c>
      <c r="P2298" s="70">
        <v>1.07991001504809</v>
      </c>
    </row>
    <row r="2299" hidden="1">
      <c r="A2299" s="67" t="s">
        <v>3059</v>
      </c>
      <c r="B2299" s="67" t="s">
        <v>17</v>
      </c>
      <c r="C2299" s="68">
        <v>0.1</v>
      </c>
      <c r="D2299" s="68">
        <v>0.1</v>
      </c>
      <c r="E2299" s="68">
        <v>6.0</v>
      </c>
      <c r="F2299" s="68">
        <v>2.0</v>
      </c>
      <c r="G2299" s="68">
        <v>1.6428002623966</v>
      </c>
      <c r="H2299" s="68">
        <v>27.1360352685397</v>
      </c>
      <c r="I2299" s="69">
        <v>44319.85005787037</v>
      </c>
      <c r="J2299" s="69">
        <v>44319.85050925926</v>
      </c>
      <c r="K2299">
        <f>AVERAGE(H2297:H2301)</f>
        <v>114.7612966</v>
      </c>
      <c r="L2299">
        <f>STDEV(H2297:H2301)</f>
        <v>93.92541512</v>
      </c>
      <c r="M2299" s="70">
        <v>27.1360352685397</v>
      </c>
      <c r="N2299" s="70">
        <v>27.1360352685397</v>
      </c>
      <c r="O2299" s="70">
        <v>1.6428002623966</v>
      </c>
      <c r="P2299" s="70">
        <v>1.6428002623966</v>
      </c>
    </row>
    <row r="2300" hidden="1">
      <c r="A2300" s="67" t="s">
        <v>3060</v>
      </c>
      <c r="B2300" s="67" t="s">
        <v>17</v>
      </c>
      <c r="C2300" s="68">
        <v>0.1</v>
      </c>
      <c r="D2300" s="68">
        <v>0.1</v>
      </c>
      <c r="E2300" s="68">
        <v>6.0</v>
      </c>
      <c r="F2300" s="68">
        <v>3.0</v>
      </c>
      <c r="G2300" s="68">
        <v>6.26080614435524</v>
      </c>
      <c r="H2300" s="68">
        <v>201.310424275153</v>
      </c>
      <c r="I2300" s="69">
        <v>44319.85122685185</v>
      </c>
      <c r="J2300" s="69">
        <v>44319.85136574074</v>
      </c>
      <c r="K2300">
        <f>AVERAGE(H2297:H2301)</f>
        <v>114.7612966</v>
      </c>
      <c r="L2300">
        <f>STDEV(H2297:H2301)</f>
        <v>93.92541512</v>
      </c>
      <c r="M2300" s="70">
        <v>201.310424275153</v>
      </c>
      <c r="N2300" s="70">
        <v>201.310424275153</v>
      </c>
      <c r="O2300" s="70">
        <v>6.26080614435524</v>
      </c>
      <c r="P2300" s="70">
        <v>6.26080614435524</v>
      </c>
    </row>
    <row r="2301" hidden="1">
      <c r="A2301" s="67" t="s">
        <v>3061</v>
      </c>
      <c r="B2301" s="67" t="s">
        <v>17</v>
      </c>
      <c r="C2301" s="68">
        <v>0.1</v>
      </c>
      <c r="D2301" s="68">
        <v>0.1</v>
      </c>
      <c r="E2301" s="68">
        <v>6.0</v>
      </c>
      <c r="F2301" s="68">
        <v>4.0</v>
      </c>
      <c r="G2301" s="68">
        <v>3.99686638068077</v>
      </c>
      <c r="H2301" s="68">
        <v>191.157001598088</v>
      </c>
      <c r="I2301" s="69">
        <v>44319.85208333333</v>
      </c>
      <c r="J2301" s="69">
        <v>44319.85790509259</v>
      </c>
      <c r="K2301">
        <f>AVERAGE(H2297:H2301)</f>
        <v>114.7612966</v>
      </c>
      <c r="L2301">
        <f>STDEV(H2297:H2301)</f>
        <v>93.92541512</v>
      </c>
      <c r="M2301" s="70">
        <v>191.157001598088</v>
      </c>
      <c r="N2301" s="70">
        <v>191.157001598088</v>
      </c>
      <c r="O2301" s="70">
        <v>3.99686638068077</v>
      </c>
      <c r="P2301" s="70">
        <v>3.99686638068077</v>
      </c>
    </row>
    <row r="2302" hidden="1">
      <c r="A2302" s="67" t="s">
        <v>3062</v>
      </c>
      <c r="B2302" s="67" t="s">
        <v>17</v>
      </c>
      <c r="C2302" s="68">
        <v>0.1</v>
      </c>
      <c r="D2302" s="68">
        <v>0.25</v>
      </c>
      <c r="E2302" s="68">
        <v>6.0</v>
      </c>
      <c r="F2302" s="68">
        <v>0.0</v>
      </c>
      <c r="G2302" s="68">
        <v>2.22058500656929</v>
      </c>
      <c r="H2302" s="68">
        <v>120.48105889973</v>
      </c>
      <c r="I2302" s="69">
        <v>44319.858622685184</v>
      </c>
      <c r="J2302" s="69">
        <v>44319.87</v>
      </c>
      <c r="K2302">
        <f>AVERAGE(H2302:H2306)</f>
        <v>149.7894136</v>
      </c>
      <c r="L2302">
        <f>STDEV(H2302:H2306)</f>
        <v>99.815048</v>
      </c>
      <c r="M2302" s="70">
        <v>120.48105889973</v>
      </c>
      <c r="N2302" s="70">
        <v>120.48105889973</v>
      </c>
      <c r="O2302" s="70">
        <v>2.22058500656929</v>
      </c>
      <c r="P2302" s="70">
        <v>2.22058500656929</v>
      </c>
    </row>
    <row r="2303" hidden="1">
      <c r="A2303" s="67" t="s">
        <v>3063</v>
      </c>
      <c r="B2303" s="67" t="s">
        <v>17</v>
      </c>
      <c r="C2303" s="68">
        <v>0.1</v>
      </c>
      <c r="D2303" s="68">
        <v>0.25</v>
      </c>
      <c r="E2303" s="68">
        <v>6.0</v>
      </c>
      <c r="F2303" s="68">
        <v>1.0</v>
      </c>
      <c r="G2303" s="68">
        <v>7.87674428936375</v>
      </c>
      <c r="H2303" s="68">
        <v>191.680948677168</v>
      </c>
      <c r="I2303" s="69">
        <v>44319.870717592596</v>
      </c>
      <c r="J2303" s="69">
        <v>44319.87076388889</v>
      </c>
      <c r="K2303">
        <f>AVERAGE(H2302:H2306)</f>
        <v>149.7894136</v>
      </c>
      <c r="L2303">
        <f>STDEV(H2302:H2306)</f>
        <v>99.815048</v>
      </c>
      <c r="M2303" s="70">
        <v>191.680948677168</v>
      </c>
      <c r="N2303" s="70">
        <v>191.680948677168</v>
      </c>
      <c r="O2303" s="70">
        <v>7.87674428936375</v>
      </c>
      <c r="P2303" s="70">
        <v>7.87674428936375</v>
      </c>
    </row>
    <row r="2304" hidden="1">
      <c r="A2304" s="67" t="s">
        <v>3064</v>
      </c>
      <c r="B2304" s="67" t="s">
        <v>17</v>
      </c>
      <c r="C2304" s="68">
        <v>0.1</v>
      </c>
      <c r="D2304" s="68">
        <v>0.25</v>
      </c>
      <c r="E2304" s="68">
        <v>6.0</v>
      </c>
      <c r="F2304" s="68">
        <v>2.0</v>
      </c>
      <c r="G2304" s="68">
        <v>0.71205655889852</v>
      </c>
      <c r="H2304" s="68">
        <v>0.948977832482219</v>
      </c>
      <c r="I2304" s="69">
        <v>44319.871469907404</v>
      </c>
      <c r="J2304" s="69">
        <v>44319.87170138889</v>
      </c>
      <c r="K2304">
        <f>AVERAGE(H2302:H2306)</f>
        <v>149.7894136</v>
      </c>
      <c r="L2304">
        <f>STDEV(H2302:H2306)</f>
        <v>99.815048</v>
      </c>
      <c r="M2304" s="70">
        <v>0.948977832482219</v>
      </c>
      <c r="N2304" s="70">
        <v>0.948977832482219</v>
      </c>
      <c r="O2304" s="70">
        <v>0.71205655889852</v>
      </c>
      <c r="P2304" s="70">
        <v>0.71205655889852</v>
      </c>
    </row>
    <row r="2305" hidden="1">
      <c r="A2305" s="67" t="s">
        <v>3065</v>
      </c>
      <c r="B2305" s="67" t="s">
        <v>17</v>
      </c>
      <c r="C2305" s="68">
        <v>0.1</v>
      </c>
      <c r="D2305" s="68">
        <v>0.25</v>
      </c>
      <c r="E2305" s="68">
        <v>6.0</v>
      </c>
      <c r="F2305" s="68">
        <v>3.0</v>
      </c>
      <c r="G2305" s="68">
        <v>7.38865020615194</v>
      </c>
      <c r="H2305" s="68">
        <v>271.778043697341</v>
      </c>
      <c r="I2305" s="69">
        <v>44319.87241898148</v>
      </c>
      <c r="J2305" s="69">
        <v>44319.87269675926</v>
      </c>
      <c r="K2305">
        <f>AVERAGE(H2302:H2306)</f>
        <v>149.7894136</v>
      </c>
      <c r="L2305">
        <f>STDEV(H2302:H2306)</f>
        <v>99.815048</v>
      </c>
      <c r="M2305" s="70">
        <v>271.778043697341</v>
      </c>
      <c r="N2305" s="70">
        <v>271.778043697341</v>
      </c>
      <c r="O2305" s="70">
        <v>7.38865020615194</v>
      </c>
      <c r="P2305" s="70">
        <v>7.38865020615194</v>
      </c>
    </row>
    <row r="2306" hidden="1">
      <c r="A2306" s="67" t="s">
        <v>3066</v>
      </c>
      <c r="B2306" s="67" t="s">
        <v>17</v>
      </c>
      <c r="C2306" s="68">
        <v>0.1</v>
      </c>
      <c r="D2306" s="68">
        <v>0.25</v>
      </c>
      <c r="E2306" s="68">
        <v>6.0</v>
      </c>
      <c r="F2306" s="68">
        <v>4.0</v>
      </c>
      <c r="G2306" s="68">
        <v>3.76683459604881</v>
      </c>
      <c r="H2306" s="68">
        <v>164.058038970612</v>
      </c>
      <c r="I2306" s="69">
        <v>44319.87341435185</v>
      </c>
      <c r="J2306" s="69">
        <v>44319.918333333335</v>
      </c>
      <c r="K2306">
        <f>AVERAGE(H2302:H2306)</f>
        <v>149.7894136</v>
      </c>
      <c r="L2306">
        <f>STDEV(H2302:H2306)</f>
        <v>99.815048</v>
      </c>
      <c r="M2306" s="70">
        <v>164.058038970612</v>
      </c>
      <c r="N2306" s="70">
        <v>164.058038970612</v>
      </c>
      <c r="O2306" s="70">
        <v>3.76683459604881</v>
      </c>
      <c r="P2306" s="70">
        <v>3.76683459604881</v>
      </c>
    </row>
    <row r="2307" hidden="1">
      <c r="A2307" s="67" t="s">
        <v>3067</v>
      </c>
      <c r="B2307" s="67" t="s">
        <v>17</v>
      </c>
      <c r="C2307" s="68">
        <v>0.1</v>
      </c>
      <c r="D2307" s="68">
        <v>0.5</v>
      </c>
      <c r="E2307" s="68">
        <v>6.0</v>
      </c>
      <c r="F2307" s="68">
        <v>0.0</v>
      </c>
      <c r="G2307" s="68">
        <v>8.21224703713791</v>
      </c>
      <c r="H2307" s="68">
        <v>287.407845823071</v>
      </c>
      <c r="I2307" s="69">
        <v>44319.91905092593</v>
      </c>
      <c r="J2307" s="69">
        <v>44319.920023148145</v>
      </c>
      <c r="K2307">
        <f>AVERAGE(H2307:H2311)</f>
        <v>105.7482924</v>
      </c>
      <c r="L2307">
        <f>STDEV(H2307:H2311)</f>
        <v>120.8147329</v>
      </c>
      <c r="M2307" s="70">
        <v>287.407845823071</v>
      </c>
      <c r="N2307" s="70">
        <v>287.407845823071</v>
      </c>
      <c r="O2307" s="70">
        <v>8.21224703713791</v>
      </c>
      <c r="P2307" s="70">
        <v>8.21224703713791</v>
      </c>
    </row>
    <row r="2308" hidden="1">
      <c r="A2308" s="67" t="s">
        <v>3068</v>
      </c>
      <c r="B2308" s="67" t="s">
        <v>17</v>
      </c>
      <c r="C2308" s="68">
        <v>0.1</v>
      </c>
      <c r="D2308" s="68">
        <v>0.5</v>
      </c>
      <c r="E2308" s="68">
        <v>6.0</v>
      </c>
      <c r="F2308" s="68">
        <v>1.0</v>
      </c>
      <c r="G2308" s="68">
        <v>3.39727311068799</v>
      </c>
      <c r="H2308" s="68">
        <v>157.74145426551</v>
      </c>
      <c r="I2308" s="69">
        <v>44319.92074074074</v>
      </c>
      <c r="J2308" s="69">
        <v>44319.958715277775</v>
      </c>
      <c r="K2308">
        <f>AVERAGE(H2307:H2311)</f>
        <v>105.7482924</v>
      </c>
      <c r="L2308">
        <f>STDEV(H2307:H2311)</f>
        <v>120.8147329</v>
      </c>
      <c r="M2308" s="70">
        <v>157.74145426551</v>
      </c>
      <c r="N2308" s="70">
        <v>157.74145426551</v>
      </c>
      <c r="O2308" s="70">
        <v>3.39727311068799</v>
      </c>
      <c r="P2308" s="70">
        <v>3.39727311068799</v>
      </c>
    </row>
    <row r="2309" hidden="1">
      <c r="A2309" s="67" t="s">
        <v>3069</v>
      </c>
      <c r="B2309" s="67" t="s">
        <v>17</v>
      </c>
      <c r="C2309" s="68">
        <v>0.1</v>
      </c>
      <c r="D2309" s="68">
        <v>0.5</v>
      </c>
      <c r="E2309" s="68">
        <v>6.0</v>
      </c>
      <c r="F2309" s="68">
        <v>2.0</v>
      </c>
      <c r="G2309" s="68">
        <v>0.53116261768684</v>
      </c>
      <c r="H2309" s="68">
        <v>0.650714835627577</v>
      </c>
      <c r="I2309" s="69">
        <v>44319.95943287037</v>
      </c>
      <c r="J2309" s="69">
        <v>44319.95995370371</v>
      </c>
      <c r="K2309">
        <f>AVERAGE(H2307:H2311)</f>
        <v>105.7482924</v>
      </c>
      <c r="L2309">
        <f>STDEV(H2307:H2311)</f>
        <v>120.8147329</v>
      </c>
      <c r="M2309" s="70">
        <v>0.650714835627577</v>
      </c>
      <c r="N2309" s="70">
        <v>0.650714835627577</v>
      </c>
      <c r="O2309" s="70">
        <v>0.53116261768684</v>
      </c>
      <c r="P2309" s="70">
        <v>0.53116261768684</v>
      </c>
    </row>
    <row r="2310" hidden="1">
      <c r="A2310" s="67" t="s">
        <v>3070</v>
      </c>
      <c r="B2310" s="67" t="s">
        <v>17</v>
      </c>
      <c r="C2310" s="68">
        <v>0.1</v>
      </c>
      <c r="D2310" s="68">
        <v>0.5</v>
      </c>
      <c r="E2310" s="68">
        <v>6.0</v>
      </c>
      <c r="F2310" s="68">
        <v>3.0</v>
      </c>
      <c r="G2310" s="68">
        <v>2.24782541959951</v>
      </c>
      <c r="H2310" s="68">
        <v>82.5353312188131</v>
      </c>
      <c r="I2310" s="69">
        <v>44319.9606712963</v>
      </c>
      <c r="J2310" s="69">
        <v>44319.9637037037</v>
      </c>
      <c r="K2310">
        <f>AVERAGE(H2307:H2311)</f>
        <v>105.7482924</v>
      </c>
      <c r="L2310">
        <f>STDEV(H2307:H2311)</f>
        <v>120.8147329</v>
      </c>
      <c r="M2310" s="70">
        <v>82.5353312188131</v>
      </c>
      <c r="N2310" s="70">
        <v>82.5353312188131</v>
      </c>
      <c r="O2310" s="70">
        <v>2.24782541959951</v>
      </c>
      <c r="P2310" s="70">
        <v>2.24782541959951</v>
      </c>
    </row>
    <row r="2311" hidden="1">
      <c r="A2311" s="67" t="s">
        <v>3071</v>
      </c>
      <c r="B2311" s="67" t="s">
        <v>17</v>
      </c>
      <c r="C2311" s="68">
        <v>0.1</v>
      </c>
      <c r="D2311" s="68">
        <v>0.5</v>
      </c>
      <c r="E2311" s="68">
        <v>6.0</v>
      </c>
      <c r="F2311" s="68">
        <v>4.0</v>
      </c>
      <c r="G2311" s="68">
        <v>0.317145370870006</v>
      </c>
      <c r="H2311" s="68">
        <v>0.406115963760371</v>
      </c>
      <c r="I2311" s="69">
        <v>44319.964421296296</v>
      </c>
      <c r="J2311" s="69">
        <v>44319.964479166665</v>
      </c>
      <c r="K2311">
        <f>AVERAGE(H2307:H2311)</f>
        <v>105.7482924</v>
      </c>
      <c r="L2311">
        <f>STDEV(H2307:H2311)</f>
        <v>120.8147329</v>
      </c>
      <c r="M2311" s="70">
        <v>0.406115963760371</v>
      </c>
      <c r="N2311" s="70">
        <v>0.406115963760371</v>
      </c>
      <c r="O2311" s="70">
        <v>0.317145370870006</v>
      </c>
      <c r="P2311" s="70">
        <v>0.317145370870006</v>
      </c>
    </row>
    <row r="2312" hidden="1">
      <c r="A2312" s="67" t="s">
        <v>3072</v>
      </c>
      <c r="B2312" s="67" t="s">
        <v>17</v>
      </c>
      <c r="C2312" s="68">
        <v>0.1</v>
      </c>
      <c r="D2312" s="68">
        <v>0.75</v>
      </c>
      <c r="E2312" s="68">
        <v>6.0</v>
      </c>
      <c r="F2312" s="68">
        <v>0.0</v>
      </c>
      <c r="G2312" s="68">
        <v>3.92517101240825</v>
      </c>
      <c r="H2312" s="68">
        <v>174.631617337826</v>
      </c>
      <c r="I2312" s="69">
        <v>44319.96518518519</v>
      </c>
      <c r="J2312" s="69">
        <v>44320.018055555556</v>
      </c>
      <c r="K2312">
        <f>AVERAGE(H2312:H2316)</f>
        <v>106.0792602</v>
      </c>
      <c r="L2312">
        <f>STDEV(H2312:H2316)</f>
        <v>117.0357837</v>
      </c>
      <c r="M2312" s="70">
        <v>174.631617337826</v>
      </c>
      <c r="N2312" s="70">
        <v>174.631617337826</v>
      </c>
      <c r="O2312" s="70">
        <v>3.92517101240825</v>
      </c>
      <c r="P2312" s="70">
        <v>3.92517101240825</v>
      </c>
    </row>
    <row r="2313" hidden="1">
      <c r="A2313" s="67" t="s">
        <v>3073</v>
      </c>
      <c r="B2313" s="67" t="s">
        <v>17</v>
      </c>
      <c r="C2313" s="68">
        <v>0.1</v>
      </c>
      <c r="D2313" s="68">
        <v>0.75</v>
      </c>
      <c r="E2313" s="68">
        <v>6.0</v>
      </c>
      <c r="F2313" s="68">
        <v>1.0</v>
      </c>
      <c r="G2313" s="68">
        <v>0.467489314643222</v>
      </c>
      <c r="H2313" s="68">
        <v>0.559611722484267</v>
      </c>
      <c r="I2313" s="69">
        <v>44320.01876157407</v>
      </c>
      <c r="J2313" s="69">
        <v>44320.01893518519</v>
      </c>
      <c r="K2313">
        <f>AVERAGE(H2312:H2316)</f>
        <v>106.0792602</v>
      </c>
      <c r="L2313">
        <f>STDEV(H2312:H2316)</f>
        <v>117.0357837</v>
      </c>
      <c r="M2313" s="70">
        <v>0.559611722484267</v>
      </c>
      <c r="N2313" s="70">
        <v>0.559611722484267</v>
      </c>
      <c r="O2313" s="70">
        <v>0.467489314643222</v>
      </c>
      <c r="P2313" s="70">
        <v>0.467489314643222</v>
      </c>
    </row>
    <row r="2314" hidden="1">
      <c r="A2314" s="67" t="s">
        <v>3074</v>
      </c>
      <c r="B2314" s="67" t="s">
        <v>17</v>
      </c>
      <c r="C2314" s="68">
        <v>0.1</v>
      </c>
      <c r="D2314" s="68">
        <v>0.75</v>
      </c>
      <c r="E2314" s="68">
        <v>6.0</v>
      </c>
      <c r="F2314" s="68">
        <v>2.0</v>
      </c>
      <c r="G2314" s="68">
        <v>2.26654350757935</v>
      </c>
      <c r="H2314" s="68">
        <v>83.244117401681</v>
      </c>
      <c r="I2314" s="69">
        <v>44320.01965277778</v>
      </c>
      <c r="J2314" s="69">
        <v>44320.022731481484</v>
      </c>
      <c r="K2314">
        <f>AVERAGE(H2312:H2316)</f>
        <v>106.0792602</v>
      </c>
      <c r="L2314">
        <f>STDEV(H2312:H2316)</f>
        <v>117.0357837</v>
      </c>
      <c r="M2314" s="70">
        <v>83.244117401681</v>
      </c>
      <c r="N2314" s="70">
        <v>83.244117401681</v>
      </c>
      <c r="O2314" s="70">
        <v>2.26654350757935</v>
      </c>
      <c r="P2314" s="70">
        <v>2.26654350757935</v>
      </c>
    </row>
    <row r="2315" hidden="1">
      <c r="A2315" s="67" t="s">
        <v>3075</v>
      </c>
      <c r="B2315" s="67" t="s">
        <v>17</v>
      </c>
      <c r="C2315" s="68">
        <v>0.1</v>
      </c>
      <c r="D2315" s="68">
        <v>0.75</v>
      </c>
      <c r="E2315" s="68">
        <v>6.0</v>
      </c>
      <c r="F2315" s="68">
        <v>3.0</v>
      </c>
      <c r="G2315" s="68">
        <v>0.511500219517523</v>
      </c>
      <c r="H2315" s="68">
        <v>0.617876389390966</v>
      </c>
      <c r="I2315" s="69">
        <v>44320.02344907408</v>
      </c>
      <c r="J2315" s="69">
        <v>44320.02391203704</v>
      </c>
      <c r="K2315">
        <f>AVERAGE(H2312:H2316)</f>
        <v>106.0792602</v>
      </c>
      <c r="L2315">
        <f>STDEV(H2312:H2316)</f>
        <v>117.0357837</v>
      </c>
      <c r="M2315" s="70">
        <v>0.617876389390966</v>
      </c>
      <c r="N2315" s="70">
        <v>0.617876389390966</v>
      </c>
      <c r="O2315" s="70">
        <v>0.511500219517523</v>
      </c>
      <c r="P2315" s="70">
        <v>0.511500219517523</v>
      </c>
    </row>
    <row r="2316" hidden="1">
      <c r="A2316" s="67" t="s">
        <v>3076</v>
      </c>
      <c r="B2316" s="67" t="s">
        <v>17</v>
      </c>
      <c r="C2316" s="68">
        <v>0.1</v>
      </c>
      <c r="D2316" s="68">
        <v>0.75</v>
      </c>
      <c r="E2316" s="68">
        <v>6.0</v>
      </c>
      <c r="F2316" s="68">
        <v>4.0</v>
      </c>
      <c r="G2316" s="68">
        <v>7.36402991469875</v>
      </c>
      <c r="H2316" s="68">
        <v>271.34307836552</v>
      </c>
      <c r="I2316" s="69">
        <v>44320.02462962963</v>
      </c>
      <c r="J2316" s="69">
        <v>44320.02490740741</v>
      </c>
      <c r="K2316">
        <f>AVERAGE(H2312:H2316)</f>
        <v>106.0792602</v>
      </c>
      <c r="L2316">
        <f>STDEV(H2312:H2316)</f>
        <v>117.0357837</v>
      </c>
      <c r="M2316" s="70">
        <v>271.34307836552</v>
      </c>
      <c r="N2316" s="70">
        <v>271.34307836552</v>
      </c>
      <c r="O2316" s="70">
        <v>7.36402991469875</v>
      </c>
      <c r="P2316" s="70">
        <v>7.36402991469875</v>
      </c>
    </row>
    <row r="2317" hidden="1">
      <c r="A2317" s="67" t="s">
        <v>3077</v>
      </c>
      <c r="B2317" s="67" t="s">
        <v>17</v>
      </c>
      <c r="C2317" s="68">
        <v>0.1</v>
      </c>
      <c r="D2317" s="68">
        <v>1.0</v>
      </c>
      <c r="E2317" s="68">
        <v>6.0</v>
      </c>
      <c r="F2317" s="68">
        <v>0.0</v>
      </c>
      <c r="G2317" s="68">
        <v>1.07991001504809</v>
      </c>
      <c r="H2317" s="68">
        <v>1.4504242499467</v>
      </c>
      <c r="I2317" s="69">
        <v>44320.025625</v>
      </c>
      <c r="J2317" s="69">
        <v>44320.025729166664</v>
      </c>
      <c r="K2317">
        <f>AVERAGE(H2317:H2321)</f>
        <v>135.8245957</v>
      </c>
      <c r="L2317">
        <f>STDEV(H2317:H2321)</f>
        <v>100.1837947</v>
      </c>
      <c r="M2317" s="70">
        <v>1.4504242499467</v>
      </c>
      <c r="N2317" s="70">
        <v>1.4504242499467</v>
      </c>
      <c r="O2317" s="70">
        <v>1.07991001504809</v>
      </c>
      <c r="P2317" s="70">
        <v>1.07991001504809</v>
      </c>
    </row>
    <row r="2318" hidden="1">
      <c r="A2318" s="67" t="s">
        <v>3078</v>
      </c>
      <c r="B2318" s="67" t="s">
        <v>17</v>
      </c>
      <c r="C2318" s="68">
        <v>0.1</v>
      </c>
      <c r="D2318" s="68">
        <v>1.0</v>
      </c>
      <c r="E2318" s="68">
        <v>6.0</v>
      </c>
      <c r="F2318" s="68">
        <v>1.0</v>
      </c>
      <c r="G2318" s="68">
        <v>2.89349920683153</v>
      </c>
      <c r="H2318" s="68">
        <v>141.138219170355</v>
      </c>
      <c r="I2318" s="69">
        <v>44320.02644675926</v>
      </c>
      <c r="J2318" s="69">
        <v>44320.050625</v>
      </c>
      <c r="K2318">
        <f>AVERAGE(H2317:H2321)</f>
        <v>135.8245957</v>
      </c>
      <c r="L2318">
        <f>STDEV(H2317:H2321)</f>
        <v>100.1837947</v>
      </c>
      <c r="M2318" s="70">
        <v>141.138219170355</v>
      </c>
      <c r="N2318" s="70">
        <v>141.138219170355</v>
      </c>
      <c r="O2318" s="70">
        <v>2.89349920683153</v>
      </c>
      <c r="P2318" s="70">
        <v>2.89349920683153</v>
      </c>
    </row>
    <row r="2319" hidden="1">
      <c r="A2319" s="67" t="s">
        <v>3079</v>
      </c>
      <c r="B2319" s="67" t="s">
        <v>17</v>
      </c>
      <c r="C2319" s="68">
        <v>0.1</v>
      </c>
      <c r="D2319" s="68">
        <v>1.0</v>
      </c>
      <c r="E2319" s="68">
        <v>6.0</v>
      </c>
      <c r="F2319" s="68">
        <v>2.0</v>
      </c>
      <c r="G2319" s="68">
        <v>6.39296574323969</v>
      </c>
      <c r="H2319" s="68">
        <v>249.795974243925</v>
      </c>
      <c r="I2319" s="69">
        <v>44320.05133101852</v>
      </c>
      <c r="J2319" s="69">
        <v>44320.05412037037</v>
      </c>
      <c r="K2319">
        <f>AVERAGE(H2317:H2321)</f>
        <v>135.8245957</v>
      </c>
      <c r="L2319">
        <f>STDEV(H2317:H2321)</f>
        <v>100.1837947</v>
      </c>
      <c r="M2319" s="70">
        <v>249.795974243925</v>
      </c>
      <c r="N2319" s="70">
        <v>249.795974243925</v>
      </c>
      <c r="O2319" s="70">
        <v>6.39296574323969</v>
      </c>
      <c r="P2319" s="70">
        <v>6.39296574323969</v>
      </c>
    </row>
    <row r="2320" hidden="1">
      <c r="A2320" s="67" t="s">
        <v>3080</v>
      </c>
      <c r="B2320" s="67" t="s">
        <v>17</v>
      </c>
      <c r="C2320" s="68">
        <v>0.1</v>
      </c>
      <c r="D2320" s="68">
        <v>1.0</v>
      </c>
      <c r="E2320" s="68">
        <v>6.0</v>
      </c>
      <c r="F2320" s="68">
        <v>3.0</v>
      </c>
      <c r="G2320" s="68">
        <v>1.9553524812869</v>
      </c>
      <c r="H2320" s="68">
        <v>76.4393599340917</v>
      </c>
      <c r="I2320" s="69">
        <v>44320.05483796296</v>
      </c>
      <c r="J2320" s="69">
        <v>44320.05783564815</v>
      </c>
      <c r="K2320">
        <f>AVERAGE(H2317:H2321)</f>
        <v>135.8245957</v>
      </c>
      <c r="L2320">
        <f>STDEV(H2317:H2321)</f>
        <v>100.1837947</v>
      </c>
      <c r="M2320" s="70">
        <v>76.4393599340917</v>
      </c>
      <c r="N2320" s="70">
        <v>76.4393599340917</v>
      </c>
      <c r="O2320" s="70">
        <v>1.9553524812869</v>
      </c>
      <c r="P2320" s="70">
        <v>1.9553524812869</v>
      </c>
    </row>
    <row r="2321" hidden="1">
      <c r="A2321" s="67" t="s">
        <v>3081</v>
      </c>
      <c r="B2321" s="67" t="s">
        <v>17</v>
      </c>
      <c r="C2321" s="68">
        <v>0.1</v>
      </c>
      <c r="D2321" s="68">
        <v>1.0</v>
      </c>
      <c r="E2321" s="68">
        <v>6.0</v>
      </c>
      <c r="F2321" s="68">
        <v>4.0</v>
      </c>
      <c r="G2321" s="68">
        <v>8.00321674736366</v>
      </c>
      <c r="H2321" s="68">
        <v>210.299000703526</v>
      </c>
      <c r="I2321" s="69">
        <v>44320.058541666665</v>
      </c>
      <c r="J2321" s="69">
        <v>44320.058587962965</v>
      </c>
      <c r="K2321">
        <f>AVERAGE(H2317:H2321)</f>
        <v>135.8245957</v>
      </c>
      <c r="L2321">
        <f>STDEV(H2317:H2321)</f>
        <v>100.1837947</v>
      </c>
      <c r="M2321" s="70">
        <v>210.299000703526</v>
      </c>
      <c r="N2321" s="70">
        <v>210.299000703526</v>
      </c>
      <c r="O2321" s="70">
        <v>8.00321674736366</v>
      </c>
      <c r="P2321" s="70">
        <v>8.00321674736366</v>
      </c>
    </row>
    <row r="2322" hidden="1">
      <c r="A2322" s="67" t="s">
        <v>3082</v>
      </c>
      <c r="B2322" s="67" t="s">
        <v>17</v>
      </c>
      <c r="C2322" s="68">
        <v>0.25</v>
      </c>
      <c r="D2322" s="68">
        <v>0.1</v>
      </c>
      <c r="E2322" s="68">
        <v>6.0</v>
      </c>
      <c r="F2322" s="68">
        <v>0.0</v>
      </c>
      <c r="G2322" s="68">
        <v>2.48906956651208</v>
      </c>
      <c r="H2322" s="68">
        <v>131.80224121552</v>
      </c>
      <c r="I2322" s="69">
        <v>44320.05930555556</v>
      </c>
      <c r="J2322" s="69">
        <v>44320.059525462966</v>
      </c>
      <c r="K2322">
        <f>AVERAGE(H2322:H2326)</f>
        <v>128.9839987</v>
      </c>
      <c r="L2322">
        <f>STDEV(H2322:H2326)</f>
        <v>101.5543639</v>
      </c>
      <c r="M2322" s="70">
        <v>131.80224121552</v>
      </c>
      <c r="N2322" s="70">
        <v>131.80224121552</v>
      </c>
      <c r="O2322" s="70">
        <v>2.48906956651208</v>
      </c>
      <c r="P2322" s="70">
        <v>2.48906956651208</v>
      </c>
    </row>
    <row r="2323" hidden="1">
      <c r="A2323" s="67" t="s">
        <v>3083</v>
      </c>
      <c r="B2323" s="67" t="s">
        <v>17</v>
      </c>
      <c r="C2323" s="68">
        <v>0.25</v>
      </c>
      <c r="D2323" s="68">
        <v>0.1</v>
      </c>
      <c r="E2323" s="68">
        <v>6.0</v>
      </c>
      <c r="F2323" s="68">
        <v>1.0</v>
      </c>
      <c r="G2323" s="68">
        <v>0.98626991507807</v>
      </c>
      <c r="H2323" s="68">
        <v>14.223232346229</v>
      </c>
      <c r="I2323" s="69">
        <v>44320.06023148148</v>
      </c>
      <c r="J2323" s="69">
        <v>44320.06034722222</v>
      </c>
      <c r="K2323">
        <f>AVERAGE(H2322:H2326)</f>
        <v>128.9839987</v>
      </c>
      <c r="L2323">
        <f>STDEV(H2322:H2326)</f>
        <v>101.5543639</v>
      </c>
      <c r="M2323" s="70">
        <v>14.223232346229</v>
      </c>
      <c r="N2323" s="70">
        <v>14.223232346229</v>
      </c>
      <c r="O2323" s="70">
        <v>0.98626991507807</v>
      </c>
      <c r="P2323" s="70">
        <v>0.98626991507807</v>
      </c>
    </row>
    <row r="2324" hidden="1">
      <c r="A2324" s="67" t="s">
        <v>3084</v>
      </c>
      <c r="B2324" s="67" t="s">
        <v>17</v>
      </c>
      <c r="C2324" s="68">
        <v>0.25</v>
      </c>
      <c r="D2324" s="68">
        <v>0.1</v>
      </c>
      <c r="E2324" s="68">
        <v>6.0</v>
      </c>
      <c r="F2324" s="68">
        <v>2.0</v>
      </c>
      <c r="G2324" s="68">
        <v>3.16406103677056</v>
      </c>
      <c r="H2324" s="68">
        <v>144.513236853233</v>
      </c>
      <c r="I2324" s="69">
        <v>44320.061064814814</v>
      </c>
      <c r="J2324" s="69">
        <v>44320.13265046296</v>
      </c>
      <c r="K2324">
        <f>AVERAGE(H2322:H2326)</f>
        <v>128.9839987</v>
      </c>
      <c r="L2324">
        <f>STDEV(H2322:H2326)</f>
        <v>101.5543639</v>
      </c>
      <c r="M2324" s="70">
        <v>144.513236853233</v>
      </c>
      <c r="N2324" s="70">
        <v>144.513236853233</v>
      </c>
      <c r="O2324" s="70">
        <v>3.16406103677056</v>
      </c>
      <c r="P2324" s="70">
        <v>3.16406103677056</v>
      </c>
    </row>
    <row r="2325" hidden="1">
      <c r="A2325" s="67" t="s">
        <v>3085</v>
      </c>
      <c r="B2325" s="67" t="s">
        <v>17</v>
      </c>
      <c r="C2325" s="68">
        <v>0.25</v>
      </c>
      <c r="D2325" s="68">
        <v>0.1</v>
      </c>
      <c r="E2325" s="68">
        <v>6.0</v>
      </c>
      <c r="F2325" s="68">
        <v>3.0</v>
      </c>
      <c r="G2325" s="68">
        <v>1.35262355792541</v>
      </c>
      <c r="H2325" s="68">
        <v>69.5192402640506</v>
      </c>
      <c r="I2325" s="69">
        <v>44320.133368055554</v>
      </c>
      <c r="J2325" s="69">
        <v>44320.13439814815</v>
      </c>
      <c r="K2325">
        <f>AVERAGE(H2322:H2326)</f>
        <v>128.9839987</v>
      </c>
      <c r="L2325">
        <f>STDEV(H2322:H2326)</f>
        <v>101.5543639</v>
      </c>
      <c r="M2325" s="70">
        <v>69.5192402640506</v>
      </c>
      <c r="N2325" s="70">
        <v>69.5192402640506</v>
      </c>
      <c r="O2325" s="70">
        <v>1.35262355792541</v>
      </c>
      <c r="P2325" s="70">
        <v>1.35262355792541</v>
      </c>
    </row>
    <row r="2326" hidden="1">
      <c r="A2326" s="67" t="s">
        <v>3086</v>
      </c>
      <c r="B2326" s="67" t="s">
        <v>17</v>
      </c>
      <c r="C2326" s="68">
        <v>0.25</v>
      </c>
      <c r="D2326" s="68">
        <v>0.1</v>
      </c>
      <c r="E2326" s="68">
        <v>6.0</v>
      </c>
      <c r="F2326" s="68">
        <v>4.0</v>
      </c>
      <c r="G2326" s="68">
        <v>8.86135336130051</v>
      </c>
      <c r="H2326" s="68">
        <v>284.862042783179</v>
      </c>
      <c r="I2326" s="69">
        <v>44320.13511574074</v>
      </c>
      <c r="J2326" s="69">
        <v>44320.13586805556</v>
      </c>
      <c r="K2326">
        <f>AVERAGE(H2322:H2326)</f>
        <v>128.9839987</v>
      </c>
      <c r="L2326">
        <f>STDEV(H2322:H2326)</f>
        <v>101.5543639</v>
      </c>
      <c r="M2326" s="70">
        <v>284.862042783179</v>
      </c>
      <c r="N2326" s="70">
        <v>284.862042783179</v>
      </c>
      <c r="O2326" s="70">
        <v>8.86135336130051</v>
      </c>
      <c r="P2326" s="70">
        <v>8.86135336130051</v>
      </c>
    </row>
    <row r="2327" hidden="1">
      <c r="A2327" s="67" t="s">
        <v>3087</v>
      </c>
      <c r="B2327" s="67" t="s">
        <v>17</v>
      </c>
      <c r="C2327" s="68">
        <v>0.25</v>
      </c>
      <c r="D2327" s="68">
        <v>0.25</v>
      </c>
      <c r="E2327" s="68">
        <v>6.0</v>
      </c>
      <c r="F2327" s="68">
        <v>0.0</v>
      </c>
      <c r="G2327" s="68">
        <v>7.15638006111091</v>
      </c>
      <c r="H2327" s="68">
        <v>196.593707512274</v>
      </c>
      <c r="I2327" s="69">
        <v>44320.13657407407</v>
      </c>
      <c r="J2327" s="69">
        <v>44320.13663194444</v>
      </c>
      <c r="K2327">
        <f>AVERAGE(H2327:H2331)</f>
        <v>137.8239029</v>
      </c>
      <c r="L2327">
        <f>STDEV(H2327:H2331)</f>
        <v>49.52221292</v>
      </c>
      <c r="M2327" s="70">
        <v>196.593707512274</v>
      </c>
      <c r="N2327" s="70">
        <v>196.593707512274</v>
      </c>
      <c r="O2327" s="70">
        <v>7.15638006111091</v>
      </c>
      <c r="P2327" s="70">
        <v>7.15638006111091</v>
      </c>
    </row>
    <row r="2328" hidden="1">
      <c r="A2328" s="67" t="s">
        <v>3088</v>
      </c>
      <c r="B2328" s="67" t="s">
        <v>17</v>
      </c>
      <c r="C2328" s="68">
        <v>0.25</v>
      </c>
      <c r="D2328" s="68">
        <v>0.25</v>
      </c>
      <c r="E2328" s="68">
        <v>6.0</v>
      </c>
      <c r="F2328" s="68">
        <v>1.0</v>
      </c>
      <c r="G2328" s="68">
        <v>3.97683543584629</v>
      </c>
      <c r="H2328" s="68">
        <v>173.237669974474</v>
      </c>
      <c r="I2328" s="69">
        <v>44320.137337962966</v>
      </c>
      <c r="J2328" s="69">
        <v>44320.17260416667</v>
      </c>
      <c r="K2328">
        <f>AVERAGE(H2327:H2331)</f>
        <v>137.8239029</v>
      </c>
      <c r="L2328">
        <f>STDEV(H2327:H2331)</f>
        <v>49.52221292</v>
      </c>
      <c r="M2328" s="70">
        <v>173.237669974474</v>
      </c>
      <c r="N2328" s="70">
        <v>173.237669974474</v>
      </c>
      <c r="O2328" s="70">
        <v>3.97683543584629</v>
      </c>
      <c r="P2328" s="70">
        <v>3.97683543584629</v>
      </c>
    </row>
    <row r="2329" hidden="1">
      <c r="A2329" s="67" t="s">
        <v>3089</v>
      </c>
      <c r="B2329" s="67" t="s">
        <v>17</v>
      </c>
      <c r="C2329" s="68">
        <v>0.25</v>
      </c>
      <c r="D2329" s="68">
        <v>0.25</v>
      </c>
      <c r="E2329" s="68">
        <v>6.0</v>
      </c>
      <c r="F2329" s="68">
        <v>2.0</v>
      </c>
      <c r="G2329" s="68">
        <v>2.01590828652567</v>
      </c>
      <c r="H2329" s="68">
        <v>118.024163293279</v>
      </c>
      <c r="I2329" s="69">
        <v>44320.173310185186</v>
      </c>
      <c r="J2329" s="69">
        <v>44320.17549768519</v>
      </c>
      <c r="K2329">
        <f>AVERAGE(H2327:H2331)</f>
        <v>137.8239029</v>
      </c>
      <c r="L2329">
        <f>STDEV(H2327:H2331)</f>
        <v>49.52221292</v>
      </c>
      <c r="M2329" s="70">
        <v>118.024163293279</v>
      </c>
      <c r="N2329" s="70">
        <v>118.024163293279</v>
      </c>
      <c r="O2329" s="70">
        <v>2.01590828652567</v>
      </c>
      <c r="P2329" s="70">
        <v>2.01590828652567</v>
      </c>
    </row>
    <row r="2330" hidden="1">
      <c r="A2330" s="67" t="s">
        <v>3090</v>
      </c>
      <c r="B2330" s="67" t="s">
        <v>17</v>
      </c>
      <c r="C2330" s="68">
        <v>0.25</v>
      </c>
      <c r="D2330" s="68">
        <v>0.25</v>
      </c>
      <c r="E2330" s="68">
        <v>6.0</v>
      </c>
      <c r="F2330" s="68">
        <v>3.0</v>
      </c>
      <c r="G2330" s="68">
        <v>2.48827350719733</v>
      </c>
      <c r="H2330" s="68">
        <v>131.803019410388</v>
      </c>
      <c r="I2330" s="69">
        <v>44320.176203703704</v>
      </c>
      <c r="J2330" s="69">
        <v>44320.17643518518</v>
      </c>
      <c r="K2330">
        <f>AVERAGE(H2327:H2331)</f>
        <v>137.8239029</v>
      </c>
      <c r="L2330">
        <f>STDEV(H2327:H2331)</f>
        <v>49.52221292</v>
      </c>
      <c r="M2330" s="70">
        <v>131.803019410388</v>
      </c>
      <c r="N2330" s="70">
        <v>131.803019410388</v>
      </c>
      <c r="O2330" s="70">
        <v>2.48827350719733</v>
      </c>
      <c r="P2330" s="70">
        <v>2.48827350719733</v>
      </c>
    </row>
    <row r="2331" hidden="1">
      <c r="A2331" s="67" t="s">
        <v>3091</v>
      </c>
      <c r="B2331" s="67" t="s">
        <v>17</v>
      </c>
      <c r="C2331" s="68">
        <v>0.25</v>
      </c>
      <c r="D2331" s="68">
        <v>0.25</v>
      </c>
      <c r="E2331" s="68">
        <v>6.0</v>
      </c>
      <c r="F2331" s="68">
        <v>4.0</v>
      </c>
      <c r="G2331" s="68">
        <v>1.35140666837742</v>
      </c>
      <c r="H2331" s="68">
        <v>69.4609543879282</v>
      </c>
      <c r="I2331" s="69">
        <v>44320.177141203705</v>
      </c>
      <c r="J2331" s="69">
        <v>44320.17832175926</v>
      </c>
      <c r="K2331">
        <f>AVERAGE(H2327:H2331)</f>
        <v>137.8239029</v>
      </c>
      <c r="L2331">
        <f>STDEV(H2327:H2331)</f>
        <v>49.52221292</v>
      </c>
      <c r="M2331" s="70">
        <v>69.4609543879282</v>
      </c>
      <c r="N2331" s="70">
        <v>69.4609543879282</v>
      </c>
      <c r="O2331" s="70">
        <v>1.35140666837742</v>
      </c>
      <c r="P2331" s="70">
        <v>1.35140666837742</v>
      </c>
    </row>
    <row r="2332" hidden="1">
      <c r="A2332" s="67" t="s">
        <v>3092</v>
      </c>
      <c r="B2332" s="67" t="s">
        <v>17</v>
      </c>
      <c r="C2332" s="68">
        <v>0.25</v>
      </c>
      <c r="D2332" s="68">
        <v>0.5</v>
      </c>
      <c r="E2332" s="68">
        <v>6.0</v>
      </c>
      <c r="F2332" s="68">
        <v>0.0</v>
      </c>
      <c r="G2332" s="68">
        <v>7.1336285774308</v>
      </c>
      <c r="H2332" s="68">
        <v>205.725261965276</v>
      </c>
      <c r="I2332" s="69">
        <v>44320.179027777776</v>
      </c>
      <c r="J2332" s="69">
        <v>44320.179085648146</v>
      </c>
      <c r="K2332">
        <f>AVERAGE(H2332:H2336)</f>
        <v>97.5016442</v>
      </c>
      <c r="L2332">
        <f>STDEV(H2332:H2336)</f>
        <v>91.89533593</v>
      </c>
      <c r="M2332" s="70">
        <v>205.725261965276</v>
      </c>
      <c r="N2332" s="70">
        <v>205.725261965276</v>
      </c>
      <c r="O2332" s="70">
        <v>7.1336285774308</v>
      </c>
      <c r="P2332" s="70">
        <v>7.1336285774308</v>
      </c>
    </row>
    <row r="2333" hidden="1">
      <c r="A2333" s="67" t="s">
        <v>3093</v>
      </c>
      <c r="B2333" s="67" t="s">
        <v>17</v>
      </c>
      <c r="C2333" s="68">
        <v>0.25</v>
      </c>
      <c r="D2333" s="68">
        <v>0.5</v>
      </c>
      <c r="E2333" s="68">
        <v>6.0</v>
      </c>
      <c r="F2333" s="68">
        <v>1.0</v>
      </c>
      <c r="G2333" s="68">
        <v>0.529193780936686</v>
      </c>
      <c r="H2333" s="68">
        <v>0.648156094108281</v>
      </c>
      <c r="I2333" s="69">
        <v>44320.17979166667</v>
      </c>
      <c r="J2333" s="69">
        <v>44320.18032407408</v>
      </c>
      <c r="K2333">
        <f>AVERAGE(H2332:H2336)</f>
        <v>97.5016442</v>
      </c>
      <c r="L2333">
        <f>STDEV(H2332:H2336)</f>
        <v>91.89533593</v>
      </c>
      <c r="M2333" s="70">
        <v>0.648156094108281</v>
      </c>
      <c r="N2333" s="70">
        <v>0.648156094108281</v>
      </c>
      <c r="O2333" s="70">
        <v>0.529193780936686</v>
      </c>
      <c r="P2333" s="70">
        <v>0.529193780936686</v>
      </c>
    </row>
    <row r="2334" hidden="1">
      <c r="A2334" s="67" t="s">
        <v>3094</v>
      </c>
      <c r="B2334" s="67" t="s">
        <v>17</v>
      </c>
      <c r="C2334" s="68">
        <v>0.25</v>
      </c>
      <c r="D2334" s="68">
        <v>0.5</v>
      </c>
      <c r="E2334" s="68">
        <v>6.0</v>
      </c>
      <c r="F2334" s="68">
        <v>2.0</v>
      </c>
      <c r="G2334" s="68">
        <v>1.35224836248878</v>
      </c>
      <c r="H2334" s="68">
        <v>69.5144870271492</v>
      </c>
      <c r="I2334" s="69">
        <v>44320.18103009259</v>
      </c>
      <c r="J2334" s="69">
        <v>44320.18219907407</v>
      </c>
      <c r="K2334">
        <f>AVERAGE(H2332:H2336)</f>
        <v>97.5016442</v>
      </c>
      <c r="L2334">
        <f>STDEV(H2332:H2336)</f>
        <v>91.89533593</v>
      </c>
      <c r="M2334" s="70">
        <v>69.5144870271492</v>
      </c>
      <c r="N2334" s="70">
        <v>69.5144870271492</v>
      </c>
      <c r="O2334" s="70">
        <v>1.35224836248878</v>
      </c>
      <c r="P2334" s="70">
        <v>1.35224836248878</v>
      </c>
    </row>
    <row r="2335" hidden="1">
      <c r="A2335" s="67" t="s">
        <v>3095</v>
      </c>
      <c r="B2335" s="67" t="s">
        <v>17</v>
      </c>
      <c r="C2335" s="68">
        <v>0.25</v>
      </c>
      <c r="D2335" s="68">
        <v>0.5</v>
      </c>
      <c r="E2335" s="68">
        <v>6.0</v>
      </c>
      <c r="F2335" s="68">
        <v>3.0</v>
      </c>
      <c r="G2335" s="68">
        <v>4.13628266953987</v>
      </c>
      <c r="H2335" s="68">
        <v>182.506695334317</v>
      </c>
      <c r="I2335" s="69">
        <v>44320.182905092595</v>
      </c>
      <c r="J2335" s="69">
        <v>44320.22791666666</v>
      </c>
      <c r="K2335">
        <f>AVERAGE(H2332:H2336)</f>
        <v>97.5016442</v>
      </c>
      <c r="L2335">
        <f>STDEV(H2332:H2336)</f>
        <v>91.89533593</v>
      </c>
      <c r="M2335" s="70">
        <v>182.506695334317</v>
      </c>
      <c r="N2335" s="70">
        <v>182.506695334317</v>
      </c>
      <c r="O2335" s="70">
        <v>4.13628266953987</v>
      </c>
      <c r="P2335" s="70">
        <v>4.13628266953987</v>
      </c>
    </row>
    <row r="2336" hidden="1">
      <c r="A2336" s="67" t="s">
        <v>3096</v>
      </c>
      <c r="B2336" s="67" t="s">
        <v>17</v>
      </c>
      <c r="C2336" s="68">
        <v>0.25</v>
      </c>
      <c r="D2336" s="68">
        <v>0.5</v>
      </c>
      <c r="E2336" s="68">
        <v>6.0</v>
      </c>
      <c r="F2336" s="68">
        <v>4.0</v>
      </c>
      <c r="G2336" s="68">
        <v>1.69972380428653</v>
      </c>
      <c r="H2336" s="68">
        <v>29.1136205575005</v>
      </c>
      <c r="I2336" s="69">
        <v>44320.22862268519</v>
      </c>
      <c r="J2336" s="69">
        <v>44320.22898148148</v>
      </c>
      <c r="K2336">
        <f>AVERAGE(H2332:H2336)</f>
        <v>97.5016442</v>
      </c>
      <c r="L2336">
        <f>STDEV(H2332:H2336)</f>
        <v>91.89533593</v>
      </c>
      <c r="M2336" s="70">
        <v>29.1136205575005</v>
      </c>
      <c r="N2336" s="70">
        <v>29.1136205575005</v>
      </c>
      <c r="O2336" s="70">
        <v>1.69972380428653</v>
      </c>
      <c r="P2336" s="70">
        <v>1.69972380428653</v>
      </c>
    </row>
    <row r="2337" hidden="1">
      <c r="A2337" s="67" t="s">
        <v>3097</v>
      </c>
      <c r="B2337" s="67" t="s">
        <v>17</v>
      </c>
      <c r="C2337" s="68">
        <v>0.25</v>
      </c>
      <c r="D2337" s="68">
        <v>0.75</v>
      </c>
      <c r="E2337" s="68">
        <v>6.0</v>
      </c>
      <c r="F2337" s="68">
        <v>0.0</v>
      </c>
      <c r="G2337" s="68">
        <v>7.37133907076435</v>
      </c>
      <c r="H2337" s="68">
        <v>271.449739428872</v>
      </c>
      <c r="I2337" s="69">
        <v>44320.2296875</v>
      </c>
      <c r="J2337" s="69">
        <v>44320.2299537037</v>
      </c>
      <c r="K2337">
        <f>AVERAGE(H2337:H2341)</f>
        <v>139.3465807</v>
      </c>
      <c r="L2337">
        <f>STDEV(H2337:H2341)</f>
        <v>135.7876186</v>
      </c>
      <c r="M2337" s="70">
        <v>271.449739428872</v>
      </c>
      <c r="N2337" s="70">
        <v>271.449739428872</v>
      </c>
      <c r="O2337" s="70">
        <v>7.37133907076435</v>
      </c>
      <c r="P2337" s="70">
        <v>7.37133907076435</v>
      </c>
    </row>
    <row r="2338" hidden="1">
      <c r="A2338" s="67" t="s">
        <v>3098</v>
      </c>
      <c r="B2338" s="67" t="s">
        <v>17</v>
      </c>
      <c r="C2338" s="68">
        <v>0.25</v>
      </c>
      <c r="D2338" s="68">
        <v>0.75</v>
      </c>
      <c r="E2338" s="68">
        <v>6.0</v>
      </c>
      <c r="F2338" s="68">
        <v>1.0</v>
      </c>
      <c r="G2338" s="68">
        <v>9.31094199498271</v>
      </c>
      <c r="H2338" s="68">
        <v>285.666369955152</v>
      </c>
      <c r="I2338" s="69">
        <v>44320.23065972222</v>
      </c>
      <c r="J2338" s="69">
        <v>44320.231400462966</v>
      </c>
      <c r="K2338">
        <f>AVERAGE(H2337:H2341)</f>
        <v>139.3465807</v>
      </c>
      <c r="L2338">
        <f>STDEV(H2337:H2341)</f>
        <v>135.7876186</v>
      </c>
      <c r="M2338" s="70">
        <v>285.666369955152</v>
      </c>
      <c r="N2338" s="70">
        <v>285.666369955152</v>
      </c>
      <c r="O2338" s="70">
        <v>9.31094199498271</v>
      </c>
      <c r="P2338" s="70">
        <v>9.31094199498271</v>
      </c>
    </row>
    <row r="2339" hidden="1">
      <c r="A2339" s="67" t="s">
        <v>3099</v>
      </c>
      <c r="B2339" s="67" t="s">
        <v>17</v>
      </c>
      <c r="C2339" s="68">
        <v>0.25</v>
      </c>
      <c r="D2339" s="68">
        <v>0.75</v>
      </c>
      <c r="E2339" s="68">
        <v>6.0</v>
      </c>
      <c r="F2339" s="68">
        <v>2.0</v>
      </c>
      <c r="G2339" s="68">
        <v>0.988071043501927</v>
      </c>
      <c r="H2339" s="68">
        <v>14.296577918346</v>
      </c>
      <c r="I2339" s="69">
        <v>44320.23210648148</v>
      </c>
      <c r="J2339" s="69">
        <v>44320.23222222222</v>
      </c>
      <c r="K2339">
        <f>AVERAGE(H2337:H2341)</f>
        <v>139.3465807</v>
      </c>
      <c r="L2339">
        <f>STDEV(H2337:H2341)</f>
        <v>135.7876186</v>
      </c>
      <c r="M2339" s="70">
        <v>14.296577918346</v>
      </c>
      <c r="N2339" s="70">
        <v>14.296577918346</v>
      </c>
      <c r="O2339" s="70">
        <v>0.988071043501927</v>
      </c>
      <c r="P2339" s="70">
        <v>0.988071043501927</v>
      </c>
    </row>
    <row r="2340" hidden="1">
      <c r="A2340" s="67" t="s">
        <v>3100</v>
      </c>
      <c r="B2340" s="67" t="s">
        <v>17</v>
      </c>
      <c r="C2340" s="68">
        <v>0.25</v>
      </c>
      <c r="D2340" s="68">
        <v>0.75</v>
      </c>
      <c r="E2340" s="68">
        <v>6.0</v>
      </c>
      <c r="F2340" s="68">
        <v>3.0</v>
      </c>
      <c r="G2340" s="68">
        <v>1.07991001504809</v>
      </c>
      <c r="H2340" s="68">
        <v>1.4504242499467</v>
      </c>
      <c r="I2340" s="69">
        <v>44320.23292824074</v>
      </c>
      <c r="J2340" s="69">
        <v>44320.23304398148</v>
      </c>
      <c r="K2340">
        <f>AVERAGE(H2337:H2341)</f>
        <v>139.3465807</v>
      </c>
      <c r="L2340">
        <f>STDEV(H2337:H2341)</f>
        <v>135.7876186</v>
      </c>
      <c r="M2340" s="70">
        <v>1.4504242499467</v>
      </c>
      <c r="N2340" s="70">
        <v>1.4504242499467</v>
      </c>
      <c r="O2340" s="70">
        <v>1.07991001504809</v>
      </c>
      <c r="P2340" s="70">
        <v>1.07991001504809</v>
      </c>
    </row>
    <row r="2341" hidden="1">
      <c r="A2341" s="67" t="s">
        <v>3101</v>
      </c>
      <c r="B2341" s="67" t="s">
        <v>17</v>
      </c>
      <c r="C2341" s="68">
        <v>0.25</v>
      </c>
      <c r="D2341" s="68">
        <v>0.75</v>
      </c>
      <c r="E2341" s="68">
        <v>6.0</v>
      </c>
      <c r="F2341" s="68">
        <v>4.0</v>
      </c>
      <c r="G2341" s="68">
        <v>2.62014407350845</v>
      </c>
      <c r="H2341" s="68">
        <v>123.869791809942</v>
      </c>
      <c r="I2341" s="69">
        <v>44320.23375</v>
      </c>
      <c r="J2341" s="69">
        <v>44320.294641203705</v>
      </c>
      <c r="K2341">
        <f>AVERAGE(H2337:H2341)</f>
        <v>139.3465807</v>
      </c>
      <c r="L2341">
        <f>STDEV(H2337:H2341)</f>
        <v>135.7876186</v>
      </c>
      <c r="M2341" s="70">
        <v>123.869791809942</v>
      </c>
      <c r="N2341" s="70">
        <v>123.869791809942</v>
      </c>
      <c r="O2341" s="70">
        <v>2.62014407350845</v>
      </c>
      <c r="P2341" s="70">
        <v>2.62014407350845</v>
      </c>
    </row>
    <row r="2342" hidden="1">
      <c r="A2342" s="67" t="s">
        <v>3102</v>
      </c>
      <c r="B2342" s="67" t="s">
        <v>17</v>
      </c>
      <c r="C2342" s="68">
        <v>0.25</v>
      </c>
      <c r="D2342" s="68">
        <v>1.0</v>
      </c>
      <c r="E2342" s="68">
        <v>6.0</v>
      </c>
      <c r="F2342" s="68">
        <v>0.0</v>
      </c>
      <c r="G2342" s="68">
        <v>0.467187299586246</v>
      </c>
      <c r="H2342" s="68">
        <v>0.559434604263913</v>
      </c>
      <c r="I2342" s="69">
        <v>44320.29534722222</v>
      </c>
      <c r="J2342" s="69">
        <v>44320.29552083334</v>
      </c>
      <c r="K2342">
        <f>AVERAGE(H2342:H2346)</f>
        <v>104.2229995</v>
      </c>
      <c r="L2342">
        <f>STDEV(H2342:H2346)</f>
        <v>114.1496437</v>
      </c>
      <c r="M2342" s="70">
        <v>0.559434604263913</v>
      </c>
      <c r="N2342" s="70">
        <v>0.559434604263913</v>
      </c>
      <c r="O2342" s="70">
        <v>0.467187299586246</v>
      </c>
      <c r="P2342" s="70">
        <v>0.467187299586246</v>
      </c>
    </row>
    <row r="2343" hidden="1">
      <c r="A2343" s="67" t="s">
        <v>3103</v>
      </c>
      <c r="B2343" s="67" t="s">
        <v>17</v>
      </c>
      <c r="C2343" s="68">
        <v>0.25</v>
      </c>
      <c r="D2343" s="68">
        <v>1.0</v>
      </c>
      <c r="E2343" s="68">
        <v>6.0</v>
      </c>
      <c r="F2343" s="68">
        <v>1.0</v>
      </c>
      <c r="G2343" s="68">
        <v>8.2737064247019</v>
      </c>
      <c r="H2343" s="68">
        <v>276.789890233253</v>
      </c>
      <c r="I2343" s="69">
        <v>44320.29622685185</v>
      </c>
      <c r="J2343" s="69">
        <v>44320.29777777778</v>
      </c>
      <c r="K2343">
        <f>AVERAGE(H2342:H2346)</f>
        <v>104.2229995</v>
      </c>
      <c r="L2343">
        <f>STDEV(H2342:H2346)</f>
        <v>114.1496437</v>
      </c>
      <c r="M2343" s="70">
        <v>276.789890233253</v>
      </c>
      <c r="N2343" s="70">
        <v>276.789890233253</v>
      </c>
      <c r="O2343" s="70">
        <v>8.2737064247019</v>
      </c>
      <c r="P2343" s="70">
        <v>8.2737064247019</v>
      </c>
    </row>
    <row r="2344" hidden="1">
      <c r="A2344" s="67" t="s">
        <v>3104</v>
      </c>
      <c r="B2344" s="67" t="s">
        <v>17</v>
      </c>
      <c r="C2344" s="68">
        <v>0.25</v>
      </c>
      <c r="D2344" s="68">
        <v>1.0</v>
      </c>
      <c r="E2344" s="68">
        <v>6.0</v>
      </c>
      <c r="F2344" s="68">
        <v>2.0</v>
      </c>
      <c r="G2344" s="68">
        <v>2.16984608319823</v>
      </c>
      <c r="H2344" s="68">
        <v>108.385286465355</v>
      </c>
      <c r="I2344" s="69">
        <v>44320.29849537037</v>
      </c>
      <c r="J2344" s="69">
        <v>44320.309270833335</v>
      </c>
      <c r="K2344">
        <f>AVERAGE(H2342:H2346)</f>
        <v>104.2229995</v>
      </c>
      <c r="L2344">
        <f>STDEV(H2342:H2346)</f>
        <v>114.1496437</v>
      </c>
      <c r="M2344" s="70">
        <v>108.385286465355</v>
      </c>
      <c r="N2344" s="70">
        <v>108.385286465355</v>
      </c>
      <c r="O2344" s="70">
        <v>2.16984608319823</v>
      </c>
      <c r="P2344" s="70">
        <v>2.16984608319823</v>
      </c>
    </row>
    <row r="2345" hidden="1">
      <c r="A2345" s="67" t="s">
        <v>3105</v>
      </c>
      <c r="B2345" s="67" t="s">
        <v>17</v>
      </c>
      <c r="C2345" s="68">
        <v>0.25</v>
      </c>
      <c r="D2345" s="68">
        <v>1.0</v>
      </c>
      <c r="E2345" s="68">
        <v>6.0</v>
      </c>
      <c r="F2345" s="68">
        <v>3.0</v>
      </c>
      <c r="G2345" s="68">
        <v>0.712997756536142</v>
      </c>
      <c r="H2345" s="68">
        <v>0.950093966860787</v>
      </c>
      <c r="I2345" s="69">
        <v>44320.30997685185</v>
      </c>
      <c r="J2345" s="69">
        <v>44320.310208333336</v>
      </c>
      <c r="K2345">
        <f>AVERAGE(H2342:H2346)</f>
        <v>104.2229995</v>
      </c>
      <c r="L2345">
        <f>STDEV(H2342:H2346)</f>
        <v>114.1496437</v>
      </c>
      <c r="M2345" s="70">
        <v>0.950093966860787</v>
      </c>
      <c r="N2345" s="70">
        <v>0.950093966860787</v>
      </c>
      <c r="O2345" s="70">
        <v>0.712997756536142</v>
      </c>
      <c r="P2345" s="70">
        <v>0.712997756536142</v>
      </c>
    </row>
    <row r="2346" hidden="1">
      <c r="A2346" s="67" t="s">
        <v>3106</v>
      </c>
      <c r="B2346" s="67" t="s">
        <v>17</v>
      </c>
      <c r="C2346" s="68">
        <v>0.25</v>
      </c>
      <c r="D2346" s="68">
        <v>1.0</v>
      </c>
      <c r="E2346" s="68">
        <v>6.0</v>
      </c>
      <c r="F2346" s="68">
        <v>4.0</v>
      </c>
      <c r="G2346" s="68">
        <v>2.9077624709845</v>
      </c>
      <c r="H2346" s="68">
        <v>134.43029235471</v>
      </c>
      <c r="I2346" s="69">
        <v>44320.31092592593</v>
      </c>
      <c r="J2346" s="69">
        <v>44320.334016203706</v>
      </c>
      <c r="K2346">
        <f>AVERAGE(H2342:H2346)</f>
        <v>104.2229995</v>
      </c>
      <c r="L2346">
        <f>STDEV(H2342:H2346)</f>
        <v>114.1496437</v>
      </c>
      <c r="M2346" s="70">
        <v>134.43029235471</v>
      </c>
      <c r="N2346" s="70">
        <v>134.43029235471</v>
      </c>
      <c r="O2346" s="70">
        <v>2.9077624709845</v>
      </c>
      <c r="P2346" s="70">
        <v>2.9077624709845</v>
      </c>
    </row>
    <row r="2347" hidden="1">
      <c r="A2347" s="67" t="s">
        <v>3107</v>
      </c>
      <c r="B2347" s="67" t="s">
        <v>17</v>
      </c>
      <c r="C2347" s="68">
        <v>0.5</v>
      </c>
      <c r="D2347" s="68">
        <v>0.1</v>
      </c>
      <c r="E2347" s="68">
        <v>6.0</v>
      </c>
      <c r="F2347" s="68">
        <v>0.0</v>
      </c>
      <c r="G2347" s="68">
        <v>0.539181167055886</v>
      </c>
      <c r="H2347" s="68">
        <v>0.658075581599992</v>
      </c>
      <c r="I2347" s="69">
        <v>44320.33472222222</v>
      </c>
      <c r="J2347" s="69">
        <v>44320.33525462963</v>
      </c>
      <c r="K2347">
        <f>AVERAGE(H2347:H2351)</f>
        <v>68.9758838</v>
      </c>
      <c r="L2347">
        <f>STDEV(H2347:H2351)</f>
        <v>93.75483395</v>
      </c>
      <c r="M2347" s="70">
        <v>0.658075581599992</v>
      </c>
      <c r="N2347" s="70">
        <v>0.658075581599992</v>
      </c>
      <c r="O2347" s="70">
        <v>0.539181167055886</v>
      </c>
      <c r="P2347" s="70">
        <v>0.539181167055886</v>
      </c>
    </row>
    <row r="2348" hidden="1">
      <c r="A2348" s="67" t="s">
        <v>3108</v>
      </c>
      <c r="B2348" s="67" t="s">
        <v>17</v>
      </c>
      <c r="C2348" s="68">
        <v>0.5</v>
      </c>
      <c r="D2348" s="68">
        <v>0.1</v>
      </c>
      <c r="E2348" s="68">
        <v>6.0</v>
      </c>
      <c r="F2348" s="68">
        <v>1.0</v>
      </c>
      <c r="G2348" s="68">
        <v>5.13871927213149</v>
      </c>
      <c r="H2348" s="68">
        <v>173.07890336991</v>
      </c>
      <c r="I2348" s="69">
        <v>44320.33597222222</v>
      </c>
      <c r="J2348" s="69">
        <v>44320.33619212963</v>
      </c>
      <c r="K2348">
        <f>AVERAGE(H2347:H2351)</f>
        <v>68.9758838</v>
      </c>
      <c r="L2348">
        <f>STDEV(H2347:H2351)</f>
        <v>93.75483395</v>
      </c>
      <c r="M2348" s="70">
        <v>173.07890336991</v>
      </c>
      <c r="N2348" s="70">
        <v>173.07890336991</v>
      </c>
      <c r="O2348" s="70">
        <v>5.13871927213149</v>
      </c>
      <c r="P2348" s="70">
        <v>5.13871927213149</v>
      </c>
    </row>
    <row r="2349" hidden="1">
      <c r="A2349" s="67" t="s">
        <v>3109</v>
      </c>
      <c r="B2349" s="67" t="s">
        <v>17</v>
      </c>
      <c r="C2349" s="68">
        <v>0.5</v>
      </c>
      <c r="D2349" s="68">
        <v>0.1</v>
      </c>
      <c r="E2349" s="68">
        <v>6.0</v>
      </c>
      <c r="F2349" s="68">
        <v>2.0</v>
      </c>
      <c r="G2349" s="68">
        <v>0.236581835685098</v>
      </c>
      <c r="H2349" s="68">
        <v>0.315139244430359</v>
      </c>
      <c r="I2349" s="69">
        <v>44320.33689814815</v>
      </c>
      <c r="J2349" s="69">
        <v>44320.33694444445</v>
      </c>
      <c r="K2349">
        <f>AVERAGE(H2347:H2351)</f>
        <v>68.9758838</v>
      </c>
      <c r="L2349">
        <f>STDEV(H2347:H2351)</f>
        <v>93.75483395</v>
      </c>
      <c r="M2349" s="70">
        <v>0.315139244430359</v>
      </c>
      <c r="N2349" s="70">
        <v>0.315139244430359</v>
      </c>
      <c r="O2349" s="70">
        <v>0.236581835685098</v>
      </c>
      <c r="P2349" s="70">
        <v>0.236581835685098</v>
      </c>
    </row>
    <row r="2350" hidden="1">
      <c r="A2350" s="67" t="s">
        <v>3110</v>
      </c>
      <c r="B2350" s="67" t="s">
        <v>17</v>
      </c>
      <c r="C2350" s="68">
        <v>0.5</v>
      </c>
      <c r="D2350" s="68">
        <v>0.1</v>
      </c>
      <c r="E2350" s="68">
        <v>6.0</v>
      </c>
      <c r="F2350" s="68">
        <v>3.0</v>
      </c>
      <c r="G2350" s="68">
        <v>0.467489314643222</v>
      </c>
      <c r="H2350" s="68">
        <v>0.559611722484267</v>
      </c>
      <c r="I2350" s="69">
        <v>44320.33766203704</v>
      </c>
      <c r="J2350" s="69">
        <v>44320.33783564815</v>
      </c>
      <c r="K2350">
        <f>AVERAGE(H2347:H2351)</f>
        <v>68.9758838</v>
      </c>
      <c r="L2350">
        <f>STDEV(H2347:H2351)</f>
        <v>93.75483395</v>
      </c>
      <c r="M2350" s="70">
        <v>0.559611722484267</v>
      </c>
      <c r="N2350" s="70">
        <v>0.559611722484267</v>
      </c>
      <c r="O2350" s="70">
        <v>0.467489314643222</v>
      </c>
      <c r="P2350" s="70">
        <v>0.467489314643222</v>
      </c>
    </row>
    <row r="2351" hidden="1">
      <c r="A2351" s="67" t="s">
        <v>3111</v>
      </c>
      <c r="B2351" s="67" t="s">
        <v>17</v>
      </c>
      <c r="C2351" s="68">
        <v>0.5</v>
      </c>
      <c r="D2351" s="68">
        <v>0.1</v>
      </c>
      <c r="E2351" s="68">
        <v>6.0</v>
      </c>
      <c r="F2351" s="68">
        <v>4.0</v>
      </c>
      <c r="G2351" s="68">
        <v>3.74471744091186</v>
      </c>
      <c r="H2351" s="68">
        <v>170.267689106203</v>
      </c>
      <c r="I2351" s="69">
        <v>44320.338541666664</v>
      </c>
      <c r="J2351" s="69">
        <v>44320.40766203704</v>
      </c>
      <c r="K2351">
        <f>AVERAGE(H2347:H2351)</f>
        <v>68.9758838</v>
      </c>
      <c r="L2351">
        <f>STDEV(H2347:H2351)</f>
        <v>93.75483395</v>
      </c>
      <c r="M2351" s="70">
        <v>170.267689106203</v>
      </c>
      <c r="N2351" s="70">
        <v>170.267689106203</v>
      </c>
      <c r="O2351" s="70">
        <v>3.74471744091186</v>
      </c>
      <c r="P2351" s="70">
        <v>3.74471744091186</v>
      </c>
    </row>
    <row r="2352" hidden="1">
      <c r="A2352" s="67" t="s">
        <v>3112</v>
      </c>
      <c r="B2352" s="67" t="s">
        <v>17</v>
      </c>
      <c r="C2352" s="68">
        <v>0.5</v>
      </c>
      <c r="D2352" s="68">
        <v>0.25</v>
      </c>
      <c r="E2352" s="68">
        <v>6.0</v>
      </c>
      <c r="F2352" s="68">
        <v>0.0</v>
      </c>
      <c r="G2352" s="68">
        <v>1.07991001504809</v>
      </c>
      <c r="H2352" s="68">
        <v>1.4504242499467</v>
      </c>
      <c r="I2352" s="69">
        <v>44320.408368055556</v>
      </c>
      <c r="J2352" s="69">
        <v>44320.408483796295</v>
      </c>
      <c r="K2352">
        <f>AVERAGE(H2352:H2356)</f>
        <v>96.35312462</v>
      </c>
      <c r="L2352">
        <f>STDEV(H2352:H2356)</f>
        <v>127.1601463</v>
      </c>
      <c r="M2352" s="70">
        <v>1.4504242499467</v>
      </c>
      <c r="N2352" s="70">
        <v>1.4504242499467</v>
      </c>
      <c r="O2352" s="70">
        <v>1.07991001504809</v>
      </c>
      <c r="P2352" s="70">
        <v>1.07991001504809</v>
      </c>
    </row>
    <row r="2353" hidden="1">
      <c r="A2353" s="67" t="s">
        <v>3113</v>
      </c>
      <c r="B2353" s="67" t="s">
        <v>17</v>
      </c>
      <c r="C2353" s="68">
        <v>0.5</v>
      </c>
      <c r="D2353" s="68">
        <v>0.25</v>
      </c>
      <c r="E2353" s="68">
        <v>6.0</v>
      </c>
      <c r="F2353" s="68">
        <v>1.0</v>
      </c>
      <c r="G2353" s="68">
        <v>1.68668418461409</v>
      </c>
      <c r="H2353" s="68">
        <v>28.2356356695821</v>
      </c>
      <c r="I2353" s="69">
        <v>44320.40918981482</v>
      </c>
      <c r="J2353" s="69">
        <v>44320.40959490741</v>
      </c>
      <c r="K2353">
        <f>AVERAGE(H2352:H2356)</f>
        <v>96.35312462</v>
      </c>
      <c r="L2353">
        <f>STDEV(H2352:H2356)</f>
        <v>127.1601463</v>
      </c>
      <c r="M2353" s="70">
        <v>28.2356356695821</v>
      </c>
      <c r="N2353" s="70">
        <v>28.2356356695821</v>
      </c>
      <c r="O2353" s="70">
        <v>1.68668418461409</v>
      </c>
      <c r="P2353" s="70">
        <v>1.68668418461409</v>
      </c>
    </row>
    <row r="2354" hidden="1">
      <c r="A2354" s="67" t="s">
        <v>3114</v>
      </c>
      <c r="B2354" s="67" t="s">
        <v>17</v>
      </c>
      <c r="C2354" s="68">
        <v>0.5</v>
      </c>
      <c r="D2354" s="68">
        <v>0.25</v>
      </c>
      <c r="E2354" s="68">
        <v>6.0</v>
      </c>
      <c r="F2354" s="68">
        <v>2.0</v>
      </c>
      <c r="G2354" s="68">
        <v>9.13540894877135</v>
      </c>
      <c r="H2354" s="68">
        <v>290.42569316839</v>
      </c>
      <c r="I2354" s="69">
        <v>44320.4103125</v>
      </c>
      <c r="J2354" s="69">
        <v>44320.41050925926</v>
      </c>
      <c r="K2354">
        <f>AVERAGE(H2352:H2356)</f>
        <v>96.35312462</v>
      </c>
      <c r="L2354">
        <f>STDEV(H2352:H2356)</f>
        <v>127.1601463</v>
      </c>
      <c r="M2354" s="70">
        <v>290.42569316839</v>
      </c>
      <c r="N2354" s="70">
        <v>290.42569316839</v>
      </c>
      <c r="O2354" s="70">
        <v>9.13540894877135</v>
      </c>
      <c r="P2354" s="70">
        <v>9.13540894877135</v>
      </c>
    </row>
    <row r="2355" hidden="1">
      <c r="A2355" s="67" t="s">
        <v>3115</v>
      </c>
      <c r="B2355" s="67" t="s">
        <v>17</v>
      </c>
      <c r="C2355" s="68">
        <v>0.5</v>
      </c>
      <c r="D2355" s="68">
        <v>0.25</v>
      </c>
      <c r="E2355" s="68">
        <v>6.0</v>
      </c>
      <c r="F2355" s="68">
        <v>3.0</v>
      </c>
      <c r="G2355" s="68">
        <v>0.466302059947925</v>
      </c>
      <c r="H2355" s="68">
        <v>0.558605536113522</v>
      </c>
      <c r="I2355" s="69">
        <v>44320.411215277774</v>
      </c>
      <c r="J2355" s="69">
        <v>44320.41138888889</v>
      </c>
      <c r="K2355">
        <f>AVERAGE(H2352:H2356)</f>
        <v>96.35312462</v>
      </c>
      <c r="L2355">
        <f>STDEV(H2352:H2356)</f>
        <v>127.1601463</v>
      </c>
      <c r="M2355" s="70">
        <v>0.558605536113522</v>
      </c>
      <c r="N2355" s="70">
        <v>0.558605536113522</v>
      </c>
      <c r="O2355" s="70">
        <v>0.466302059947925</v>
      </c>
      <c r="P2355" s="70">
        <v>0.466302059947925</v>
      </c>
    </row>
    <row r="2356" hidden="1">
      <c r="A2356" s="67" t="s">
        <v>3116</v>
      </c>
      <c r="B2356" s="67" t="s">
        <v>17</v>
      </c>
      <c r="C2356" s="68">
        <v>0.5</v>
      </c>
      <c r="D2356" s="68">
        <v>0.25</v>
      </c>
      <c r="E2356" s="68">
        <v>6.0</v>
      </c>
      <c r="F2356" s="68">
        <v>4.0</v>
      </c>
      <c r="G2356" s="68">
        <v>3.47425554299664</v>
      </c>
      <c r="H2356" s="68">
        <v>161.095264473742</v>
      </c>
      <c r="I2356" s="69">
        <v>44320.41210648148</v>
      </c>
      <c r="J2356" s="69">
        <v>44320.4949537037</v>
      </c>
      <c r="K2356">
        <f>AVERAGE(H2352:H2356)</f>
        <v>96.35312462</v>
      </c>
      <c r="L2356">
        <f>STDEV(H2352:H2356)</f>
        <v>127.1601463</v>
      </c>
      <c r="M2356" s="70">
        <v>161.095264473742</v>
      </c>
      <c r="N2356" s="70">
        <v>161.095264473742</v>
      </c>
      <c r="O2356" s="70">
        <v>3.47425554299664</v>
      </c>
      <c r="P2356" s="70">
        <v>3.47425554299664</v>
      </c>
    </row>
    <row r="2357" hidden="1">
      <c r="A2357" s="67" t="s">
        <v>3117</v>
      </c>
      <c r="B2357" s="67" t="s">
        <v>17</v>
      </c>
      <c r="C2357" s="68">
        <v>0.5</v>
      </c>
      <c r="D2357" s="68">
        <v>0.5</v>
      </c>
      <c r="E2357" s="68">
        <v>6.0</v>
      </c>
      <c r="F2357" s="68">
        <v>0.0</v>
      </c>
      <c r="G2357" s="68">
        <v>5.79780702916439</v>
      </c>
      <c r="H2357" s="68">
        <v>224.278572816007</v>
      </c>
      <c r="I2357" s="69">
        <v>44320.495671296296</v>
      </c>
      <c r="J2357" s="69">
        <v>44320.498564814814</v>
      </c>
      <c r="K2357">
        <f>AVERAGE(H2357:H2361)</f>
        <v>105.9216744</v>
      </c>
      <c r="L2357">
        <f>STDEV(H2357:H2361)</f>
        <v>85.54625761</v>
      </c>
      <c r="M2357" s="70">
        <v>224.278572816007</v>
      </c>
      <c r="N2357" s="70">
        <v>224.278572816007</v>
      </c>
      <c r="O2357" s="70">
        <v>5.79780702916439</v>
      </c>
      <c r="P2357" s="70">
        <v>5.79780702916439</v>
      </c>
    </row>
    <row r="2358" hidden="1">
      <c r="A2358" s="67" t="s">
        <v>3118</v>
      </c>
      <c r="B2358" s="67" t="s">
        <v>17</v>
      </c>
      <c r="C2358" s="68">
        <v>0.5</v>
      </c>
      <c r="D2358" s="68">
        <v>0.5</v>
      </c>
      <c r="E2358" s="68">
        <v>6.0</v>
      </c>
      <c r="F2358" s="68">
        <v>1.0</v>
      </c>
      <c r="G2358" s="68">
        <v>1.95011013326242</v>
      </c>
      <c r="H2358" s="68">
        <v>105.895347668293</v>
      </c>
      <c r="I2358" s="69">
        <v>44320.49928240741</v>
      </c>
      <c r="J2358" s="69">
        <v>44320.4997337963</v>
      </c>
      <c r="K2358">
        <f>AVERAGE(H2357:H2361)</f>
        <v>105.9216744</v>
      </c>
      <c r="L2358">
        <f>STDEV(H2357:H2361)</f>
        <v>85.54625761</v>
      </c>
      <c r="M2358" s="70">
        <v>105.895347668293</v>
      </c>
      <c r="N2358" s="70">
        <v>105.895347668293</v>
      </c>
      <c r="O2358" s="70">
        <v>1.95011013326242</v>
      </c>
      <c r="P2358" s="70">
        <v>1.95011013326242</v>
      </c>
    </row>
    <row r="2359" hidden="1">
      <c r="A2359" s="67" t="s">
        <v>3119</v>
      </c>
      <c r="B2359" s="67" t="s">
        <v>17</v>
      </c>
      <c r="C2359" s="68">
        <v>0.5</v>
      </c>
      <c r="D2359" s="68">
        <v>0.5</v>
      </c>
      <c r="E2359" s="68">
        <v>6.0</v>
      </c>
      <c r="F2359" s="68">
        <v>2.0</v>
      </c>
      <c r="G2359" s="68">
        <v>1.08481166895852</v>
      </c>
      <c r="H2359" s="68">
        <v>54.4058005561435</v>
      </c>
      <c r="I2359" s="69">
        <v>44320.500451388885</v>
      </c>
      <c r="J2359" s="69">
        <v>44320.502905092595</v>
      </c>
      <c r="K2359">
        <f>AVERAGE(H2357:H2361)</f>
        <v>105.9216744</v>
      </c>
      <c r="L2359">
        <f>STDEV(H2357:H2361)</f>
        <v>85.54625761</v>
      </c>
      <c r="M2359" s="70">
        <v>54.4058005561435</v>
      </c>
      <c r="N2359" s="70">
        <v>54.4058005561435</v>
      </c>
      <c r="O2359" s="70">
        <v>1.08481166895852</v>
      </c>
      <c r="P2359" s="70">
        <v>1.08481166895852</v>
      </c>
    </row>
    <row r="2360" hidden="1">
      <c r="A2360" s="67" t="s">
        <v>3120</v>
      </c>
      <c r="B2360" s="67" t="s">
        <v>17</v>
      </c>
      <c r="C2360" s="68">
        <v>0.5</v>
      </c>
      <c r="D2360" s="68">
        <v>0.5</v>
      </c>
      <c r="E2360" s="68">
        <v>6.0</v>
      </c>
      <c r="F2360" s="68">
        <v>3.0</v>
      </c>
      <c r="G2360" s="68">
        <v>3.36587919385553</v>
      </c>
      <c r="H2360" s="68">
        <v>144.550099387488</v>
      </c>
      <c r="I2360" s="69">
        <v>44320.50362268519</v>
      </c>
      <c r="J2360" s="69">
        <v>44320.5233912037</v>
      </c>
      <c r="K2360">
        <f>AVERAGE(H2357:H2361)</f>
        <v>105.9216744</v>
      </c>
      <c r="L2360">
        <f>STDEV(H2357:H2361)</f>
        <v>85.54625761</v>
      </c>
      <c r="M2360" s="70">
        <v>144.550099387488</v>
      </c>
      <c r="N2360" s="70">
        <v>144.550099387488</v>
      </c>
      <c r="O2360" s="70">
        <v>3.36587919385553</v>
      </c>
      <c r="P2360" s="70">
        <v>3.36587919385553</v>
      </c>
    </row>
    <row r="2361" hidden="1">
      <c r="A2361" s="67" t="s">
        <v>3121</v>
      </c>
      <c r="B2361" s="67" t="s">
        <v>17</v>
      </c>
      <c r="C2361" s="68">
        <v>0.5</v>
      </c>
      <c r="D2361" s="68">
        <v>0.5</v>
      </c>
      <c r="E2361" s="68">
        <v>6.0</v>
      </c>
      <c r="F2361" s="68">
        <v>4.0</v>
      </c>
      <c r="G2361" s="68">
        <v>0.361009675615359</v>
      </c>
      <c r="H2361" s="68">
        <v>0.478551383400447</v>
      </c>
      <c r="I2361" s="69">
        <v>44320.52410879629</v>
      </c>
      <c r="J2361" s="69">
        <v>44320.52413194445</v>
      </c>
      <c r="K2361">
        <f>AVERAGE(H2357:H2361)</f>
        <v>105.9216744</v>
      </c>
      <c r="L2361">
        <f>STDEV(H2357:H2361)</f>
        <v>85.54625761</v>
      </c>
      <c r="M2361" s="70">
        <v>0.478551383400447</v>
      </c>
      <c r="N2361" s="70">
        <v>0.478551383400447</v>
      </c>
      <c r="O2361" s="70">
        <v>0.361009675615359</v>
      </c>
      <c r="P2361" s="70">
        <v>0.361009675615359</v>
      </c>
    </row>
    <row r="2362" hidden="1">
      <c r="A2362" s="67" t="s">
        <v>3122</v>
      </c>
      <c r="B2362" s="67" t="s">
        <v>17</v>
      </c>
      <c r="C2362" s="68">
        <v>0.5</v>
      </c>
      <c r="D2362" s="68">
        <v>0.75</v>
      </c>
      <c r="E2362" s="68">
        <v>6.0</v>
      </c>
      <c r="F2362" s="68">
        <v>0.0</v>
      </c>
      <c r="G2362" s="68">
        <v>4.45228526498928</v>
      </c>
      <c r="H2362" s="68">
        <v>180.622032242733</v>
      </c>
      <c r="I2362" s="69">
        <v>44320.52483796296</v>
      </c>
      <c r="J2362" s="69">
        <v>44320.543958333335</v>
      </c>
      <c r="K2362">
        <f>AVERAGE(H2362:H2366)</f>
        <v>77.86759492</v>
      </c>
      <c r="L2362">
        <f>STDEV(H2362:H2366)</f>
        <v>80.06333303</v>
      </c>
      <c r="M2362" s="70">
        <v>180.622032242733</v>
      </c>
      <c r="N2362" s="70">
        <v>180.622032242733</v>
      </c>
      <c r="O2362" s="70">
        <v>4.45228526498928</v>
      </c>
      <c r="P2362" s="70">
        <v>4.45228526498928</v>
      </c>
    </row>
    <row r="2363" hidden="1">
      <c r="A2363" s="67" t="s">
        <v>3123</v>
      </c>
      <c r="B2363" s="67" t="s">
        <v>17</v>
      </c>
      <c r="C2363" s="68">
        <v>0.5</v>
      </c>
      <c r="D2363" s="68">
        <v>0.75</v>
      </c>
      <c r="E2363" s="68">
        <v>6.0</v>
      </c>
      <c r="F2363" s="68">
        <v>1.0</v>
      </c>
      <c r="G2363" s="68">
        <v>0.535989364148732</v>
      </c>
      <c r="H2363" s="68">
        <v>0.656641820970092</v>
      </c>
      <c r="I2363" s="69">
        <v>44320.54467592593</v>
      </c>
      <c r="J2363" s="69">
        <v>44320.54479166667</v>
      </c>
      <c r="K2363">
        <f>AVERAGE(H2362:H2366)</f>
        <v>77.86759492</v>
      </c>
      <c r="L2363">
        <f>STDEV(H2362:H2366)</f>
        <v>80.06333303</v>
      </c>
      <c r="M2363" s="70">
        <v>0.656641820970092</v>
      </c>
      <c r="N2363" s="70">
        <v>0.656641820970092</v>
      </c>
      <c r="O2363" s="70">
        <v>0.535989364148732</v>
      </c>
      <c r="P2363" s="70">
        <v>0.535989364148732</v>
      </c>
    </row>
    <row r="2364" hidden="1">
      <c r="A2364" s="67" t="s">
        <v>3124</v>
      </c>
      <c r="B2364" s="67" t="s">
        <v>17</v>
      </c>
      <c r="C2364" s="68">
        <v>0.5</v>
      </c>
      <c r="D2364" s="68">
        <v>0.75</v>
      </c>
      <c r="E2364" s="68">
        <v>6.0</v>
      </c>
      <c r="F2364" s="68">
        <v>2.0</v>
      </c>
      <c r="G2364" s="68">
        <v>1.50370233203713</v>
      </c>
      <c r="H2364" s="68">
        <v>74.2889898561173</v>
      </c>
      <c r="I2364" s="69">
        <v>44320.54549768518</v>
      </c>
      <c r="J2364" s="69">
        <v>44320.54636574074</v>
      </c>
      <c r="K2364">
        <f>AVERAGE(H2362:H2366)</f>
        <v>77.86759492</v>
      </c>
      <c r="L2364">
        <f>STDEV(H2362:H2366)</f>
        <v>80.06333303</v>
      </c>
      <c r="M2364" s="70">
        <v>74.2889898561173</v>
      </c>
      <c r="N2364" s="70">
        <v>74.2889898561173</v>
      </c>
      <c r="O2364" s="70">
        <v>1.50370233203713</v>
      </c>
      <c r="P2364" s="70">
        <v>1.50370233203713</v>
      </c>
    </row>
    <row r="2365" hidden="1">
      <c r="A2365" s="67" t="s">
        <v>3125</v>
      </c>
      <c r="B2365" s="67" t="s">
        <v>17</v>
      </c>
      <c r="C2365" s="68">
        <v>0.5</v>
      </c>
      <c r="D2365" s="68">
        <v>0.75</v>
      </c>
      <c r="E2365" s="68">
        <v>6.0</v>
      </c>
      <c r="F2365" s="68">
        <v>3.0</v>
      </c>
      <c r="G2365" s="68">
        <v>2.48874960456739</v>
      </c>
      <c r="H2365" s="68">
        <v>133.467845065893</v>
      </c>
      <c r="I2365" s="69">
        <v>44320.54708333333</v>
      </c>
      <c r="J2365" s="69">
        <v>44320.56321759259</v>
      </c>
      <c r="K2365">
        <f>AVERAGE(H2362:H2366)</f>
        <v>77.86759492</v>
      </c>
      <c r="L2365">
        <f>STDEV(H2362:H2366)</f>
        <v>80.06333303</v>
      </c>
      <c r="M2365" s="70">
        <v>133.467845065893</v>
      </c>
      <c r="N2365" s="70">
        <v>133.467845065893</v>
      </c>
      <c r="O2365" s="70">
        <v>2.48874960456739</v>
      </c>
      <c r="P2365" s="70">
        <v>2.48874960456739</v>
      </c>
    </row>
    <row r="2366" hidden="1">
      <c r="A2366" s="67" t="s">
        <v>3126</v>
      </c>
      <c r="B2366" s="67" t="s">
        <v>17</v>
      </c>
      <c r="C2366" s="68">
        <v>0.5</v>
      </c>
      <c r="D2366" s="68">
        <v>0.75</v>
      </c>
      <c r="E2366" s="68">
        <v>6.0</v>
      </c>
      <c r="F2366" s="68">
        <v>4.0</v>
      </c>
      <c r="G2366" s="68">
        <v>0.224699165992594</v>
      </c>
      <c r="H2366" s="68">
        <v>0.302465613227867</v>
      </c>
      <c r="I2366" s="69">
        <v>44320.563935185186</v>
      </c>
      <c r="J2366" s="69">
        <v>44320.56398148148</v>
      </c>
      <c r="K2366">
        <f>AVERAGE(H2362:H2366)</f>
        <v>77.86759492</v>
      </c>
      <c r="L2366">
        <f>STDEV(H2362:H2366)</f>
        <v>80.06333303</v>
      </c>
      <c r="M2366" s="70">
        <v>0.302465613227867</v>
      </c>
      <c r="N2366" s="70">
        <v>0.302465613227867</v>
      </c>
      <c r="O2366" s="70">
        <v>0.224699165992594</v>
      </c>
      <c r="P2366" s="70">
        <v>0.224699165992594</v>
      </c>
    </row>
    <row r="2367" hidden="1">
      <c r="A2367" s="67" t="s">
        <v>3127</v>
      </c>
      <c r="B2367" s="67" t="s">
        <v>17</v>
      </c>
      <c r="C2367" s="68">
        <v>0.5</v>
      </c>
      <c r="D2367" s="68">
        <v>1.0</v>
      </c>
      <c r="E2367" s="68">
        <v>6.0</v>
      </c>
      <c r="F2367" s="68">
        <v>0.0</v>
      </c>
      <c r="G2367" s="68">
        <v>2.17166873903816</v>
      </c>
      <c r="H2367" s="68">
        <v>98.0319594336813</v>
      </c>
      <c r="I2367" s="69">
        <v>44320.56469907407</v>
      </c>
      <c r="J2367" s="69">
        <v>44320.565462962964</v>
      </c>
      <c r="K2367">
        <f>AVERAGE(H2367:H2371)</f>
        <v>125.8511402</v>
      </c>
      <c r="L2367">
        <f>STDEV(H2367:H2371)</f>
        <v>96.85830952</v>
      </c>
      <c r="M2367" s="70">
        <v>98.0319594336813</v>
      </c>
      <c r="N2367" s="70">
        <v>98.0319594336813</v>
      </c>
      <c r="O2367" s="70">
        <v>2.17166873903816</v>
      </c>
      <c r="P2367" s="70">
        <v>2.17166873903816</v>
      </c>
    </row>
    <row r="2368" hidden="1">
      <c r="A2368" s="67" t="s">
        <v>3128</v>
      </c>
      <c r="B2368" s="67" t="s">
        <v>17</v>
      </c>
      <c r="C2368" s="68">
        <v>0.5</v>
      </c>
      <c r="D2368" s="68">
        <v>1.0</v>
      </c>
      <c r="E2368" s="68">
        <v>6.0</v>
      </c>
      <c r="F2368" s="68">
        <v>1.0</v>
      </c>
      <c r="G2368" s="68">
        <v>3.409696669018</v>
      </c>
      <c r="H2368" s="68">
        <v>149.196059120663</v>
      </c>
      <c r="I2368" s="69">
        <v>44320.56618055556</v>
      </c>
      <c r="J2368" s="69">
        <v>44320.59667824074</v>
      </c>
      <c r="K2368">
        <f>AVERAGE(H2367:H2371)</f>
        <v>125.8511402</v>
      </c>
      <c r="L2368">
        <f>STDEV(H2367:H2371)</f>
        <v>96.85830952</v>
      </c>
      <c r="M2368" s="70">
        <v>149.196059120663</v>
      </c>
      <c r="N2368" s="70">
        <v>149.196059120663</v>
      </c>
      <c r="O2368" s="70">
        <v>3.409696669018</v>
      </c>
      <c r="P2368" s="70">
        <v>3.409696669018</v>
      </c>
    </row>
    <row r="2369" hidden="1">
      <c r="A2369" s="67" t="s">
        <v>3129</v>
      </c>
      <c r="B2369" s="67" t="s">
        <v>17</v>
      </c>
      <c r="C2369" s="68">
        <v>0.5</v>
      </c>
      <c r="D2369" s="68">
        <v>1.0</v>
      </c>
      <c r="E2369" s="68">
        <v>6.0</v>
      </c>
      <c r="F2369" s="68">
        <v>2.0</v>
      </c>
      <c r="G2369" s="68">
        <v>0.540527840855597</v>
      </c>
      <c r="H2369" s="68">
        <v>0.661714315571814</v>
      </c>
      <c r="I2369" s="69">
        <v>44320.59738425926</v>
      </c>
      <c r="J2369" s="69">
        <v>44320.5975</v>
      </c>
      <c r="K2369">
        <f>AVERAGE(H2367:H2371)</f>
        <v>125.8511402</v>
      </c>
      <c r="L2369">
        <f>STDEV(H2367:H2371)</f>
        <v>96.85830952</v>
      </c>
      <c r="M2369" s="70">
        <v>0.661714315571814</v>
      </c>
      <c r="N2369" s="70">
        <v>0.661714315571814</v>
      </c>
      <c r="O2369" s="70">
        <v>0.540527840855597</v>
      </c>
      <c r="P2369" s="70">
        <v>0.540527840855597</v>
      </c>
    </row>
    <row r="2370" hidden="1">
      <c r="A2370" s="67" t="s">
        <v>3130</v>
      </c>
      <c r="B2370" s="67" t="s">
        <v>17</v>
      </c>
      <c r="C2370" s="68">
        <v>0.5</v>
      </c>
      <c r="D2370" s="68">
        <v>1.0</v>
      </c>
      <c r="E2370" s="68">
        <v>6.0</v>
      </c>
      <c r="F2370" s="68">
        <v>3.0</v>
      </c>
      <c r="G2370" s="68">
        <v>2.01235050209023</v>
      </c>
      <c r="H2370" s="68">
        <v>112.809663244327</v>
      </c>
      <c r="I2370" s="69">
        <v>44320.59821759259</v>
      </c>
      <c r="J2370" s="69">
        <v>44320.60763888889</v>
      </c>
      <c r="K2370">
        <f>AVERAGE(H2367:H2371)</f>
        <v>125.8511402</v>
      </c>
      <c r="L2370">
        <f>STDEV(H2367:H2371)</f>
        <v>96.85830952</v>
      </c>
      <c r="M2370" s="70">
        <v>112.809663244327</v>
      </c>
      <c r="N2370" s="70">
        <v>112.809663244327</v>
      </c>
      <c r="O2370" s="70">
        <v>2.01235050209023</v>
      </c>
      <c r="P2370" s="70">
        <v>2.01235050209023</v>
      </c>
    </row>
    <row r="2371" hidden="1">
      <c r="A2371" s="67" t="s">
        <v>3131</v>
      </c>
      <c r="B2371" s="67" t="s">
        <v>17</v>
      </c>
      <c r="C2371" s="68">
        <v>0.5</v>
      </c>
      <c r="D2371" s="68">
        <v>1.0</v>
      </c>
      <c r="E2371" s="68">
        <v>6.0</v>
      </c>
      <c r="F2371" s="68">
        <v>4.0</v>
      </c>
      <c r="G2371" s="68">
        <v>8.43056073932829</v>
      </c>
      <c r="H2371" s="68">
        <v>268.556304644415</v>
      </c>
      <c r="I2371" s="69">
        <v>44320.60835648148</v>
      </c>
      <c r="J2371" s="69">
        <v>44320.60903935185</v>
      </c>
      <c r="K2371">
        <f>AVERAGE(H2367:H2371)</f>
        <v>125.8511402</v>
      </c>
      <c r="L2371">
        <f>STDEV(H2367:H2371)</f>
        <v>96.85830952</v>
      </c>
      <c r="M2371" s="70">
        <v>268.556304644415</v>
      </c>
      <c r="N2371" s="70">
        <v>268.556304644415</v>
      </c>
      <c r="O2371" s="70">
        <v>8.43056073932829</v>
      </c>
      <c r="P2371" s="70">
        <v>8.43056073932829</v>
      </c>
    </row>
    <row r="2372" hidden="1">
      <c r="A2372" s="67" t="s">
        <v>3132</v>
      </c>
      <c r="B2372" s="67" t="s">
        <v>17</v>
      </c>
      <c r="C2372" s="68">
        <v>0.75</v>
      </c>
      <c r="D2372" s="68">
        <v>0.1</v>
      </c>
      <c r="E2372" s="68">
        <v>6.0</v>
      </c>
      <c r="F2372" s="68">
        <v>0.0</v>
      </c>
      <c r="G2372" s="68">
        <v>1.4780770236849</v>
      </c>
      <c r="H2372" s="68">
        <v>72.8287325627493</v>
      </c>
      <c r="I2372" s="69">
        <v>44320.60975694445</v>
      </c>
      <c r="J2372" s="69">
        <v>44320.610555555555</v>
      </c>
      <c r="K2372">
        <f>AVERAGE(H2372:H2376)</f>
        <v>131.9963491</v>
      </c>
      <c r="L2372">
        <f>STDEV(H2372:H2376)</f>
        <v>104.981189</v>
      </c>
      <c r="M2372" s="70">
        <v>72.8287325627493</v>
      </c>
      <c r="N2372" s="70">
        <v>72.8287325627493</v>
      </c>
      <c r="O2372" s="70">
        <v>1.4780770236849</v>
      </c>
      <c r="P2372" s="70">
        <v>1.4780770236849</v>
      </c>
    </row>
    <row r="2373" hidden="1">
      <c r="A2373" s="67" t="s">
        <v>3133</v>
      </c>
      <c r="B2373" s="67" t="s">
        <v>17</v>
      </c>
      <c r="C2373" s="68">
        <v>0.75</v>
      </c>
      <c r="D2373" s="68">
        <v>0.1</v>
      </c>
      <c r="E2373" s="68">
        <v>6.0</v>
      </c>
      <c r="F2373" s="68">
        <v>1.0</v>
      </c>
      <c r="G2373" s="68">
        <v>0.534904501494864</v>
      </c>
      <c r="H2373" s="68">
        <v>0.638170351320793</v>
      </c>
      <c r="I2373" s="69">
        <v>44320.61127314815</v>
      </c>
      <c r="J2373" s="69">
        <v>44320.61185185185</v>
      </c>
      <c r="K2373">
        <f>AVERAGE(H2372:H2376)</f>
        <v>131.9963491</v>
      </c>
      <c r="L2373">
        <f>STDEV(H2372:H2376)</f>
        <v>104.981189</v>
      </c>
      <c r="M2373" s="70">
        <v>0.638170351320793</v>
      </c>
      <c r="N2373" s="70">
        <v>0.638170351320793</v>
      </c>
      <c r="O2373" s="70">
        <v>0.534904501494864</v>
      </c>
      <c r="P2373" s="70">
        <v>0.534904501494864</v>
      </c>
    </row>
    <row r="2374" hidden="1">
      <c r="A2374" s="67" t="s">
        <v>3134</v>
      </c>
      <c r="B2374" s="67" t="s">
        <v>17</v>
      </c>
      <c r="C2374" s="68">
        <v>0.75</v>
      </c>
      <c r="D2374" s="68">
        <v>0.1</v>
      </c>
      <c r="E2374" s="68">
        <v>6.0</v>
      </c>
      <c r="F2374" s="68">
        <v>2.0</v>
      </c>
      <c r="G2374" s="68">
        <v>4.2079876361833</v>
      </c>
      <c r="H2374" s="68">
        <v>169.74392747396</v>
      </c>
      <c r="I2374" s="69">
        <v>44320.61256944444</v>
      </c>
      <c r="J2374" s="69">
        <v>44320.613530092596</v>
      </c>
      <c r="K2374">
        <f>AVERAGE(H2372:H2376)</f>
        <v>131.9963491</v>
      </c>
      <c r="L2374">
        <f>STDEV(H2372:H2376)</f>
        <v>104.981189</v>
      </c>
      <c r="M2374" s="70">
        <v>169.74392747396</v>
      </c>
      <c r="N2374" s="70">
        <v>169.74392747396</v>
      </c>
      <c r="O2374" s="70">
        <v>4.2079876361833</v>
      </c>
      <c r="P2374" s="70">
        <v>4.2079876361833</v>
      </c>
    </row>
    <row r="2375" hidden="1">
      <c r="A2375" s="67" t="s">
        <v>3135</v>
      </c>
      <c r="B2375" s="67" t="s">
        <v>17</v>
      </c>
      <c r="C2375" s="68">
        <v>0.75</v>
      </c>
      <c r="D2375" s="68">
        <v>0.1</v>
      </c>
      <c r="E2375" s="68">
        <v>6.0</v>
      </c>
      <c r="F2375" s="68">
        <v>3.0</v>
      </c>
      <c r="G2375" s="68">
        <v>8.77392133654563</v>
      </c>
      <c r="H2375" s="68">
        <v>279.914999385368</v>
      </c>
      <c r="I2375" s="69">
        <v>44320.61424768518</v>
      </c>
      <c r="J2375" s="69">
        <v>44320.61505787037</v>
      </c>
      <c r="K2375">
        <f>AVERAGE(H2372:H2376)</f>
        <v>131.9963491</v>
      </c>
      <c r="L2375">
        <f>STDEV(H2372:H2376)</f>
        <v>104.981189</v>
      </c>
      <c r="M2375" s="70">
        <v>279.914999385368</v>
      </c>
      <c r="N2375" s="70">
        <v>279.914999385368</v>
      </c>
      <c r="O2375" s="70">
        <v>8.77392133654563</v>
      </c>
      <c r="P2375" s="70">
        <v>8.77392133654563</v>
      </c>
    </row>
    <row r="2376" hidden="1">
      <c r="A2376" s="67" t="s">
        <v>3136</v>
      </c>
      <c r="B2376" s="67" t="s">
        <v>17</v>
      </c>
      <c r="C2376" s="68">
        <v>0.75</v>
      </c>
      <c r="D2376" s="68">
        <v>0.1</v>
      </c>
      <c r="E2376" s="68">
        <v>6.0</v>
      </c>
      <c r="F2376" s="68">
        <v>4.0</v>
      </c>
      <c r="G2376" s="68">
        <v>2.94231510391464</v>
      </c>
      <c r="H2376" s="68">
        <v>136.855915768049</v>
      </c>
      <c r="I2376" s="69">
        <v>44320.61576388889</v>
      </c>
      <c r="J2376" s="69">
        <v>44320.65591435185</v>
      </c>
      <c r="K2376">
        <f>AVERAGE(H2372:H2376)</f>
        <v>131.9963491</v>
      </c>
      <c r="L2376">
        <f>STDEV(H2372:H2376)</f>
        <v>104.981189</v>
      </c>
      <c r="M2376" s="70">
        <v>136.855915768049</v>
      </c>
      <c r="N2376" s="70">
        <v>136.855915768049</v>
      </c>
      <c r="O2376" s="70">
        <v>2.94231510391464</v>
      </c>
      <c r="P2376" s="70">
        <v>2.94231510391464</v>
      </c>
    </row>
    <row r="2377" hidden="1">
      <c r="A2377" s="67" t="s">
        <v>3137</v>
      </c>
      <c r="B2377" s="67" t="s">
        <v>17</v>
      </c>
      <c r="C2377" s="68">
        <v>0.75</v>
      </c>
      <c r="D2377" s="68">
        <v>0.25</v>
      </c>
      <c r="E2377" s="68">
        <v>6.0</v>
      </c>
      <c r="F2377" s="68">
        <v>0.0</v>
      </c>
      <c r="G2377" s="68">
        <v>0.71205655889852</v>
      </c>
      <c r="H2377" s="68">
        <v>0.948977832482219</v>
      </c>
      <c r="I2377" s="69">
        <v>44320.65663194445</v>
      </c>
      <c r="J2377" s="69">
        <v>44320.656863425924</v>
      </c>
      <c r="K2377">
        <f>AVERAGE(H2377:H2381)</f>
        <v>158.4090625</v>
      </c>
      <c r="L2377">
        <f>STDEV(H2377:H2381)</f>
        <v>107.8832981</v>
      </c>
      <c r="M2377" s="70">
        <v>0.948977832482219</v>
      </c>
      <c r="N2377" s="70">
        <v>0.948977832482219</v>
      </c>
      <c r="O2377" s="70">
        <v>0.71205655889852</v>
      </c>
      <c r="P2377" s="70">
        <v>0.71205655889852</v>
      </c>
    </row>
    <row r="2378" hidden="1">
      <c r="A2378" s="67" t="s">
        <v>3138</v>
      </c>
      <c r="B2378" s="67" t="s">
        <v>17</v>
      </c>
      <c r="C2378" s="68">
        <v>0.75</v>
      </c>
      <c r="D2378" s="68">
        <v>0.25</v>
      </c>
      <c r="E2378" s="68">
        <v>6.0</v>
      </c>
      <c r="F2378" s="68">
        <v>1.0</v>
      </c>
      <c r="G2378" s="68">
        <v>9.1910887731451</v>
      </c>
      <c r="H2378" s="68">
        <v>289.667249784808</v>
      </c>
      <c r="I2378" s="69">
        <v>44320.65756944445</v>
      </c>
      <c r="J2378" s="69">
        <v>44320.659155092595</v>
      </c>
      <c r="K2378">
        <f>AVERAGE(H2377:H2381)</f>
        <v>158.4090625</v>
      </c>
      <c r="L2378">
        <f>STDEV(H2377:H2381)</f>
        <v>107.8832981</v>
      </c>
      <c r="M2378" s="70">
        <v>289.667249784808</v>
      </c>
      <c r="N2378" s="70">
        <v>289.667249784808</v>
      </c>
      <c r="O2378" s="70">
        <v>9.1910887731451</v>
      </c>
      <c r="P2378" s="70">
        <v>9.1910887731451</v>
      </c>
    </row>
    <row r="2379" hidden="1">
      <c r="A2379" s="67" t="s">
        <v>3139</v>
      </c>
      <c r="B2379" s="67" t="s">
        <v>17</v>
      </c>
      <c r="C2379" s="68">
        <v>0.75</v>
      </c>
      <c r="D2379" s="68">
        <v>0.25</v>
      </c>
      <c r="E2379" s="68">
        <v>6.0</v>
      </c>
      <c r="F2379" s="68">
        <v>2.0</v>
      </c>
      <c r="G2379" s="68">
        <v>4.95810735092661</v>
      </c>
      <c r="H2379" s="68">
        <v>174.671288200752</v>
      </c>
      <c r="I2379" s="69">
        <v>44320.65987268519</v>
      </c>
      <c r="J2379" s="69">
        <v>44320.65993055556</v>
      </c>
      <c r="K2379">
        <f>AVERAGE(H2377:H2381)</f>
        <v>158.4090625</v>
      </c>
      <c r="L2379">
        <f>STDEV(H2377:H2381)</f>
        <v>107.8832981</v>
      </c>
      <c r="M2379" s="70">
        <v>174.671288200752</v>
      </c>
      <c r="N2379" s="70">
        <v>174.671288200752</v>
      </c>
      <c r="O2379" s="70">
        <v>4.95810735092661</v>
      </c>
      <c r="P2379" s="70">
        <v>4.95810735092661</v>
      </c>
    </row>
    <row r="2380" hidden="1">
      <c r="A2380" s="67" t="s">
        <v>3140</v>
      </c>
      <c r="B2380" s="67" t="s">
        <v>17</v>
      </c>
      <c r="C2380" s="68">
        <v>0.75</v>
      </c>
      <c r="D2380" s="68">
        <v>0.25</v>
      </c>
      <c r="E2380" s="68">
        <v>6.0</v>
      </c>
      <c r="F2380" s="68">
        <v>3.0</v>
      </c>
      <c r="G2380" s="68">
        <v>7.36984431574421</v>
      </c>
      <c r="H2380" s="68">
        <v>209.308058454888</v>
      </c>
      <c r="I2380" s="69">
        <v>44320.66063657407</v>
      </c>
      <c r="J2380" s="69">
        <v>44320.66069444444</v>
      </c>
      <c r="K2380">
        <f>AVERAGE(H2377:H2381)</f>
        <v>158.4090625</v>
      </c>
      <c r="L2380">
        <f>STDEV(H2377:H2381)</f>
        <v>107.8832981</v>
      </c>
      <c r="M2380" s="70">
        <v>209.308058454888</v>
      </c>
      <c r="N2380" s="70">
        <v>209.308058454888</v>
      </c>
      <c r="O2380" s="70">
        <v>7.36984431574421</v>
      </c>
      <c r="P2380" s="70">
        <v>7.36984431574421</v>
      </c>
    </row>
    <row r="2381" hidden="1">
      <c r="A2381" s="67" t="s">
        <v>3141</v>
      </c>
      <c r="B2381" s="67" t="s">
        <v>17</v>
      </c>
      <c r="C2381" s="68">
        <v>0.75</v>
      </c>
      <c r="D2381" s="68">
        <v>0.25</v>
      </c>
      <c r="E2381" s="68">
        <v>6.0</v>
      </c>
      <c r="F2381" s="68">
        <v>4.0</v>
      </c>
      <c r="G2381" s="68">
        <v>2.44795162147379</v>
      </c>
      <c r="H2381" s="68">
        <v>117.449738174707</v>
      </c>
      <c r="I2381" s="69">
        <v>44320.661412037036</v>
      </c>
      <c r="J2381" s="69">
        <v>44320.71758101852</v>
      </c>
      <c r="K2381">
        <f>AVERAGE(H2377:H2381)</f>
        <v>158.4090625</v>
      </c>
      <c r="L2381">
        <f>STDEV(H2377:H2381)</f>
        <v>107.8832981</v>
      </c>
      <c r="M2381" s="70">
        <v>117.449738174707</v>
      </c>
      <c r="N2381" s="70">
        <v>117.449738174707</v>
      </c>
      <c r="O2381" s="70">
        <v>2.44795162147379</v>
      </c>
      <c r="P2381" s="70">
        <v>2.44795162147379</v>
      </c>
    </row>
    <row r="2382" hidden="1">
      <c r="A2382" s="67" t="s">
        <v>3142</v>
      </c>
      <c r="B2382" s="67" t="s">
        <v>17</v>
      </c>
      <c r="C2382" s="68">
        <v>0.75</v>
      </c>
      <c r="D2382" s="68">
        <v>0.5</v>
      </c>
      <c r="E2382" s="68">
        <v>6.0</v>
      </c>
      <c r="F2382" s="68">
        <v>0.0</v>
      </c>
      <c r="G2382" s="68">
        <v>3.63399888921714</v>
      </c>
      <c r="H2382" s="68">
        <v>165.24829050805</v>
      </c>
      <c r="I2382" s="69">
        <v>44320.718298611115</v>
      </c>
      <c r="J2382" s="69">
        <v>44320.75032407408</v>
      </c>
      <c r="K2382">
        <f>AVERAGE(H2382:H2386)</f>
        <v>120.8129012</v>
      </c>
      <c r="L2382">
        <f>STDEV(H2382:H2386)</f>
        <v>70.69724302</v>
      </c>
      <c r="M2382" s="70">
        <v>165.24829050805</v>
      </c>
      <c r="N2382" s="70">
        <v>165.24829050805</v>
      </c>
      <c r="O2382" s="70">
        <v>3.63399888921714</v>
      </c>
      <c r="P2382" s="70">
        <v>3.63399888921714</v>
      </c>
    </row>
    <row r="2383" hidden="1">
      <c r="A2383" s="67" t="s">
        <v>3143</v>
      </c>
      <c r="B2383" s="67" t="s">
        <v>17</v>
      </c>
      <c r="C2383" s="68">
        <v>0.75</v>
      </c>
      <c r="D2383" s="68">
        <v>0.5</v>
      </c>
      <c r="E2383" s="68">
        <v>6.0</v>
      </c>
      <c r="F2383" s="68">
        <v>1.0</v>
      </c>
      <c r="G2383" s="68">
        <v>4.95810735092661</v>
      </c>
      <c r="H2383" s="68">
        <v>174.671288200752</v>
      </c>
      <c r="I2383" s="69">
        <v>44320.75104166667</v>
      </c>
      <c r="J2383" s="69">
        <v>44320.75109953704</v>
      </c>
      <c r="K2383">
        <f>AVERAGE(H2382:H2386)</f>
        <v>120.8129012</v>
      </c>
      <c r="L2383">
        <f>STDEV(H2382:H2386)</f>
        <v>70.69724302</v>
      </c>
      <c r="M2383" s="70">
        <v>174.671288200752</v>
      </c>
      <c r="N2383" s="70">
        <v>174.671288200752</v>
      </c>
      <c r="O2383" s="70">
        <v>4.95810735092661</v>
      </c>
      <c r="P2383" s="70">
        <v>4.95810735092661</v>
      </c>
    </row>
    <row r="2384" hidden="1">
      <c r="A2384" s="67" t="s">
        <v>3144</v>
      </c>
      <c r="B2384" s="67" t="s">
        <v>17</v>
      </c>
      <c r="C2384" s="68">
        <v>0.75</v>
      </c>
      <c r="D2384" s="68">
        <v>0.5</v>
      </c>
      <c r="E2384" s="68">
        <v>6.0</v>
      </c>
      <c r="F2384" s="68">
        <v>2.0</v>
      </c>
      <c r="G2384" s="68">
        <v>3.48031899016527</v>
      </c>
      <c r="H2384" s="68">
        <v>152.768837353764</v>
      </c>
      <c r="I2384" s="69">
        <v>44320.751805555556</v>
      </c>
      <c r="J2384" s="69">
        <v>44320.75193287037</v>
      </c>
      <c r="K2384">
        <f>AVERAGE(H2382:H2386)</f>
        <v>120.8129012</v>
      </c>
      <c r="L2384">
        <f>STDEV(H2382:H2386)</f>
        <v>70.69724302</v>
      </c>
      <c r="M2384" s="70">
        <v>152.768837353764</v>
      </c>
      <c r="N2384" s="70">
        <v>152.768837353764</v>
      </c>
      <c r="O2384" s="70">
        <v>3.48031899016527</v>
      </c>
      <c r="P2384" s="70">
        <v>3.48031899016527</v>
      </c>
    </row>
    <row r="2385" hidden="1">
      <c r="A2385" s="67" t="s">
        <v>3145</v>
      </c>
      <c r="B2385" s="67" t="s">
        <v>17</v>
      </c>
      <c r="C2385" s="68">
        <v>0.75</v>
      </c>
      <c r="D2385" s="68">
        <v>0.5</v>
      </c>
      <c r="E2385" s="68">
        <v>6.0</v>
      </c>
      <c r="F2385" s="68">
        <v>3.0</v>
      </c>
      <c r="G2385" s="68">
        <v>1.81989957307188</v>
      </c>
      <c r="H2385" s="68">
        <v>2.70929752318943</v>
      </c>
      <c r="I2385" s="69">
        <v>44320.752650462964</v>
      </c>
      <c r="J2385" s="69">
        <v>44320.75268518519</v>
      </c>
      <c r="K2385">
        <f>AVERAGE(H2382:H2386)</f>
        <v>120.8129012</v>
      </c>
      <c r="L2385">
        <f>STDEV(H2382:H2386)</f>
        <v>70.69724302</v>
      </c>
      <c r="M2385" s="70">
        <v>2.70929752318943</v>
      </c>
      <c r="N2385" s="70">
        <v>2.70929752318943</v>
      </c>
      <c r="O2385" s="70">
        <v>1.81989957307188</v>
      </c>
      <c r="P2385" s="70">
        <v>1.81989957307188</v>
      </c>
    </row>
    <row r="2386" hidden="1">
      <c r="A2386" s="67" t="s">
        <v>3146</v>
      </c>
      <c r="B2386" s="67" t="s">
        <v>17</v>
      </c>
      <c r="C2386" s="68">
        <v>0.75</v>
      </c>
      <c r="D2386" s="68">
        <v>0.5</v>
      </c>
      <c r="E2386" s="68">
        <v>6.0</v>
      </c>
      <c r="F2386" s="68">
        <v>4.0</v>
      </c>
      <c r="G2386" s="68">
        <v>2.09687707767773</v>
      </c>
      <c r="H2386" s="68">
        <v>108.666792591205</v>
      </c>
      <c r="I2386" s="69">
        <v>44320.75340277778</v>
      </c>
      <c r="J2386" s="69">
        <v>44320.76331018518</v>
      </c>
      <c r="K2386">
        <f>AVERAGE(H2382:H2386)</f>
        <v>120.8129012</v>
      </c>
      <c r="L2386">
        <f>STDEV(H2382:H2386)</f>
        <v>70.69724302</v>
      </c>
      <c r="M2386" s="70">
        <v>108.666792591205</v>
      </c>
      <c r="N2386" s="70">
        <v>108.666792591205</v>
      </c>
      <c r="O2386" s="70">
        <v>2.09687707767773</v>
      </c>
      <c r="P2386" s="70">
        <v>2.09687707767773</v>
      </c>
    </row>
    <row r="2387" hidden="1">
      <c r="A2387" s="67" t="s">
        <v>3147</v>
      </c>
      <c r="B2387" s="67" t="s">
        <v>17</v>
      </c>
      <c r="C2387" s="68">
        <v>0.75</v>
      </c>
      <c r="D2387" s="68">
        <v>0.75</v>
      </c>
      <c r="E2387" s="68">
        <v>6.0</v>
      </c>
      <c r="F2387" s="68">
        <v>0.0</v>
      </c>
      <c r="G2387" s="68">
        <v>5.18612176215272</v>
      </c>
      <c r="H2387" s="68">
        <v>204.649228990864</v>
      </c>
      <c r="I2387" s="69">
        <v>44320.764016203706</v>
      </c>
      <c r="J2387" s="69">
        <v>44320.76912037037</v>
      </c>
      <c r="K2387">
        <f>AVERAGE(H2387:H2391)</f>
        <v>120.1857742</v>
      </c>
      <c r="L2387">
        <f>STDEV(H2387:H2391)</f>
        <v>80.08606708</v>
      </c>
      <c r="M2387" s="70">
        <v>204.649228990864</v>
      </c>
      <c r="N2387" s="70">
        <v>204.649228990864</v>
      </c>
      <c r="O2387" s="70">
        <v>5.18612176215272</v>
      </c>
      <c r="P2387" s="70">
        <v>5.18612176215272</v>
      </c>
    </row>
    <row r="2388" hidden="1">
      <c r="A2388" s="67" t="s">
        <v>3148</v>
      </c>
      <c r="B2388" s="67" t="s">
        <v>17</v>
      </c>
      <c r="C2388" s="68">
        <v>0.75</v>
      </c>
      <c r="D2388" s="68">
        <v>0.75</v>
      </c>
      <c r="E2388" s="68">
        <v>6.0</v>
      </c>
      <c r="F2388" s="68">
        <v>1.0</v>
      </c>
      <c r="G2388" s="68">
        <v>0.53731263473983</v>
      </c>
      <c r="H2388" s="68">
        <v>0.657552234811424</v>
      </c>
      <c r="I2388" s="69">
        <v>44320.769837962966</v>
      </c>
      <c r="J2388" s="69">
        <v>44320.769953703704</v>
      </c>
      <c r="K2388">
        <f>AVERAGE(H2387:H2391)</f>
        <v>120.1857742</v>
      </c>
      <c r="L2388">
        <f>STDEV(H2387:H2391)</f>
        <v>80.08606708</v>
      </c>
      <c r="M2388" s="70">
        <v>0.657552234811424</v>
      </c>
      <c r="N2388" s="70">
        <v>0.657552234811424</v>
      </c>
      <c r="O2388" s="70">
        <v>0.53731263473983</v>
      </c>
      <c r="P2388" s="70">
        <v>0.53731263473983</v>
      </c>
    </row>
    <row r="2389" hidden="1">
      <c r="A2389" s="67" t="s">
        <v>3149</v>
      </c>
      <c r="B2389" s="67" t="s">
        <v>17</v>
      </c>
      <c r="C2389" s="68">
        <v>0.75</v>
      </c>
      <c r="D2389" s="68">
        <v>0.75</v>
      </c>
      <c r="E2389" s="68">
        <v>6.0</v>
      </c>
      <c r="F2389" s="68">
        <v>2.0</v>
      </c>
      <c r="G2389" s="68">
        <v>5.37121900035303</v>
      </c>
      <c r="H2389" s="68">
        <v>177.53799896223</v>
      </c>
      <c r="I2389" s="69">
        <v>44320.7706712963</v>
      </c>
      <c r="J2389" s="69">
        <v>44320.77081018518</v>
      </c>
      <c r="K2389">
        <f>AVERAGE(H2387:H2391)</f>
        <v>120.1857742</v>
      </c>
      <c r="L2389">
        <f>STDEV(H2387:H2391)</f>
        <v>80.08606708</v>
      </c>
      <c r="M2389" s="70">
        <v>177.53799896223</v>
      </c>
      <c r="N2389" s="70">
        <v>177.53799896223</v>
      </c>
      <c r="O2389" s="70">
        <v>5.37121900035303</v>
      </c>
      <c r="P2389" s="70">
        <v>5.37121900035303</v>
      </c>
    </row>
    <row r="2390" hidden="1">
      <c r="A2390" s="67" t="s">
        <v>3150</v>
      </c>
      <c r="B2390" s="67" t="s">
        <v>17</v>
      </c>
      <c r="C2390" s="68">
        <v>0.75</v>
      </c>
      <c r="D2390" s="68">
        <v>0.75</v>
      </c>
      <c r="E2390" s="68">
        <v>6.0</v>
      </c>
      <c r="F2390" s="68">
        <v>3.0</v>
      </c>
      <c r="G2390" s="68">
        <v>1.2816378629523</v>
      </c>
      <c r="H2390" s="68">
        <v>90.3819482970156</v>
      </c>
      <c r="I2390" s="69">
        <v>44320.771527777775</v>
      </c>
      <c r="J2390" s="69">
        <v>44320.77290509259</v>
      </c>
      <c r="K2390">
        <f>AVERAGE(H2387:H2391)</f>
        <v>120.1857742</v>
      </c>
      <c r="L2390">
        <f>STDEV(H2387:H2391)</f>
        <v>80.08606708</v>
      </c>
      <c r="M2390" s="70">
        <v>90.3819482970156</v>
      </c>
      <c r="N2390" s="70">
        <v>90.3819482970156</v>
      </c>
      <c r="O2390" s="70">
        <v>1.2816378629523</v>
      </c>
      <c r="P2390" s="70">
        <v>1.2816378629523</v>
      </c>
    </row>
    <row r="2391" hidden="1">
      <c r="A2391" s="67" t="s">
        <v>3151</v>
      </c>
      <c r="B2391" s="67" t="s">
        <v>17</v>
      </c>
      <c r="C2391" s="68">
        <v>0.75</v>
      </c>
      <c r="D2391" s="68">
        <v>0.75</v>
      </c>
      <c r="E2391" s="68">
        <v>6.0</v>
      </c>
      <c r="F2391" s="68">
        <v>4.0</v>
      </c>
      <c r="G2391" s="68">
        <v>2.63026753228436</v>
      </c>
      <c r="H2391" s="68">
        <v>127.702142617884</v>
      </c>
      <c r="I2391" s="69">
        <v>44320.773622685185</v>
      </c>
      <c r="J2391" s="69">
        <v>44320.80983796297</v>
      </c>
      <c r="K2391">
        <f>AVERAGE(H2387:H2391)</f>
        <v>120.1857742</v>
      </c>
      <c r="L2391">
        <f>STDEV(H2387:H2391)</f>
        <v>80.08606708</v>
      </c>
      <c r="M2391" s="70">
        <v>127.702142617884</v>
      </c>
      <c r="N2391" s="70">
        <v>127.702142617884</v>
      </c>
      <c r="O2391" s="70">
        <v>2.63026753228436</v>
      </c>
      <c r="P2391" s="70">
        <v>2.63026753228436</v>
      </c>
    </row>
    <row r="2392" hidden="1">
      <c r="A2392" s="67" t="s">
        <v>3152</v>
      </c>
      <c r="B2392" s="67" t="s">
        <v>17</v>
      </c>
      <c r="C2392" s="68">
        <v>0.75</v>
      </c>
      <c r="D2392" s="68">
        <v>1.0</v>
      </c>
      <c r="E2392" s="68">
        <v>6.0</v>
      </c>
      <c r="F2392" s="68">
        <v>0.0</v>
      </c>
      <c r="G2392" s="68">
        <v>3.75231420769811</v>
      </c>
      <c r="H2392" s="68">
        <v>117.909334652367</v>
      </c>
      <c r="I2392" s="69">
        <v>44320.81054398148</v>
      </c>
      <c r="J2392" s="69">
        <v>44320.81070601852</v>
      </c>
      <c r="K2392">
        <f>AVERAGE(H2392:H2396)</f>
        <v>138.9635371</v>
      </c>
      <c r="L2392">
        <f>STDEV(H2392:H2396)</f>
        <v>94.8518465</v>
      </c>
      <c r="M2392" s="70">
        <v>117.909334652367</v>
      </c>
      <c r="N2392" s="70">
        <v>117.909334652367</v>
      </c>
      <c r="O2392" s="70">
        <v>3.75231420769811</v>
      </c>
      <c r="P2392" s="70">
        <v>3.75231420769811</v>
      </c>
    </row>
    <row r="2393" hidden="1">
      <c r="A2393" s="67" t="s">
        <v>3153</v>
      </c>
      <c r="B2393" s="67" t="s">
        <v>17</v>
      </c>
      <c r="C2393" s="68">
        <v>0.75</v>
      </c>
      <c r="D2393" s="68">
        <v>1.0</v>
      </c>
      <c r="E2393" s="68">
        <v>6.0</v>
      </c>
      <c r="F2393" s="68">
        <v>1.0</v>
      </c>
      <c r="G2393" s="68">
        <v>6.90615386933195</v>
      </c>
      <c r="H2393" s="68">
        <v>244.22789127497</v>
      </c>
      <c r="I2393" s="69">
        <v>44320.811423611114</v>
      </c>
      <c r="J2393" s="69">
        <v>44320.813564814816</v>
      </c>
      <c r="K2393">
        <f>AVERAGE(H2392:H2396)</f>
        <v>138.9635371</v>
      </c>
      <c r="L2393">
        <f>STDEV(H2392:H2396)</f>
        <v>94.8518465</v>
      </c>
      <c r="M2393" s="70">
        <v>244.22789127497</v>
      </c>
      <c r="N2393" s="70">
        <v>244.22789127497</v>
      </c>
      <c r="O2393" s="70">
        <v>6.90615386933195</v>
      </c>
      <c r="P2393" s="70">
        <v>6.90615386933195</v>
      </c>
    </row>
    <row r="2394" hidden="1">
      <c r="A2394" s="67" t="s">
        <v>3154</v>
      </c>
      <c r="B2394" s="67" t="s">
        <v>17</v>
      </c>
      <c r="C2394" s="68">
        <v>0.75</v>
      </c>
      <c r="D2394" s="68">
        <v>1.0</v>
      </c>
      <c r="E2394" s="68">
        <v>6.0</v>
      </c>
      <c r="F2394" s="68">
        <v>2.0</v>
      </c>
      <c r="G2394" s="68">
        <v>2.4060970989307</v>
      </c>
      <c r="H2394" s="68">
        <v>121.322774516465</v>
      </c>
      <c r="I2394" s="69">
        <v>44320.81428240741</v>
      </c>
      <c r="J2394" s="69">
        <v>44320.870104166665</v>
      </c>
      <c r="K2394">
        <f>AVERAGE(H2392:H2396)</f>
        <v>138.9635371</v>
      </c>
      <c r="L2394">
        <f>STDEV(H2392:H2396)</f>
        <v>94.8518465</v>
      </c>
      <c r="M2394" s="70">
        <v>121.322774516465</v>
      </c>
      <c r="N2394" s="70">
        <v>121.322774516465</v>
      </c>
      <c r="O2394" s="70">
        <v>2.4060970989307</v>
      </c>
      <c r="P2394" s="70">
        <v>2.4060970989307</v>
      </c>
    </row>
    <row r="2395" hidden="1">
      <c r="A2395" s="67" t="s">
        <v>3155</v>
      </c>
      <c r="B2395" s="67" t="s">
        <v>17</v>
      </c>
      <c r="C2395" s="68">
        <v>0.75</v>
      </c>
      <c r="D2395" s="68">
        <v>1.0</v>
      </c>
      <c r="E2395" s="68">
        <v>6.0</v>
      </c>
      <c r="F2395" s="68">
        <v>3.0</v>
      </c>
      <c r="G2395" s="68">
        <v>7.44611296012217</v>
      </c>
      <c r="H2395" s="68">
        <v>210.408707413425</v>
      </c>
      <c r="I2395" s="69">
        <v>44320.87082175926</v>
      </c>
      <c r="J2395" s="69">
        <v>44320.87087962963</v>
      </c>
      <c r="K2395">
        <f>AVERAGE(H2392:H2396)</f>
        <v>138.9635371</v>
      </c>
      <c r="L2395">
        <f>STDEV(H2392:H2396)</f>
        <v>94.8518465</v>
      </c>
      <c r="M2395" s="70">
        <v>210.408707413425</v>
      </c>
      <c r="N2395" s="70">
        <v>210.408707413425</v>
      </c>
      <c r="O2395" s="70">
        <v>7.44611296012217</v>
      </c>
      <c r="P2395" s="70">
        <v>7.44611296012217</v>
      </c>
    </row>
    <row r="2396" hidden="1">
      <c r="A2396" s="67" t="s">
        <v>3156</v>
      </c>
      <c r="B2396" s="67" t="s">
        <v>17</v>
      </c>
      <c r="C2396" s="68">
        <v>0.75</v>
      </c>
      <c r="D2396" s="68">
        <v>1.0</v>
      </c>
      <c r="E2396" s="68">
        <v>6.0</v>
      </c>
      <c r="F2396" s="68">
        <v>4.0</v>
      </c>
      <c r="G2396" s="68">
        <v>0.71205655889852</v>
      </c>
      <c r="H2396" s="68">
        <v>0.948977832482219</v>
      </c>
      <c r="I2396" s="69">
        <v>44320.87158564815</v>
      </c>
      <c r="J2396" s="69">
        <v>44320.87180555556</v>
      </c>
      <c r="K2396">
        <f>AVERAGE(H2392:H2396)</f>
        <v>138.9635371</v>
      </c>
      <c r="L2396">
        <f>STDEV(H2392:H2396)</f>
        <v>94.8518465</v>
      </c>
      <c r="M2396" s="70">
        <v>0.948977832482219</v>
      </c>
      <c r="N2396" s="70">
        <v>0.948977832482219</v>
      </c>
      <c r="O2396" s="70">
        <v>0.71205655889852</v>
      </c>
      <c r="P2396" s="70">
        <v>0.71205655889852</v>
      </c>
    </row>
    <row r="2397" hidden="1">
      <c r="A2397" s="67" t="s">
        <v>3157</v>
      </c>
      <c r="B2397" s="67" t="s">
        <v>17</v>
      </c>
      <c r="C2397" s="68">
        <v>1.0</v>
      </c>
      <c r="D2397" s="68">
        <v>0.1</v>
      </c>
      <c r="E2397" s="68">
        <v>6.0</v>
      </c>
      <c r="F2397" s="68">
        <v>0.0</v>
      </c>
      <c r="G2397" s="68">
        <v>3.3473661261715</v>
      </c>
      <c r="H2397" s="68">
        <v>152.324485804702</v>
      </c>
      <c r="I2397" s="69">
        <v>44320.87252314815</v>
      </c>
      <c r="J2397" s="69">
        <v>44320.91716435185</v>
      </c>
      <c r="K2397">
        <f>AVERAGE(H2397:H2401)</f>
        <v>108.6724268</v>
      </c>
      <c r="L2397">
        <f>STDEV(H2397:H2401)</f>
        <v>88.83747172</v>
      </c>
      <c r="M2397" s="70">
        <v>152.324485804702</v>
      </c>
      <c r="N2397" s="70">
        <v>152.324485804702</v>
      </c>
      <c r="O2397" s="70">
        <v>3.3473661261715</v>
      </c>
      <c r="P2397" s="70">
        <v>3.3473661261715</v>
      </c>
    </row>
    <row r="2398" hidden="1">
      <c r="A2398" s="67" t="s">
        <v>3158</v>
      </c>
      <c r="B2398" s="67" t="s">
        <v>17</v>
      </c>
      <c r="C2398" s="68">
        <v>1.0</v>
      </c>
      <c r="D2398" s="68">
        <v>0.1</v>
      </c>
      <c r="E2398" s="68">
        <v>6.0</v>
      </c>
      <c r="F2398" s="68">
        <v>1.0</v>
      </c>
      <c r="G2398" s="68">
        <v>0.525455129092184</v>
      </c>
      <c r="H2398" s="68">
        <v>0.624960839722232</v>
      </c>
      <c r="I2398" s="69">
        <v>44320.91788194444</v>
      </c>
      <c r="J2398" s="69">
        <v>44320.91840277778</v>
      </c>
      <c r="K2398">
        <f>AVERAGE(H2397:H2401)</f>
        <v>108.6724268</v>
      </c>
      <c r="L2398">
        <f>STDEV(H2397:H2401)</f>
        <v>88.83747172</v>
      </c>
      <c r="M2398" s="70">
        <v>0.624960839722232</v>
      </c>
      <c r="N2398" s="70">
        <v>0.624960839722232</v>
      </c>
      <c r="O2398" s="70">
        <v>0.525455129092184</v>
      </c>
      <c r="P2398" s="70">
        <v>0.525455129092184</v>
      </c>
    </row>
    <row r="2399" hidden="1">
      <c r="A2399" s="67" t="s">
        <v>3159</v>
      </c>
      <c r="B2399" s="67" t="s">
        <v>17</v>
      </c>
      <c r="C2399" s="68">
        <v>1.0</v>
      </c>
      <c r="D2399" s="68">
        <v>0.1</v>
      </c>
      <c r="E2399" s="68">
        <v>6.0</v>
      </c>
      <c r="F2399" s="68">
        <v>2.0</v>
      </c>
      <c r="G2399" s="68">
        <v>1.68403778043564</v>
      </c>
      <c r="H2399" s="68">
        <v>27.8784170264913</v>
      </c>
      <c r="I2399" s="69">
        <v>44320.919120370374</v>
      </c>
      <c r="J2399" s="69">
        <v>44320.91956018518</v>
      </c>
      <c r="K2399">
        <f>AVERAGE(H2397:H2401)</f>
        <v>108.6724268</v>
      </c>
      <c r="L2399">
        <f>STDEV(H2397:H2401)</f>
        <v>88.83747172</v>
      </c>
      <c r="M2399" s="70">
        <v>27.8784170264913</v>
      </c>
      <c r="N2399" s="70">
        <v>27.8784170264913</v>
      </c>
      <c r="O2399" s="70">
        <v>1.68403778043564</v>
      </c>
      <c r="P2399" s="70">
        <v>1.68403778043564</v>
      </c>
    </row>
    <row r="2400" hidden="1">
      <c r="A2400" s="67" t="s">
        <v>3160</v>
      </c>
      <c r="B2400" s="67" t="s">
        <v>17</v>
      </c>
      <c r="C2400" s="68">
        <v>1.0</v>
      </c>
      <c r="D2400" s="68">
        <v>0.1</v>
      </c>
      <c r="E2400" s="68">
        <v>6.0</v>
      </c>
      <c r="F2400" s="68">
        <v>3.0</v>
      </c>
      <c r="G2400" s="68">
        <v>3.04633655359845</v>
      </c>
      <c r="H2400" s="68">
        <v>159.808186011726</v>
      </c>
      <c r="I2400" s="69">
        <v>44320.920277777775</v>
      </c>
      <c r="J2400" s="69">
        <v>44320.92042824074</v>
      </c>
      <c r="K2400">
        <f>AVERAGE(H2397:H2401)</f>
        <v>108.6724268</v>
      </c>
      <c r="L2400">
        <f>STDEV(H2397:H2401)</f>
        <v>88.83747172</v>
      </c>
      <c r="M2400" s="70">
        <v>159.808186011726</v>
      </c>
      <c r="N2400" s="70">
        <v>159.808186011726</v>
      </c>
      <c r="O2400" s="70">
        <v>3.04633655359845</v>
      </c>
      <c r="P2400" s="70">
        <v>3.04633655359845</v>
      </c>
    </row>
    <row r="2401" hidden="1">
      <c r="A2401" s="67" t="s">
        <v>3161</v>
      </c>
      <c r="B2401" s="67" t="s">
        <v>17</v>
      </c>
      <c r="C2401" s="68">
        <v>1.0</v>
      </c>
      <c r="D2401" s="68">
        <v>0.1</v>
      </c>
      <c r="E2401" s="68">
        <v>6.0</v>
      </c>
      <c r="F2401" s="68">
        <v>4.0</v>
      </c>
      <c r="G2401" s="68">
        <v>4.95778623959385</v>
      </c>
      <c r="H2401" s="68">
        <v>202.726084288053</v>
      </c>
      <c r="I2401" s="69">
        <v>44320.92114583333</v>
      </c>
      <c r="J2401" s="69">
        <v>44320.924780092595</v>
      </c>
      <c r="K2401">
        <f>AVERAGE(H2397:H2401)</f>
        <v>108.6724268</v>
      </c>
      <c r="L2401">
        <f>STDEV(H2397:H2401)</f>
        <v>88.83747172</v>
      </c>
      <c r="M2401" s="70">
        <v>202.726084288053</v>
      </c>
      <c r="N2401" s="70">
        <v>202.726084288053</v>
      </c>
      <c r="O2401" s="70">
        <v>4.95778623959385</v>
      </c>
      <c r="P2401" s="70">
        <v>4.95778623959385</v>
      </c>
    </row>
    <row r="2402" hidden="1">
      <c r="A2402" s="67" t="s">
        <v>3162</v>
      </c>
      <c r="B2402" s="67" t="s">
        <v>17</v>
      </c>
      <c r="C2402" s="68">
        <v>1.0</v>
      </c>
      <c r="D2402" s="68">
        <v>0.25</v>
      </c>
      <c r="E2402" s="68">
        <v>6.0</v>
      </c>
      <c r="F2402" s="68">
        <v>0.0</v>
      </c>
      <c r="G2402" s="68">
        <v>0.552673888776162</v>
      </c>
      <c r="H2402" s="68">
        <v>0.678726413277937</v>
      </c>
      <c r="I2402" s="69">
        <v>44320.92548611111</v>
      </c>
      <c r="J2402" s="69">
        <v>44320.925625</v>
      </c>
      <c r="K2402">
        <f>AVERAGE(H2402:H2406)</f>
        <v>67.3721835</v>
      </c>
      <c r="L2402">
        <f>STDEV(H2402:H2406)</f>
        <v>85.69623589</v>
      </c>
      <c r="M2402" s="70">
        <v>0.678726413277937</v>
      </c>
      <c r="N2402" s="70">
        <v>0.678726413277937</v>
      </c>
      <c r="O2402" s="70">
        <v>0.552673888776162</v>
      </c>
      <c r="P2402" s="70">
        <v>0.552673888776162</v>
      </c>
    </row>
    <row r="2403" hidden="1">
      <c r="A2403" s="67" t="s">
        <v>3163</v>
      </c>
      <c r="B2403" s="67" t="s">
        <v>17</v>
      </c>
      <c r="C2403" s="68">
        <v>1.0</v>
      </c>
      <c r="D2403" s="68">
        <v>0.25</v>
      </c>
      <c r="E2403" s="68">
        <v>6.0</v>
      </c>
      <c r="F2403" s="68">
        <v>1.0</v>
      </c>
      <c r="G2403" s="68">
        <v>0.521099489037686</v>
      </c>
      <c r="H2403" s="68">
        <v>0.618249862398595</v>
      </c>
      <c r="I2403" s="69">
        <v>44320.92634259259</v>
      </c>
      <c r="J2403" s="69">
        <v>44320.926886574074</v>
      </c>
      <c r="K2403">
        <f>AVERAGE(H2402:H2406)</f>
        <v>67.3721835</v>
      </c>
      <c r="L2403">
        <f>STDEV(H2402:H2406)</f>
        <v>85.69623589</v>
      </c>
      <c r="M2403" s="70">
        <v>0.618249862398595</v>
      </c>
      <c r="N2403" s="70">
        <v>0.618249862398595</v>
      </c>
      <c r="O2403" s="70">
        <v>0.521099489037686</v>
      </c>
      <c r="P2403" s="70">
        <v>0.521099489037686</v>
      </c>
    </row>
    <row r="2404" hidden="1">
      <c r="A2404" s="67" t="s">
        <v>3164</v>
      </c>
      <c r="B2404" s="67" t="s">
        <v>17</v>
      </c>
      <c r="C2404" s="68">
        <v>1.0</v>
      </c>
      <c r="D2404" s="68">
        <v>0.25</v>
      </c>
      <c r="E2404" s="68">
        <v>6.0</v>
      </c>
      <c r="F2404" s="68">
        <v>2.0</v>
      </c>
      <c r="G2404" s="68">
        <v>3.84357555357016</v>
      </c>
      <c r="H2404" s="68">
        <v>171.538129669189</v>
      </c>
      <c r="I2404" s="69">
        <v>44320.92760416667</v>
      </c>
      <c r="J2404" s="69">
        <v>44320.990902777776</v>
      </c>
      <c r="K2404">
        <f>AVERAGE(H2402:H2406)</f>
        <v>67.3721835</v>
      </c>
      <c r="L2404">
        <f>STDEV(H2402:H2406)</f>
        <v>85.69623589</v>
      </c>
      <c r="M2404" s="70">
        <v>171.538129669189</v>
      </c>
      <c r="N2404" s="70">
        <v>171.538129669189</v>
      </c>
      <c r="O2404" s="70">
        <v>3.84357555357016</v>
      </c>
      <c r="P2404" s="70">
        <v>3.84357555357016</v>
      </c>
    </row>
    <row r="2405" hidden="1">
      <c r="A2405" s="67" t="s">
        <v>3165</v>
      </c>
      <c r="B2405" s="67" t="s">
        <v>17</v>
      </c>
      <c r="C2405" s="68">
        <v>1.0</v>
      </c>
      <c r="D2405" s="68">
        <v>0.25</v>
      </c>
      <c r="E2405" s="68">
        <v>6.0</v>
      </c>
      <c r="F2405" s="68">
        <v>3.0</v>
      </c>
      <c r="G2405" s="68">
        <v>3.81280198493487</v>
      </c>
      <c r="H2405" s="68">
        <v>149.806816525554</v>
      </c>
      <c r="I2405" s="69">
        <v>44320.99162037037</v>
      </c>
      <c r="J2405" s="69">
        <v>44320.991747685184</v>
      </c>
      <c r="K2405">
        <f>AVERAGE(H2402:H2406)</f>
        <v>67.3721835</v>
      </c>
      <c r="L2405">
        <f>STDEV(H2402:H2406)</f>
        <v>85.69623589</v>
      </c>
      <c r="M2405" s="70">
        <v>149.806816525554</v>
      </c>
      <c r="N2405" s="70">
        <v>149.806816525554</v>
      </c>
      <c r="O2405" s="70">
        <v>3.81280198493487</v>
      </c>
      <c r="P2405" s="70">
        <v>3.81280198493487</v>
      </c>
    </row>
    <row r="2406" hidden="1">
      <c r="A2406" s="67" t="s">
        <v>3166</v>
      </c>
      <c r="B2406" s="67" t="s">
        <v>17</v>
      </c>
      <c r="C2406" s="68">
        <v>1.0</v>
      </c>
      <c r="D2406" s="68">
        <v>0.25</v>
      </c>
      <c r="E2406" s="68">
        <v>6.0</v>
      </c>
      <c r="F2406" s="68">
        <v>4.0</v>
      </c>
      <c r="G2406" s="68">
        <v>0.986112075366586</v>
      </c>
      <c r="H2406" s="68">
        <v>14.2189950103105</v>
      </c>
      <c r="I2406" s="69">
        <v>44320.9924537037</v>
      </c>
      <c r="J2406" s="69">
        <v>44320.99256944445</v>
      </c>
      <c r="K2406">
        <f>AVERAGE(H2402:H2406)</f>
        <v>67.3721835</v>
      </c>
      <c r="L2406">
        <f>STDEV(H2402:H2406)</f>
        <v>85.69623589</v>
      </c>
      <c r="M2406" s="70">
        <v>14.2189950103105</v>
      </c>
      <c r="N2406" s="70">
        <v>14.2189950103105</v>
      </c>
      <c r="O2406" s="70">
        <v>0.986112075366586</v>
      </c>
      <c r="P2406" s="70">
        <v>0.986112075366586</v>
      </c>
    </row>
    <row r="2407" hidden="1">
      <c r="A2407" s="67" t="s">
        <v>3167</v>
      </c>
      <c r="B2407" s="67" t="s">
        <v>17</v>
      </c>
      <c r="C2407" s="68">
        <v>1.0</v>
      </c>
      <c r="D2407" s="68">
        <v>0.5</v>
      </c>
      <c r="E2407" s="68">
        <v>6.0</v>
      </c>
      <c r="F2407" s="68">
        <v>0.0</v>
      </c>
      <c r="G2407" s="68">
        <v>3.42790151227541</v>
      </c>
      <c r="H2407" s="68">
        <v>169.112572710223</v>
      </c>
      <c r="I2407" s="69">
        <v>44320.99327546296</v>
      </c>
      <c r="J2407" s="69">
        <v>44321.02819444444</v>
      </c>
      <c r="K2407">
        <f>AVERAGE(H2407:H2411)</f>
        <v>130.8737935</v>
      </c>
      <c r="L2407">
        <f>STDEV(H2407:H2411)</f>
        <v>80.65815569</v>
      </c>
      <c r="M2407" s="70">
        <v>169.112572710223</v>
      </c>
      <c r="N2407" s="70">
        <v>169.112572710223</v>
      </c>
      <c r="O2407" s="70">
        <v>3.42790151227541</v>
      </c>
      <c r="P2407" s="70">
        <v>3.42790151227541</v>
      </c>
    </row>
    <row r="2408" hidden="1">
      <c r="A2408" s="67" t="s">
        <v>3168</v>
      </c>
      <c r="B2408" s="67" t="s">
        <v>17</v>
      </c>
      <c r="C2408" s="68">
        <v>1.0</v>
      </c>
      <c r="D2408" s="68">
        <v>0.5</v>
      </c>
      <c r="E2408" s="68">
        <v>6.0</v>
      </c>
      <c r="F2408" s="68">
        <v>1.0</v>
      </c>
      <c r="G2408" s="68">
        <v>7.41596816891438</v>
      </c>
      <c r="H2408" s="68">
        <v>210.030546515685</v>
      </c>
      <c r="I2408" s="69">
        <v>44321.028912037036</v>
      </c>
      <c r="J2408" s="69">
        <v>44321.028969907406</v>
      </c>
      <c r="K2408">
        <f>AVERAGE(H2407:H2411)</f>
        <v>130.8737935</v>
      </c>
      <c r="L2408">
        <f>STDEV(H2407:H2411)</f>
        <v>80.65815569</v>
      </c>
      <c r="M2408" s="70">
        <v>210.030546515685</v>
      </c>
      <c r="N2408" s="70">
        <v>210.030546515685</v>
      </c>
      <c r="O2408" s="70">
        <v>7.41596816891438</v>
      </c>
      <c r="P2408" s="70">
        <v>7.41596816891438</v>
      </c>
    </row>
    <row r="2409" hidden="1">
      <c r="A2409" s="67" t="s">
        <v>3169</v>
      </c>
      <c r="B2409" s="67" t="s">
        <v>17</v>
      </c>
      <c r="C2409" s="68">
        <v>1.0</v>
      </c>
      <c r="D2409" s="68">
        <v>0.5</v>
      </c>
      <c r="E2409" s="68">
        <v>6.0</v>
      </c>
      <c r="F2409" s="68">
        <v>2.0</v>
      </c>
      <c r="G2409" s="68">
        <v>0.52955673689802</v>
      </c>
      <c r="H2409" s="68">
        <v>0.648669662833402</v>
      </c>
      <c r="I2409" s="69">
        <v>44321.02967592593</v>
      </c>
      <c r="J2409" s="69">
        <v>44321.02980324074</v>
      </c>
      <c r="K2409">
        <f>AVERAGE(H2407:H2411)</f>
        <v>130.8737935</v>
      </c>
      <c r="L2409">
        <f>STDEV(H2407:H2411)</f>
        <v>80.65815569</v>
      </c>
      <c r="M2409" s="70">
        <v>0.648669662833402</v>
      </c>
      <c r="N2409" s="70">
        <v>0.648669662833402</v>
      </c>
      <c r="O2409" s="70">
        <v>0.52955673689802</v>
      </c>
      <c r="P2409" s="70">
        <v>0.52955673689802</v>
      </c>
    </row>
    <row r="2410" hidden="1">
      <c r="A2410" s="67" t="s">
        <v>3170</v>
      </c>
      <c r="B2410" s="67" t="s">
        <v>17</v>
      </c>
      <c r="C2410" s="68">
        <v>1.0</v>
      </c>
      <c r="D2410" s="68">
        <v>0.5</v>
      </c>
      <c r="E2410" s="68">
        <v>6.0</v>
      </c>
      <c r="F2410" s="68">
        <v>3.0</v>
      </c>
      <c r="G2410" s="68">
        <v>2.59554964489103</v>
      </c>
      <c r="H2410" s="68">
        <v>112.247877893205</v>
      </c>
      <c r="I2410" s="69">
        <v>44321.03052083333</v>
      </c>
      <c r="J2410" s="69">
        <v>44321.04313657407</v>
      </c>
      <c r="K2410">
        <f>AVERAGE(H2407:H2411)</f>
        <v>130.8737935</v>
      </c>
      <c r="L2410">
        <f>STDEV(H2407:H2411)</f>
        <v>80.65815569</v>
      </c>
      <c r="M2410" s="70">
        <v>112.247877893205</v>
      </c>
      <c r="N2410" s="70">
        <v>112.247877893205</v>
      </c>
      <c r="O2410" s="70">
        <v>2.59554964489103</v>
      </c>
      <c r="P2410" s="70">
        <v>2.59554964489103</v>
      </c>
    </row>
    <row r="2411" hidden="1">
      <c r="A2411" s="67" t="s">
        <v>3171</v>
      </c>
      <c r="B2411" s="67" t="s">
        <v>17</v>
      </c>
      <c r="C2411" s="68">
        <v>1.0</v>
      </c>
      <c r="D2411" s="68">
        <v>0.5</v>
      </c>
      <c r="E2411" s="68">
        <v>6.0</v>
      </c>
      <c r="F2411" s="68">
        <v>4.0</v>
      </c>
      <c r="G2411" s="68">
        <v>3.11320135299261</v>
      </c>
      <c r="H2411" s="68">
        <v>162.329300553631</v>
      </c>
      <c r="I2411" s="69">
        <v>44321.043854166666</v>
      </c>
      <c r="J2411" s="69">
        <v>44321.04400462963</v>
      </c>
      <c r="K2411">
        <f>AVERAGE(H2407:H2411)</f>
        <v>130.8737935</v>
      </c>
      <c r="L2411">
        <f>STDEV(H2407:H2411)</f>
        <v>80.65815569</v>
      </c>
      <c r="M2411" s="70">
        <v>162.329300553631</v>
      </c>
      <c r="N2411" s="70">
        <v>162.329300553631</v>
      </c>
      <c r="O2411" s="70">
        <v>3.11320135299261</v>
      </c>
      <c r="P2411" s="70">
        <v>3.11320135299261</v>
      </c>
    </row>
    <row r="2412" hidden="1">
      <c r="A2412" s="67" t="s">
        <v>3172</v>
      </c>
      <c r="B2412" s="67" t="s">
        <v>17</v>
      </c>
      <c r="C2412" s="68">
        <v>1.0</v>
      </c>
      <c r="D2412" s="68">
        <v>0.75</v>
      </c>
      <c r="E2412" s="68">
        <v>6.0</v>
      </c>
      <c r="F2412" s="68">
        <v>0.0</v>
      </c>
      <c r="G2412" s="68">
        <v>2.5216808429822</v>
      </c>
      <c r="H2412" s="68">
        <v>122.439509645851</v>
      </c>
      <c r="I2412" s="69">
        <v>44321.04471064815</v>
      </c>
      <c r="J2412" s="69">
        <v>44321.08288194444</v>
      </c>
      <c r="K2412">
        <f>AVERAGE(H2412:H2416)</f>
        <v>154.2657507</v>
      </c>
      <c r="L2412">
        <f>STDEV(H2412:H2416)</f>
        <v>91.97291825</v>
      </c>
      <c r="M2412" s="70">
        <v>122.439509645851</v>
      </c>
      <c r="N2412" s="70">
        <v>122.439509645851</v>
      </c>
      <c r="O2412" s="70">
        <v>2.5216808429822</v>
      </c>
      <c r="P2412" s="70">
        <v>2.5216808429822</v>
      </c>
    </row>
    <row r="2413" hidden="1">
      <c r="A2413" s="67" t="s">
        <v>3173</v>
      </c>
      <c r="B2413" s="67" t="s">
        <v>17</v>
      </c>
      <c r="C2413" s="68">
        <v>1.0</v>
      </c>
      <c r="D2413" s="68">
        <v>0.75</v>
      </c>
      <c r="E2413" s="68">
        <v>6.0</v>
      </c>
      <c r="F2413" s="68">
        <v>1.0</v>
      </c>
      <c r="G2413" s="68">
        <v>4.1113651030488</v>
      </c>
      <c r="H2413" s="68">
        <v>176.069947443158</v>
      </c>
      <c r="I2413" s="69">
        <v>44321.083599537036</v>
      </c>
      <c r="J2413" s="69">
        <v>44321.08474537037</v>
      </c>
      <c r="K2413">
        <f>AVERAGE(H2412:H2416)</f>
        <v>154.2657507</v>
      </c>
      <c r="L2413">
        <f>STDEV(H2412:H2416)</f>
        <v>91.97291825</v>
      </c>
      <c r="M2413" s="70">
        <v>176.069947443158</v>
      </c>
      <c r="N2413" s="70">
        <v>176.069947443158</v>
      </c>
      <c r="O2413" s="70">
        <v>4.1113651030488</v>
      </c>
      <c r="P2413" s="70">
        <v>4.1113651030488</v>
      </c>
    </row>
    <row r="2414" hidden="1">
      <c r="A2414" s="67" t="s">
        <v>3174</v>
      </c>
      <c r="B2414" s="67" t="s">
        <v>17</v>
      </c>
      <c r="C2414" s="68">
        <v>1.0</v>
      </c>
      <c r="D2414" s="68">
        <v>0.75</v>
      </c>
      <c r="E2414" s="68">
        <v>6.0</v>
      </c>
      <c r="F2414" s="68">
        <v>2.0</v>
      </c>
      <c r="G2414" s="68">
        <v>1.37748075545382</v>
      </c>
      <c r="H2414" s="68">
        <v>26.2334730598934</v>
      </c>
      <c r="I2414" s="69">
        <v>44321.08545138889</v>
      </c>
      <c r="J2414" s="69">
        <v>44321.086006944446</v>
      </c>
      <c r="K2414">
        <f>AVERAGE(H2412:H2416)</f>
        <v>154.2657507</v>
      </c>
      <c r="L2414">
        <f>STDEV(H2412:H2416)</f>
        <v>91.97291825</v>
      </c>
      <c r="M2414" s="70">
        <v>26.2334730598934</v>
      </c>
      <c r="N2414" s="70">
        <v>26.2334730598934</v>
      </c>
      <c r="O2414" s="70">
        <v>1.37748075545382</v>
      </c>
      <c r="P2414" s="70">
        <v>1.37748075545382</v>
      </c>
    </row>
    <row r="2415" hidden="1">
      <c r="A2415" s="67" t="s">
        <v>3175</v>
      </c>
      <c r="B2415" s="67" t="s">
        <v>17</v>
      </c>
      <c r="C2415" s="68">
        <v>1.0</v>
      </c>
      <c r="D2415" s="68">
        <v>0.75</v>
      </c>
      <c r="E2415" s="68">
        <v>6.0</v>
      </c>
      <c r="F2415" s="68">
        <v>3.0</v>
      </c>
      <c r="G2415" s="68">
        <v>3.8066072983857</v>
      </c>
      <c r="H2415" s="68">
        <v>166.609686337215</v>
      </c>
      <c r="I2415" s="69">
        <v>44321.08672453704</v>
      </c>
      <c r="J2415" s="69">
        <v>44321.0868287037</v>
      </c>
      <c r="K2415">
        <f>AVERAGE(H2412:H2416)</f>
        <v>154.2657507</v>
      </c>
      <c r="L2415">
        <f>STDEV(H2412:H2416)</f>
        <v>91.97291825</v>
      </c>
      <c r="M2415" s="70">
        <v>166.609686337215</v>
      </c>
      <c r="N2415" s="70">
        <v>166.609686337215</v>
      </c>
      <c r="O2415" s="70">
        <v>3.8066072983857</v>
      </c>
      <c r="P2415" s="70">
        <v>3.8066072983857</v>
      </c>
    </row>
    <row r="2416" hidden="1">
      <c r="A2416" s="67" t="s">
        <v>3176</v>
      </c>
      <c r="B2416" s="67" t="s">
        <v>17</v>
      </c>
      <c r="C2416" s="68">
        <v>1.0</v>
      </c>
      <c r="D2416" s="68">
        <v>0.75</v>
      </c>
      <c r="E2416" s="68">
        <v>6.0</v>
      </c>
      <c r="F2416" s="68">
        <v>4.0</v>
      </c>
      <c r="G2416" s="68">
        <v>9.19682669187352</v>
      </c>
      <c r="H2416" s="68">
        <v>279.976137251029</v>
      </c>
      <c r="I2416" s="69">
        <v>44321.087534722225</v>
      </c>
      <c r="J2416" s="69">
        <v>44321.08829861111</v>
      </c>
      <c r="K2416">
        <f>AVERAGE(H2412:H2416)</f>
        <v>154.2657507</v>
      </c>
      <c r="L2416">
        <f>STDEV(H2412:H2416)</f>
        <v>91.97291825</v>
      </c>
      <c r="M2416" s="70">
        <v>279.976137251029</v>
      </c>
      <c r="N2416" s="70">
        <v>279.976137251029</v>
      </c>
      <c r="O2416" s="70">
        <v>9.19682669187352</v>
      </c>
      <c r="P2416" s="70">
        <v>9.19682669187352</v>
      </c>
    </row>
    <row r="2417" hidden="1">
      <c r="A2417" s="67" t="s">
        <v>3177</v>
      </c>
      <c r="B2417" s="67" t="s">
        <v>17</v>
      </c>
      <c r="C2417" s="68">
        <v>1.0</v>
      </c>
      <c r="D2417" s="68">
        <v>1.0</v>
      </c>
      <c r="E2417" s="68">
        <v>6.0</v>
      </c>
      <c r="F2417" s="68">
        <v>0.0</v>
      </c>
      <c r="G2417" s="68">
        <v>0.567181660740876</v>
      </c>
      <c r="H2417" s="68">
        <v>0.711926040086939</v>
      </c>
      <c r="I2417" s="69">
        <v>44321.089004629626</v>
      </c>
      <c r="J2417" s="69">
        <v>44321.089050925926</v>
      </c>
      <c r="K2417">
        <f>AVERAGE(H2417:H2421)</f>
        <v>75.44749116</v>
      </c>
      <c r="L2417">
        <f>STDEV(H2417:H2421)</f>
        <v>87.11496466</v>
      </c>
      <c r="M2417" s="70">
        <v>0.711926040086939</v>
      </c>
      <c r="N2417" s="70">
        <v>0.711926040086939</v>
      </c>
      <c r="O2417" s="70">
        <v>0.567181660740876</v>
      </c>
      <c r="P2417" s="70">
        <v>0.567181660740876</v>
      </c>
    </row>
    <row r="2418" hidden="1">
      <c r="A2418" s="67" t="s">
        <v>3178</v>
      </c>
      <c r="B2418" s="67" t="s">
        <v>17</v>
      </c>
      <c r="C2418" s="68">
        <v>1.0</v>
      </c>
      <c r="D2418" s="68">
        <v>1.0</v>
      </c>
      <c r="E2418" s="68">
        <v>6.0</v>
      </c>
      <c r="F2418" s="68">
        <v>1.0</v>
      </c>
      <c r="G2418" s="68">
        <v>3.33812953625291</v>
      </c>
      <c r="H2418" s="68">
        <v>159.079118906437</v>
      </c>
      <c r="I2418" s="69">
        <v>44321.08976851852</v>
      </c>
      <c r="J2418" s="69">
        <v>44321.200324074074</v>
      </c>
      <c r="K2418">
        <f>AVERAGE(H2417:H2421)</f>
        <v>75.44749116</v>
      </c>
      <c r="L2418">
        <f>STDEV(H2417:H2421)</f>
        <v>87.11496466</v>
      </c>
      <c r="M2418" s="70">
        <v>159.079118906437</v>
      </c>
      <c r="N2418" s="70">
        <v>159.079118906437</v>
      </c>
      <c r="O2418" s="70">
        <v>3.33812953625291</v>
      </c>
      <c r="P2418" s="70">
        <v>3.33812953625291</v>
      </c>
    </row>
    <row r="2419" hidden="1">
      <c r="A2419" s="67" t="s">
        <v>3179</v>
      </c>
      <c r="B2419" s="67" t="s">
        <v>17</v>
      </c>
      <c r="C2419" s="68">
        <v>1.0</v>
      </c>
      <c r="D2419" s="68">
        <v>1.0</v>
      </c>
      <c r="E2419" s="68">
        <v>6.0</v>
      </c>
      <c r="F2419" s="68">
        <v>2.0</v>
      </c>
      <c r="G2419" s="68">
        <v>3.92928100315544</v>
      </c>
      <c r="H2419" s="68">
        <v>180.181311637798</v>
      </c>
      <c r="I2419" s="69">
        <v>44321.20104166667</v>
      </c>
      <c r="J2419" s="69">
        <v>44321.20216435185</v>
      </c>
      <c r="K2419">
        <f>AVERAGE(H2417:H2421)</f>
        <v>75.44749116</v>
      </c>
      <c r="L2419">
        <f>STDEV(H2417:H2421)</f>
        <v>87.11496466</v>
      </c>
      <c r="M2419" s="70">
        <v>180.181311637798</v>
      </c>
      <c r="N2419" s="70">
        <v>180.181311637798</v>
      </c>
      <c r="O2419" s="70">
        <v>3.92928100315544</v>
      </c>
      <c r="P2419" s="70">
        <v>3.92928100315544</v>
      </c>
    </row>
    <row r="2420" hidden="1">
      <c r="A2420" s="67" t="s">
        <v>3180</v>
      </c>
      <c r="B2420" s="67" t="s">
        <v>17</v>
      </c>
      <c r="C2420" s="68">
        <v>1.0</v>
      </c>
      <c r="D2420" s="68">
        <v>1.0</v>
      </c>
      <c r="E2420" s="68">
        <v>6.0</v>
      </c>
      <c r="F2420" s="68">
        <v>3.0</v>
      </c>
      <c r="G2420" s="68">
        <v>0.712643716149664</v>
      </c>
      <c r="H2420" s="68">
        <v>5.37800141906322</v>
      </c>
      <c r="I2420" s="69">
        <v>44321.20287037037</v>
      </c>
      <c r="J2420" s="69">
        <v>44321.20292824074</v>
      </c>
      <c r="K2420">
        <f>AVERAGE(H2417:H2421)</f>
        <v>75.44749116</v>
      </c>
      <c r="L2420">
        <f>STDEV(H2417:H2421)</f>
        <v>87.11496466</v>
      </c>
      <c r="M2420" s="70">
        <v>5.37800141906322</v>
      </c>
      <c r="N2420" s="70">
        <v>5.37800141906322</v>
      </c>
      <c r="O2420" s="70">
        <v>0.712643716149664</v>
      </c>
      <c r="P2420" s="70">
        <v>0.712643716149664</v>
      </c>
    </row>
    <row r="2421" hidden="1">
      <c r="A2421" s="67" t="s">
        <v>3181</v>
      </c>
      <c r="B2421" s="67" t="s">
        <v>17</v>
      </c>
      <c r="C2421" s="68">
        <v>1.0</v>
      </c>
      <c r="D2421" s="68">
        <v>1.0</v>
      </c>
      <c r="E2421" s="68">
        <v>6.0</v>
      </c>
      <c r="F2421" s="68">
        <v>4.0</v>
      </c>
      <c r="G2421" s="68">
        <v>1.87950702117379</v>
      </c>
      <c r="H2421" s="68">
        <v>31.8870977963682</v>
      </c>
      <c r="I2421" s="69">
        <v>44321.20363425926</v>
      </c>
      <c r="J2421" s="69">
        <v>44321.20392361111</v>
      </c>
      <c r="K2421">
        <f>AVERAGE(H2417:H2421)</f>
        <v>75.44749116</v>
      </c>
      <c r="L2421">
        <f>STDEV(H2417:H2421)</f>
        <v>87.11496466</v>
      </c>
      <c r="M2421" s="70">
        <v>31.8870977963682</v>
      </c>
      <c r="N2421" s="70">
        <v>31.8870977963682</v>
      </c>
      <c r="O2421" s="70">
        <v>1.87950702117379</v>
      </c>
      <c r="P2421" s="70">
        <v>1.87950702117379</v>
      </c>
    </row>
    <row r="2422" hidden="1">
      <c r="A2422" s="67" t="s">
        <v>3182</v>
      </c>
      <c r="B2422" s="67" t="s">
        <v>268</v>
      </c>
      <c r="C2422" s="68">
        <v>0.1</v>
      </c>
      <c r="D2422" s="68">
        <v>0.1</v>
      </c>
      <c r="E2422" s="68">
        <v>6.0</v>
      </c>
      <c r="F2422" s="68">
        <v>0.0</v>
      </c>
      <c r="G2422" s="68">
        <v>3.45476017400358</v>
      </c>
      <c r="H2422" s="68">
        <v>152.649882962844</v>
      </c>
      <c r="I2422" s="69">
        <v>44321.2046412037</v>
      </c>
      <c r="J2422" s="69">
        <v>44321.245416666665</v>
      </c>
      <c r="K2422">
        <f>AVERAGE(H2422:H2426)</f>
        <v>88.85008736</v>
      </c>
      <c r="L2422">
        <f>STDEV(H2422:H2426)</f>
        <v>129.4749701</v>
      </c>
      <c r="M2422" s="70">
        <v>152.649882962844</v>
      </c>
      <c r="N2422" s="70">
        <v>152.649882962844</v>
      </c>
      <c r="O2422" s="70">
        <v>3.45476017400358</v>
      </c>
      <c r="P2422" s="70">
        <v>3.45476017400358</v>
      </c>
    </row>
    <row r="2423" hidden="1">
      <c r="A2423" s="67" t="s">
        <v>3183</v>
      </c>
      <c r="B2423" s="67" t="s">
        <v>268</v>
      </c>
      <c r="C2423" s="68">
        <v>0.1</v>
      </c>
      <c r="D2423" s="68">
        <v>0.1</v>
      </c>
      <c r="E2423" s="68">
        <v>6.0</v>
      </c>
      <c r="F2423" s="68">
        <v>1.0</v>
      </c>
      <c r="G2423" s="68">
        <v>0.738388919616822</v>
      </c>
      <c r="H2423" s="68">
        <v>0.954404004182583</v>
      </c>
      <c r="I2423" s="69">
        <v>44321.24613425926</v>
      </c>
      <c r="J2423" s="69">
        <v>44321.24633101852</v>
      </c>
      <c r="K2423">
        <f>AVERAGE(H2422:H2426)</f>
        <v>88.85008736</v>
      </c>
      <c r="L2423">
        <f>STDEV(H2422:H2426)</f>
        <v>129.4749701</v>
      </c>
      <c r="M2423" s="70">
        <v>0.954404004182583</v>
      </c>
      <c r="N2423" s="70">
        <v>0.954404004182583</v>
      </c>
      <c r="O2423" s="70">
        <v>0.738388919616822</v>
      </c>
      <c r="P2423" s="70">
        <v>0.738388919616822</v>
      </c>
    </row>
    <row r="2424" hidden="1">
      <c r="A2424" s="67" t="s">
        <v>3184</v>
      </c>
      <c r="B2424" s="67" t="s">
        <v>268</v>
      </c>
      <c r="C2424" s="68">
        <v>0.1</v>
      </c>
      <c r="D2424" s="68">
        <v>0.1</v>
      </c>
      <c r="E2424" s="68">
        <v>6.0</v>
      </c>
      <c r="F2424" s="68">
        <v>2.0</v>
      </c>
      <c r="G2424" s="68">
        <v>0.65503133140189</v>
      </c>
      <c r="H2424" s="68">
        <v>1.21433998350205</v>
      </c>
      <c r="I2424" s="69">
        <v>44321.247037037036</v>
      </c>
      <c r="J2424" s="69">
        <v>44321.2478125</v>
      </c>
      <c r="K2424">
        <f>AVERAGE(H2422:H2426)</f>
        <v>88.85008736</v>
      </c>
      <c r="L2424">
        <f>STDEV(H2422:H2426)</f>
        <v>129.4749701</v>
      </c>
      <c r="M2424" s="70">
        <v>1.21433998350205</v>
      </c>
      <c r="N2424" s="70">
        <v>1.21433998350205</v>
      </c>
      <c r="O2424" s="70">
        <v>0.65503133140189</v>
      </c>
      <c r="P2424" s="70">
        <v>0.65503133140189</v>
      </c>
    </row>
    <row r="2425" hidden="1">
      <c r="A2425" s="67" t="s">
        <v>3185</v>
      </c>
      <c r="B2425" s="67" t="s">
        <v>268</v>
      </c>
      <c r="C2425" s="68">
        <v>0.1</v>
      </c>
      <c r="D2425" s="68">
        <v>0.1</v>
      </c>
      <c r="E2425" s="68">
        <v>6.0</v>
      </c>
      <c r="F2425" s="68">
        <v>3.0</v>
      </c>
      <c r="G2425" s="68">
        <v>8.27164836221374</v>
      </c>
      <c r="H2425" s="68">
        <v>288.481344207508</v>
      </c>
      <c r="I2425" s="69">
        <v>44321.24853009259</v>
      </c>
      <c r="J2425" s="69">
        <v>44321.24949074074</v>
      </c>
      <c r="K2425">
        <f>AVERAGE(H2422:H2426)</f>
        <v>88.85008736</v>
      </c>
      <c r="L2425">
        <f>STDEV(H2422:H2426)</f>
        <v>129.4749701</v>
      </c>
      <c r="M2425" s="70">
        <v>288.481344207508</v>
      </c>
      <c r="N2425" s="70">
        <v>288.481344207508</v>
      </c>
      <c r="O2425" s="70">
        <v>8.27164836221374</v>
      </c>
      <c r="P2425" s="70">
        <v>8.27164836221374</v>
      </c>
    </row>
    <row r="2426" hidden="1">
      <c r="A2426" s="67" t="s">
        <v>3186</v>
      </c>
      <c r="B2426" s="67" t="s">
        <v>268</v>
      </c>
      <c r="C2426" s="68">
        <v>0.1</v>
      </c>
      <c r="D2426" s="68">
        <v>0.1</v>
      </c>
      <c r="E2426" s="68">
        <v>6.0</v>
      </c>
      <c r="F2426" s="68">
        <v>4.0</v>
      </c>
      <c r="G2426" s="68">
        <v>0.713459270296108</v>
      </c>
      <c r="H2426" s="68">
        <v>0.950465648289729</v>
      </c>
      <c r="I2426" s="69">
        <v>44321.25020833333</v>
      </c>
      <c r="J2426" s="69">
        <v>44321.25042824074</v>
      </c>
      <c r="K2426">
        <f>AVERAGE(H2422:H2426)</f>
        <v>88.85008736</v>
      </c>
      <c r="L2426">
        <f>STDEV(H2422:H2426)</f>
        <v>129.4749701</v>
      </c>
      <c r="M2426" s="70">
        <v>0.950465648289729</v>
      </c>
      <c r="N2426" s="70">
        <v>0.950465648289729</v>
      </c>
      <c r="O2426" s="70">
        <v>0.713459270296108</v>
      </c>
      <c r="P2426" s="70">
        <v>0.713459270296108</v>
      </c>
    </row>
    <row r="2427" hidden="1">
      <c r="A2427" s="67" t="s">
        <v>3187</v>
      </c>
      <c r="B2427" s="67" t="s">
        <v>268</v>
      </c>
      <c r="C2427" s="68">
        <v>0.1</v>
      </c>
      <c r="D2427" s="68">
        <v>0.25</v>
      </c>
      <c r="E2427" s="68">
        <v>6.0</v>
      </c>
      <c r="F2427" s="68">
        <v>0.0</v>
      </c>
      <c r="G2427" s="68">
        <v>8.27164836221374</v>
      </c>
      <c r="H2427" s="68">
        <v>288.481344207508</v>
      </c>
      <c r="I2427" s="69">
        <v>44321.25114583333</v>
      </c>
      <c r="J2427" s="69">
        <v>44321.252118055556</v>
      </c>
      <c r="K2427">
        <f>AVERAGE(H2427:H2431)</f>
        <v>119.354347</v>
      </c>
      <c r="L2427">
        <f>STDEV(H2427:H2431)</f>
        <v>121.2804684</v>
      </c>
      <c r="M2427" s="70">
        <v>288.481344207508</v>
      </c>
      <c r="N2427" s="70">
        <v>288.481344207508</v>
      </c>
      <c r="O2427" s="70">
        <v>8.27164836221374</v>
      </c>
      <c r="P2427" s="70">
        <v>8.27164836221374</v>
      </c>
    </row>
    <row r="2428" hidden="1">
      <c r="A2428" s="67" t="s">
        <v>3188</v>
      </c>
      <c r="B2428" s="67" t="s">
        <v>268</v>
      </c>
      <c r="C2428" s="68">
        <v>0.1</v>
      </c>
      <c r="D2428" s="68">
        <v>0.25</v>
      </c>
      <c r="E2428" s="68">
        <v>6.0</v>
      </c>
      <c r="F2428" s="68">
        <v>1.0</v>
      </c>
      <c r="G2428" s="68">
        <v>1.07991001504809</v>
      </c>
      <c r="H2428" s="68">
        <v>1.4504242499467</v>
      </c>
      <c r="I2428" s="69">
        <v>44321.25282407407</v>
      </c>
      <c r="J2428" s="69">
        <v>44321.25293981482</v>
      </c>
      <c r="K2428">
        <f>AVERAGE(H2427:H2431)</f>
        <v>119.354347</v>
      </c>
      <c r="L2428">
        <f>STDEV(H2427:H2431)</f>
        <v>121.2804684</v>
      </c>
      <c r="M2428" s="70">
        <v>1.4504242499467</v>
      </c>
      <c r="N2428" s="70">
        <v>1.4504242499467</v>
      </c>
      <c r="O2428" s="70">
        <v>1.07991001504809</v>
      </c>
      <c r="P2428" s="70">
        <v>1.07991001504809</v>
      </c>
    </row>
    <row r="2429" hidden="1">
      <c r="A2429" s="67" t="s">
        <v>3189</v>
      </c>
      <c r="B2429" s="67" t="s">
        <v>268</v>
      </c>
      <c r="C2429" s="68">
        <v>0.1</v>
      </c>
      <c r="D2429" s="68">
        <v>0.25</v>
      </c>
      <c r="E2429" s="68">
        <v>6.0</v>
      </c>
      <c r="F2429" s="68">
        <v>2.0</v>
      </c>
      <c r="G2429" s="68">
        <v>4.77447941072672</v>
      </c>
      <c r="H2429" s="68">
        <v>161.026524322024</v>
      </c>
      <c r="I2429" s="69">
        <v>44321.253657407404</v>
      </c>
      <c r="J2429" s="69">
        <v>44321.25387731481</v>
      </c>
      <c r="K2429">
        <f>AVERAGE(H2427:H2431)</f>
        <v>119.354347</v>
      </c>
      <c r="L2429">
        <f>STDEV(H2427:H2431)</f>
        <v>121.2804684</v>
      </c>
      <c r="M2429" s="70">
        <v>161.026524322024</v>
      </c>
      <c r="N2429" s="70">
        <v>161.026524322024</v>
      </c>
      <c r="O2429" s="70">
        <v>4.77447941072672</v>
      </c>
      <c r="P2429" s="70">
        <v>4.77447941072672</v>
      </c>
    </row>
    <row r="2430" hidden="1">
      <c r="A2430" s="67" t="s">
        <v>3190</v>
      </c>
      <c r="B2430" s="67" t="s">
        <v>268</v>
      </c>
      <c r="C2430" s="68">
        <v>0.1</v>
      </c>
      <c r="D2430" s="68">
        <v>0.25</v>
      </c>
      <c r="E2430" s="68">
        <v>6.0</v>
      </c>
      <c r="F2430" s="68">
        <v>3.0</v>
      </c>
      <c r="G2430" s="68">
        <v>3.08407426990208</v>
      </c>
      <c r="H2430" s="68">
        <v>144.59771642076</v>
      </c>
      <c r="I2430" s="69">
        <v>44321.254594907405</v>
      </c>
      <c r="J2430" s="69">
        <v>44321.30582175926</v>
      </c>
      <c r="K2430">
        <f>AVERAGE(H2427:H2431)</f>
        <v>119.354347</v>
      </c>
      <c r="L2430">
        <f>STDEV(H2427:H2431)</f>
        <v>121.2804684</v>
      </c>
      <c r="M2430" s="70">
        <v>144.59771642076</v>
      </c>
      <c r="N2430" s="70">
        <v>144.59771642076</v>
      </c>
      <c r="O2430" s="70">
        <v>3.08407426990208</v>
      </c>
      <c r="P2430" s="70">
        <v>3.08407426990208</v>
      </c>
    </row>
    <row r="2431" hidden="1">
      <c r="A2431" s="67" t="s">
        <v>3191</v>
      </c>
      <c r="B2431" s="67" t="s">
        <v>268</v>
      </c>
      <c r="C2431" s="68">
        <v>0.1</v>
      </c>
      <c r="D2431" s="68">
        <v>0.25</v>
      </c>
      <c r="E2431" s="68">
        <v>6.0</v>
      </c>
      <c r="F2431" s="68">
        <v>4.0</v>
      </c>
      <c r="G2431" s="68">
        <v>0.655018534491334</v>
      </c>
      <c r="H2431" s="68">
        <v>1.21572571168956</v>
      </c>
      <c r="I2431" s="69">
        <v>44321.306539351855</v>
      </c>
      <c r="J2431" s="69">
        <v>44321.307280092595</v>
      </c>
      <c r="K2431">
        <f>AVERAGE(H2427:H2431)</f>
        <v>119.354347</v>
      </c>
      <c r="L2431">
        <f>STDEV(H2427:H2431)</f>
        <v>121.2804684</v>
      </c>
      <c r="M2431" s="70">
        <v>1.21572571168956</v>
      </c>
      <c r="N2431" s="70">
        <v>1.21572571168956</v>
      </c>
      <c r="O2431" s="70">
        <v>0.655018534491334</v>
      </c>
      <c r="P2431" s="70">
        <v>0.655018534491334</v>
      </c>
    </row>
    <row r="2432" hidden="1">
      <c r="A2432" s="67" t="s">
        <v>3192</v>
      </c>
      <c r="B2432" s="67" t="s">
        <v>268</v>
      </c>
      <c r="C2432" s="68">
        <v>0.1</v>
      </c>
      <c r="D2432" s="68">
        <v>0.5</v>
      </c>
      <c r="E2432" s="68">
        <v>6.0</v>
      </c>
      <c r="F2432" s="68">
        <v>0.0</v>
      </c>
      <c r="G2432" s="68">
        <v>0.319096105615425</v>
      </c>
      <c r="H2432" s="68">
        <v>0.408517979006142</v>
      </c>
      <c r="I2432" s="69">
        <v>44321.30799768519</v>
      </c>
      <c r="J2432" s="69">
        <v>44321.30805555556</v>
      </c>
      <c r="K2432">
        <f>AVERAGE(H2432:H2436)</f>
        <v>40.2256003</v>
      </c>
      <c r="L2432">
        <f>STDEV(H2432:H2436)</f>
        <v>74.29056819</v>
      </c>
      <c r="M2432" s="70">
        <v>0.408517979006142</v>
      </c>
      <c r="N2432" s="70">
        <v>0.408517979006142</v>
      </c>
      <c r="O2432" s="70">
        <v>0.319096105615425</v>
      </c>
      <c r="P2432" s="70">
        <v>0.319096105615425</v>
      </c>
    </row>
    <row r="2433" hidden="1">
      <c r="A2433" s="67" t="s">
        <v>3193</v>
      </c>
      <c r="B2433" s="67" t="s">
        <v>268</v>
      </c>
      <c r="C2433" s="68">
        <v>0.1</v>
      </c>
      <c r="D2433" s="68">
        <v>0.5</v>
      </c>
      <c r="E2433" s="68">
        <v>6.0</v>
      </c>
      <c r="F2433" s="68">
        <v>1.0</v>
      </c>
      <c r="G2433" s="68">
        <v>0.71205655889852</v>
      </c>
      <c r="H2433" s="68">
        <v>0.948977832482219</v>
      </c>
      <c r="I2433" s="69">
        <v>44321.30877314815</v>
      </c>
      <c r="J2433" s="69">
        <v>44321.30899305556</v>
      </c>
      <c r="K2433">
        <f>AVERAGE(H2432:H2436)</f>
        <v>40.2256003</v>
      </c>
      <c r="L2433">
        <f>STDEV(H2432:H2436)</f>
        <v>74.29056819</v>
      </c>
      <c r="M2433" s="70">
        <v>0.948977832482219</v>
      </c>
      <c r="N2433" s="70">
        <v>0.948977832482219</v>
      </c>
      <c r="O2433" s="70">
        <v>0.71205655889852</v>
      </c>
      <c r="P2433" s="70">
        <v>0.71205655889852</v>
      </c>
    </row>
    <row r="2434" hidden="1">
      <c r="A2434" s="67" t="s">
        <v>3194</v>
      </c>
      <c r="B2434" s="67" t="s">
        <v>268</v>
      </c>
      <c r="C2434" s="68">
        <v>0.1</v>
      </c>
      <c r="D2434" s="68">
        <v>0.5</v>
      </c>
      <c r="E2434" s="68">
        <v>6.0</v>
      </c>
      <c r="F2434" s="68">
        <v>2.0</v>
      </c>
      <c r="G2434" s="68">
        <v>1.72755892233266</v>
      </c>
      <c r="H2434" s="68">
        <v>27.8584061170078</v>
      </c>
      <c r="I2434" s="69">
        <v>44321.30971064815</v>
      </c>
      <c r="J2434" s="69">
        <v>44321.3103587963</v>
      </c>
      <c r="K2434">
        <f>AVERAGE(H2432:H2436)</f>
        <v>40.2256003</v>
      </c>
      <c r="L2434">
        <f>STDEV(H2432:H2436)</f>
        <v>74.29056819</v>
      </c>
      <c r="M2434" s="70">
        <v>27.8584061170078</v>
      </c>
      <c r="N2434" s="70">
        <v>27.8584061170078</v>
      </c>
      <c r="O2434" s="70">
        <v>1.72755892233266</v>
      </c>
      <c r="P2434" s="70">
        <v>1.72755892233266</v>
      </c>
    </row>
    <row r="2435" hidden="1">
      <c r="A2435" s="67" t="s">
        <v>3195</v>
      </c>
      <c r="B2435" s="67" t="s">
        <v>268</v>
      </c>
      <c r="C2435" s="68">
        <v>0.1</v>
      </c>
      <c r="D2435" s="68">
        <v>0.5</v>
      </c>
      <c r="E2435" s="68">
        <v>6.0</v>
      </c>
      <c r="F2435" s="68">
        <v>3.0</v>
      </c>
      <c r="G2435" s="68">
        <v>0.361009675615359</v>
      </c>
      <c r="H2435" s="68">
        <v>0.478551383400447</v>
      </c>
      <c r="I2435" s="69">
        <v>44321.31107638889</v>
      </c>
      <c r="J2435" s="69">
        <v>44321.31109953704</v>
      </c>
      <c r="K2435">
        <f>AVERAGE(H2432:H2436)</f>
        <v>40.2256003</v>
      </c>
      <c r="L2435">
        <f>STDEV(H2432:H2436)</f>
        <v>74.29056819</v>
      </c>
      <c r="M2435" s="70">
        <v>0.478551383400447</v>
      </c>
      <c r="N2435" s="70">
        <v>0.478551383400447</v>
      </c>
      <c r="O2435" s="70">
        <v>0.361009675615359</v>
      </c>
      <c r="P2435" s="70">
        <v>0.361009675615359</v>
      </c>
    </row>
    <row r="2436" hidden="1">
      <c r="A2436" s="67" t="s">
        <v>3196</v>
      </c>
      <c r="B2436" s="67" t="s">
        <v>268</v>
      </c>
      <c r="C2436" s="68">
        <v>0.1</v>
      </c>
      <c r="D2436" s="68">
        <v>0.5</v>
      </c>
      <c r="E2436" s="68">
        <v>6.0</v>
      </c>
      <c r="F2436" s="68">
        <v>4.0</v>
      </c>
      <c r="G2436" s="68">
        <v>3.80971853993428</v>
      </c>
      <c r="H2436" s="68">
        <v>171.433548166193</v>
      </c>
      <c r="I2436" s="69">
        <v>44321.31180555555</v>
      </c>
      <c r="J2436" s="69">
        <v>44321.38046296296</v>
      </c>
      <c r="K2436">
        <f>AVERAGE(H2432:H2436)</f>
        <v>40.2256003</v>
      </c>
      <c r="L2436">
        <f>STDEV(H2432:H2436)</f>
        <v>74.29056819</v>
      </c>
      <c r="M2436" s="70">
        <v>171.433548166193</v>
      </c>
      <c r="N2436" s="70">
        <v>171.433548166193</v>
      </c>
      <c r="O2436" s="70">
        <v>3.80971853993428</v>
      </c>
      <c r="P2436" s="70">
        <v>3.80971853993428</v>
      </c>
    </row>
    <row r="2437" hidden="1">
      <c r="A2437" s="67" t="s">
        <v>3197</v>
      </c>
      <c r="B2437" s="67" t="s">
        <v>268</v>
      </c>
      <c r="C2437" s="68">
        <v>0.1</v>
      </c>
      <c r="D2437" s="68">
        <v>0.75</v>
      </c>
      <c r="E2437" s="68">
        <v>6.0</v>
      </c>
      <c r="F2437" s="68">
        <v>0.0</v>
      </c>
      <c r="G2437" s="68">
        <v>2.48827350719733</v>
      </c>
      <c r="H2437" s="68">
        <v>131.803019410388</v>
      </c>
      <c r="I2437" s="69">
        <v>44321.38118055555</v>
      </c>
      <c r="J2437" s="69">
        <v>44321.38138888889</v>
      </c>
      <c r="K2437">
        <f>AVERAGE(H2437:H2441)</f>
        <v>84.12756057</v>
      </c>
      <c r="L2437">
        <f>STDEV(H2437:H2441)</f>
        <v>73.17982181</v>
      </c>
      <c r="M2437" s="70">
        <v>131.803019410388</v>
      </c>
      <c r="N2437" s="70">
        <v>131.803019410388</v>
      </c>
      <c r="O2437" s="70">
        <v>2.48827350719733</v>
      </c>
      <c r="P2437" s="70">
        <v>2.48827350719733</v>
      </c>
    </row>
    <row r="2438" hidden="1">
      <c r="A2438" s="67" t="s">
        <v>3198</v>
      </c>
      <c r="B2438" s="67" t="s">
        <v>268</v>
      </c>
      <c r="C2438" s="68">
        <v>0.1</v>
      </c>
      <c r="D2438" s="68">
        <v>0.75</v>
      </c>
      <c r="E2438" s="68">
        <v>6.0</v>
      </c>
      <c r="F2438" s="68">
        <v>1.0</v>
      </c>
      <c r="G2438" s="68">
        <v>2.87407308369354</v>
      </c>
      <c r="H2438" s="68">
        <v>101.468131493363</v>
      </c>
      <c r="I2438" s="69">
        <v>44321.382106481484</v>
      </c>
      <c r="J2438" s="69">
        <v>44321.38337962963</v>
      </c>
      <c r="K2438">
        <f>AVERAGE(H2437:H2441)</f>
        <v>84.12756057</v>
      </c>
      <c r="L2438">
        <f>STDEV(H2437:H2441)</f>
        <v>73.17982181</v>
      </c>
      <c r="M2438" s="70">
        <v>101.468131493363</v>
      </c>
      <c r="N2438" s="70">
        <v>101.468131493363</v>
      </c>
      <c r="O2438" s="70">
        <v>2.87407308369354</v>
      </c>
      <c r="P2438" s="70">
        <v>2.87407308369354</v>
      </c>
    </row>
    <row r="2439" hidden="1">
      <c r="A2439" s="67" t="s">
        <v>3199</v>
      </c>
      <c r="B2439" s="67" t="s">
        <v>268</v>
      </c>
      <c r="C2439" s="68">
        <v>0.1</v>
      </c>
      <c r="D2439" s="68">
        <v>0.75</v>
      </c>
      <c r="E2439" s="68">
        <v>6.0</v>
      </c>
      <c r="F2439" s="68">
        <v>2.0</v>
      </c>
      <c r="G2439" s="68">
        <v>1.07991001504809</v>
      </c>
      <c r="H2439" s="68">
        <v>1.4504242499467</v>
      </c>
      <c r="I2439" s="69">
        <v>44321.384097222224</v>
      </c>
      <c r="J2439" s="69">
        <v>44321.384201388886</v>
      </c>
      <c r="K2439">
        <f>AVERAGE(H2437:H2441)</f>
        <v>84.12756057</v>
      </c>
      <c r="L2439">
        <f>STDEV(H2437:H2441)</f>
        <v>73.17982181</v>
      </c>
      <c r="M2439" s="70">
        <v>1.4504242499467</v>
      </c>
      <c r="N2439" s="70">
        <v>1.4504242499467</v>
      </c>
      <c r="O2439" s="70">
        <v>1.07991001504809</v>
      </c>
      <c r="P2439" s="70">
        <v>1.07991001504809</v>
      </c>
    </row>
    <row r="2440" hidden="1">
      <c r="A2440" s="67" t="s">
        <v>3200</v>
      </c>
      <c r="B2440" s="67" t="s">
        <v>268</v>
      </c>
      <c r="C2440" s="68">
        <v>0.1</v>
      </c>
      <c r="D2440" s="68">
        <v>0.75</v>
      </c>
      <c r="E2440" s="68">
        <v>6.0</v>
      </c>
      <c r="F2440" s="68">
        <v>3.0</v>
      </c>
      <c r="G2440" s="68">
        <v>1.83411327191818</v>
      </c>
      <c r="H2440" s="68">
        <v>15.9644962853713</v>
      </c>
      <c r="I2440" s="69">
        <v>44321.38491898148</v>
      </c>
      <c r="J2440" s="69">
        <v>44321.384930555556</v>
      </c>
      <c r="K2440">
        <f>AVERAGE(H2437:H2441)</f>
        <v>84.12756057</v>
      </c>
      <c r="L2440">
        <f>STDEV(H2437:H2441)</f>
        <v>73.17982181</v>
      </c>
      <c r="M2440" s="70">
        <v>15.9644962853713</v>
      </c>
      <c r="N2440" s="70">
        <v>15.9644962853713</v>
      </c>
      <c r="O2440" s="70">
        <v>1.83411327191818</v>
      </c>
      <c r="P2440" s="70">
        <v>1.83411327191818</v>
      </c>
    </row>
    <row r="2441" hidden="1">
      <c r="A2441" s="67" t="s">
        <v>3201</v>
      </c>
      <c r="B2441" s="67" t="s">
        <v>268</v>
      </c>
      <c r="C2441" s="68">
        <v>0.1</v>
      </c>
      <c r="D2441" s="68">
        <v>0.75</v>
      </c>
      <c r="E2441" s="68">
        <v>6.0</v>
      </c>
      <c r="F2441" s="68">
        <v>4.0</v>
      </c>
      <c r="G2441" s="68">
        <v>3.64929199295567</v>
      </c>
      <c r="H2441" s="68">
        <v>169.951731411544</v>
      </c>
      <c r="I2441" s="69">
        <v>44321.38564814815</v>
      </c>
      <c r="J2441" s="69">
        <v>44321.460011574076</v>
      </c>
      <c r="K2441">
        <f>AVERAGE(H2437:H2441)</f>
        <v>84.12756057</v>
      </c>
      <c r="L2441">
        <f>STDEV(H2437:H2441)</f>
        <v>73.17982181</v>
      </c>
      <c r="M2441" s="70">
        <v>169.951731411544</v>
      </c>
      <c r="N2441" s="70">
        <v>169.951731411544</v>
      </c>
      <c r="O2441" s="70">
        <v>3.64929199295567</v>
      </c>
      <c r="P2441" s="70">
        <v>3.64929199295567</v>
      </c>
    </row>
    <row r="2442" hidden="1">
      <c r="A2442" s="67" t="s">
        <v>3202</v>
      </c>
      <c r="B2442" s="67" t="s">
        <v>268</v>
      </c>
      <c r="C2442" s="68">
        <v>0.1</v>
      </c>
      <c r="D2442" s="68">
        <v>1.0</v>
      </c>
      <c r="E2442" s="68">
        <v>6.0</v>
      </c>
      <c r="F2442" s="68">
        <v>0.0</v>
      </c>
      <c r="G2442" s="68">
        <v>3.97700624890258</v>
      </c>
      <c r="H2442" s="68">
        <v>190.473650464962</v>
      </c>
      <c r="I2442" s="69">
        <v>44321.46072916667</v>
      </c>
      <c r="J2442" s="69">
        <v>44321.4690625</v>
      </c>
      <c r="K2442">
        <f>AVERAGE(H2442:H2446)</f>
        <v>112.995155</v>
      </c>
      <c r="L2442">
        <f>STDEV(H2442:H2446)</f>
        <v>70.13855461</v>
      </c>
      <c r="M2442" s="70">
        <v>190.473650464962</v>
      </c>
      <c r="N2442" s="70">
        <v>190.473650464962</v>
      </c>
      <c r="O2442" s="70">
        <v>3.97700624890258</v>
      </c>
      <c r="P2442" s="70">
        <v>3.97700624890258</v>
      </c>
    </row>
    <row r="2443" hidden="1">
      <c r="A2443" s="67" t="s">
        <v>3203</v>
      </c>
      <c r="B2443" s="67" t="s">
        <v>268</v>
      </c>
      <c r="C2443" s="68">
        <v>0.1</v>
      </c>
      <c r="D2443" s="68">
        <v>1.0</v>
      </c>
      <c r="E2443" s="68">
        <v>6.0</v>
      </c>
      <c r="F2443" s="68">
        <v>1.0</v>
      </c>
      <c r="G2443" s="68">
        <v>1.35220740911753</v>
      </c>
      <c r="H2443" s="68">
        <v>69.4987875503903</v>
      </c>
      <c r="I2443" s="69">
        <v>44321.46978009259</v>
      </c>
      <c r="J2443" s="69">
        <v>44321.47083333333</v>
      </c>
      <c r="K2443">
        <f>AVERAGE(H2442:H2446)</f>
        <v>112.995155</v>
      </c>
      <c r="L2443">
        <f>STDEV(H2442:H2446)</f>
        <v>70.13855461</v>
      </c>
      <c r="M2443" s="70">
        <v>69.4987875503903</v>
      </c>
      <c r="N2443" s="70">
        <v>69.4987875503903</v>
      </c>
      <c r="O2443" s="70">
        <v>1.35220740911753</v>
      </c>
      <c r="P2443" s="70">
        <v>1.35220740911753</v>
      </c>
    </row>
    <row r="2444" hidden="1">
      <c r="A2444" s="67" t="s">
        <v>3204</v>
      </c>
      <c r="B2444" s="67" t="s">
        <v>268</v>
      </c>
      <c r="C2444" s="68">
        <v>0.1</v>
      </c>
      <c r="D2444" s="68">
        <v>1.0</v>
      </c>
      <c r="E2444" s="68">
        <v>6.0</v>
      </c>
      <c r="F2444" s="68">
        <v>2.0</v>
      </c>
      <c r="G2444" s="68">
        <v>3.82676627622227</v>
      </c>
      <c r="H2444" s="68">
        <v>157.517418283956</v>
      </c>
      <c r="I2444" s="69">
        <v>44321.471550925926</v>
      </c>
      <c r="J2444" s="69">
        <v>44321.490636574075</v>
      </c>
      <c r="K2444">
        <f>AVERAGE(H2442:H2446)</f>
        <v>112.995155</v>
      </c>
      <c r="L2444">
        <f>STDEV(H2442:H2446)</f>
        <v>70.13855461</v>
      </c>
      <c r="M2444" s="70">
        <v>157.517418283956</v>
      </c>
      <c r="N2444" s="70">
        <v>157.517418283956</v>
      </c>
      <c r="O2444" s="70">
        <v>3.82676627622227</v>
      </c>
      <c r="P2444" s="70">
        <v>3.82676627622227</v>
      </c>
    </row>
    <row r="2445" hidden="1">
      <c r="A2445" s="67" t="s">
        <v>3205</v>
      </c>
      <c r="B2445" s="67" t="s">
        <v>268</v>
      </c>
      <c r="C2445" s="68">
        <v>0.1</v>
      </c>
      <c r="D2445" s="68">
        <v>1.0</v>
      </c>
      <c r="E2445" s="68">
        <v>6.0</v>
      </c>
      <c r="F2445" s="68">
        <v>3.0</v>
      </c>
      <c r="G2445" s="68">
        <v>2.48569017143044</v>
      </c>
      <c r="H2445" s="68">
        <v>131.704646889034</v>
      </c>
      <c r="I2445" s="69">
        <v>44321.49135416667</v>
      </c>
      <c r="J2445" s="69">
        <v>44321.491585648146</v>
      </c>
      <c r="K2445">
        <f>AVERAGE(H2442:H2446)</f>
        <v>112.995155</v>
      </c>
      <c r="L2445">
        <f>STDEV(H2442:H2446)</f>
        <v>70.13855461</v>
      </c>
      <c r="M2445" s="70">
        <v>131.704646889034</v>
      </c>
      <c r="N2445" s="70">
        <v>131.704646889034</v>
      </c>
      <c r="O2445" s="70">
        <v>2.48569017143044</v>
      </c>
      <c r="P2445" s="70">
        <v>2.48569017143044</v>
      </c>
    </row>
    <row r="2446" hidden="1">
      <c r="A2446" s="67" t="s">
        <v>3206</v>
      </c>
      <c r="B2446" s="67" t="s">
        <v>268</v>
      </c>
      <c r="C2446" s="68">
        <v>0.1</v>
      </c>
      <c r="D2446" s="68">
        <v>1.0</v>
      </c>
      <c r="E2446" s="68">
        <v>6.0</v>
      </c>
      <c r="F2446" s="68">
        <v>4.0</v>
      </c>
      <c r="G2446" s="68">
        <v>1.2031107466145</v>
      </c>
      <c r="H2446" s="68">
        <v>15.7812716633645</v>
      </c>
      <c r="I2446" s="69">
        <v>44321.49230324074</v>
      </c>
      <c r="J2446" s="69">
        <v>44321.492430555554</v>
      </c>
      <c r="K2446">
        <f>AVERAGE(H2442:H2446)</f>
        <v>112.995155</v>
      </c>
      <c r="L2446">
        <f>STDEV(H2442:H2446)</f>
        <v>70.13855461</v>
      </c>
      <c r="M2446" s="70">
        <v>15.7812716633645</v>
      </c>
      <c r="N2446" s="70">
        <v>15.7812716633645</v>
      </c>
      <c r="O2446" s="70">
        <v>1.2031107466145</v>
      </c>
      <c r="P2446" s="70">
        <v>1.2031107466145</v>
      </c>
    </row>
    <row r="2447" hidden="1">
      <c r="A2447" s="67" t="s">
        <v>3207</v>
      </c>
      <c r="B2447" s="67" t="s">
        <v>268</v>
      </c>
      <c r="C2447" s="68">
        <v>0.25</v>
      </c>
      <c r="D2447" s="68">
        <v>0.1</v>
      </c>
      <c r="E2447" s="68">
        <v>6.0</v>
      </c>
      <c r="F2447" s="68">
        <v>0.0</v>
      </c>
      <c r="G2447" s="68">
        <v>7.65962810853423</v>
      </c>
      <c r="H2447" s="68">
        <v>274.727468209833</v>
      </c>
      <c r="I2447" s="69">
        <v>44321.49314814815</v>
      </c>
      <c r="J2447" s="69">
        <v>44321.49380787037</v>
      </c>
      <c r="K2447">
        <f>AVERAGE(H2447:H2451)</f>
        <v>157.9052793</v>
      </c>
      <c r="L2447">
        <f>STDEV(H2447:H2451)</f>
        <v>100.1609617</v>
      </c>
      <c r="M2447" s="70">
        <v>274.727468209833</v>
      </c>
      <c r="N2447" s="70">
        <v>274.727468209833</v>
      </c>
      <c r="O2447" s="70">
        <v>7.65962810853423</v>
      </c>
      <c r="P2447" s="70">
        <v>7.65962810853423</v>
      </c>
    </row>
    <row r="2448" hidden="1">
      <c r="A2448" s="67" t="s">
        <v>3208</v>
      </c>
      <c r="B2448" s="67" t="s">
        <v>268</v>
      </c>
      <c r="C2448" s="68">
        <v>0.25</v>
      </c>
      <c r="D2448" s="68">
        <v>0.1</v>
      </c>
      <c r="E2448" s="68">
        <v>6.0</v>
      </c>
      <c r="F2448" s="68">
        <v>1.0</v>
      </c>
      <c r="G2448" s="68">
        <v>3.01957015210275</v>
      </c>
      <c r="H2448" s="68">
        <v>143.918698286756</v>
      </c>
      <c r="I2448" s="69">
        <v>44321.494525462964</v>
      </c>
      <c r="J2448" s="69">
        <v>44321.5437962963</v>
      </c>
      <c r="K2448">
        <f>AVERAGE(H2447:H2451)</f>
        <v>157.9052793</v>
      </c>
      <c r="L2448">
        <f>STDEV(H2447:H2451)</f>
        <v>100.1609617</v>
      </c>
      <c r="M2448" s="70">
        <v>143.918698286756</v>
      </c>
      <c r="N2448" s="70">
        <v>143.918698286756</v>
      </c>
      <c r="O2448" s="70">
        <v>3.01957015210275</v>
      </c>
      <c r="P2448" s="70">
        <v>3.01957015210275</v>
      </c>
    </row>
    <row r="2449" hidden="1">
      <c r="A2449" s="67" t="s">
        <v>3209</v>
      </c>
      <c r="B2449" s="67" t="s">
        <v>268</v>
      </c>
      <c r="C2449" s="68">
        <v>0.25</v>
      </c>
      <c r="D2449" s="68">
        <v>0.1</v>
      </c>
      <c r="E2449" s="68">
        <v>6.0</v>
      </c>
      <c r="F2449" s="68">
        <v>2.0</v>
      </c>
      <c r="G2449" s="68">
        <v>4.68665776185381</v>
      </c>
      <c r="H2449" s="68">
        <v>177.010974691831</v>
      </c>
      <c r="I2449" s="69">
        <v>44321.54451388889</v>
      </c>
      <c r="J2449" s="69">
        <v>44321.544803240744</v>
      </c>
      <c r="K2449">
        <f>AVERAGE(H2447:H2451)</f>
        <v>157.9052793</v>
      </c>
      <c r="L2449">
        <f>STDEV(H2447:H2451)</f>
        <v>100.1609617</v>
      </c>
      <c r="M2449" s="70">
        <v>177.010974691831</v>
      </c>
      <c r="N2449" s="70">
        <v>177.010974691831</v>
      </c>
      <c r="O2449" s="70">
        <v>4.68665776185381</v>
      </c>
      <c r="P2449" s="70">
        <v>4.68665776185381</v>
      </c>
    </row>
    <row r="2450" hidden="1">
      <c r="A2450" s="67" t="s">
        <v>3210</v>
      </c>
      <c r="B2450" s="67" t="s">
        <v>268</v>
      </c>
      <c r="C2450" s="68">
        <v>0.25</v>
      </c>
      <c r="D2450" s="68">
        <v>0.1</v>
      </c>
      <c r="E2450" s="68">
        <v>6.0</v>
      </c>
      <c r="F2450" s="68">
        <v>3.0</v>
      </c>
      <c r="G2450" s="68">
        <v>0.642238348195932</v>
      </c>
      <c r="H2450" s="68">
        <v>0.794218788659351</v>
      </c>
      <c r="I2450" s="69">
        <v>44321.54550925926</v>
      </c>
      <c r="J2450" s="69">
        <v>44321.54628472222</v>
      </c>
      <c r="K2450">
        <f>AVERAGE(H2447:H2451)</f>
        <v>157.9052793</v>
      </c>
      <c r="L2450">
        <f>STDEV(H2447:H2451)</f>
        <v>100.1609617</v>
      </c>
      <c r="M2450" s="70">
        <v>0.794218788659351</v>
      </c>
      <c r="N2450" s="70">
        <v>0.794218788659351</v>
      </c>
      <c r="O2450" s="70">
        <v>0.642238348195932</v>
      </c>
      <c r="P2450" s="70">
        <v>0.642238348195932</v>
      </c>
    </row>
    <row r="2451" hidden="1">
      <c r="A2451" s="67" t="s">
        <v>3211</v>
      </c>
      <c r="B2451" s="67" t="s">
        <v>268</v>
      </c>
      <c r="C2451" s="68">
        <v>0.25</v>
      </c>
      <c r="D2451" s="68">
        <v>0.1</v>
      </c>
      <c r="E2451" s="68">
        <v>6.0</v>
      </c>
      <c r="F2451" s="68">
        <v>4.0</v>
      </c>
      <c r="G2451" s="68">
        <v>7.99280228282153</v>
      </c>
      <c r="H2451" s="68">
        <v>193.075036417313</v>
      </c>
      <c r="I2451" s="69">
        <v>44321.54699074074</v>
      </c>
      <c r="J2451" s="69">
        <v>44321.54703703704</v>
      </c>
      <c r="K2451">
        <f>AVERAGE(H2447:H2451)</f>
        <v>157.9052793</v>
      </c>
      <c r="L2451">
        <f>STDEV(H2447:H2451)</f>
        <v>100.1609617</v>
      </c>
      <c r="M2451" s="70">
        <v>193.075036417313</v>
      </c>
      <c r="N2451" s="70">
        <v>193.075036417313</v>
      </c>
      <c r="O2451" s="70">
        <v>7.99280228282153</v>
      </c>
      <c r="P2451" s="70">
        <v>7.99280228282153</v>
      </c>
    </row>
    <row r="2452" hidden="1">
      <c r="A2452" s="67" t="s">
        <v>3212</v>
      </c>
      <c r="B2452" s="67" t="s">
        <v>268</v>
      </c>
      <c r="C2452" s="68">
        <v>0.25</v>
      </c>
      <c r="D2452" s="68">
        <v>0.25</v>
      </c>
      <c r="E2452" s="68">
        <v>6.0</v>
      </c>
      <c r="F2452" s="68">
        <v>0.0</v>
      </c>
      <c r="G2452" s="68">
        <v>1.7185979301295</v>
      </c>
      <c r="H2452" s="68">
        <v>27.9108800318176</v>
      </c>
      <c r="I2452" s="69">
        <v>44321.54775462963</v>
      </c>
      <c r="J2452" s="69">
        <v>44321.54840277778</v>
      </c>
      <c r="K2452">
        <f>AVERAGE(H2452:H2456)</f>
        <v>113.6281394</v>
      </c>
      <c r="L2452">
        <f>STDEV(H2452:H2456)</f>
        <v>114.4563982</v>
      </c>
      <c r="M2452" s="70">
        <v>27.9108800318176</v>
      </c>
      <c r="N2452" s="70">
        <v>27.9108800318176</v>
      </c>
      <c r="O2452" s="70">
        <v>1.7185979301295</v>
      </c>
      <c r="P2452" s="70">
        <v>1.7185979301295</v>
      </c>
    </row>
    <row r="2453" hidden="1">
      <c r="A2453" s="67" t="s">
        <v>3213</v>
      </c>
      <c r="B2453" s="67" t="s">
        <v>268</v>
      </c>
      <c r="C2453" s="68">
        <v>0.25</v>
      </c>
      <c r="D2453" s="68">
        <v>0.25</v>
      </c>
      <c r="E2453" s="68">
        <v>6.0</v>
      </c>
      <c r="F2453" s="68">
        <v>1.0</v>
      </c>
      <c r="G2453" s="68">
        <v>0.591005414130622</v>
      </c>
      <c r="H2453" s="68">
        <v>0.822168776326228</v>
      </c>
      <c r="I2453" s="69">
        <v>44321.54912037037</v>
      </c>
      <c r="J2453" s="69">
        <v>44321.54913194444</v>
      </c>
      <c r="K2453">
        <f>AVERAGE(H2452:H2456)</f>
        <v>113.6281394</v>
      </c>
      <c r="L2453">
        <f>STDEV(H2452:H2456)</f>
        <v>114.4563982</v>
      </c>
      <c r="M2453" s="70">
        <v>0.822168776326228</v>
      </c>
      <c r="N2453" s="70">
        <v>0.822168776326228</v>
      </c>
      <c r="O2453" s="70">
        <v>0.591005414130622</v>
      </c>
      <c r="P2453" s="70">
        <v>0.591005414130622</v>
      </c>
    </row>
    <row r="2454" hidden="1">
      <c r="A2454" s="67" t="s">
        <v>3214</v>
      </c>
      <c r="B2454" s="67" t="s">
        <v>268</v>
      </c>
      <c r="C2454" s="68">
        <v>0.25</v>
      </c>
      <c r="D2454" s="68">
        <v>0.25</v>
      </c>
      <c r="E2454" s="68">
        <v>6.0</v>
      </c>
      <c r="F2454" s="68">
        <v>2.0</v>
      </c>
      <c r="G2454" s="68">
        <v>1.98147893198577</v>
      </c>
      <c r="H2454" s="68">
        <v>103.090926779483</v>
      </c>
      <c r="I2454" s="69">
        <v>44321.549837962964</v>
      </c>
      <c r="J2454" s="69">
        <v>44321.55037037037</v>
      </c>
      <c r="K2454">
        <f>AVERAGE(H2452:H2456)</f>
        <v>113.6281394</v>
      </c>
      <c r="L2454">
        <f>STDEV(H2452:H2456)</f>
        <v>114.4563982</v>
      </c>
      <c r="M2454" s="70">
        <v>103.090926779483</v>
      </c>
      <c r="N2454" s="70">
        <v>103.090926779483</v>
      </c>
      <c r="O2454" s="70">
        <v>1.98147893198577</v>
      </c>
      <c r="P2454" s="70">
        <v>1.98147893198577</v>
      </c>
    </row>
    <row r="2455" hidden="1">
      <c r="A2455" s="67" t="s">
        <v>3215</v>
      </c>
      <c r="B2455" s="67" t="s">
        <v>268</v>
      </c>
      <c r="C2455" s="68">
        <v>0.25</v>
      </c>
      <c r="D2455" s="68">
        <v>0.25</v>
      </c>
      <c r="E2455" s="68">
        <v>6.0</v>
      </c>
      <c r="F2455" s="68">
        <v>3.0</v>
      </c>
      <c r="G2455" s="68">
        <v>8.35815940759105</v>
      </c>
      <c r="H2455" s="68">
        <v>290.145392903165</v>
      </c>
      <c r="I2455" s="69">
        <v>44321.551087962966</v>
      </c>
      <c r="J2455" s="69">
        <v>44321.552094907405</v>
      </c>
      <c r="K2455">
        <f>AVERAGE(H2452:H2456)</f>
        <v>113.6281394</v>
      </c>
      <c r="L2455">
        <f>STDEV(H2452:H2456)</f>
        <v>114.4563982</v>
      </c>
      <c r="M2455" s="70">
        <v>290.145392903165</v>
      </c>
      <c r="N2455" s="70">
        <v>290.145392903165</v>
      </c>
      <c r="O2455" s="70">
        <v>8.35815940759105</v>
      </c>
      <c r="P2455" s="70">
        <v>8.35815940759105</v>
      </c>
    </row>
    <row r="2456" hidden="1">
      <c r="A2456" s="67" t="s">
        <v>3216</v>
      </c>
      <c r="B2456" s="67" t="s">
        <v>268</v>
      </c>
      <c r="C2456" s="68">
        <v>0.25</v>
      </c>
      <c r="D2456" s="68">
        <v>0.25</v>
      </c>
      <c r="E2456" s="68">
        <v>6.0</v>
      </c>
      <c r="F2456" s="68">
        <v>4.0</v>
      </c>
      <c r="G2456" s="68">
        <v>3.09155249720456</v>
      </c>
      <c r="H2456" s="68">
        <v>146.171328308858</v>
      </c>
      <c r="I2456" s="69">
        <v>44321.55280092593</v>
      </c>
      <c r="J2456" s="69">
        <v>44321.63984953704</v>
      </c>
      <c r="K2456">
        <f>AVERAGE(H2452:H2456)</f>
        <v>113.6281394</v>
      </c>
      <c r="L2456">
        <f>STDEV(H2452:H2456)</f>
        <v>114.4563982</v>
      </c>
      <c r="M2456" s="70">
        <v>146.171328308858</v>
      </c>
      <c r="N2456" s="70">
        <v>146.171328308858</v>
      </c>
      <c r="O2456" s="70">
        <v>3.09155249720456</v>
      </c>
      <c r="P2456" s="70">
        <v>3.09155249720456</v>
      </c>
    </row>
    <row r="2457" hidden="1">
      <c r="A2457" s="67" t="s">
        <v>3217</v>
      </c>
      <c r="B2457" s="67" t="s">
        <v>268</v>
      </c>
      <c r="C2457" s="68">
        <v>0.25</v>
      </c>
      <c r="D2457" s="68">
        <v>0.5</v>
      </c>
      <c r="E2457" s="68">
        <v>6.0</v>
      </c>
      <c r="F2457" s="68">
        <v>0.0</v>
      </c>
      <c r="G2457" s="68">
        <v>2.58709331727358</v>
      </c>
      <c r="H2457" s="68">
        <v>115.189420115716</v>
      </c>
      <c r="I2457" s="69">
        <v>44321.640555555554</v>
      </c>
      <c r="J2457" s="69">
        <v>44321.67097222222</v>
      </c>
      <c r="K2457">
        <f>AVERAGE(H2457:H2461)</f>
        <v>157.6839663</v>
      </c>
      <c r="L2457">
        <f>STDEV(H2457:H2461)</f>
        <v>110.6679371</v>
      </c>
      <c r="M2457" s="70">
        <v>115.189420115716</v>
      </c>
      <c r="N2457" s="70">
        <v>115.189420115716</v>
      </c>
      <c r="O2457" s="70">
        <v>2.58709331727358</v>
      </c>
      <c r="P2457" s="70">
        <v>2.58709331727358</v>
      </c>
    </row>
    <row r="2458" hidden="1">
      <c r="A2458" s="67" t="s">
        <v>3218</v>
      </c>
      <c r="B2458" s="67" t="s">
        <v>268</v>
      </c>
      <c r="C2458" s="68">
        <v>0.25</v>
      </c>
      <c r="D2458" s="68">
        <v>0.5</v>
      </c>
      <c r="E2458" s="68">
        <v>6.0</v>
      </c>
      <c r="F2458" s="68">
        <v>1.0</v>
      </c>
      <c r="G2458" s="68">
        <v>8.95577403561677</v>
      </c>
      <c r="H2458" s="68">
        <v>302.563458795026</v>
      </c>
      <c r="I2458" s="69">
        <v>44321.671689814815</v>
      </c>
      <c r="J2458" s="69">
        <v>44321.67215277778</v>
      </c>
      <c r="K2458">
        <f>AVERAGE(H2457:H2461)</f>
        <v>157.6839663</v>
      </c>
      <c r="L2458">
        <f>STDEV(H2457:H2461)</f>
        <v>110.6679371</v>
      </c>
      <c r="M2458" s="70">
        <v>302.563458795026</v>
      </c>
      <c r="N2458" s="70">
        <v>302.563458795026</v>
      </c>
      <c r="O2458" s="70">
        <v>8.95577403561677</v>
      </c>
      <c r="P2458" s="70">
        <v>8.95577403561677</v>
      </c>
    </row>
    <row r="2459" hidden="1">
      <c r="A2459" s="67" t="s">
        <v>3219</v>
      </c>
      <c r="B2459" s="67" t="s">
        <v>268</v>
      </c>
      <c r="C2459" s="68">
        <v>0.25</v>
      </c>
      <c r="D2459" s="68">
        <v>0.5</v>
      </c>
      <c r="E2459" s="68">
        <v>6.0</v>
      </c>
      <c r="F2459" s="68">
        <v>2.0</v>
      </c>
      <c r="G2459" s="68">
        <v>3.74366942099658</v>
      </c>
      <c r="H2459" s="68">
        <v>183.169541578589</v>
      </c>
      <c r="I2459" s="69">
        <v>44321.67287037037</v>
      </c>
      <c r="J2459" s="69">
        <v>44321.6803125</v>
      </c>
      <c r="K2459">
        <f>AVERAGE(H2457:H2461)</f>
        <v>157.6839663</v>
      </c>
      <c r="L2459">
        <f>STDEV(H2457:H2461)</f>
        <v>110.6679371</v>
      </c>
      <c r="M2459" s="70">
        <v>183.169541578589</v>
      </c>
      <c r="N2459" s="70">
        <v>183.169541578589</v>
      </c>
      <c r="O2459" s="70">
        <v>3.74366942099658</v>
      </c>
      <c r="P2459" s="70">
        <v>3.74366942099658</v>
      </c>
    </row>
    <row r="2460" hidden="1">
      <c r="A2460" s="67" t="s">
        <v>3220</v>
      </c>
      <c r="B2460" s="67" t="s">
        <v>268</v>
      </c>
      <c r="C2460" s="68">
        <v>0.25</v>
      </c>
      <c r="D2460" s="68">
        <v>0.5</v>
      </c>
      <c r="E2460" s="68">
        <v>6.0</v>
      </c>
      <c r="F2460" s="68">
        <v>3.0</v>
      </c>
      <c r="G2460" s="68">
        <v>6.02984202233938</v>
      </c>
      <c r="H2460" s="68">
        <v>186.938741694307</v>
      </c>
      <c r="I2460" s="69">
        <v>44321.68103009259</v>
      </c>
      <c r="J2460" s="69">
        <v>44321.68108796296</v>
      </c>
      <c r="K2460">
        <f>AVERAGE(H2457:H2461)</f>
        <v>157.6839663</v>
      </c>
      <c r="L2460">
        <f>STDEV(H2457:H2461)</f>
        <v>110.6679371</v>
      </c>
      <c r="M2460" s="70">
        <v>186.938741694307</v>
      </c>
      <c r="N2460" s="70">
        <v>186.938741694307</v>
      </c>
      <c r="O2460" s="70">
        <v>6.02984202233938</v>
      </c>
      <c r="P2460" s="70">
        <v>6.02984202233938</v>
      </c>
    </row>
    <row r="2461" hidden="1">
      <c r="A2461" s="67" t="s">
        <v>3221</v>
      </c>
      <c r="B2461" s="67" t="s">
        <v>268</v>
      </c>
      <c r="C2461" s="68">
        <v>0.25</v>
      </c>
      <c r="D2461" s="68">
        <v>0.5</v>
      </c>
      <c r="E2461" s="68">
        <v>6.0</v>
      </c>
      <c r="F2461" s="68">
        <v>4.0</v>
      </c>
      <c r="G2461" s="68">
        <v>0.466650291518434</v>
      </c>
      <c r="H2461" s="68">
        <v>0.55866925838701</v>
      </c>
      <c r="I2461" s="69">
        <v>44321.681805555556</v>
      </c>
      <c r="J2461" s="69">
        <v>44321.681979166664</v>
      </c>
      <c r="K2461">
        <f>AVERAGE(H2457:H2461)</f>
        <v>157.6839663</v>
      </c>
      <c r="L2461">
        <f>STDEV(H2457:H2461)</f>
        <v>110.6679371</v>
      </c>
      <c r="M2461" s="70">
        <v>0.55866925838701</v>
      </c>
      <c r="N2461" s="70">
        <v>0.55866925838701</v>
      </c>
      <c r="O2461" s="70">
        <v>0.466650291518434</v>
      </c>
      <c r="P2461" s="70">
        <v>0.466650291518434</v>
      </c>
    </row>
    <row r="2462" hidden="1">
      <c r="A2462" s="67" t="s">
        <v>3222</v>
      </c>
      <c r="B2462" s="67" t="s">
        <v>268</v>
      </c>
      <c r="C2462" s="68">
        <v>0.25</v>
      </c>
      <c r="D2462" s="68">
        <v>0.75</v>
      </c>
      <c r="E2462" s="68">
        <v>6.0</v>
      </c>
      <c r="F2462" s="68">
        <v>0.0</v>
      </c>
      <c r="G2462" s="68">
        <v>1.3507722819561</v>
      </c>
      <c r="H2462" s="68">
        <v>69.4230778280268</v>
      </c>
      <c r="I2462" s="69">
        <v>44321.68269675926</v>
      </c>
      <c r="J2462" s="69">
        <v>44321.68380787037</v>
      </c>
      <c r="K2462">
        <f>AVERAGE(H2462:H2466)</f>
        <v>159.6046694</v>
      </c>
      <c r="L2462">
        <f>STDEV(H2462:H2466)</f>
        <v>80.91994666</v>
      </c>
      <c r="M2462" s="70">
        <v>69.4230778280268</v>
      </c>
      <c r="N2462" s="70">
        <v>69.4230778280268</v>
      </c>
      <c r="O2462" s="70">
        <v>1.3507722819561</v>
      </c>
      <c r="P2462" s="70">
        <v>1.3507722819561</v>
      </c>
    </row>
    <row r="2463" hidden="1">
      <c r="A2463" s="67" t="s">
        <v>3223</v>
      </c>
      <c r="B2463" s="67" t="s">
        <v>268</v>
      </c>
      <c r="C2463" s="68">
        <v>0.25</v>
      </c>
      <c r="D2463" s="68">
        <v>0.75</v>
      </c>
      <c r="E2463" s="68">
        <v>6.0</v>
      </c>
      <c r="F2463" s="68">
        <v>1.0</v>
      </c>
      <c r="G2463" s="68">
        <v>8.4017803212675</v>
      </c>
      <c r="H2463" s="68">
        <v>290.325699199976</v>
      </c>
      <c r="I2463" s="69">
        <v>44321.684525462966</v>
      </c>
      <c r="J2463" s="69">
        <v>44321.6850462963</v>
      </c>
      <c r="K2463">
        <f>AVERAGE(H2462:H2466)</f>
        <v>159.6046694</v>
      </c>
      <c r="L2463">
        <f>STDEV(H2462:H2466)</f>
        <v>80.91994666</v>
      </c>
      <c r="M2463" s="70">
        <v>290.325699199976</v>
      </c>
      <c r="N2463" s="70">
        <v>290.325699199976</v>
      </c>
      <c r="O2463" s="70">
        <v>8.4017803212675</v>
      </c>
      <c r="P2463" s="70">
        <v>8.4017803212675</v>
      </c>
    </row>
    <row r="2464" hidden="1">
      <c r="A2464" s="67" t="s">
        <v>3224</v>
      </c>
      <c r="B2464" s="67" t="s">
        <v>268</v>
      </c>
      <c r="C2464" s="68">
        <v>0.25</v>
      </c>
      <c r="D2464" s="68">
        <v>0.75</v>
      </c>
      <c r="E2464" s="68">
        <v>6.0</v>
      </c>
      <c r="F2464" s="68">
        <v>2.0</v>
      </c>
      <c r="G2464" s="68">
        <v>2.48506437514698</v>
      </c>
      <c r="H2464" s="68">
        <v>131.672143449857</v>
      </c>
      <c r="I2464" s="69">
        <v>44321.68576388889</v>
      </c>
      <c r="J2464" s="69">
        <v>44321.6859837963</v>
      </c>
      <c r="K2464">
        <f>AVERAGE(H2462:H2466)</f>
        <v>159.6046694</v>
      </c>
      <c r="L2464">
        <f>STDEV(H2462:H2466)</f>
        <v>80.91994666</v>
      </c>
      <c r="M2464" s="70">
        <v>131.672143449857</v>
      </c>
      <c r="N2464" s="70">
        <v>131.672143449857</v>
      </c>
      <c r="O2464" s="70">
        <v>2.48506437514698</v>
      </c>
      <c r="P2464" s="70">
        <v>2.48506437514698</v>
      </c>
    </row>
    <row r="2465" hidden="1">
      <c r="A2465" s="67" t="s">
        <v>3225</v>
      </c>
      <c r="B2465" s="67" t="s">
        <v>268</v>
      </c>
      <c r="C2465" s="68">
        <v>0.25</v>
      </c>
      <c r="D2465" s="68">
        <v>0.75</v>
      </c>
      <c r="E2465" s="68">
        <v>6.0</v>
      </c>
      <c r="F2465" s="68">
        <v>3.0</v>
      </c>
      <c r="G2465" s="68">
        <v>3.08472387192383</v>
      </c>
      <c r="H2465" s="68">
        <v>145.826226531473</v>
      </c>
      <c r="I2465" s="69">
        <v>44321.68670138889</v>
      </c>
      <c r="J2465" s="69">
        <v>44321.728368055556</v>
      </c>
      <c r="K2465">
        <f>AVERAGE(H2462:H2466)</f>
        <v>159.6046694</v>
      </c>
      <c r="L2465">
        <f>STDEV(H2462:H2466)</f>
        <v>80.91994666</v>
      </c>
      <c r="M2465" s="70">
        <v>145.826226531473</v>
      </c>
      <c r="N2465" s="70">
        <v>145.826226531473</v>
      </c>
      <c r="O2465" s="70">
        <v>3.08472387192383</v>
      </c>
      <c r="P2465" s="70">
        <v>3.08472387192383</v>
      </c>
    </row>
    <row r="2466" hidden="1">
      <c r="A2466" s="67" t="s">
        <v>3226</v>
      </c>
      <c r="B2466" s="67" t="s">
        <v>268</v>
      </c>
      <c r="C2466" s="68">
        <v>0.25</v>
      </c>
      <c r="D2466" s="68">
        <v>0.75</v>
      </c>
      <c r="E2466" s="68">
        <v>6.0</v>
      </c>
      <c r="F2466" s="68">
        <v>4.0</v>
      </c>
      <c r="G2466" s="68">
        <v>4.76175231870075</v>
      </c>
      <c r="H2466" s="68">
        <v>160.776199755782</v>
      </c>
      <c r="I2466" s="69">
        <v>44321.72908564815</v>
      </c>
      <c r="J2466" s="69">
        <v>44321.72930555556</v>
      </c>
      <c r="K2466">
        <f>AVERAGE(H2462:H2466)</f>
        <v>159.6046694</v>
      </c>
      <c r="L2466">
        <f>STDEV(H2462:H2466)</f>
        <v>80.91994666</v>
      </c>
      <c r="M2466" s="70">
        <v>160.776199755782</v>
      </c>
      <c r="N2466" s="70">
        <v>160.776199755782</v>
      </c>
      <c r="O2466" s="70">
        <v>4.76175231870075</v>
      </c>
      <c r="P2466" s="70">
        <v>4.76175231870075</v>
      </c>
    </row>
    <row r="2467" hidden="1">
      <c r="A2467" s="67" t="s">
        <v>3227</v>
      </c>
      <c r="B2467" s="67" t="s">
        <v>268</v>
      </c>
      <c r="C2467" s="68">
        <v>0.25</v>
      </c>
      <c r="D2467" s="68">
        <v>1.0</v>
      </c>
      <c r="E2467" s="68">
        <v>6.0</v>
      </c>
      <c r="F2467" s="68">
        <v>0.0</v>
      </c>
      <c r="G2467" s="68">
        <v>4.66376634021752</v>
      </c>
      <c r="H2467" s="68">
        <v>208.683314229034</v>
      </c>
      <c r="I2467" s="69">
        <v>44321.73001157407</v>
      </c>
      <c r="J2467" s="69">
        <v>44321.73296296296</v>
      </c>
      <c r="K2467">
        <f>AVERAGE(H2467:H2471)</f>
        <v>142.807954</v>
      </c>
      <c r="L2467">
        <f>STDEV(H2467:H2471)</f>
        <v>92.55520686</v>
      </c>
      <c r="M2467" s="70">
        <v>208.683314229034</v>
      </c>
      <c r="N2467" s="70">
        <v>208.683314229034</v>
      </c>
      <c r="O2467" s="70">
        <v>4.66376634021752</v>
      </c>
      <c r="P2467" s="70">
        <v>4.66376634021752</v>
      </c>
    </row>
    <row r="2468" hidden="1">
      <c r="A2468" s="67" t="s">
        <v>3228</v>
      </c>
      <c r="B2468" s="67" t="s">
        <v>268</v>
      </c>
      <c r="C2468" s="68">
        <v>0.25</v>
      </c>
      <c r="D2468" s="68">
        <v>1.0</v>
      </c>
      <c r="E2468" s="68">
        <v>6.0</v>
      </c>
      <c r="F2468" s="68">
        <v>1.0</v>
      </c>
      <c r="G2468" s="68">
        <v>2.15336727475448</v>
      </c>
      <c r="H2468" s="68">
        <v>103.546613616123</v>
      </c>
      <c r="I2468" s="69">
        <v>44321.73368055555</v>
      </c>
      <c r="J2468" s="69">
        <v>44321.775717592594</v>
      </c>
      <c r="K2468">
        <f>AVERAGE(H2467:H2471)</f>
        <v>142.807954</v>
      </c>
      <c r="L2468">
        <f>STDEV(H2467:H2471)</f>
        <v>92.55520686</v>
      </c>
      <c r="M2468" s="70">
        <v>103.546613616123</v>
      </c>
      <c r="N2468" s="70">
        <v>103.546613616123</v>
      </c>
      <c r="O2468" s="70">
        <v>2.15336727475448</v>
      </c>
      <c r="P2468" s="70">
        <v>2.15336727475448</v>
      </c>
    </row>
    <row r="2469" hidden="1">
      <c r="A2469" s="67" t="s">
        <v>3229</v>
      </c>
      <c r="B2469" s="67" t="s">
        <v>268</v>
      </c>
      <c r="C2469" s="68">
        <v>0.25</v>
      </c>
      <c r="D2469" s="68">
        <v>1.0</v>
      </c>
      <c r="E2469" s="68">
        <v>6.0</v>
      </c>
      <c r="F2469" s="68">
        <v>2.0</v>
      </c>
      <c r="G2469" s="68">
        <v>4.76876726340519</v>
      </c>
      <c r="H2469" s="68">
        <v>160.896856918062</v>
      </c>
      <c r="I2469" s="69">
        <v>44321.77642361111</v>
      </c>
      <c r="J2469" s="69">
        <v>44321.77664351852</v>
      </c>
      <c r="K2469">
        <f>AVERAGE(H2467:H2471)</f>
        <v>142.807954</v>
      </c>
      <c r="L2469">
        <f>STDEV(H2467:H2471)</f>
        <v>92.55520686</v>
      </c>
      <c r="M2469" s="70">
        <v>160.896856918062</v>
      </c>
      <c r="N2469" s="70">
        <v>160.896856918062</v>
      </c>
      <c r="O2469" s="70">
        <v>4.76876726340519</v>
      </c>
      <c r="P2469" s="70">
        <v>4.76876726340519</v>
      </c>
    </row>
    <row r="2470" hidden="1">
      <c r="A2470" s="67" t="s">
        <v>3230</v>
      </c>
      <c r="B2470" s="67" t="s">
        <v>268</v>
      </c>
      <c r="C2470" s="68">
        <v>0.25</v>
      </c>
      <c r="D2470" s="68">
        <v>1.0</v>
      </c>
      <c r="E2470" s="68">
        <v>6.0</v>
      </c>
      <c r="F2470" s="68">
        <v>3.0</v>
      </c>
      <c r="G2470" s="68">
        <v>5.92614168368742</v>
      </c>
      <c r="H2470" s="68">
        <v>236.771722313806</v>
      </c>
      <c r="I2470" s="69">
        <v>44321.77736111111</v>
      </c>
      <c r="J2470" s="69">
        <v>44321.77856481481</v>
      </c>
      <c r="K2470">
        <f>AVERAGE(H2467:H2471)</f>
        <v>142.807954</v>
      </c>
      <c r="L2470">
        <f>STDEV(H2467:H2471)</f>
        <v>92.55520686</v>
      </c>
      <c r="M2470" s="70">
        <v>236.771722313806</v>
      </c>
      <c r="N2470" s="70">
        <v>236.771722313806</v>
      </c>
      <c r="O2470" s="70">
        <v>5.92614168368742</v>
      </c>
      <c r="P2470" s="70">
        <v>5.92614168368742</v>
      </c>
    </row>
    <row r="2471" hidden="1">
      <c r="A2471" s="67" t="s">
        <v>3231</v>
      </c>
      <c r="B2471" s="67" t="s">
        <v>268</v>
      </c>
      <c r="C2471" s="68">
        <v>0.25</v>
      </c>
      <c r="D2471" s="68">
        <v>1.0</v>
      </c>
      <c r="E2471" s="68">
        <v>6.0</v>
      </c>
      <c r="F2471" s="68">
        <v>4.0</v>
      </c>
      <c r="G2471" s="68">
        <v>2.64367320814742</v>
      </c>
      <c r="H2471" s="68">
        <v>4.14126307722622</v>
      </c>
      <c r="I2471" s="69">
        <v>44321.779270833336</v>
      </c>
      <c r="J2471" s="69">
        <v>44321.77936342593</v>
      </c>
      <c r="K2471">
        <f>AVERAGE(H2467:H2471)</f>
        <v>142.807954</v>
      </c>
      <c r="L2471">
        <f>STDEV(H2467:H2471)</f>
        <v>92.55520686</v>
      </c>
      <c r="M2471" s="70">
        <v>4.14126307722622</v>
      </c>
      <c r="N2471" s="70">
        <v>4.14126307722622</v>
      </c>
      <c r="O2471" s="70">
        <v>2.64367320814742</v>
      </c>
      <c r="P2471" s="70">
        <v>2.64367320814742</v>
      </c>
    </row>
    <row r="2472" hidden="1">
      <c r="A2472" s="67" t="s">
        <v>3232</v>
      </c>
      <c r="B2472" s="67" t="s">
        <v>268</v>
      </c>
      <c r="C2472" s="68">
        <v>0.5</v>
      </c>
      <c r="D2472" s="68">
        <v>0.1</v>
      </c>
      <c r="E2472" s="68">
        <v>6.0</v>
      </c>
      <c r="F2472" s="68">
        <v>0.0</v>
      </c>
      <c r="G2472" s="68">
        <v>4.35828270321877</v>
      </c>
      <c r="H2472" s="68">
        <v>193.076340830196</v>
      </c>
      <c r="I2472" s="69">
        <v>44321.78008101852</v>
      </c>
      <c r="J2472" s="69">
        <v>44321.80430555555</v>
      </c>
      <c r="K2472">
        <f>AVERAGE(H2472:H2476)</f>
        <v>104.8052628</v>
      </c>
      <c r="L2472">
        <f>STDEV(H2472:H2476)</f>
        <v>97.40453843</v>
      </c>
      <c r="M2472" s="70">
        <v>193.076340830196</v>
      </c>
      <c r="N2472" s="70">
        <v>193.076340830196</v>
      </c>
      <c r="O2472" s="70">
        <v>4.35828270321877</v>
      </c>
      <c r="P2472" s="70">
        <v>4.35828270321877</v>
      </c>
    </row>
    <row r="2473" hidden="1">
      <c r="A2473" s="67" t="s">
        <v>3233</v>
      </c>
      <c r="B2473" s="67" t="s">
        <v>268</v>
      </c>
      <c r="C2473" s="68">
        <v>0.5</v>
      </c>
      <c r="D2473" s="68">
        <v>0.1</v>
      </c>
      <c r="E2473" s="68">
        <v>6.0</v>
      </c>
      <c r="F2473" s="68">
        <v>1.0</v>
      </c>
      <c r="G2473" s="68">
        <v>0.626408383439213</v>
      </c>
      <c r="H2473" s="68">
        <v>1.28300593494294</v>
      </c>
      <c r="I2473" s="69">
        <v>44321.80501157408</v>
      </c>
      <c r="J2473" s="69">
        <v>44321.80504629629</v>
      </c>
      <c r="K2473">
        <f>AVERAGE(H2472:H2476)</f>
        <v>104.8052628</v>
      </c>
      <c r="L2473">
        <f>STDEV(H2472:H2476)</f>
        <v>97.40453843</v>
      </c>
      <c r="M2473" s="70">
        <v>1.28300593494294</v>
      </c>
      <c r="N2473" s="70">
        <v>1.28300593494294</v>
      </c>
      <c r="O2473" s="70">
        <v>0.626408383439213</v>
      </c>
      <c r="P2473" s="70">
        <v>0.626408383439213</v>
      </c>
    </row>
    <row r="2474" hidden="1">
      <c r="A2474" s="67" t="s">
        <v>3234</v>
      </c>
      <c r="B2474" s="67" t="s">
        <v>268</v>
      </c>
      <c r="C2474" s="68">
        <v>0.5</v>
      </c>
      <c r="D2474" s="68">
        <v>0.1</v>
      </c>
      <c r="E2474" s="68">
        <v>6.0</v>
      </c>
      <c r="F2474" s="68">
        <v>2.0</v>
      </c>
      <c r="G2474" s="68">
        <v>0.655649348026286</v>
      </c>
      <c r="H2474" s="68">
        <v>1.21666884766413</v>
      </c>
      <c r="I2474" s="69">
        <v>44321.805763888886</v>
      </c>
      <c r="J2474" s="69">
        <v>44321.806493055556</v>
      </c>
      <c r="K2474">
        <f>AVERAGE(H2472:H2476)</f>
        <v>104.8052628</v>
      </c>
      <c r="L2474">
        <f>STDEV(H2472:H2476)</f>
        <v>97.40453843</v>
      </c>
      <c r="M2474" s="70">
        <v>1.21666884766413</v>
      </c>
      <c r="N2474" s="70">
        <v>1.21666884766413</v>
      </c>
      <c r="O2474" s="70">
        <v>0.655649348026286</v>
      </c>
      <c r="P2474" s="70">
        <v>0.655649348026286</v>
      </c>
    </row>
    <row r="2475" hidden="1">
      <c r="A2475" s="67" t="s">
        <v>3235</v>
      </c>
      <c r="B2475" s="67" t="s">
        <v>268</v>
      </c>
      <c r="C2475" s="68">
        <v>0.5</v>
      </c>
      <c r="D2475" s="68">
        <v>0.1</v>
      </c>
      <c r="E2475" s="68">
        <v>6.0</v>
      </c>
      <c r="F2475" s="68">
        <v>3.0</v>
      </c>
      <c r="G2475" s="68">
        <v>3.00190168190131</v>
      </c>
      <c r="H2475" s="68">
        <v>135.503267698027</v>
      </c>
      <c r="I2475" s="69">
        <v>44321.80721064815</v>
      </c>
      <c r="J2475" s="69">
        <v>44321.822546296295</v>
      </c>
      <c r="K2475">
        <f>AVERAGE(H2472:H2476)</f>
        <v>104.8052628</v>
      </c>
      <c r="L2475">
        <f>STDEV(H2472:H2476)</f>
        <v>97.40453843</v>
      </c>
      <c r="M2475" s="70">
        <v>135.503267698027</v>
      </c>
      <c r="N2475" s="70">
        <v>135.503267698027</v>
      </c>
      <c r="O2475" s="70">
        <v>3.00190168190131</v>
      </c>
      <c r="P2475" s="70">
        <v>3.00190168190131</v>
      </c>
    </row>
    <row r="2476" hidden="1">
      <c r="A2476" s="67" t="s">
        <v>3236</v>
      </c>
      <c r="B2476" s="67" t="s">
        <v>268</v>
      </c>
      <c r="C2476" s="68">
        <v>0.5</v>
      </c>
      <c r="D2476" s="68">
        <v>0.1</v>
      </c>
      <c r="E2476" s="68">
        <v>6.0</v>
      </c>
      <c r="F2476" s="68">
        <v>4.0</v>
      </c>
      <c r="G2476" s="68">
        <v>7.97961475160596</v>
      </c>
      <c r="H2476" s="68">
        <v>192.947030664856</v>
      </c>
      <c r="I2476" s="69">
        <v>44321.82326388889</v>
      </c>
      <c r="J2476" s="69">
        <v>44321.82331018519</v>
      </c>
      <c r="K2476">
        <f>AVERAGE(H2472:H2476)</f>
        <v>104.8052628</v>
      </c>
      <c r="L2476">
        <f>STDEV(H2472:H2476)</f>
        <v>97.40453843</v>
      </c>
      <c r="M2476" s="70">
        <v>192.947030664856</v>
      </c>
      <c r="N2476" s="70">
        <v>192.947030664856</v>
      </c>
      <c r="O2476" s="70">
        <v>7.97961475160596</v>
      </c>
      <c r="P2476" s="70">
        <v>7.97961475160596</v>
      </c>
    </row>
    <row r="2477" hidden="1">
      <c r="A2477" s="67" t="s">
        <v>3237</v>
      </c>
      <c r="B2477" s="67" t="s">
        <v>268</v>
      </c>
      <c r="C2477" s="68">
        <v>0.5</v>
      </c>
      <c r="D2477" s="68">
        <v>0.25</v>
      </c>
      <c r="E2477" s="68">
        <v>6.0</v>
      </c>
      <c r="F2477" s="68">
        <v>0.0</v>
      </c>
      <c r="G2477" s="68">
        <v>0.466302059947925</v>
      </c>
      <c r="H2477" s="68">
        <v>0.558605536113522</v>
      </c>
      <c r="I2477" s="69">
        <v>44321.824016203704</v>
      </c>
      <c r="J2477" s="69">
        <v>44321.82418981481</v>
      </c>
      <c r="K2477">
        <f>AVERAGE(H2477:H2481)</f>
        <v>71.71657011</v>
      </c>
      <c r="L2477">
        <f>STDEV(H2477:H2481)</f>
        <v>84.38848817</v>
      </c>
      <c r="M2477" s="70">
        <v>0.558605536113522</v>
      </c>
      <c r="N2477" s="70">
        <v>0.558605536113522</v>
      </c>
      <c r="O2477" s="70">
        <v>0.466302059947925</v>
      </c>
      <c r="P2477" s="70">
        <v>0.466302059947925</v>
      </c>
    </row>
    <row r="2478" hidden="1">
      <c r="A2478" s="67" t="s">
        <v>3238</v>
      </c>
      <c r="B2478" s="67" t="s">
        <v>268</v>
      </c>
      <c r="C2478" s="68">
        <v>0.5</v>
      </c>
      <c r="D2478" s="68">
        <v>0.25</v>
      </c>
      <c r="E2478" s="68">
        <v>6.0</v>
      </c>
      <c r="F2478" s="68">
        <v>1.0</v>
      </c>
      <c r="G2478" s="68">
        <v>1.72876797992276</v>
      </c>
      <c r="H2478" s="68">
        <v>27.8687702568793</v>
      </c>
      <c r="I2478" s="69">
        <v>44321.824907407405</v>
      </c>
      <c r="J2478" s="69">
        <v>44321.82555555556</v>
      </c>
      <c r="K2478">
        <f>AVERAGE(H2477:H2481)</f>
        <v>71.71657011</v>
      </c>
      <c r="L2478">
        <f>STDEV(H2477:H2481)</f>
        <v>84.38848817</v>
      </c>
      <c r="M2478" s="70">
        <v>27.8687702568793</v>
      </c>
      <c r="N2478" s="70">
        <v>27.8687702568793</v>
      </c>
      <c r="O2478" s="70">
        <v>1.72876797992276</v>
      </c>
      <c r="P2478" s="70">
        <v>1.72876797992276</v>
      </c>
    </row>
    <row r="2479" hidden="1">
      <c r="A2479" s="67" t="s">
        <v>3239</v>
      </c>
      <c r="B2479" s="67" t="s">
        <v>268</v>
      </c>
      <c r="C2479" s="68">
        <v>0.5</v>
      </c>
      <c r="D2479" s="68">
        <v>0.25</v>
      </c>
      <c r="E2479" s="68">
        <v>6.0</v>
      </c>
      <c r="F2479" s="68">
        <v>2.0</v>
      </c>
      <c r="G2479" s="68">
        <v>2.64145420487137</v>
      </c>
      <c r="H2479" s="68">
        <v>4.1380101737941</v>
      </c>
      <c r="I2479" s="69">
        <v>44321.826273148145</v>
      </c>
      <c r="J2479" s="69">
        <v>44321.826365740744</v>
      </c>
      <c r="K2479">
        <f>AVERAGE(H2477:H2481)</f>
        <v>71.71657011</v>
      </c>
      <c r="L2479">
        <f>STDEV(H2477:H2481)</f>
        <v>84.38848817</v>
      </c>
      <c r="M2479" s="70">
        <v>4.1380101737941</v>
      </c>
      <c r="N2479" s="70">
        <v>4.1380101737941</v>
      </c>
      <c r="O2479" s="70">
        <v>2.64145420487137</v>
      </c>
      <c r="P2479" s="70">
        <v>2.64145420487137</v>
      </c>
    </row>
    <row r="2480" hidden="1">
      <c r="A2480" s="67" t="s">
        <v>3240</v>
      </c>
      <c r="B2480" s="67" t="s">
        <v>268</v>
      </c>
      <c r="C2480" s="68">
        <v>0.5</v>
      </c>
      <c r="D2480" s="68">
        <v>0.25</v>
      </c>
      <c r="E2480" s="68">
        <v>6.0</v>
      </c>
      <c r="F2480" s="68">
        <v>3.0</v>
      </c>
      <c r="G2480" s="68">
        <v>4.67735799468225</v>
      </c>
      <c r="H2480" s="68">
        <v>151.515195976257</v>
      </c>
      <c r="I2480" s="69">
        <v>44321.82707175926</v>
      </c>
      <c r="J2480" s="69">
        <v>44321.82730324074</v>
      </c>
      <c r="K2480">
        <f>AVERAGE(H2477:H2481)</f>
        <v>71.71657011</v>
      </c>
      <c r="L2480">
        <f>STDEV(H2477:H2481)</f>
        <v>84.38848817</v>
      </c>
      <c r="M2480" s="70">
        <v>151.515195976257</v>
      </c>
      <c r="N2480" s="70">
        <v>151.515195976257</v>
      </c>
      <c r="O2480" s="70">
        <v>4.67735799468225</v>
      </c>
      <c r="P2480" s="70">
        <v>4.67735799468225</v>
      </c>
    </row>
    <row r="2481" hidden="1">
      <c r="A2481" s="67" t="s">
        <v>3241</v>
      </c>
      <c r="B2481" s="67" t="s">
        <v>268</v>
      </c>
      <c r="C2481" s="68">
        <v>0.5</v>
      </c>
      <c r="D2481" s="68">
        <v>0.25</v>
      </c>
      <c r="E2481" s="68">
        <v>6.0</v>
      </c>
      <c r="F2481" s="68">
        <v>4.0</v>
      </c>
      <c r="G2481" s="68">
        <v>3.65989929175458</v>
      </c>
      <c r="H2481" s="68">
        <v>174.502268609865</v>
      </c>
      <c r="I2481" s="69">
        <v>44321.82800925926</v>
      </c>
      <c r="J2481" s="69">
        <v>44321.890381944446</v>
      </c>
      <c r="K2481">
        <f>AVERAGE(H2477:H2481)</f>
        <v>71.71657011</v>
      </c>
      <c r="L2481">
        <f>STDEV(H2477:H2481)</f>
        <v>84.38848817</v>
      </c>
      <c r="M2481" s="70">
        <v>174.502268609865</v>
      </c>
      <c r="N2481" s="70">
        <v>174.502268609865</v>
      </c>
      <c r="O2481" s="70">
        <v>3.65989929175458</v>
      </c>
      <c r="P2481" s="70">
        <v>3.65989929175458</v>
      </c>
    </row>
    <row r="2482" hidden="1">
      <c r="A2482" s="67" t="s">
        <v>3242</v>
      </c>
      <c r="B2482" s="67" t="s">
        <v>268</v>
      </c>
      <c r="C2482" s="68">
        <v>0.5</v>
      </c>
      <c r="D2482" s="68">
        <v>0.5</v>
      </c>
      <c r="E2482" s="68">
        <v>6.0</v>
      </c>
      <c r="F2482" s="68">
        <v>0.0</v>
      </c>
      <c r="G2482" s="68">
        <v>1.46445252599949</v>
      </c>
      <c r="H2482" s="68">
        <v>73.6456506964454</v>
      </c>
      <c r="I2482" s="69">
        <v>44321.89109953704</v>
      </c>
      <c r="J2482" s="69">
        <v>44321.89197916666</v>
      </c>
      <c r="K2482">
        <f>AVERAGE(H2482:H2486)</f>
        <v>99.32663262</v>
      </c>
      <c r="L2482">
        <f>STDEV(H2482:H2486)</f>
        <v>71.35547379</v>
      </c>
      <c r="M2482" s="70">
        <v>73.6456506964454</v>
      </c>
      <c r="N2482" s="70">
        <v>73.6456506964454</v>
      </c>
      <c r="O2482" s="70">
        <v>1.46445252599949</v>
      </c>
      <c r="P2482" s="70">
        <v>1.46445252599949</v>
      </c>
    </row>
    <row r="2483" hidden="1">
      <c r="A2483" s="67" t="s">
        <v>3243</v>
      </c>
      <c r="B2483" s="67" t="s">
        <v>268</v>
      </c>
      <c r="C2483" s="68">
        <v>0.5</v>
      </c>
      <c r="D2483" s="68">
        <v>0.5</v>
      </c>
      <c r="E2483" s="68">
        <v>6.0</v>
      </c>
      <c r="F2483" s="68">
        <v>1.0</v>
      </c>
      <c r="G2483" s="68">
        <v>1.07991001504809</v>
      </c>
      <c r="H2483" s="68">
        <v>1.4504242499467</v>
      </c>
      <c r="I2483" s="69">
        <v>44321.892696759256</v>
      </c>
      <c r="J2483" s="69">
        <v>44321.892800925925</v>
      </c>
      <c r="K2483">
        <f>AVERAGE(H2482:H2486)</f>
        <v>99.32663262</v>
      </c>
      <c r="L2483">
        <f>STDEV(H2482:H2486)</f>
        <v>71.35547379</v>
      </c>
      <c r="M2483" s="70">
        <v>1.4504242499467</v>
      </c>
      <c r="N2483" s="70">
        <v>1.4504242499467</v>
      </c>
      <c r="O2483" s="70">
        <v>1.07991001504809</v>
      </c>
      <c r="P2483" s="70">
        <v>1.07991001504809</v>
      </c>
    </row>
    <row r="2484" hidden="1">
      <c r="A2484" s="67" t="s">
        <v>3244</v>
      </c>
      <c r="B2484" s="67" t="s">
        <v>268</v>
      </c>
      <c r="C2484" s="68">
        <v>0.5</v>
      </c>
      <c r="D2484" s="68">
        <v>0.5</v>
      </c>
      <c r="E2484" s="68">
        <v>6.0</v>
      </c>
      <c r="F2484" s="68">
        <v>2.0</v>
      </c>
      <c r="G2484" s="68">
        <v>4.05363730979193</v>
      </c>
      <c r="H2484" s="68">
        <v>180.763939382231</v>
      </c>
      <c r="I2484" s="69">
        <v>44321.89351851852</v>
      </c>
      <c r="J2484" s="69">
        <v>44321.95270833333</v>
      </c>
      <c r="K2484">
        <f>AVERAGE(H2482:H2486)</f>
        <v>99.32663262</v>
      </c>
      <c r="L2484">
        <f>STDEV(H2482:H2486)</f>
        <v>71.35547379</v>
      </c>
      <c r="M2484" s="70">
        <v>180.763939382231</v>
      </c>
      <c r="N2484" s="70">
        <v>180.763939382231</v>
      </c>
      <c r="O2484" s="70">
        <v>4.05363730979193</v>
      </c>
      <c r="P2484" s="70">
        <v>4.05363730979193</v>
      </c>
    </row>
    <row r="2485" hidden="1">
      <c r="A2485" s="67" t="s">
        <v>3245</v>
      </c>
      <c r="B2485" s="67" t="s">
        <v>268</v>
      </c>
      <c r="C2485" s="68">
        <v>0.5</v>
      </c>
      <c r="D2485" s="68">
        <v>0.5</v>
      </c>
      <c r="E2485" s="68">
        <v>6.0</v>
      </c>
      <c r="F2485" s="68">
        <v>3.0</v>
      </c>
      <c r="G2485" s="68">
        <v>5.07169775167422</v>
      </c>
      <c r="H2485" s="68">
        <v>156.498015315717</v>
      </c>
      <c r="I2485" s="69">
        <v>44321.95342592592</v>
      </c>
      <c r="J2485" s="69">
        <v>44321.953518518516</v>
      </c>
      <c r="K2485">
        <f>AVERAGE(H2482:H2486)</f>
        <v>99.32663262</v>
      </c>
      <c r="L2485">
        <f>STDEV(H2482:H2486)</f>
        <v>71.35547379</v>
      </c>
      <c r="M2485" s="70">
        <v>156.498015315717</v>
      </c>
      <c r="N2485" s="70">
        <v>156.498015315717</v>
      </c>
      <c r="O2485" s="70">
        <v>5.07169775167422</v>
      </c>
      <c r="P2485" s="70">
        <v>5.07169775167422</v>
      </c>
    </row>
    <row r="2486" hidden="1">
      <c r="A2486" s="67" t="s">
        <v>3246</v>
      </c>
      <c r="B2486" s="67" t="s">
        <v>268</v>
      </c>
      <c r="C2486" s="68">
        <v>0.5</v>
      </c>
      <c r="D2486" s="68">
        <v>0.5</v>
      </c>
      <c r="E2486" s="68">
        <v>6.0</v>
      </c>
      <c r="F2486" s="68">
        <v>4.0</v>
      </c>
      <c r="G2486" s="68">
        <v>1.83853808587954</v>
      </c>
      <c r="H2486" s="68">
        <v>84.2751334388995</v>
      </c>
      <c r="I2486" s="69">
        <v>44321.95422453704</v>
      </c>
      <c r="J2486" s="69">
        <v>44321.95537037037</v>
      </c>
      <c r="K2486">
        <f>AVERAGE(H2482:H2486)</f>
        <v>99.32663262</v>
      </c>
      <c r="L2486">
        <f>STDEV(H2482:H2486)</f>
        <v>71.35547379</v>
      </c>
      <c r="M2486" s="70">
        <v>84.2751334388995</v>
      </c>
      <c r="N2486" s="70">
        <v>84.2751334388995</v>
      </c>
      <c r="O2486" s="70">
        <v>1.83853808587954</v>
      </c>
      <c r="P2486" s="70">
        <v>1.83853808587954</v>
      </c>
    </row>
    <row r="2487" hidden="1">
      <c r="A2487" s="67" t="s">
        <v>3247</v>
      </c>
      <c r="B2487" s="67" t="s">
        <v>268</v>
      </c>
      <c r="C2487" s="68">
        <v>0.5</v>
      </c>
      <c r="D2487" s="68">
        <v>0.75</v>
      </c>
      <c r="E2487" s="68">
        <v>6.0</v>
      </c>
      <c r="F2487" s="68">
        <v>0.0</v>
      </c>
      <c r="G2487" s="68">
        <v>1.07991001504809</v>
      </c>
      <c r="H2487" s="68">
        <v>1.4504242499467</v>
      </c>
      <c r="I2487" s="69">
        <v>44321.956087962964</v>
      </c>
      <c r="J2487" s="69">
        <v>44321.956192129626</v>
      </c>
      <c r="K2487">
        <f>AVERAGE(H2487:H2491)</f>
        <v>107.8616981</v>
      </c>
      <c r="L2487">
        <f>STDEV(H2487:H2491)</f>
        <v>91.44996918</v>
      </c>
      <c r="M2487" s="70">
        <v>1.4504242499467</v>
      </c>
      <c r="N2487" s="70">
        <v>1.4504242499467</v>
      </c>
      <c r="O2487" s="70">
        <v>1.07991001504809</v>
      </c>
      <c r="P2487" s="70">
        <v>1.07991001504809</v>
      </c>
    </row>
    <row r="2488" hidden="1">
      <c r="A2488" s="67" t="s">
        <v>3248</v>
      </c>
      <c r="B2488" s="67" t="s">
        <v>268</v>
      </c>
      <c r="C2488" s="68">
        <v>0.5</v>
      </c>
      <c r="D2488" s="68">
        <v>0.75</v>
      </c>
      <c r="E2488" s="68">
        <v>6.0</v>
      </c>
      <c r="F2488" s="68">
        <v>1.0</v>
      </c>
      <c r="G2488" s="68">
        <v>1.7318285144233</v>
      </c>
      <c r="H2488" s="68">
        <v>28.0454564904249</v>
      </c>
      <c r="I2488" s="69">
        <v>44321.95690972222</v>
      </c>
      <c r="J2488" s="69">
        <v>44321.95753472222</v>
      </c>
      <c r="K2488">
        <f>AVERAGE(H2487:H2491)</f>
        <v>107.8616981</v>
      </c>
      <c r="L2488">
        <f>STDEV(H2487:H2491)</f>
        <v>91.44996918</v>
      </c>
      <c r="M2488" s="70">
        <v>28.0454564904249</v>
      </c>
      <c r="N2488" s="70">
        <v>28.0454564904249</v>
      </c>
      <c r="O2488" s="70">
        <v>1.7318285144233</v>
      </c>
      <c r="P2488" s="70">
        <v>1.7318285144233</v>
      </c>
    </row>
    <row r="2489" hidden="1">
      <c r="A2489" s="67" t="s">
        <v>3249</v>
      </c>
      <c r="B2489" s="67" t="s">
        <v>268</v>
      </c>
      <c r="C2489" s="68">
        <v>0.5</v>
      </c>
      <c r="D2489" s="68">
        <v>0.75</v>
      </c>
      <c r="E2489" s="68">
        <v>6.0</v>
      </c>
      <c r="F2489" s="68">
        <v>2.0</v>
      </c>
      <c r="G2489" s="68">
        <v>3.66466808848225</v>
      </c>
      <c r="H2489" s="68">
        <v>173.584594393599</v>
      </c>
      <c r="I2489" s="69">
        <v>44321.95825231481</v>
      </c>
      <c r="J2489" s="69">
        <v>44322.014710648145</v>
      </c>
      <c r="K2489">
        <f>AVERAGE(H2487:H2491)</f>
        <v>107.8616981</v>
      </c>
      <c r="L2489">
        <f>STDEV(H2487:H2491)</f>
        <v>91.44996918</v>
      </c>
      <c r="M2489" s="70">
        <v>173.584594393599</v>
      </c>
      <c r="N2489" s="70">
        <v>173.584594393599</v>
      </c>
      <c r="O2489" s="70">
        <v>3.66466808848225</v>
      </c>
      <c r="P2489" s="70">
        <v>3.66466808848225</v>
      </c>
    </row>
    <row r="2490" hidden="1">
      <c r="A2490" s="67" t="s">
        <v>3250</v>
      </c>
      <c r="B2490" s="67" t="s">
        <v>268</v>
      </c>
      <c r="C2490" s="68">
        <v>0.5</v>
      </c>
      <c r="D2490" s="68">
        <v>0.75</v>
      </c>
      <c r="E2490" s="68">
        <v>6.0</v>
      </c>
      <c r="F2490" s="68">
        <v>3.0</v>
      </c>
      <c r="G2490" s="68">
        <v>6.89262326237468</v>
      </c>
      <c r="H2490" s="68">
        <v>213.820763811572</v>
      </c>
      <c r="I2490" s="69">
        <v>44322.01542824074</v>
      </c>
      <c r="J2490" s="69">
        <v>44322.01559027778</v>
      </c>
      <c r="K2490">
        <f>AVERAGE(H2487:H2491)</f>
        <v>107.8616981</v>
      </c>
      <c r="L2490">
        <f>STDEV(H2487:H2491)</f>
        <v>91.44996918</v>
      </c>
      <c r="M2490" s="70">
        <v>213.820763811572</v>
      </c>
      <c r="N2490" s="70">
        <v>213.820763811572</v>
      </c>
      <c r="O2490" s="70">
        <v>6.89262326237468</v>
      </c>
      <c r="P2490" s="70">
        <v>6.89262326237468</v>
      </c>
    </row>
    <row r="2491" hidden="1">
      <c r="A2491" s="67" t="s">
        <v>3251</v>
      </c>
      <c r="B2491" s="67" t="s">
        <v>268</v>
      </c>
      <c r="C2491" s="68">
        <v>0.5</v>
      </c>
      <c r="D2491" s="68">
        <v>0.75</v>
      </c>
      <c r="E2491" s="68">
        <v>6.0</v>
      </c>
      <c r="F2491" s="68">
        <v>4.0</v>
      </c>
      <c r="G2491" s="68">
        <v>2.69562944185737</v>
      </c>
      <c r="H2491" s="68">
        <v>122.407251428704</v>
      </c>
      <c r="I2491" s="69">
        <v>44322.01630787037</v>
      </c>
      <c r="J2491" s="69">
        <v>44322.01770833333</v>
      </c>
      <c r="K2491">
        <f>AVERAGE(H2487:H2491)</f>
        <v>107.8616981</v>
      </c>
      <c r="L2491">
        <f>STDEV(H2487:H2491)</f>
        <v>91.44996918</v>
      </c>
      <c r="M2491" s="70">
        <v>122.407251428704</v>
      </c>
      <c r="N2491" s="70">
        <v>122.407251428704</v>
      </c>
      <c r="O2491" s="70">
        <v>2.69562944185737</v>
      </c>
      <c r="P2491" s="70">
        <v>2.69562944185737</v>
      </c>
    </row>
    <row r="2492" hidden="1">
      <c r="A2492" s="67" t="s">
        <v>3252</v>
      </c>
      <c r="B2492" s="67" t="s">
        <v>268</v>
      </c>
      <c r="C2492" s="68">
        <v>0.5</v>
      </c>
      <c r="D2492" s="68">
        <v>1.0</v>
      </c>
      <c r="E2492" s="68">
        <v>6.0</v>
      </c>
      <c r="F2492" s="68">
        <v>0.0</v>
      </c>
      <c r="G2492" s="68">
        <v>4.21453803099847</v>
      </c>
      <c r="H2492" s="68">
        <v>116.116006113591</v>
      </c>
      <c r="I2492" s="69">
        <v>44322.01841435185</v>
      </c>
      <c r="J2492" s="69">
        <v>44322.018483796295</v>
      </c>
      <c r="K2492">
        <f>AVERAGE(H2492:H2496)</f>
        <v>139.1675707</v>
      </c>
      <c r="L2492">
        <f>STDEV(H2492:H2496)</f>
        <v>52.20981758</v>
      </c>
      <c r="M2492" s="70">
        <v>116.116006113591</v>
      </c>
      <c r="N2492" s="70">
        <v>116.116006113591</v>
      </c>
      <c r="O2492" s="70">
        <v>4.21453803099847</v>
      </c>
      <c r="P2492" s="70">
        <v>4.21453803099847</v>
      </c>
    </row>
    <row r="2493" hidden="1">
      <c r="A2493" s="67" t="s">
        <v>3253</v>
      </c>
      <c r="B2493" s="67" t="s">
        <v>268</v>
      </c>
      <c r="C2493" s="68">
        <v>0.5</v>
      </c>
      <c r="D2493" s="68">
        <v>1.0</v>
      </c>
      <c r="E2493" s="68">
        <v>6.0</v>
      </c>
      <c r="F2493" s="68">
        <v>1.0</v>
      </c>
      <c r="G2493" s="68">
        <v>2.49011631595921</v>
      </c>
      <c r="H2493" s="68">
        <v>131.85186382323</v>
      </c>
      <c r="I2493" s="69">
        <v>44322.01920138889</v>
      </c>
      <c r="J2493" s="69">
        <v>44322.019421296296</v>
      </c>
      <c r="K2493">
        <f>AVERAGE(H2492:H2496)</f>
        <v>139.1675707</v>
      </c>
      <c r="L2493">
        <f>STDEV(H2492:H2496)</f>
        <v>52.20981758</v>
      </c>
      <c r="M2493" s="70">
        <v>131.85186382323</v>
      </c>
      <c r="N2493" s="70">
        <v>131.85186382323</v>
      </c>
      <c r="O2493" s="70">
        <v>2.49011631595921</v>
      </c>
      <c r="P2493" s="70">
        <v>2.49011631595921</v>
      </c>
    </row>
    <row r="2494" hidden="1">
      <c r="A2494" s="67" t="s">
        <v>3254</v>
      </c>
      <c r="B2494" s="67" t="s">
        <v>268</v>
      </c>
      <c r="C2494" s="68">
        <v>0.5</v>
      </c>
      <c r="D2494" s="68">
        <v>1.0</v>
      </c>
      <c r="E2494" s="68">
        <v>6.0</v>
      </c>
      <c r="F2494" s="68">
        <v>2.0</v>
      </c>
      <c r="G2494" s="68">
        <v>1.70536694236919</v>
      </c>
      <c r="H2494" s="68">
        <v>67.6910997940524</v>
      </c>
      <c r="I2494" s="69">
        <v>44322.02013888889</v>
      </c>
      <c r="J2494" s="69">
        <v>44322.03361111111</v>
      </c>
      <c r="K2494">
        <f>AVERAGE(H2492:H2496)</f>
        <v>139.1675707</v>
      </c>
      <c r="L2494">
        <f>STDEV(H2492:H2496)</f>
        <v>52.20981758</v>
      </c>
      <c r="M2494" s="70">
        <v>67.6910997940524</v>
      </c>
      <c r="N2494" s="70">
        <v>67.6910997940524</v>
      </c>
      <c r="O2494" s="70">
        <v>1.70536694236919</v>
      </c>
      <c r="P2494" s="70">
        <v>1.70536694236919</v>
      </c>
    </row>
    <row r="2495" hidden="1">
      <c r="A2495" s="67" t="s">
        <v>3255</v>
      </c>
      <c r="B2495" s="67" t="s">
        <v>268</v>
      </c>
      <c r="C2495" s="68">
        <v>0.5</v>
      </c>
      <c r="D2495" s="68">
        <v>1.0</v>
      </c>
      <c r="E2495" s="68">
        <v>6.0</v>
      </c>
      <c r="F2495" s="68">
        <v>3.0</v>
      </c>
      <c r="G2495" s="68">
        <v>8.0259677147456</v>
      </c>
      <c r="H2495" s="68">
        <v>193.525005277444</v>
      </c>
      <c r="I2495" s="69">
        <v>44322.0343287037</v>
      </c>
      <c r="J2495" s="69">
        <v>44322.034363425926</v>
      </c>
      <c r="K2495">
        <f>AVERAGE(H2492:H2496)</f>
        <v>139.1675707</v>
      </c>
      <c r="L2495">
        <f>STDEV(H2492:H2496)</f>
        <v>52.20981758</v>
      </c>
      <c r="M2495" s="70">
        <v>193.525005277444</v>
      </c>
      <c r="N2495" s="70">
        <v>193.525005277444</v>
      </c>
      <c r="O2495" s="70">
        <v>8.0259677147456</v>
      </c>
      <c r="P2495" s="70">
        <v>8.0259677147456</v>
      </c>
    </row>
    <row r="2496" hidden="1">
      <c r="A2496" s="67" t="s">
        <v>3256</v>
      </c>
      <c r="B2496" s="67" t="s">
        <v>268</v>
      </c>
      <c r="C2496" s="68">
        <v>0.5</v>
      </c>
      <c r="D2496" s="68">
        <v>1.0</v>
      </c>
      <c r="E2496" s="68">
        <v>6.0</v>
      </c>
      <c r="F2496" s="68">
        <v>4.0</v>
      </c>
      <c r="G2496" s="68">
        <v>4.14677694633458</v>
      </c>
      <c r="H2496" s="68">
        <v>186.653878451413</v>
      </c>
      <c r="I2496" s="69">
        <v>44322.03508101852</v>
      </c>
      <c r="J2496" s="69">
        <v>44322.08231481481</v>
      </c>
      <c r="K2496">
        <f>AVERAGE(H2492:H2496)</f>
        <v>139.1675707</v>
      </c>
      <c r="L2496">
        <f>STDEV(H2492:H2496)</f>
        <v>52.20981758</v>
      </c>
      <c r="M2496" s="70">
        <v>186.653878451413</v>
      </c>
      <c r="N2496" s="70">
        <v>186.653878451413</v>
      </c>
      <c r="O2496" s="70">
        <v>4.14677694633458</v>
      </c>
      <c r="P2496" s="70">
        <v>4.14677694633458</v>
      </c>
    </row>
    <row r="2497" hidden="1">
      <c r="A2497" s="67" t="s">
        <v>3257</v>
      </c>
      <c r="B2497" s="67" t="s">
        <v>268</v>
      </c>
      <c r="C2497" s="68">
        <v>0.75</v>
      </c>
      <c r="D2497" s="68">
        <v>0.1</v>
      </c>
      <c r="E2497" s="68">
        <v>6.0</v>
      </c>
      <c r="F2497" s="68">
        <v>0.0</v>
      </c>
      <c r="G2497" s="68">
        <v>0.319096105615425</v>
      </c>
      <c r="H2497" s="68">
        <v>0.408517979006142</v>
      </c>
      <c r="I2497" s="69">
        <v>44322.083032407405</v>
      </c>
      <c r="J2497" s="69">
        <v>44322.083078703705</v>
      </c>
      <c r="K2497">
        <f>AVERAGE(H2497:H2501)</f>
        <v>115.6388197</v>
      </c>
      <c r="L2497">
        <f>STDEV(H2497:H2501)</f>
        <v>115.9712841</v>
      </c>
      <c r="M2497" s="70">
        <v>0.408517979006142</v>
      </c>
      <c r="N2497" s="70">
        <v>0.408517979006142</v>
      </c>
      <c r="O2497" s="70">
        <v>0.319096105615425</v>
      </c>
      <c r="P2497" s="70">
        <v>0.319096105615425</v>
      </c>
    </row>
    <row r="2498" hidden="1">
      <c r="A2498" s="67" t="s">
        <v>3258</v>
      </c>
      <c r="B2498" s="67" t="s">
        <v>268</v>
      </c>
      <c r="C2498" s="68">
        <v>0.75</v>
      </c>
      <c r="D2498" s="68">
        <v>0.1</v>
      </c>
      <c r="E2498" s="68">
        <v>6.0</v>
      </c>
      <c r="F2498" s="68">
        <v>1.0</v>
      </c>
      <c r="G2498" s="68">
        <v>2.52984499216414</v>
      </c>
      <c r="H2498" s="68">
        <v>113.716906621656</v>
      </c>
      <c r="I2498" s="69">
        <v>44322.0837962963</v>
      </c>
      <c r="J2498" s="69">
        <v>44322.11604166667</v>
      </c>
      <c r="K2498">
        <f>AVERAGE(H2497:H2501)</f>
        <v>115.6388197</v>
      </c>
      <c r="L2498">
        <f>STDEV(H2497:H2501)</f>
        <v>115.9712841</v>
      </c>
      <c r="M2498" s="70">
        <v>113.716906621656</v>
      </c>
      <c r="N2498" s="70">
        <v>113.716906621656</v>
      </c>
      <c r="O2498" s="70">
        <v>2.52984499216414</v>
      </c>
      <c r="P2498" s="70">
        <v>2.52984499216414</v>
      </c>
    </row>
    <row r="2499" hidden="1">
      <c r="A2499" s="67" t="s">
        <v>3259</v>
      </c>
      <c r="B2499" s="67" t="s">
        <v>268</v>
      </c>
      <c r="C2499" s="68">
        <v>0.75</v>
      </c>
      <c r="D2499" s="68">
        <v>0.1</v>
      </c>
      <c r="E2499" s="68">
        <v>6.0</v>
      </c>
      <c r="F2499" s="68">
        <v>2.0</v>
      </c>
      <c r="G2499" s="68">
        <v>5.07967034819825</v>
      </c>
      <c r="H2499" s="68">
        <v>215.920449554884</v>
      </c>
      <c r="I2499" s="69">
        <v>44322.116747685184</v>
      </c>
      <c r="J2499" s="69">
        <v>44322.119733796295</v>
      </c>
      <c r="K2499">
        <f>AVERAGE(H2497:H2501)</f>
        <v>115.6388197</v>
      </c>
      <c r="L2499">
        <f>STDEV(H2497:H2501)</f>
        <v>115.9712841</v>
      </c>
      <c r="M2499" s="70">
        <v>215.920449554884</v>
      </c>
      <c r="N2499" s="70">
        <v>215.920449554884</v>
      </c>
      <c r="O2499" s="70">
        <v>5.07967034819825</v>
      </c>
      <c r="P2499" s="70">
        <v>5.07967034819825</v>
      </c>
    </row>
    <row r="2500" hidden="1">
      <c r="A2500" s="67" t="s">
        <v>3260</v>
      </c>
      <c r="B2500" s="67" t="s">
        <v>268</v>
      </c>
      <c r="C2500" s="68">
        <v>0.75</v>
      </c>
      <c r="D2500" s="68">
        <v>0.1</v>
      </c>
      <c r="E2500" s="68">
        <v>6.0</v>
      </c>
      <c r="F2500" s="68">
        <v>3.0</v>
      </c>
      <c r="G2500" s="68">
        <v>0.738388919616822</v>
      </c>
      <c r="H2500" s="68">
        <v>0.954404004182583</v>
      </c>
      <c r="I2500" s="69">
        <v>44322.12045138889</v>
      </c>
      <c r="J2500" s="69">
        <v>44322.12065972222</v>
      </c>
      <c r="K2500">
        <f>AVERAGE(H2497:H2501)</f>
        <v>115.6388197</v>
      </c>
      <c r="L2500">
        <f>STDEV(H2497:H2501)</f>
        <v>115.9712841</v>
      </c>
      <c r="M2500" s="70">
        <v>0.954404004182583</v>
      </c>
      <c r="N2500" s="70">
        <v>0.954404004182583</v>
      </c>
      <c r="O2500" s="70">
        <v>0.738388919616822</v>
      </c>
      <c r="P2500" s="70">
        <v>0.738388919616822</v>
      </c>
    </row>
    <row r="2501" hidden="1">
      <c r="A2501" s="67" t="s">
        <v>3261</v>
      </c>
      <c r="B2501" s="67" t="s">
        <v>268</v>
      </c>
      <c r="C2501" s="68">
        <v>0.75</v>
      </c>
      <c r="D2501" s="68">
        <v>0.1</v>
      </c>
      <c r="E2501" s="68">
        <v>6.0</v>
      </c>
      <c r="F2501" s="68">
        <v>4.0</v>
      </c>
      <c r="G2501" s="68">
        <v>6.2109279135539</v>
      </c>
      <c r="H2501" s="68">
        <v>247.193820511753</v>
      </c>
      <c r="I2501" s="69">
        <v>44322.12136574074</v>
      </c>
      <c r="J2501" s="69">
        <v>44322.12211805556</v>
      </c>
      <c r="K2501">
        <f>AVERAGE(H2497:H2501)</f>
        <v>115.6388197</v>
      </c>
      <c r="L2501">
        <f>STDEV(H2497:H2501)</f>
        <v>115.9712841</v>
      </c>
      <c r="M2501" s="70">
        <v>247.193820511753</v>
      </c>
      <c r="N2501" s="70">
        <v>247.193820511753</v>
      </c>
      <c r="O2501" s="70">
        <v>6.2109279135539</v>
      </c>
      <c r="P2501" s="70">
        <v>6.2109279135539</v>
      </c>
    </row>
    <row r="2502" hidden="1">
      <c r="A2502" s="67" t="s">
        <v>3262</v>
      </c>
      <c r="B2502" s="67" t="s">
        <v>268</v>
      </c>
      <c r="C2502" s="68">
        <v>0.75</v>
      </c>
      <c r="D2502" s="68">
        <v>0.25</v>
      </c>
      <c r="E2502" s="68">
        <v>6.0</v>
      </c>
      <c r="F2502" s="68">
        <v>0.0</v>
      </c>
      <c r="G2502" s="68">
        <v>0.712368747006467</v>
      </c>
      <c r="H2502" s="68">
        <v>0.949250738237319</v>
      </c>
      <c r="I2502" s="69">
        <v>44322.12283564815</v>
      </c>
      <c r="J2502" s="69">
        <v>44322.12306712963</v>
      </c>
      <c r="K2502">
        <f>AVERAGE(H2502:H2506)</f>
        <v>96.94998467</v>
      </c>
      <c r="L2502">
        <f>STDEV(H2502:H2506)</f>
        <v>87.56250675</v>
      </c>
      <c r="M2502" s="70">
        <v>0.949250738237319</v>
      </c>
      <c r="N2502" s="70">
        <v>0.949250738237319</v>
      </c>
      <c r="O2502" s="70">
        <v>0.712368747006467</v>
      </c>
      <c r="P2502" s="70">
        <v>0.712368747006467</v>
      </c>
    </row>
    <row r="2503" hidden="1">
      <c r="A2503" s="67" t="s">
        <v>3263</v>
      </c>
      <c r="B2503" s="67" t="s">
        <v>268</v>
      </c>
      <c r="C2503" s="68">
        <v>0.75</v>
      </c>
      <c r="D2503" s="68">
        <v>0.25</v>
      </c>
      <c r="E2503" s="68">
        <v>6.0</v>
      </c>
      <c r="F2503" s="68">
        <v>1.0</v>
      </c>
      <c r="G2503" s="68">
        <v>3.12173398841004</v>
      </c>
      <c r="H2503" s="68">
        <v>158.057300301801</v>
      </c>
      <c r="I2503" s="69">
        <v>44322.12378472222</v>
      </c>
      <c r="J2503" s="69">
        <v>44322.141435185185</v>
      </c>
      <c r="K2503">
        <f>AVERAGE(H2502:H2506)</f>
        <v>96.94998467</v>
      </c>
      <c r="L2503">
        <f>STDEV(H2502:H2506)</f>
        <v>87.56250675</v>
      </c>
      <c r="M2503" s="70">
        <v>158.057300301801</v>
      </c>
      <c r="N2503" s="70">
        <v>158.057300301801</v>
      </c>
      <c r="O2503" s="70">
        <v>3.12173398841004</v>
      </c>
      <c r="P2503" s="70">
        <v>3.12173398841004</v>
      </c>
    </row>
    <row r="2504" hidden="1">
      <c r="A2504" s="67" t="s">
        <v>3264</v>
      </c>
      <c r="B2504" s="67" t="s">
        <v>268</v>
      </c>
      <c r="C2504" s="68">
        <v>0.75</v>
      </c>
      <c r="D2504" s="68">
        <v>0.25</v>
      </c>
      <c r="E2504" s="68">
        <v>6.0</v>
      </c>
      <c r="F2504" s="68">
        <v>2.0</v>
      </c>
      <c r="G2504" s="68">
        <v>3.87309752661368</v>
      </c>
      <c r="H2504" s="68">
        <v>169.117661919852</v>
      </c>
      <c r="I2504" s="69">
        <v>44322.14215277778</v>
      </c>
      <c r="J2504" s="69">
        <v>44322.177094907405</v>
      </c>
      <c r="K2504">
        <f>AVERAGE(H2502:H2506)</f>
        <v>96.94998467</v>
      </c>
      <c r="L2504">
        <f>STDEV(H2502:H2506)</f>
        <v>87.56250675</v>
      </c>
      <c r="M2504" s="70">
        <v>169.117661919852</v>
      </c>
      <c r="N2504" s="70">
        <v>169.117661919852</v>
      </c>
      <c r="O2504" s="70">
        <v>3.87309752661368</v>
      </c>
      <c r="P2504" s="70">
        <v>3.87309752661368</v>
      </c>
    </row>
    <row r="2505" hidden="1">
      <c r="A2505" s="67" t="s">
        <v>3265</v>
      </c>
      <c r="B2505" s="67" t="s">
        <v>268</v>
      </c>
      <c r="C2505" s="68">
        <v>0.75</v>
      </c>
      <c r="D2505" s="68">
        <v>0.25</v>
      </c>
      <c r="E2505" s="68">
        <v>6.0</v>
      </c>
      <c r="F2505" s="68">
        <v>3.0</v>
      </c>
      <c r="G2505" s="68">
        <v>4.95630131802665</v>
      </c>
      <c r="H2505" s="68">
        <v>155.175286144932</v>
      </c>
      <c r="I2505" s="69">
        <v>44322.1778125</v>
      </c>
      <c r="J2505" s="69">
        <v>44322.17790509259</v>
      </c>
      <c r="K2505">
        <f>AVERAGE(H2502:H2506)</f>
        <v>96.94998467</v>
      </c>
      <c r="L2505">
        <f>STDEV(H2502:H2506)</f>
        <v>87.56250675</v>
      </c>
      <c r="M2505" s="70">
        <v>155.175286144932</v>
      </c>
      <c r="N2505" s="70">
        <v>155.175286144932</v>
      </c>
      <c r="O2505" s="70">
        <v>4.95630131802665</v>
      </c>
      <c r="P2505" s="70">
        <v>4.95630131802665</v>
      </c>
    </row>
    <row r="2506" hidden="1">
      <c r="A2506" s="67" t="s">
        <v>3266</v>
      </c>
      <c r="B2506" s="67" t="s">
        <v>268</v>
      </c>
      <c r="C2506" s="68">
        <v>0.75</v>
      </c>
      <c r="D2506" s="68">
        <v>0.25</v>
      </c>
      <c r="E2506" s="68">
        <v>6.0</v>
      </c>
      <c r="F2506" s="68">
        <v>4.0</v>
      </c>
      <c r="G2506" s="68">
        <v>1.07991001504809</v>
      </c>
      <c r="H2506" s="68">
        <v>1.4504242499467</v>
      </c>
      <c r="I2506" s="69">
        <v>44322.178611111114</v>
      </c>
      <c r="J2506" s="69">
        <v>44322.17872685185</v>
      </c>
      <c r="K2506">
        <f>AVERAGE(H2502:H2506)</f>
        <v>96.94998467</v>
      </c>
      <c r="L2506">
        <f>STDEV(H2502:H2506)</f>
        <v>87.56250675</v>
      </c>
      <c r="M2506" s="70">
        <v>1.4504242499467</v>
      </c>
      <c r="N2506" s="70">
        <v>1.4504242499467</v>
      </c>
      <c r="O2506" s="70">
        <v>1.07991001504809</v>
      </c>
      <c r="P2506" s="70">
        <v>1.07991001504809</v>
      </c>
    </row>
    <row r="2507" hidden="1">
      <c r="A2507" s="67" t="s">
        <v>3267</v>
      </c>
      <c r="B2507" s="67" t="s">
        <v>268</v>
      </c>
      <c r="C2507" s="68">
        <v>0.75</v>
      </c>
      <c r="D2507" s="68">
        <v>0.5</v>
      </c>
      <c r="E2507" s="68">
        <v>6.0</v>
      </c>
      <c r="F2507" s="68">
        <v>0.0</v>
      </c>
      <c r="G2507" s="68">
        <v>4.78758443226853</v>
      </c>
      <c r="H2507" s="68">
        <v>161.259766477243</v>
      </c>
      <c r="I2507" s="69">
        <v>44322.179444444446</v>
      </c>
      <c r="J2507" s="69">
        <v>44322.179664351854</v>
      </c>
      <c r="K2507">
        <f>AVERAGE(H2507:H2511)</f>
        <v>101.304048</v>
      </c>
      <c r="L2507">
        <f>STDEV(H2507:H2511)</f>
        <v>102.0866426</v>
      </c>
      <c r="M2507" s="70">
        <v>161.259766477243</v>
      </c>
      <c r="N2507" s="70">
        <v>161.259766477243</v>
      </c>
      <c r="O2507" s="70">
        <v>4.78758443226853</v>
      </c>
      <c r="P2507" s="70">
        <v>4.78758443226853</v>
      </c>
    </row>
    <row r="2508" hidden="1">
      <c r="A2508" s="67" t="s">
        <v>3268</v>
      </c>
      <c r="B2508" s="67" t="s">
        <v>268</v>
      </c>
      <c r="C2508" s="68">
        <v>0.75</v>
      </c>
      <c r="D2508" s="68">
        <v>0.5</v>
      </c>
      <c r="E2508" s="68">
        <v>6.0</v>
      </c>
      <c r="F2508" s="68">
        <v>1.0</v>
      </c>
      <c r="G2508" s="68">
        <v>5.48573260533654</v>
      </c>
      <c r="H2508" s="68">
        <v>234.766858533786</v>
      </c>
      <c r="I2508" s="69">
        <v>44322.18038194445</v>
      </c>
      <c r="J2508" s="69">
        <v>44322.193240740744</v>
      </c>
      <c r="K2508">
        <f>AVERAGE(H2507:H2511)</f>
        <v>101.304048</v>
      </c>
      <c r="L2508">
        <f>STDEV(H2507:H2511)</f>
        <v>102.0866426</v>
      </c>
      <c r="M2508" s="70">
        <v>234.766858533786</v>
      </c>
      <c r="N2508" s="70">
        <v>234.766858533786</v>
      </c>
      <c r="O2508" s="70">
        <v>5.48573260533654</v>
      </c>
      <c r="P2508" s="70">
        <v>5.48573260533654</v>
      </c>
    </row>
    <row r="2509" hidden="1">
      <c r="A2509" s="67" t="s">
        <v>3269</v>
      </c>
      <c r="B2509" s="67" t="s">
        <v>268</v>
      </c>
      <c r="C2509" s="68">
        <v>0.75</v>
      </c>
      <c r="D2509" s="68">
        <v>0.5</v>
      </c>
      <c r="E2509" s="68">
        <v>6.0</v>
      </c>
      <c r="F2509" s="68">
        <v>2.0</v>
      </c>
      <c r="G2509" s="68">
        <v>2.46372112555137</v>
      </c>
      <c r="H2509" s="68">
        <v>108.985676801346</v>
      </c>
      <c r="I2509" s="69">
        <v>44322.19395833334</v>
      </c>
      <c r="J2509" s="69">
        <v>44322.236655092594</v>
      </c>
      <c r="K2509">
        <f>AVERAGE(H2507:H2511)</f>
        <v>101.304048</v>
      </c>
      <c r="L2509">
        <f>STDEV(H2507:H2511)</f>
        <v>102.0866426</v>
      </c>
      <c r="M2509" s="70">
        <v>108.985676801346</v>
      </c>
      <c r="N2509" s="70">
        <v>108.985676801346</v>
      </c>
      <c r="O2509" s="70">
        <v>2.46372112555137</v>
      </c>
      <c r="P2509" s="70">
        <v>2.46372112555137</v>
      </c>
    </row>
    <row r="2510" hidden="1">
      <c r="A2510" s="67" t="s">
        <v>3270</v>
      </c>
      <c r="B2510" s="67" t="s">
        <v>268</v>
      </c>
      <c r="C2510" s="68">
        <v>0.75</v>
      </c>
      <c r="D2510" s="68">
        <v>0.5</v>
      </c>
      <c r="E2510" s="68">
        <v>6.0</v>
      </c>
      <c r="F2510" s="68">
        <v>3.0</v>
      </c>
      <c r="G2510" s="68">
        <v>0.466650291518434</v>
      </c>
      <c r="H2510" s="68">
        <v>0.55866925838701</v>
      </c>
      <c r="I2510" s="69">
        <v>44322.23737268519</v>
      </c>
      <c r="J2510" s="69">
        <v>44322.237546296295</v>
      </c>
      <c r="K2510">
        <f>AVERAGE(H2507:H2511)</f>
        <v>101.304048</v>
      </c>
      <c r="L2510">
        <f>STDEV(H2507:H2511)</f>
        <v>102.0866426</v>
      </c>
      <c r="M2510" s="70">
        <v>0.55866925838701</v>
      </c>
      <c r="N2510" s="70">
        <v>0.55866925838701</v>
      </c>
      <c r="O2510" s="70">
        <v>0.466650291518434</v>
      </c>
      <c r="P2510" s="70">
        <v>0.466650291518434</v>
      </c>
    </row>
    <row r="2511" hidden="1">
      <c r="A2511" s="67" t="s">
        <v>3271</v>
      </c>
      <c r="B2511" s="67" t="s">
        <v>268</v>
      </c>
      <c r="C2511" s="68">
        <v>0.75</v>
      </c>
      <c r="D2511" s="68">
        <v>0.5</v>
      </c>
      <c r="E2511" s="68">
        <v>6.0</v>
      </c>
      <c r="F2511" s="68">
        <v>4.0</v>
      </c>
      <c r="G2511" s="68">
        <v>0.712647031637279</v>
      </c>
      <c r="H2511" s="68">
        <v>0.949268918176112</v>
      </c>
      <c r="I2511" s="69">
        <v>44322.23826388889</v>
      </c>
      <c r="J2511" s="69">
        <v>44322.23849537037</v>
      </c>
      <c r="K2511">
        <f>AVERAGE(H2507:H2511)</f>
        <v>101.304048</v>
      </c>
      <c r="L2511">
        <f>STDEV(H2507:H2511)</f>
        <v>102.0866426</v>
      </c>
      <c r="M2511" s="70">
        <v>0.949268918176112</v>
      </c>
      <c r="N2511" s="70">
        <v>0.949268918176112</v>
      </c>
      <c r="O2511" s="70">
        <v>0.712647031637279</v>
      </c>
      <c r="P2511" s="70">
        <v>0.712647031637279</v>
      </c>
    </row>
    <row r="2512" hidden="1">
      <c r="A2512" s="67" t="s">
        <v>3272</v>
      </c>
      <c r="B2512" s="67" t="s">
        <v>268</v>
      </c>
      <c r="C2512" s="68">
        <v>0.75</v>
      </c>
      <c r="D2512" s="68">
        <v>0.75</v>
      </c>
      <c r="E2512" s="68">
        <v>6.0</v>
      </c>
      <c r="F2512" s="68">
        <v>0.0</v>
      </c>
      <c r="G2512" s="68">
        <v>0.467064118593437</v>
      </c>
      <c r="H2512" s="68">
        <v>0.559255787345452</v>
      </c>
      <c r="I2512" s="69">
        <v>44322.23920138889</v>
      </c>
      <c r="J2512" s="69">
        <v>44322.239386574074</v>
      </c>
      <c r="K2512">
        <f>AVERAGE(H2512:H2516)</f>
        <v>71.36610024</v>
      </c>
      <c r="L2512">
        <f>STDEV(H2512:H2516)</f>
        <v>89.9800041</v>
      </c>
      <c r="M2512" s="70">
        <v>0.559255787345452</v>
      </c>
      <c r="N2512" s="70">
        <v>0.559255787345452</v>
      </c>
      <c r="O2512" s="70">
        <v>0.467064118593437</v>
      </c>
      <c r="P2512" s="70">
        <v>0.467064118593437</v>
      </c>
    </row>
    <row r="2513" hidden="1">
      <c r="A2513" s="67" t="s">
        <v>3273</v>
      </c>
      <c r="B2513" s="67" t="s">
        <v>268</v>
      </c>
      <c r="C2513" s="68">
        <v>0.75</v>
      </c>
      <c r="D2513" s="68">
        <v>0.75</v>
      </c>
      <c r="E2513" s="68">
        <v>6.0</v>
      </c>
      <c r="F2513" s="68">
        <v>1.0</v>
      </c>
      <c r="G2513" s="68">
        <v>3.89694352027671</v>
      </c>
      <c r="H2513" s="68">
        <v>169.249048988393</v>
      </c>
      <c r="I2513" s="69">
        <v>44322.24010416667</v>
      </c>
      <c r="J2513" s="69">
        <v>44322.27462962963</v>
      </c>
      <c r="K2513">
        <f>AVERAGE(H2512:H2516)</f>
        <v>71.36610024</v>
      </c>
      <c r="L2513">
        <f>STDEV(H2512:H2516)</f>
        <v>89.9800041</v>
      </c>
      <c r="M2513" s="70">
        <v>169.249048988393</v>
      </c>
      <c r="N2513" s="70">
        <v>169.249048988393</v>
      </c>
      <c r="O2513" s="70">
        <v>3.89694352027671</v>
      </c>
      <c r="P2513" s="70">
        <v>3.89694352027671</v>
      </c>
    </row>
    <row r="2514" hidden="1">
      <c r="A2514" s="67" t="s">
        <v>3274</v>
      </c>
      <c r="B2514" s="67" t="s">
        <v>268</v>
      </c>
      <c r="C2514" s="68">
        <v>0.75</v>
      </c>
      <c r="D2514" s="68">
        <v>0.75</v>
      </c>
      <c r="E2514" s="68">
        <v>6.0</v>
      </c>
      <c r="F2514" s="68">
        <v>2.0</v>
      </c>
      <c r="G2514" s="68">
        <v>0.712647031637279</v>
      </c>
      <c r="H2514" s="68">
        <v>0.949268918176112</v>
      </c>
      <c r="I2514" s="69">
        <v>44322.275347222225</v>
      </c>
      <c r="J2514" s="69">
        <v>44322.27556712963</v>
      </c>
      <c r="K2514">
        <f>AVERAGE(H2512:H2516)</f>
        <v>71.36610024</v>
      </c>
      <c r="L2514">
        <f>STDEV(H2512:H2516)</f>
        <v>89.9800041</v>
      </c>
      <c r="M2514" s="70">
        <v>0.949268918176112</v>
      </c>
      <c r="N2514" s="70">
        <v>0.949268918176112</v>
      </c>
      <c r="O2514" s="70">
        <v>0.712647031637279</v>
      </c>
      <c r="P2514" s="70">
        <v>0.712647031637279</v>
      </c>
    </row>
    <row r="2515" hidden="1">
      <c r="A2515" s="67" t="s">
        <v>3275</v>
      </c>
      <c r="B2515" s="67" t="s">
        <v>268</v>
      </c>
      <c r="C2515" s="68">
        <v>0.75</v>
      </c>
      <c r="D2515" s="68">
        <v>0.75</v>
      </c>
      <c r="E2515" s="68">
        <v>6.0</v>
      </c>
      <c r="F2515" s="68">
        <v>3.0</v>
      </c>
      <c r="G2515" s="68">
        <v>3.57001011260259</v>
      </c>
      <c r="H2515" s="68">
        <v>170.150613655545</v>
      </c>
      <c r="I2515" s="69">
        <v>44322.276284722226</v>
      </c>
      <c r="J2515" s="69">
        <v>44322.29108796296</v>
      </c>
      <c r="K2515">
        <f>AVERAGE(H2512:H2516)</f>
        <v>71.36610024</v>
      </c>
      <c r="L2515">
        <f>STDEV(H2512:H2516)</f>
        <v>89.9800041</v>
      </c>
      <c r="M2515" s="70">
        <v>170.150613655545</v>
      </c>
      <c r="N2515" s="70">
        <v>170.150613655545</v>
      </c>
      <c r="O2515" s="70">
        <v>3.57001011260259</v>
      </c>
      <c r="P2515" s="70">
        <v>3.57001011260259</v>
      </c>
    </row>
    <row r="2516" hidden="1">
      <c r="A2516" s="67" t="s">
        <v>3276</v>
      </c>
      <c r="B2516" s="67" t="s">
        <v>268</v>
      </c>
      <c r="C2516" s="68">
        <v>0.75</v>
      </c>
      <c r="D2516" s="68">
        <v>0.75</v>
      </c>
      <c r="E2516" s="68">
        <v>6.0</v>
      </c>
      <c r="F2516" s="68">
        <v>4.0</v>
      </c>
      <c r="G2516" s="68">
        <v>1.21593702315599</v>
      </c>
      <c r="H2516" s="68">
        <v>15.9223138572581</v>
      </c>
      <c r="I2516" s="69">
        <v>44322.29179398148</v>
      </c>
      <c r="J2516" s="69">
        <v>44322.29193287037</v>
      </c>
      <c r="K2516">
        <f>AVERAGE(H2512:H2516)</f>
        <v>71.36610024</v>
      </c>
      <c r="L2516">
        <f>STDEV(H2512:H2516)</f>
        <v>89.9800041</v>
      </c>
      <c r="M2516" s="70">
        <v>15.9223138572581</v>
      </c>
      <c r="N2516" s="70">
        <v>15.9223138572581</v>
      </c>
      <c r="O2516" s="70">
        <v>1.21593702315599</v>
      </c>
      <c r="P2516" s="70">
        <v>1.21593702315599</v>
      </c>
    </row>
    <row r="2517" hidden="1">
      <c r="A2517" s="67" t="s">
        <v>3277</v>
      </c>
      <c r="B2517" s="67" t="s">
        <v>268</v>
      </c>
      <c r="C2517" s="68">
        <v>0.75</v>
      </c>
      <c r="D2517" s="68">
        <v>1.0</v>
      </c>
      <c r="E2517" s="68">
        <v>6.0</v>
      </c>
      <c r="F2517" s="68">
        <v>0.0</v>
      </c>
      <c r="G2517" s="68">
        <v>3.58440705193689</v>
      </c>
      <c r="H2517" s="68">
        <v>160.255925291369</v>
      </c>
      <c r="I2517" s="69">
        <v>44322.292650462965</v>
      </c>
      <c r="J2517" s="69">
        <v>44322.32974537037</v>
      </c>
      <c r="K2517">
        <f>AVERAGE(H2517:H2521)</f>
        <v>128.4309105</v>
      </c>
      <c r="L2517">
        <f>STDEV(H2517:H2521)</f>
        <v>73.82893039</v>
      </c>
      <c r="M2517" s="70">
        <v>160.255925291369</v>
      </c>
      <c r="N2517" s="70">
        <v>160.255925291369</v>
      </c>
      <c r="O2517" s="70">
        <v>3.58440705193689</v>
      </c>
      <c r="P2517" s="70">
        <v>3.58440705193689</v>
      </c>
    </row>
    <row r="2518" hidden="1">
      <c r="A2518" s="67" t="s">
        <v>3278</v>
      </c>
      <c r="B2518" s="67" t="s">
        <v>268</v>
      </c>
      <c r="C2518" s="68">
        <v>0.75</v>
      </c>
      <c r="D2518" s="68">
        <v>1.0</v>
      </c>
      <c r="E2518" s="68">
        <v>6.0</v>
      </c>
      <c r="F2518" s="68">
        <v>1.0</v>
      </c>
      <c r="G2518" s="68">
        <v>4.79051382898971</v>
      </c>
      <c r="H2518" s="68">
        <v>161.340164333754</v>
      </c>
      <c r="I2518" s="69">
        <v>44322.330462962964</v>
      </c>
      <c r="J2518" s="69">
        <v>44322.33069444444</v>
      </c>
      <c r="K2518">
        <f>AVERAGE(H2517:H2521)</f>
        <v>128.4309105</v>
      </c>
      <c r="L2518">
        <f>STDEV(H2517:H2521)</f>
        <v>73.82893039</v>
      </c>
      <c r="M2518" s="70">
        <v>161.340164333754</v>
      </c>
      <c r="N2518" s="70">
        <v>161.340164333754</v>
      </c>
      <c r="O2518" s="70">
        <v>4.79051382898971</v>
      </c>
      <c r="P2518" s="70">
        <v>4.79051382898971</v>
      </c>
    </row>
    <row r="2519" hidden="1">
      <c r="A2519" s="67" t="s">
        <v>3279</v>
      </c>
      <c r="B2519" s="67" t="s">
        <v>268</v>
      </c>
      <c r="C2519" s="68">
        <v>0.75</v>
      </c>
      <c r="D2519" s="68">
        <v>1.0</v>
      </c>
      <c r="E2519" s="68">
        <v>6.0</v>
      </c>
      <c r="F2519" s="68">
        <v>2.0</v>
      </c>
      <c r="G2519" s="68">
        <v>2.48404181294162</v>
      </c>
      <c r="H2519" s="68">
        <v>131.633194907491</v>
      </c>
      <c r="I2519" s="69">
        <v>44322.331400462965</v>
      </c>
      <c r="J2519" s="69">
        <v>44322.33164351852</v>
      </c>
      <c r="K2519">
        <f>AVERAGE(H2517:H2521)</f>
        <v>128.4309105</v>
      </c>
      <c r="L2519">
        <f>STDEV(H2517:H2521)</f>
        <v>73.82893039</v>
      </c>
      <c r="M2519" s="70">
        <v>131.633194907491</v>
      </c>
      <c r="N2519" s="70">
        <v>131.633194907491</v>
      </c>
      <c r="O2519" s="70">
        <v>2.48404181294162</v>
      </c>
      <c r="P2519" s="70">
        <v>2.48404181294162</v>
      </c>
    </row>
    <row r="2520" hidden="1">
      <c r="A2520" s="67" t="s">
        <v>3280</v>
      </c>
      <c r="B2520" s="67" t="s">
        <v>268</v>
      </c>
      <c r="C2520" s="68">
        <v>0.75</v>
      </c>
      <c r="D2520" s="68">
        <v>1.0</v>
      </c>
      <c r="E2520" s="68">
        <v>6.0</v>
      </c>
      <c r="F2520" s="68">
        <v>3.0</v>
      </c>
      <c r="G2520" s="68">
        <v>4.06428796851582</v>
      </c>
      <c r="H2520" s="68">
        <v>187.707073472999</v>
      </c>
      <c r="I2520" s="69">
        <v>44322.332349537035</v>
      </c>
      <c r="J2520" s="69">
        <v>44322.336435185185</v>
      </c>
      <c r="K2520">
        <f>AVERAGE(H2517:H2521)</f>
        <v>128.4309105</v>
      </c>
      <c r="L2520">
        <f>STDEV(H2517:H2521)</f>
        <v>73.82893039</v>
      </c>
      <c r="M2520" s="70">
        <v>187.707073472999</v>
      </c>
      <c r="N2520" s="70">
        <v>187.707073472999</v>
      </c>
      <c r="O2520" s="70">
        <v>4.06428796851582</v>
      </c>
      <c r="P2520" s="70">
        <v>4.06428796851582</v>
      </c>
    </row>
    <row r="2521" hidden="1">
      <c r="A2521" s="67" t="s">
        <v>3281</v>
      </c>
      <c r="B2521" s="67" t="s">
        <v>268</v>
      </c>
      <c r="C2521" s="68">
        <v>0.75</v>
      </c>
      <c r="D2521" s="68">
        <v>1.0</v>
      </c>
      <c r="E2521" s="68">
        <v>6.0</v>
      </c>
      <c r="F2521" s="68">
        <v>4.0</v>
      </c>
      <c r="G2521" s="68">
        <v>0.656045938641958</v>
      </c>
      <c r="H2521" s="68">
        <v>1.21819425957071</v>
      </c>
      <c r="I2521" s="69">
        <v>44322.33715277778</v>
      </c>
      <c r="J2521" s="69">
        <v>44322.33798611111</v>
      </c>
      <c r="K2521">
        <f>AVERAGE(H2517:H2521)</f>
        <v>128.4309105</v>
      </c>
      <c r="L2521">
        <f>STDEV(H2517:H2521)</f>
        <v>73.82893039</v>
      </c>
      <c r="M2521" s="70">
        <v>1.21819425957071</v>
      </c>
      <c r="N2521" s="70">
        <v>1.21819425957071</v>
      </c>
      <c r="O2521" s="70">
        <v>0.656045938641958</v>
      </c>
      <c r="P2521" s="70">
        <v>0.656045938641958</v>
      </c>
    </row>
    <row r="2522" hidden="1">
      <c r="A2522" s="67" t="s">
        <v>3282</v>
      </c>
      <c r="B2522" s="67" t="s">
        <v>268</v>
      </c>
      <c r="C2522" s="68">
        <v>1.0</v>
      </c>
      <c r="D2522" s="68">
        <v>0.1</v>
      </c>
      <c r="E2522" s="68">
        <v>6.0</v>
      </c>
      <c r="F2522" s="68">
        <v>0.0</v>
      </c>
      <c r="G2522" s="68">
        <v>3.4375890972766</v>
      </c>
      <c r="H2522" s="68">
        <v>151.681203635284</v>
      </c>
      <c r="I2522" s="69">
        <v>44322.3387037037</v>
      </c>
      <c r="J2522" s="69">
        <v>44322.39471064815</v>
      </c>
      <c r="K2522">
        <f>AVERAGE(H2522:H2526)</f>
        <v>88.60746517</v>
      </c>
      <c r="L2522">
        <f>STDEV(H2522:H2526)</f>
        <v>129.4826488</v>
      </c>
      <c r="M2522" s="70">
        <v>151.681203635284</v>
      </c>
      <c r="N2522" s="70">
        <v>151.681203635284</v>
      </c>
      <c r="O2522" s="70">
        <v>3.4375890972766</v>
      </c>
      <c r="P2522" s="70">
        <v>3.4375890972766</v>
      </c>
    </row>
    <row r="2523" hidden="1">
      <c r="A2523" s="67" t="s">
        <v>3283</v>
      </c>
      <c r="B2523" s="67" t="s">
        <v>268</v>
      </c>
      <c r="C2523" s="68">
        <v>1.0</v>
      </c>
      <c r="D2523" s="68">
        <v>0.1</v>
      </c>
      <c r="E2523" s="68">
        <v>6.0</v>
      </c>
      <c r="F2523" s="68">
        <v>1.0</v>
      </c>
      <c r="G2523" s="68">
        <v>8.27893671325977</v>
      </c>
      <c r="H2523" s="68">
        <v>288.633956090639</v>
      </c>
      <c r="I2523" s="69">
        <v>44322.39542824074</v>
      </c>
      <c r="J2523" s="69">
        <v>44322.39644675926</v>
      </c>
      <c r="K2523">
        <f>AVERAGE(H2522:H2526)</f>
        <v>88.60746517</v>
      </c>
      <c r="L2523">
        <f>STDEV(H2522:H2526)</f>
        <v>129.4826488</v>
      </c>
      <c r="M2523" s="70">
        <v>288.633956090639</v>
      </c>
      <c r="N2523" s="70">
        <v>288.633956090639</v>
      </c>
      <c r="O2523" s="70">
        <v>8.27893671325977</v>
      </c>
      <c r="P2523" s="70">
        <v>8.27893671325977</v>
      </c>
    </row>
    <row r="2524" hidden="1">
      <c r="A2524" s="67" t="s">
        <v>3284</v>
      </c>
      <c r="B2524" s="67" t="s">
        <v>268</v>
      </c>
      <c r="C2524" s="68">
        <v>1.0</v>
      </c>
      <c r="D2524" s="68">
        <v>0.1</v>
      </c>
      <c r="E2524" s="68">
        <v>6.0</v>
      </c>
      <c r="F2524" s="68">
        <v>2.0</v>
      </c>
      <c r="G2524" s="68">
        <v>0.708117749393616</v>
      </c>
      <c r="H2524" s="68">
        <v>0.94502390795266</v>
      </c>
      <c r="I2524" s="69">
        <v>44322.39716435185</v>
      </c>
      <c r="J2524" s="69">
        <v>44322.39738425926</v>
      </c>
      <c r="K2524">
        <f>AVERAGE(H2522:H2526)</f>
        <v>88.60746517</v>
      </c>
      <c r="L2524">
        <f>STDEV(H2522:H2526)</f>
        <v>129.4826488</v>
      </c>
      <c r="M2524" s="70">
        <v>0.94502390795266</v>
      </c>
      <c r="N2524" s="70">
        <v>0.94502390795266</v>
      </c>
      <c r="O2524" s="70">
        <v>0.708117749393616</v>
      </c>
      <c r="P2524" s="70">
        <v>0.708117749393616</v>
      </c>
    </row>
    <row r="2525" hidden="1">
      <c r="A2525" s="67" t="s">
        <v>3285</v>
      </c>
      <c r="B2525" s="67" t="s">
        <v>268</v>
      </c>
      <c r="C2525" s="68">
        <v>1.0</v>
      </c>
      <c r="D2525" s="68">
        <v>0.1</v>
      </c>
      <c r="E2525" s="68">
        <v>6.0</v>
      </c>
      <c r="F2525" s="68">
        <v>3.0</v>
      </c>
      <c r="G2525" s="68">
        <v>0.658254011151619</v>
      </c>
      <c r="H2525" s="68">
        <v>1.21983669368214</v>
      </c>
      <c r="I2525" s="69">
        <v>44322.39809027778</v>
      </c>
      <c r="J2525" s="69">
        <v>44322.398877314816</v>
      </c>
      <c r="K2525">
        <f>AVERAGE(H2522:H2526)</f>
        <v>88.60746517</v>
      </c>
      <c r="L2525">
        <f>STDEV(H2522:H2526)</f>
        <v>129.4826488</v>
      </c>
      <c r="M2525" s="70">
        <v>1.21983669368214</v>
      </c>
      <c r="N2525" s="70">
        <v>1.21983669368214</v>
      </c>
      <c r="O2525" s="70">
        <v>0.658254011151619</v>
      </c>
      <c r="P2525" s="70">
        <v>0.658254011151619</v>
      </c>
    </row>
    <row r="2526" hidden="1">
      <c r="A2526" s="67" t="s">
        <v>3286</v>
      </c>
      <c r="B2526" s="67" t="s">
        <v>268</v>
      </c>
      <c r="C2526" s="68">
        <v>1.0</v>
      </c>
      <c r="D2526" s="68">
        <v>0.1</v>
      </c>
      <c r="E2526" s="68">
        <v>6.0</v>
      </c>
      <c r="F2526" s="68">
        <v>4.0</v>
      </c>
      <c r="G2526" s="68">
        <v>0.465167413703647</v>
      </c>
      <c r="H2526" s="68">
        <v>0.557305517684364</v>
      </c>
      <c r="I2526" s="69">
        <v>44322.39959490741</v>
      </c>
      <c r="J2526" s="69">
        <v>44322.39976851852</v>
      </c>
      <c r="K2526">
        <f>AVERAGE(H2522:H2526)</f>
        <v>88.60746517</v>
      </c>
      <c r="L2526">
        <f>STDEV(H2522:H2526)</f>
        <v>129.4826488</v>
      </c>
      <c r="M2526" s="70">
        <v>0.557305517684364</v>
      </c>
      <c r="N2526" s="70">
        <v>0.557305517684364</v>
      </c>
      <c r="O2526" s="70">
        <v>0.465167413703647</v>
      </c>
      <c r="P2526" s="70">
        <v>0.465167413703647</v>
      </c>
    </row>
    <row r="2527" hidden="1">
      <c r="A2527" s="67" t="s">
        <v>3287</v>
      </c>
      <c r="B2527" s="67" t="s">
        <v>268</v>
      </c>
      <c r="C2527" s="68">
        <v>1.0</v>
      </c>
      <c r="D2527" s="68">
        <v>0.25</v>
      </c>
      <c r="E2527" s="68">
        <v>6.0</v>
      </c>
      <c r="F2527" s="68">
        <v>0.0</v>
      </c>
      <c r="G2527" s="68">
        <v>0.319096105615425</v>
      </c>
      <c r="H2527" s="68">
        <v>0.408517979006142</v>
      </c>
      <c r="I2527" s="69">
        <v>44322.40047453704</v>
      </c>
      <c r="J2527" s="69">
        <v>44322.40053240741</v>
      </c>
      <c r="K2527">
        <f>AVERAGE(H2527:H2531)</f>
        <v>115.620299</v>
      </c>
      <c r="L2527">
        <f>STDEV(H2527:H2531)</f>
        <v>99.49037746</v>
      </c>
      <c r="M2527" s="70">
        <v>0.408517979006142</v>
      </c>
      <c r="N2527" s="70">
        <v>0.408517979006142</v>
      </c>
      <c r="O2527" s="70">
        <v>0.319096105615425</v>
      </c>
      <c r="P2527" s="70">
        <v>0.319096105615425</v>
      </c>
    </row>
    <row r="2528" hidden="1">
      <c r="A2528" s="67" t="s">
        <v>3288</v>
      </c>
      <c r="B2528" s="67" t="s">
        <v>268</v>
      </c>
      <c r="C2528" s="68">
        <v>1.0</v>
      </c>
      <c r="D2528" s="68">
        <v>0.25</v>
      </c>
      <c r="E2528" s="68">
        <v>6.0</v>
      </c>
      <c r="F2528" s="68">
        <v>1.0</v>
      </c>
      <c r="G2528" s="68">
        <v>4.22053602327723</v>
      </c>
      <c r="H2528" s="68">
        <v>212.368677123983</v>
      </c>
      <c r="I2528" s="69">
        <v>44322.40125</v>
      </c>
      <c r="J2528" s="69">
        <v>44322.403449074074</v>
      </c>
      <c r="K2528">
        <f>AVERAGE(H2527:H2531)</f>
        <v>115.620299</v>
      </c>
      <c r="L2528">
        <f>STDEV(H2527:H2531)</f>
        <v>99.49037746</v>
      </c>
      <c r="M2528" s="70">
        <v>212.368677123983</v>
      </c>
      <c r="N2528" s="70">
        <v>212.368677123983</v>
      </c>
      <c r="O2528" s="70">
        <v>4.22053602327723</v>
      </c>
      <c r="P2528" s="70">
        <v>4.22053602327723</v>
      </c>
    </row>
    <row r="2529" hidden="1">
      <c r="A2529" s="67" t="s">
        <v>3289</v>
      </c>
      <c r="B2529" s="67" t="s">
        <v>268</v>
      </c>
      <c r="C2529" s="68">
        <v>1.0</v>
      </c>
      <c r="D2529" s="68">
        <v>0.25</v>
      </c>
      <c r="E2529" s="68">
        <v>6.0</v>
      </c>
      <c r="F2529" s="68">
        <v>2.0</v>
      </c>
      <c r="G2529" s="68">
        <v>1.36466063788677</v>
      </c>
      <c r="H2529" s="68">
        <v>19.2096142974983</v>
      </c>
      <c r="I2529" s="69">
        <v>44322.40416666667</v>
      </c>
      <c r="J2529" s="69">
        <v>44322.40479166667</v>
      </c>
      <c r="K2529">
        <f>AVERAGE(H2527:H2531)</f>
        <v>115.620299</v>
      </c>
      <c r="L2529">
        <f>STDEV(H2527:H2531)</f>
        <v>99.49037746</v>
      </c>
      <c r="M2529" s="70">
        <v>19.2096142974983</v>
      </c>
      <c r="N2529" s="70">
        <v>19.2096142974983</v>
      </c>
      <c r="O2529" s="70">
        <v>1.36466063788677</v>
      </c>
      <c r="P2529" s="70">
        <v>1.36466063788677</v>
      </c>
    </row>
    <row r="2530" hidden="1">
      <c r="A2530" s="67" t="s">
        <v>3290</v>
      </c>
      <c r="B2530" s="67" t="s">
        <v>268</v>
      </c>
      <c r="C2530" s="68">
        <v>1.0</v>
      </c>
      <c r="D2530" s="68">
        <v>0.25</v>
      </c>
      <c r="E2530" s="68">
        <v>6.0</v>
      </c>
      <c r="F2530" s="68">
        <v>3.0</v>
      </c>
      <c r="G2530" s="68">
        <v>3.20795725212262</v>
      </c>
      <c r="H2530" s="68">
        <v>149.967415205</v>
      </c>
      <c r="I2530" s="69">
        <v>44322.40550925926</v>
      </c>
      <c r="J2530" s="69">
        <v>44322.45332175926</v>
      </c>
      <c r="K2530">
        <f>AVERAGE(H2527:H2531)</f>
        <v>115.620299</v>
      </c>
      <c r="L2530">
        <f>STDEV(H2527:H2531)</f>
        <v>99.49037746</v>
      </c>
      <c r="M2530" s="70">
        <v>149.967415205</v>
      </c>
      <c r="N2530" s="70">
        <v>149.967415205</v>
      </c>
      <c r="O2530" s="70">
        <v>3.20795725212262</v>
      </c>
      <c r="P2530" s="70">
        <v>3.20795725212262</v>
      </c>
    </row>
    <row r="2531" hidden="1">
      <c r="A2531" s="67" t="s">
        <v>3291</v>
      </c>
      <c r="B2531" s="67" t="s">
        <v>268</v>
      </c>
      <c r="C2531" s="68">
        <v>1.0</v>
      </c>
      <c r="D2531" s="68">
        <v>0.25</v>
      </c>
      <c r="E2531" s="68">
        <v>6.0</v>
      </c>
      <c r="F2531" s="68">
        <v>4.0</v>
      </c>
      <c r="G2531" s="68">
        <v>6.44031166663157</v>
      </c>
      <c r="H2531" s="68">
        <v>196.14727058702</v>
      </c>
      <c r="I2531" s="69">
        <v>44322.45402777778</v>
      </c>
      <c r="J2531" s="69">
        <v>44322.45425925926</v>
      </c>
      <c r="K2531">
        <f>AVERAGE(H2527:H2531)</f>
        <v>115.620299</v>
      </c>
      <c r="L2531">
        <f>STDEV(H2527:H2531)</f>
        <v>99.49037746</v>
      </c>
      <c r="M2531" s="70">
        <v>196.14727058702</v>
      </c>
      <c r="N2531" s="70">
        <v>196.14727058702</v>
      </c>
      <c r="O2531" s="70">
        <v>6.44031166663157</v>
      </c>
      <c r="P2531" s="70">
        <v>6.44031166663157</v>
      </c>
    </row>
    <row r="2532" hidden="1">
      <c r="A2532" s="67" t="s">
        <v>3292</v>
      </c>
      <c r="B2532" s="67" t="s">
        <v>268</v>
      </c>
      <c r="C2532" s="68">
        <v>1.0</v>
      </c>
      <c r="D2532" s="68">
        <v>0.5</v>
      </c>
      <c r="E2532" s="68">
        <v>6.0</v>
      </c>
      <c r="F2532" s="68">
        <v>0.0</v>
      </c>
      <c r="G2532" s="68">
        <v>1.72576905648531</v>
      </c>
      <c r="H2532" s="68">
        <v>28.0692097506169</v>
      </c>
      <c r="I2532" s="69">
        <v>44322.45496527778</v>
      </c>
      <c r="J2532" s="69">
        <v>44322.455625</v>
      </c>
      <c r="K2532">
        <f>AVERAGE(H2532:H2536)</f>
        <v>126.0512168</v>
      </c>
      <c r="L2532">
        <f>STDEV(H2532:H2536)</f>
        <v>117.0293182</v>
      </c>
      <c r="M2532" s="70">
        <v>28.0692097506169</v>
      </c>
      <c r="N2532" s="70">
        <v>28.0692097506169</v>
      </c>
      <c r="O2532" s="70">
        <v>1.72576905648531</v>
      </c>
      <c r="P2532" s="70">
        <v>1.72576905648531</v>
      </c>
    </row>
    <row r="2533" hidden="1">
      <c r="A2533" s="67" t="s">
        <v>3293</v>
      </c>
      <c r="B2533" s="67" t="s">
        <v>268</v>
      </c>
      <c r="C2533" s="68">
        <v>1.0</v>
      </c>
      <c r="D2533" s="68">
        <v>0.5</v>
      </c>
      <c r="E2533" s="68">
        <v>6.0</v>
      </c>
      <c r="F2533" s="68">
        <v>1.0</v>
      </c>
      <c r="G2533" s="68">
        <v>0.656649505889538</v>
      </c>
      <c r="H2533" s="68">
        <v>1.21762997879418</v>
      </c>
      <c r="I2533" s="69">
        <v>44322.456342592595</v>
      </c>
      <c r="J2533" s="69">
        <v>44322.45716435185</v>
      </c>
      <c r="K2533">
        <f>AVERAGE(H2532:H2536)</f>
        <v>126.0512168</v>
      </c>
      <c r="L2533">
        <f>STDEV(H2532:H2536)</f>
        <v>117.0293182</v>
      </c>
      <c r="M2533" s="70">
        <v>1.21762997879418</v>
      </c>
      <c r="N2533" s="70">
        <v>1.21762997879418</v>
      </c>
      <c r="O2533" s="70">
        <v>0.656649505889538</v>
      </c>
      <c r="P2533" s="70">
        <v>0.656649505889538</v>
      </c>
    </row>
    <row r="2534" hidden="1">
      <c r="A2534" s="67" t="s">
        <v>3294</v>
      </c>
      <c r="B2534" s="67" t="s">
        <v>268</v>
      </c>
      <c r="C2534" s="68">
        <v>1.0</v>
      </c>
      <c r="D2534" s="68">
        <v>0.5</v>
      </c>
      <c r="E2534" s="68">
        <v>6.0</v>
      </c>
      <c r="F2534" s="68">
        <v>2.0</v>
      </c>
      <c r="G2534" s="68">
        <v>3.10224254397327</v>
      </c>
      <c r="H2534" s="68">
        <v>133.32683008018</v>
      </c>
      <c r="I2534" s="69">
        <v>44322.45788194444</v>
      </c>
      <c r="J2534" s="69">
        <v>44322.477488425924</v>
      </c>
      <c r="K2534">
        <f>AVERAGE(H2532:H2536)</f>
        <v>126.0512168</v>
      </c>
      <c r="L2534">
        <f>STDEV(H2532:H2536)</f>
        <v>117.0293182</v>
      </c>
      <c r="M2534" s="70">
        <v>133.32683008018</v>
      </c>
      <c r="N2534" s="70">
        <v>133.32683008018</v>
      </c>
      <c r="O2534" s="70">
        <v>3.10224254397327</v>
      </c>
      <c r="P2534" s="70">
        <v>3.10224254397327</v>
      </c>
    </row>
    <row r="2535" hidden="1">
      <c r="A2535" s="67" t="s">
        <v>3295</v>
      </c>
      <c r="B2535" s="67" t="s">
        <v>268</v>
      </c>
      <c r="C2535" s="68">
        <v>1.0</v>
      </c>
      <c r="D2535" s="68">
        <v>0.5</v>
      </c>
      <c r="E2535" s="68">
        <v>6.0</v>
      </c>
      <c r="F2535" s="68">
        <v>3.0</v>
      </c>
      <c r="G2535" s="68">
        <v>8.35524852988909</v>
      </c>
      <c r="H2535" s="68">
        <v>290.025615026503</v>
      </c>
      <c r="I2535" s="69">
        <v>44322.47820601852</v>
      </c>
      <c r="J2535" s="69">
        <v>44322.479166666664</v>
      </c>
      <c r="K2535">
        <f>AVERAGE(H2532:H2536)</f>
        <v>126.0512168</v>
      </c>
      <c r="L2535">
        <f>STDEV(H2532:H2536)</f>
        <v>117.0293182</v>
      </c>
      <c r="M2535" s="70">
        <v>290.025615026503</v>
      </c>
      <c r="N2535" s="70">
        <v>290.025615026503</v>
      </c>
      <c r="O2535" s="70">
        <v>8.35524852988909</v>
      </c>
      <c r="P2535" s="70">
        <v>8.35524852988909</v>
      </c>
    </row>
    <row r="2536" hidden="1">
      <c r="A2536" s="67" t="s">
        <v>3296</v>
      </c>
      <c r="B2536" s="67" t="s">
        <v>268</v>
      </c>
      <c r="C2536" s="68">
        <v>1.0</v>
      </c>
      <c r="D2536" s="68">
        <v>0.5</v>
      </c>
      <c r="E2536" s="68">
        <v>6.0</v>
      </c>
      <c r="F2536" s="68">
        <v>4.0</v>
      </c>
      <c r="G2536" s="68">
        <v>3.62428319963606</v>
      </c>
      <c r="H2536" s="68">
        <v>177.616799388879</v>
      </c>
      <c r="I2536" s="69">
        <v>44322.47988425926</v>
      </c>
      <c r="J2536" s="69">
        <v>44322.48467592592</v>
      </c>
      <c r="K2536">
        <f>AVERAGE(H2532:H2536)</f>
        <v>126.0512168</v>
      </c>
      <c r="L2536">
        <f>STDEV(H2532:H2536)</f>
        <v>117.0293182</v>
      </c>
      <c r="M2536" s="70">
        <v>177.616799388879</v>
      </c>
      <c r="N2536" s="70">
        <v>177.616799388879</v>
      </c>
      <c r="O2536" s="70">
        <v>3.62428319963606</v>
      </c>
      <c r="P2536" s="70">
        <v>3.62428319963606</v>
      </c>
    </row>
    <row r="2537" hidden="1">
      <c r="A2537" s="67" t="s">
        <v>3297</v>
      </c>
      <c r="B2537" s="67" t="s">
        <v>268</v>
      </c>
      <c r="C2537" s="68">
        <v>1.0</v>
      </c>
      <c r="D2537" s="68">
        <v>0.75</v>
      </c>
      <c r="E2537" s="68">
        <v>6.0</v>
      </c>
      <c r="F2537" s="68">
        <v>0.0</v>
      </c>
      <c r="G2537" s="68">
        <v>4.96910126788719</v>
      </c>
      <c r="H2537" s="68">
        <v>155.376812731412</v>
      </c>
      <c r="I2537" s="69">
        <v>44322.48538194445</v>
      </c>
      <c r="J2537" s="69">
        <v>44322.48548611111</v>
      </c>
      <c r="K2537">
        <f>AVERAGE(H2537:H2541)</f>
        <v>138.595643</v>
      </c>
      <c r="L2537">
        <f>STDEV(H2537:H2541)</f>
        <v>102.9878386</v>
      </c>
      <c r="M2537" s="70">
        <v>155.376812731412</v>
      </c>
      <c r="N2537" s="70">
        <v>155.376812731412</v>
      </c>
      <c r="O2537" s="70">
        <v>4.96910126788719</v>
      </c>
      <c r="P2537" s="70">
        <v>4.96910126788719</v>
      </c>
    </row>
    <row r="2538" hidden="1">
      <c r="A2538" s="67" t="s">
        <v>3298</v>
      </c>
      <c r="B2538" s="67" t="s">
        <v>268</v>
      </c>
      <c r="C2538" s="68">
        <v>1.0</v>
      </c>
      <c r="D2538" s="68">
        <v>0.75</v>
      </c>
      <c r="E2538" s="68">
        <v>6.0</v>
      </c>
      <c r="F2538" s="68">
        <v>1.0</v>
      </c>
      <c r="G2538" s="68">
        <v>2.70672816229658</v>
      </c>
      <c r="H2538" s="68">
        <v>132.682098500278</v>
      </c>
      <c r="I2538" s="69">
        <v>44322.48619212963</v>
      </c>
      <c r="J2538" s="69">
        <v>44322.585625</v>
      </c>
      <c r="K2538">
        <f>AVERAGE(H2537:H2541)</f>
        <v>138.595643</v>
      </c>
      <c r="L2538">
        <f>STDEV(H2537:H2541)</f>
        <v>102.9878386</v>
      </c>
      <c r="M2538" s="70">
        <v>132.682098500278</v>
      </c>
      <c r="N2538" s="70">
        <v>132.682098500278</v>
      </c>
      <c r="O2538" s="70">
        <v>2.70672816229658</v>
      </c>
      <c r="P2538" s="70">
        <v>2.70672816229658</v>
      </c>
    </row>
    <row r="2539" hidden="1">
      <c r="A2539" s="67" t="s">
        <v>3299</v>
      </c>
      <c r="B2539" s="67" t="s">
        <v>268</v>
      </c>
      <c r="C2539" s="68">
        <v>1.0</v>
      </c>
      <c r="D2539" s="68">
        <v>0.75</v>
      </c>
      <c r="E2539" s="68">
        <v>6.0</v>
      </c>
      <c r="F2539" s="68">
        <v>2.0</v>
      </c>
      <c r="G2539" s="68">
        <v>0.303724836417965</v>
      </c>
      <c r="H2539" s="68">
        <v>0.482799461486827</v>
      </c>
      <c r="I2539" s="69">
        <v>44322.58634259259</v>
      </c>
      <c r="J2539" s="69">
        <v>44322.58636574074</v>
      </c>
      <c r="K2539">
        <f>AVERAGE(H2537:H2541)</f>
        <v>138.595643</v>
      </c>
      <c r="L2539">
        <f>STDEV(H2537:H2541)</f>
        <v>102.9878386</v>
      </c>
      <c r="M2539" s="70">
        <v>0.482799461486827</v>
      </c>
      <c r="N2539" s="70">
        <v>0.482799461486827</v>
      </c>
      <c r="O2539" s="70">
        <v>0.303724836417965</v>
      </c>
      <c r="P2539" s="70">
        <v>0.303724836417965</v>
      </c>
    </row>
    <row r="2540" hidden="1">
      <c r="A2540" s="67" t="s">
        <v>3300</v>
      </c>
      <c r="B2540" s="67" t="s">
        <v>268</v>
      </c>
      <c r="C2540" s="68">
        <v>1.0</v>
      </c>
      <c r="D2540" s="68">
        <v>0.75</v>
      </c>
      <c r="E2540" s="68">
        <v>6.0</v>
      </c>
      <c r="F2540" s="68">
        <v>3.0</v>
      </c>
      <c r="G2540" s="68">
        <v>4.19513815267797</v>
      </c>
      <c r="H2540" s="68">
        <v>115.793222145536</v>
      </c>
      <c r="I2540" s="69">
        <v>44322.58708333333</v>
      </c>
      <c r="J2540" s="69">
        <v>44322.58715277778</v>
      </c>
      <c r="K2540">
        <f>AVERAGE(H2537:H2541)</f>
        <v>138.595643</v>
      </c>
      <c r="L2540">
        <f>STDEV(H2537:H2541)</f>
        <v>102.9878386</v>
      </c>
      <c r="M2540" s="70">
        <v>115.793222145536</v>
      </c>
      <c r="N2540" s="70">
        <v>115.793222145536</v>
      </c>
      <c r="O2540" s="70">
        <v>4.19513815267797</v>
      </c>
      <c r="P2540" s="70">
        <v>4.19513815267797</v>
      </c>
    </row>
    <row r="2541" hidden="1">
      <c r="A2541" s="67" t="s">
        <v>3301</v>
      </c>
      <c r="B2541" s="67" t="s">
        <v>268</v>
      </c>
      <c r="C2541" s="68">
        <v>1.0</v>
      </c>
      <c r="D2541" s="68">
        <v>0.75</v>
      </c>
      <c r="E2541" s="68">
        <v>6.0</v>
      </c>
      <c r="F2541" s="68">
        <v>4.0</v>
      </c>
      <c r="G2541" s="68">
        <v>8.28678332043876</v>
      </c>
      <c r="H2541" s="68">
        <v>288.643282157071</v>
      </c>
      <c r="I2541" s="69">
        <v>44322.587858796294</v>
      </c>
      <c r="J2541" s="69">
        <v>44322.588796296295</v>
      </c>
      <c r="K2541">
        <f>AVERAGE(H2537:H2541)</f>
        <v>138.595643</v>
      </c>
      <c r="L2541">
        <f>STDEV(H2537:H2541)</f>
        <v>102.9878386</v>
      </c>
      <c r="M2541" s="70">
        <v>288.643282157071</v>
      </c>
      <c r="N2541" s="70">
        <v>288.643282157071</v>
      </c>
      <c r="O2541" s="70">
        <v>8.28678332043876</v>
      </c>
      <c r="P2541" s="70">
        <v>8.28678332043876</v>
      </c>
    </row>
    <row r="2542" hidden="1">
      <c r="A2542" s="67" t="s">
        <v>3302</v>
      </c>
      <c r="B2542" s="67" t="s">
        <v>268</v>
      </c>
      <c r="C2542" s="68">
        <v>1.0</v>
      </c>
      <c r="D2542" s="68">
        <v>1.0</v>
      </c>
      <c r="E2542" s="68">
        <v>6.0</v>
      </c>
      <c r="F2542" s="68">
        <v>0.0</v>
      </c>
      <c r="G2542" s="68">
        <v>4.12801039710343</v>
      </c>
      <c r="H2542" s="68">
        <v>173.497085009774</v>
      </c>
      <c r="I2542" s="69">
        <v>44322.58951388889</v>
      </c>
      <c r="J2542" s="69">
        <v>44322.626979166664</v>
      </c>
      <c r="K2542">
        <f>AVERAGE(H2542:H2546)</f>
        <v>95.73291617</v>
      </c>
      <c r="L2542">
        <f>STDEV(H2542:H2546)</f>
        <v>86.30795714</v>
      </c>
      <c r="M2542" s="70">
        <v>173.497085009774</v>
      </c>
      <c r="N2542" s="70">
        <v>173.497085009774</v>
      </c>
      <c r="O2542" s="70">
        <v>4.12801039710343</v>
      </c>
      <c r="P2542" s="70">
        <v>4.12801039710343</v>
      </c>
    </row>
    <row r="2543" hidden="1">
      <c r="A2543" s="67" t="s">
        <v>3303</v>
      </c>
      <c r="B2543" s="67" t="s">
        <v>268</v>
      </c>
      <c r="C2543" s="68">
        <v>1.0</v>
      </c>
      <c r="D2543" s="68">
        <v>1.0</v>
      </c>
      <c r="E2543" s="68">
        <v>6.0</v>
      </c>
      <c r="F2543" s="68">
        <v>1.0</v>
      </c>
      <c r="G2543" s="68">
        <v>3.30717909054713</v>
      </c>
      <c r="H2543" s="68">
        <v>166.627446312101</v>
      </c>
      <c r="I2543" s="69">
        <v>44322.62769675926</v>
      </c>
      <c r="J2543" s="69">
        <v>44322.63412037037</v>
      </c>
      <c r="K2543">
        <f>AVERAGE(H2542:H2546)</f>
        <v>95.73291617</v>
      </c>
      <c r="L2543">
        <f>STDEV(H2542:H2546)</f>
        <v>86.30795714</v>
      </c>
      <c r="M2543" s="70">
        <v>166.627446312101</v>
      </c>
      <c r="N2543" s="70">
        <v>166.627446312101</v>
      </c>
      <c r="O2543" s="70">
        <v>3.30717909054713</v>
      </c>
      <c r="P2543" s="70">
        <v>3.30717909054713</v>
      </c>
    </row>
    <row r="2544" hidden="1">
      <c r="A2544" s="67" t="s">
        <v>3304</v>
      </c>
      <c r="B2544" s="67" t="s">
        <v>268</v>
      </c>
      <c r="C2544" s="68">
        <v>1.0</v>
      </c>
      <c r="D2544" s="68">
        <v>1.0</v>
      </c>
      <c r="E2544" s="68">
        <v>6.0</v>
      </c>
      <c r="F2544" s="68">
        <v>2.0</v>
      </c>
      <c r="G2544" s="68">
        <v>2.64804552822738</v>
      </c>
      <c r="H2544" s="68">
        <v>4.14886586724848</v>
      </c>
      <c r="I2544" s="69">
        <v>44322.63483796296</v>
      </c>
      <c r="J2544" s="69">
        <v>44322.634930555556</v>
      </c>
      <c r="K2544">
        <f>AVERAGE(H2542:H2546)</f>
        <v>95.73291617</v>
      </c>
      <c r="L2544">
        <f>STDEV(H2542:H2546)</f>
        <v>86.30795714</v>
      </c>
      <c r="M2544" s="70">
        <v>4.14886586724848</v>
      </c>
      <c r="N2544" s="70">
        <v>4.14886586724848</v>
      </c>
      <c r="O2544" s="70">
        <v>2.64804552822738</v>
      </c>
      <c r="P2544" s="70">
        <v>2.64804552822738</v>
      </c>
    </row>
    <row r="2545" hidden="1">
      <c r="A2545" s="67" t="s">
        <v>3305</v>
      </c>
      <c r="B2545" s="67" t="s">
        <v>268</v>
      </c>
      <c r="C2545" s="68">
        <v>1.0</v>
      </c>
      <c r="D2545" s="68">
        <v>1.0</v>
      </c>
      <c r="E2545" s="68">
        <v>6.0</v>
      </c>
      <c r="F2545" s="68">
        <v>3.0</v>
      </c>
      <c r="G2545" s="68">
        <v>0.655813194572591</v>
      </c>
      <c r="H2545" s="68">
        <v>1.21621069159429</v>
      </c>
      <c r="I2545" s="69">
        <v>44322.63563657407</v>
      </c>
      <c r="J2545" s="69">
        <v>44322.63643518519</v>
      </c>
      <c r="K2545">
        <f>AVERAGE(H2542:H2546)</f>
        <v>95.73291617</v>
      </c>
      <c r="L2545">
        <f>STDEV(H2542:H2546)</f>
        <v>86.30795714</v>
      </c>
      <c r="M2545" s="70">
        <v>1.21621069159429</v>
      </c>
      <c r="N2545" s="70">
        <v>1.21621069159429</v>
      </c>
      <c r="O2545" s="70">
        <v>0.655813194572591</v>
      </c>
      <c r="P2545" s="70">
        <v>0.655813194572591</v>
      </c>
    </row>
    <row r="2546" hidden="1">
      <c r="A2546" s="67" t="s">
        <v>3306</v>
      </c>
      <c r="B2546" s="67" t="s">
        <v>268</v>
      </c>
      <c r="C2546" s="68">
        <v>1.0</v>
      </c>
      <c r="D2546" s="68">
        <v>1.0</v>
      </c>
      <c r="E2546" s="68">
        <v>6.0</v>
      </c>
      <c r="F2546" s="68">
        <v>4.0</v>
      </c>
      <c r="G2546" s="68">
        <v>2.53417956688083</v>
      </c>
      <c r="H2546" s="68">
        <v>133.174972950446</v>
      </c>
      <c r="I2546" s="69">
        <v>44322.63715277778</v>
      </c>
      <c r="J2546" s="69">
        <v>44322.63738425926</v>
      </c>
      <c r="K2546">
        <f>AVERAGE(H2542:H2546)</f>
        <v>95.73291617</v>
      </c>
      <c r="L2546">
        <f>STDEV(H2542:H2546)</f>
        <v>86.30795714</v>
      </c>
      <c r="M2546" s="70">
        <v>133.174972950446</v>
      </c>
      <c r="N2546" s="70">
        <v>133.174972950446</v>
      </c>
      <c r="O2546" s="70">
        <v>2.53417956688083</v>
      </c>
      <c r="P2546" s="70">
        <v>2.53417956688083</v>
      </c>
    </row>
    <row r="2547" hidden="1">
      <c r="A2547" s="67" t="s">
        <v>3307</v>
      </c>
      <c r="B2547" s="67" t="s">
        <v>519</v>
      </c>
      <c r="C2547" s="68">
        <v>0.1</v>
      </c>
      <c r="D2547" s="68">
        <v>0.1</v>
      </c>
      <c r="E2547" s="68">
        <v>6.0</v>
      </c>
      <c r="F2547" s="68">
        <v>0.0</v>
      </c>
      <c r="G2547" s="68">
        <v>3.14247499653847</v>
      </c>
      <c r="H2547" s="68">
        <v>157.408945574081</v>
      </c>
      <c r="I2547" s="69">
        <v>44322.638090277775</v>
      </c>
      <c r="J2547" s="69">
        <v>44322.65222222222</v>
      </c>
      <c r="K2547">
        <f>AVERAGE(H2547:H2551)</f>
        <v>89.45674593</v>
      </c>
      <c r="L2547">
        <f>STDEV(H2547:H2551)</f>
        <v>83.49557267</v>
      </c>
      <c r="M2547" s="70">
        <v>157.408945574081</v>
      </c>
      <c r="N2547" s="70">
        <v>157.408945574081</v>
      </c>
      <c r="O2547" s="70">
        <v>3.14247499653847</v>
      </c>
      <c r="P2547" s="70">
        <v>3.14247499653847</v>
      </c>
    </row>
    <row r="2548" hidden="1">
      <c r="A2548" s="67" t="s">
        <v>3308</v>
      </c>
      <c r="B2548" s="67" t="s">
        <v>519</v>
      </c>
      <c r="C2548" s="68">
        <v>0.1</v>
      </c>
      <c r="D2548" s="68">
        <v>0.1</v>
      </c>
      <c r="E2548" s="68">
        <v>6.0</v>
      </c>
      <c r="F2548" s="68">
        <v>1.0</v>
      </c>
      <c r="G2548" s="68">
        <v>0.84548789308218</v>
      </c>
      <c r="H2548" s="68">
        <v>1.14526909868345</v>
      </c>
      <c r="I2548" s="69">
        <v>44322.65293981481</v>
      </c>
      <c r="J2548" s="69">
        <v>44322.65314814815</v>
      </c>
      <c r="K2548">
        <f>AVERAGE(H2547:H2551)</f>
        <v>89.45674593</v>
      </c>
      <c r="L2548">
        <f>STDEV(H2547:H2551)</f>
        <v>83.49557267</v>
      </c>
      <c r="M2548" s="70">
        <v>1.14526909868345</v>
      </c>
      <c r="N2548" s="70">
        <v>1.14526909868345</v>
      </c>
      <c r="O2548" s="70">
        <v>0.84548789308218</v>
      </c>
      <c r="P2548" s="70">
        <v>0.84548789308218</v>
      </c>
    </row>
    <row r="2549" hidden="1">
      <c r="A2549" s="67" t="s">
        <v>3309</v>
      </c>
      <c r="B2549" s="67" t="s">
        <v>519</v>
      </c>
      <c r="C2549" s="68">
        <v>0.1</v>
      </c>
      <c r="D2549" s="68">
        <v>0.1</v>
      </c>
      <c r="E2549" s="68">
        <v>6.0</v>
      </c>
      <c r="F2549" s="68">
        <v>2.0</v>
      </c>
      <c r="G2549" s="68">
        <v>1.35187237648276</v>
      </c>
      <c r="H2549" s="68">
        <v>69.4833168699532</v>
      </c>
      <c r="I2549" s="69">
        <v>44322.653865740744</v>
      </c>
      <c r="J2549" s="69">
        <v>44322.65503472222</v>
      </c>
      <c r="K2549">
        <f>AVERAGE(H2547:H2551)</f>
        <v>89.45674593</v>
      </c>
      <c r="L2549">
        <f>STDEV(H2547:H2551)</f>
        <v>83.49557267</v>
      </c>
      <c r="M2549" s="70">
        <v>69.4833168699532</v>
      </c>
      <c r="N2549" s="70">
        <v>69.4833168699532</v>
      </c>
      <c r="O2549" s="70">
        <v>1.35187237648276</v>
      </c>
      <c r="P2549" s="70">
        <v>1.35187237648276</v>
      </c>
    </row>
    <row r="2550" hidden="1">
      <c r="A2550" s="67" t="s">
        <v>3310</v>
      </c>
      <c r="B2550" s="67" t="s">
        <v>519</v>
      </c>
      <c r="C2550" s="68">
        <v>0.1</v>
      </c>
      <c r="D2550" s="68">
        <v>0.1</v>
      </c>
      <c r="E2550" s="68">
        <v>6.0</v>
      </c>
      <c r="F2550" s="68">
        <v>3.0</v>
      </c>
      <c r="G2550" s="68">
        <v>1.2394605388468</v>
      </c>
      <c r="H2550" s="68">
        <v>25.1916985633534</v>
      </c>
      <c r="I2550" s="69">
        <v>44322.655752314815</v>
      </c>
      <c r="J2550" s="69">
        <v>44322.65597222222</v>
      </c>
      <c r="K2550">
        <f>AVERAGE(H2547:H2551)</f>
        <v>89.45674593</v>
      </c>
      <c r="L2550">
        <f>STDEV(H2547:H2551)</f>
        <v>83.49557267</v>
      </c>
      <c r="M2550" s="70">
        <v>25.1916985633534</v>
      </c>
      <c r="N2550" s="70">
        <v>25.1916985633534</v>
      </c>
      <c r="O2550" s="70">
        <v>1.2394605388468</v>
      </c>
      <c r="P2550" s="70">
        <v>1.2394605388468</v>
      </c>
    </row>
    <row r="2551" hidden="1">
      <c r="A2551" s="67" t="s">
        <v>3311</v>
      </c>
      <c r="B2551" s="67" t="s">
        <v>519</v>
      </c>
      <c r="C2551" s="68">
        <v>0.1</v>
      </c>
      <c r="D2551" s="68">
        <v>0.1</v>
      </c>
      <c r="E2551" s="68">
        <v>6.0</v>
      </c>
      <c r="F2551" s="68">
        <v>4.0</v>
      </c>
      <c r="G2551" s="68">
        <v>4.82023637243694</v>
      </c>
      <c r="H2551" s="68">
        <v>194.054499566039</v>
      </c>
      <c r="I2551" s="69">
        <v>44322.656689814816</v>
      </c>
      <c r="J2551" s="69">
        <v>44322.67246527778</v>
      </c>
      <c r="K2551">
        <f>AVERAGE(H2547:H2551)</f>
        <v>89.45674593</v>
      </c>
      <c r="L2551">
        <f>STDEV(H2547:H2551)</f>
        <v>83.49557267</v>
      </c>
      <c r="M2551" s="70">
        <v>194.054499566039</v>
      </c>
      <c r="N2551" s="70">
        <v>194.054499566039</v>
      </c>
      <c r="O2551" s="70">
        <v>4.82023637243694</v>
      </c>
      <c r="P2551" s="70">
        <v>4.82023637243694</v>
      </c>
    </row>
    <row r="2552" hidden="1">
      <c r="A2552" s="67" t="s">
        <v>3312</v>
      </c>
      <c r="B2552" s="67" t="s">
        <v>519</v>
      </c>
      <c r="C2552" s="68">
        <v>0.1</v>
      </c>
      <c r="D2552" s="68">
        <v>0.25</v>
      </c>
      <c r="E2552" s="68">
        <v>6.0</v>
      </c>
      <c r="F2552" s="68">
        <v>0.0</v>
      </c>
      <c r="G2552" s="68">
        <v>8.12160146367939</v>
      </c>
      <c r="H2552" s="68">
        <v>286.363607878441</v>
      </c>
      <c r="I2552" s="69">
        <v>44322.673171296294</v>
      </c>
      <c r="J2552" s="69">
        <v>44322.67427083333</v>
      </c>
      <c r="K2552">
        <f>AVERAGE(H2552:H2556)</f>
        <v>152.5608822</v>
      </c>
      <c r="L2552">
        <f>STDEV(H2552:H2556)</f>
        <v>105.0416989</v>
      </c>
      <c r="M2552" s="70">
        <v>286.363607878441</v>
      </c>
      <c r="N2552" s="70">
        <v>286.363607878441</v>
      </c>
      <c r="O2552" s="70">
        <v>8.12160146367939</v>
      </c>
      <c r="P2552" s="70">
        <v>8.12160146367939</v>
      </c>
    </row>
    <row r="2553" hidden="1">
      <c r="A2553" s="67" t="s">
        <v>3313</v>
      </c>
      <c r="B2553" s="67" t="s">
        <v>519</v>
      </c>
      <c r="C2553" s="68">
        <v>0.1</v>
      </c>
      <c r="D2553" s="68">
        <v>0.25</v>
      </c>
      <c r="E2553" s="68">
        <v>6.0</v>
      </c>
      <c r="F2553" s="68">
        <v>1.0</v>
      </c>
      <c r="G2553" s="68">
        <v>4.97984120851041</v>
      </c>
      <c r="H2553" s="68">
        <v>209.441562329614</v>
      </c>
      <c r="I2553" s="69">
        <v>44322.67497685185</v>
      </c>
      <c r="J2553" s="69">
        <v>44322.67539351852</v>
      </c>
      <c r="K2553">
        <f>AVERAGE(H2552:H2556)</f>
        <v>152.5608822</v>
      </c>
      <c r="L2553">
        <f>STDEV(H2552:H2556)</f>
        <v>105.0416989</v>
      </c>
      <c r="M2553" s="70">
        <v>209.441562329614</v>
      </c>
      <c r="N2553" s="70">
        <v>209.441562329614</v>
      </c>
      <c r="O2553" s="70">
        <v>4.97984120851041</v>
      </c>
      <c r="P2553" s="70">
        <v>4.97984120851041</v>
      </c>
    </row>
    <row r="2554" hidden="1">
      <c r="A2554" s="67" t="s">
        <v>3314</v>
      </c>
      <c r="B2554" s="67" t="s">
        <v>519</v>
      </c>
      <c r="C2554" s="68">
        <v>0.1</v>
      </c>
      <c r="D2554" s="68">
        <v>0.25</v>
      </c>
      <c r="E2554" s="68">
        <v>6.0</v>
      </c>
      <c r="F2554" s="68">
        <v>2.0</v>
      </c>
      <c r="G2554" s="68">
        <v>2.52061847196859</v>
      </c>
      <c r="H2554" s="68">
        <v>125.287273114953</v>
      </c>
      <c r="I2554" s="69">
        <v>44322.67611111111</v>
      </c>
      <c r="J2554" s="69">
        <v>44322.74553240741</v>
      </c>
      <c r="K2554">
        <f>AVERAGE(H2552:H2556)</f>
        <v>152.5608822</v>
      </c>
      <c r="L2554">
        <f>STDEV(H2552:H2556)</f>
        <v>105.0416989</v>
      </c>
      <c r="M2554" s="70">
        <v>125.287273114953</v>
      </c>
      <c r="N2554" s="70">
        <v>125.287273114953</v>
      </c>
      <c r="O2554" s="70">
        <v>2.52061847196859</v>
      </c>
      <c r="P2554" s="70">
        <v>2.52061847196859</v>
      </c>
    </row>
    <row r="2555" hidden="1">
      <c r="A2555" s="67" t="s">
        <v>3315</v>
      </c>
      <c r="B2555" s="67" t="s">
        <v>519</v>
      </c>
      <c r="C2555" s="68">
        <v>0.1</v>
      </c>
      <c r="D2555" s="68">
        <v>0.25</v>
      </c>
      <c r="E2555" s="68">
        <v>6.0</v>
      </c>
      <c r="F2555" s="68">
        <v>3.0</v>
      </c>
      <c r="G2555" s="68">
        <v>2.64397974277779</v>
      </c>
      <c r="H2555" s="68">
        <v>4.14308284676004</v>
      </c>
      <c r="I2555" s="69">
        <v>44322.74625</v>
      </c>
      <c r="J2555" s="69">
        <v>44322.746342592596</v>
      </c>
      <c r="K2555">
        <f>AVERAGE(H2552:H2556)</f>
        <v>152.5608822</v>
      </c>
      <c r="L2555">
        <f>STDEV(H2552:H2556)</f>
        <v>105.0416989</v>
      </c>
      <c r="M2555" s="70">
        <v>4.14308284676004</v>
      </c>
      <c r="N2555" s="70">
        <v>4.14308284676004</v>
      </c>
      <c r="O2555" s="70">
        <v>2.64397974277779</v>
      </c>
      <c r="P2555" s="70">
        <v>2.64397974277779</v>
      </c>
    </row>
    <row r="2556" hidden="1">
      <c r="A2556" s="67" t="s">
        <v>3316</v>
      </c>
      <c r="B2556" s="67" t="s">
        <v>519</v>
      </c>
      <c r="C2556" s="68">
        <v>0.1</v>
      </c>
      <c r="D2556" s="68">
        <v>0.25</v>
      </c>
      <c r="E2556" s="68">
        <v>6.0</v>
      </c>
      <c r="F2556" s="68">
        <v>4.0</v>
      </c>
      <c r="G2556" s="68">
        <v>4.54646956271138</v>
      </c>
      <c r="H2556" s="68">
        <v>137.568884964486</v>
      </c>
      <c r="I2556" s="69">
        <v>44322.74704861111</v>
      </c>
      <c r="J2556" s="69">
        <v>44322.74717592593</v>
      </c>
      <c r="K2556">
        <f>AVERAGE(H2552:H2556)</f>
        <v>152.5608822</v>
      </c>
      <c r="L2556">
        <f>STDEV(H2552:H2556)</f>
        <v>105.0416989</v>
      </c>
      <c r="M2556" s="70">
        <v>137.568884964486</v>
      </c>
      <c r="N2556" s="70">
        <v>137.568884964486</v>
      </c>
      <c r="O2556" s="70">
        <v>4.54646956271138</v>
      </c>
      <c r="P2556" s="70">
        <v>4.54646956271138</v>
      </c>
    </row>
    <row r="2557" hidden="1">
      <c r="A2557" s="67" t="s">
        <v>3317</v>
      </c>
      <c r="B2557" s="67" t="s">
        <v>519</v>
      </c>
      <c r="C2557" s="68">
        <v>0.1</v>
      </c>
      <c r="D2557" s="68">
        <v>0.5</v>
      </c>
      <c r="E2557" s="68">
        <v>6.0</v>
      </c>
      <c r="F2557" s="68">
        <v>0.0</v>
      </c>
      <c r="G2557" s="68">
        <v>0.713107591202122</v>
      </c>
      <c r="H2557" s="68">
        <v>0.949639394241333</v>
      </c>
      <c r="I2557" s="69">
        <v>44322.74789351852</v>
      </c>
      <c r="J2557" s="69">
        <v>44322.74811342593</v>
      </c>
      <c r="K2557">
        <f>AVERAGE(H2557:H2561)</f>
        <v>110.7207615</v>
      </c>
      <c r="L2557">
        <f>STDEV(H2557:H2561)</f>
        <v>116.3893926</v>
      </c>
      <c r="M2557" s="70">
        <v>0.949639394241333</v>
      </c>
      <c r="N2557" s="70">
        <v>0.949639394241333</v>
      </c>
      <c r="O2557" s="70">
        <v>0.713107591202122</v>
      </c>
      <c r="P2557" s="70">
        <v>0.713107591202122</v>
      </c>
    </row>
    <row r="2558" hidden="1">
      <c r="A2558" s="67" t="s">
        <v>3318</v>
      </c>
      <c r="B2558" s="67" t="s">
        <v>519</v>
      </c>
      <c r="C2558" s="68">
        <v>0.1</v>
      </c>
      <c r="D2558" s="68">
        <v>0.5</v>
      </c>
      <c r="E2558" s="68">
        <v>6.0</v>
      </c>
      <c r="F2558" s="68">
        <v>1.0</v>
      </c>
      <c r="G2558" s="68">
        <v>7.37074390421161</v>
      </c>
      <c r="H2558" s="68">
        <v>271.430964821799</v>
      </c>
      <c r="I2558" s="69">
        <v>44322.74883101852</v>
      </c>
      <c r="J2558" s="69">
        <v>44322.74909722222</v>
      </c>
      <c r="K2558">
        <f>AVERAGE(H2557:H2561)</f>
        <v>110.7207615</v>
      </c>
      <c r="L2558">
        <f>STDEV(H2557:H2561)</f>
        <v>116.3893926</v>
      </c>
      <c r="M2558" s="70">
        <v>271.430964821799</v>
      </c>
      <c r="N2558" s="70">
        <v>271.430964821799</v>
      </c>
      <c r="O2558" s="70">
        <v>7.37074390421161</v>
      </c>
      <c r="P2558" s="70">
        <v>7.37074390421161</v>
      </c>
    </row>
    <row r="2559" hidden="1">
      <c r="A2559" s="67" t="s">
        <v>3319</v>
      </c>
      <c r="B2559" s="67" t="s">
        <v>519</v>
      </c>
      <c r="C2559" s="68">
        <v>0.1</v>
      </c>
      <c r="D2559" s="68">
        <v>0.5</v>
      </c>
      <c r="E2559" s="68">
        <v>6.0</v>
      </c>
      <c r="F2559" s="68">
        <v>2.0</v>
      </c>
      <c r="G2559" s="68">
        <v>1.41911426384764</v>
      </c>
      <c r="H2559" s="68">
        <v>22.3159427709931</v>
      </c>
      <c r="I2559" s="69">
        <v>44322.74980324074</v>
      </c>
      <c r="J2559" s="69">
        <v>44322.75005787037</v>
      </c>
      <c r="K2559">
        <f>AVERAGE(H2557:H2561)</f>
        <v>110.7207615</v>
      </c>
      <c r="L2559">
        <f>STDEV(H2557:H2561)</f>
        <v>116.3893926</v>
      </c>
      <c r="M2559" s="70">
        <v>22.3159427709931</v>
      </c>
      <c r="N2559" s="70">
        <v>22.3159427709931</v>
      </c>
      <c r="O2559" s="70">
        <v>1.41911426384764</v>
      </c>
      <c r="P2559" s="70">
        <v>1.41911426384764</v>
      </c>
    </row>
    <row r="2560" hidden="1">
      <c r="A2560" s="67" t="s">
        <v>3320</v>
      </c>
      <c r="B2560" s="67" t="s">
        <v>519</v>
      </c>
      <c r="C2560" s="68">
        <v>0.1</v>
      </c>
      <c r="D2560" s="68">
        <v>0.5</v>
      </c>
      <c r="E2560" s="68">
        <v>6.0</v>
      </c>
      <c r="F2560" s="68">
        <v>3.0</v>
      </c>
      <c r="G2560" s="68">
        <v>4.53770395625536</v>
      </c>
      <c r="H2560" s="68">
        <v>191.868537796506</v>
      </c>
      <c r="I2560" s="69">
        <v>44322.750763888886</v>
      </c>
      <c r="J2560" s="69">
        <v>44322.77832175926</v>
      </c>
      <c r="K2560">
        <f>AVERAGE(H2557:H2561)</f>
        <v>110.7207615</v>
      </c>
      <c r="L2560">
        <f>STDEV(H2557:H2561)</f>
        <v>116.3893926</v>
      </c>
      <c r="M2560" s="70">
        <v>191.868537796506</v>
      </c>
      <c r="N2560" s="70">
        <v>191.868537796506</v>
      </c>
      <c r="O2560" s="70">
        <v>4.53770395625536</v>
      </c>
      <c r="P2560" s="70">
        <v>4.53770395625536</v>
      </c>
    </row>
    <row r="2561" hidden="1">
      <c r="A2561" s="67" t="s">
        <v>3321</v>
      </c>
      <c r="B2561" s="67" t="s">
        <v>519</v>
      </c>
      <c r="C2561" s="68">
        <v>0.1</v>
      </c>
      <c r="D2561" s="68">
        <v>0.5</v>
      </c>
      <c r="E2561" s="68">
        <v>6.0</v>
      </c>
      <c r="F2561" s="68">
        <v>4.0</v>
      </c>
      <c r="G2561" s="68">
        <v>1.63199900264182</v>
      </c>
      <c r="H2561" s="68">
        <v>67.038722610028</v>
      </c>
      <c r="I2561" s="69">
        <v>44322.77903935185</v>
      </c>
      <c r="J2561" s="69">
        <v>44322.786145833335</v>
      </c>
      <c r="K2561">
        <f>AVERAGE(H2557:H2561)</f>
        <v>110.7207615</v>
      </c>
      <c r="L2561">
        <f>STDEV(H2557:H2561)</f>
        <v>116.3893926</v>
      </c>
      <c r="M2561" s="70">
        <v>67.038722610028</v>
      </c>
      <c r="N2561" s="70">
        <v>67.038722610028</v>
      </c>
      <c r="O2561" s="70">
        <v>1.63199900264182</v>
      </c>
      <c r="P2561" s="70">
        <v>1.63199900264182</v>
      </c>
    </row>
    <row r="2562" hidden="1">
      <c r="A2562" s="67" t="s">
        <v>3322</v>
      </c>
      <c r="B2562" s="67" t="s">
        <v>519</v>
      </c>
      <c r="C2562" s="68">
        <v>0.1</v>
      </c>
      <c r="D2562" s="68">
        <v>0.75</v>
      </c>
      <c r="E2562" s="68">
        <v>6.0</v>
      </c>
      <c r="F2562" s="68">
        <v>0.0</v>
      </c>
      <c r="G2562" s="68">
        <v>0.554168021940552</v>
      </c>
      <c r="H2562" s="68">
        <v>1.22803758231988</v>
      </c>
      <c r="I2562" s="69">
        <v>44322.78686342593</v>
      </c>
      <c r="J2562" s="69">
        <v>44322.78696759259</v>
      </c>
      <c r="K2562">
        <f>AVERAGE(H2562:H2566)</f>
        <v>127.2763436</v>
      </c>
      <c r="L2562">
        <f>STDEV(H2562:H2566)</f>
        <v>100.050643</v>
      </c>
      <c r="M2562" s="70">
        <v>1.22803758231988</v>
      </c>
      <c r="N2562" s="70">
        <v>1.22803758231988</v>
      </c>
      <c r="O2562" s="70">
        <v>0.554168021940552</v>
      </c>
      <c r="P2562" s="70">
        <v>0.554168021940552</v>
      </c>
    </row>
    <row r="2563" hidden="1">
      <c r="A2563" s="67" t="s">
        <v>3323</v>
      </c>
      <c r="B2563" s="67" t="s">
        <v>519</v>
      </c>
      <c r="C2563" s="68">
        <v>0.1</v>
      </c>
      <c r="D2563" s="68">
        <v>0.75</v>
      </c>
      <c r="E2563" s="68">
        <v>6.0</v>
      </c>
      <c r="F2563" s="68">
        <v>1.0</v>
      </c>
      <c r="G2563" s="68">
        <v>3.05443151552752</v>
      </c>
      <c r="H2563" s="68">
        <v>148.250490890465</v>
      </c>
      <c r="I2563" s="69">
        <v>44322.78768518518</v>
      </c>
      <c r="J2563" s="69">
        <v>44322.81616898148</v>
      </c>
      <c r="K2563">
        <f>AVERAGE(H2562:H2566)</f>
        <v>127.2763436</v>
      </c>
      <c r="L2563">
        <f>STDEV(H2562:H2566)</f>
        <v>100.050643</v>
      </c>
      <c r="M2563" s="70">
        <v>148.250490890465</v>
      </c>
      <c r="N2563" s="70">
        <v>148.250490890465</v>
      </c>
      <c r="O2563" s="70">
        <v>3.05443151552752</v>
      </c>
      <c r="P2563" s="70">
        <v>3.05443151552752</v>
      </c>
    </row>
    <row r="2564" hidden="1">
      <c r="A2564" s="67" t="s">
        <v>3324</v>
      </c>
      <c r="B2564" s="67" t="s">
        <v>519</v>
      </c>
      <c r="C2564" s="68">
        <v>0.1</v>
      </c>
      <c r="D2564" s="68">
        <v>0.75</v>
      </c>
      <c r="E2564" s="68">
        <v>6.0</v>
      </c>
      <c r="F2564" s="68">
        <v>2.0</v>
      </c>
      <c r="G2564" s="68">
        <v>1.99419716851318</v>
      </c>
      <c r="H2564" s="68">
        <v>81.2864120760989</v>
      </c>
      <c r="I2564" s="69">
        <v>44322.816875</v>
      </c>
      <c r="J2564" s="69">
        <v>44322.82671296296</v>
      </c>
      <c r="K2564">
        <f>AVERAGE(H2562:H2566)</f>
        <v>127.2763436</v>
      </c>
      <c r="L2564">
        <f>STDEV(H2562:H2566)</f>
        <v>100.050643</v>
      </c>
      <c r="M2564" s="70">
        <v>81.2864120760989</v>
      </c>
      <c r="N2564" s="70">
        <v>81.2864120760989</v>
      </c>
      <c r="O2564" s="70">
        <v>1.99419716851318</v>
      </c>
      <c r="P2564" s="70">
        <v>1.99419716851318</v>
      </c>
    </row>
    <row r="2565" hidden="1">
      <c r="A2565" s="67" t="s">
        <v>3325</v>
      </c>
      <c r="B2565" s="67" t="s">
        <v>519</v>
      </c>
      <c r="C2565" s="68">
        <v>0.1</v>
      </c>
      <c r="D2565" s="68">
        <v>0.75</v>
      </c>
      <c r="E2565" s="68">
        <v>6.0</v>
      </c>
      <c r="F2565" s="68">
        <v>3.0</v>
      </c>
      <c r="G2565" s="68">
        <v>2.47765384717495</v>
      </c>
      <c r="H2565" s="68">
        <v>131.438994183559</v>
      </c>
      <c r="I2565" s="69">
        <v>44322.82743055555</v>
      </c>
      <c r="J2565" s="69">
        <v>44322.82766203704</v>
      </c>
      <c r="K2565">
        <f>AVERAGE(H2562:H2566)</f>
        <v>127.2763436</v>
      </c>
      <c r="L2565">
        <f>STDEV(H2562:H2566)</f>
        <v>100.050643</v>
      </c>
      <c r="M2565" s="70">
        <v>131.438994183559</v>
      </c>
      <c r="N2565" s="70">
        <v>131.438994183559</v>
      </c>
      <c r="O2565" s="70">
        <v>2.47765384717495</v>
      </c>
      <c r="P2565" s="70">
        <v>2.47765384717495</v>
      </c>
    </row>
    <row r="2566" hidden="1">
      <c r="A2566" s="67" t="s">
        <v>3326</v>
      </c>
      <c r="B2566" s="67" t="s">
        <v>519</v>
      </c>
      <c r="C2566" s="68">
        <v>0.1</v>
      </c>
      <c r="D2566" s="68">
        <v>0.75</v>
      </c>
      <c r="E2566" s="68">
        <v>6.0</v>
      </c>
      <c r="F2566" s="68">
        <v>4.0</v>
      </c>
      <c r="G2566" s="68">
        <v>7.79458471069718</v>
      </c>
      <c r="H2566" s="68">
        <v>274.177783032688</v>
      </c>
      <c r="I2566" s="69">
        <v>44322.828368055554</v>
      </c>
      <c r="J2566" s="69">
        <v>44322.83054398148</v>
      </c>
      <c r="K2566">
        <f>AVERAGE(H2562:H2566)</f>
        <v>127.2763436</v>
      </c>
      <c r="L2566">
        <f>STDEV(H2562:H2566)</f>
        <v>100.050643</v>
      </c>
      <c r="M2566" s="70">
        <v>274.177783032688</v>
      </c>
      <c r="N2566" s="70">
        <v>274.177783032688</v>
      </c>
      <c r="O2566" s="70">
        <v>7.79458471069718</v>
      </c>
      <c r="P2566" s="70">
        <v>7.79458471069718</v>
      </c>
    </row>
    <row r="2567" hidden="1">
      <c r="A2567" s="67" t="s">
        <v>3327</v>
      </c>
      <c r="B2567" s="67" t="s">
        <v>519</v>
      </c>
      <c r="C2567" s="68">
        <v>0.1</v>
      </c>
      <c r="D2567" s="68">
        <v>1.0</v>
      </c>
      <c r="E2567" s="68">
        <v>6.0</v>
      </c>
      <c r="F2567" s="68">
        <v>0.0</v>
      </c>
      <c r="G2567" s="68">
        <v>7.36458535532105</v>
      </c>
      <c r="H2567" s="68">
        <v>271.355902078696</v>
      </c>
      <c r="I2567" s="69">
        <v>44322.83126157407</v>
      </c>
      <c r="J2567" s="69">
        <v>44322.83153935185</v>
      </c>
      <c r="K2567">
        <f>AVERAGE(H2567:H2571)</f>
        <v>123.7218</v>
      </c>
      <c r="L2567">
        <f>STDEV(H2567:H2571)</f>
        <v>109.1518922</v>
      </c>
      <c r="M2567" s="70">
        <v>271.355902078696</v>
      </c>
      <c r="N2567" s="70">
        <v>271.355902078696</v>
      </c>
      <c r="O2567" s="70">
        <v>7.36458535532105</v>
      </c>
      <c r="P2567" s="70">
        <v>7.36458535532105</v>
      </c>
    </row>
    <row r="2568" hidden="1">
      <c r="A2568" s="67" t="s">
        <v>3328</v>
      </c>
      <c r="B2568" s="67" t="s">
        <v>519</v>
      </c>
      <c r="C2568" s="68">
        <v>0.1</v>
      </c>
      <c r="D2568" s="68">
        <v>1.0</v>
      </c>
      <c r="E2568" s="68">
        <v>6.0</v>
      </c>
      <c r="F2568" s="68">
        <v>1.0</v>
      </c>
      <c r="G2568" s="68">
        <v>4.70317443810178</v>
      </c>
      <c r="H2568" s="68">
        <v>198.913211441474</v>
      </c>
      <c r="I2568" s="69">
        <v>44322.83224537037</v>
      </c>
      <c r="J2568" s="69">
        <v>44322.85980324074</v>
      </c>
      <c r="K2568">
        <f>AVERAGE(H2567:H2571)</f>
        <v>123.7218</v>
      </c>
      <c r="L2568">
        <f>STDEV(H2567:H2571)</f>
        <v>109.1518922</v>
      </c>
      <c r="M2568" s="70">
        <v>198.913211441474</v>
      </c>
      <c r="N2568" s="70">
        <v>198.913211441474</v>
      </c>
      <c r="O2568" s="70">
        <v>4.70317443810178</v>
      </c>
      <c r="P2568" s="70">
        <v>4.70317443810178</v>
      </c>
    </row>
    <row r="2569" hidden="1">
      <c r="A2569" s="67" t="s">
        <v>3329</v>
      </c>
      <c r="B2569" s="67" t="s">
        <v>519</v>
      </c>
      <c r="C2569" s="68">
        <v>0.1</v>
      </c>
      <c r="D2569" s="68">
        <v>1.0</v>
      </c>
      <c r="E2569" s="68">
        <v>6.0</v>
      </c>
      <c r="F2569" s="68">
        <v>2.0</v>
      </c>
      <c r="G2569" s="68">
        <v>1.86774376999897</v>
      </c>
      <c r="H2569" s="68">
        <v>78.927862034707</v>
      </c>
      <c r="I2569" s="69">
        <v>44322.86050925926</v>
      </c>
      <c r="J2569" s="69">
        <v>44322.86982638889</v>
      </c>
      <c r="K2569">
        <f>AVERAGE(H2567:H2571)</f>
        <v>123.7218</v>
      </c>
      <c r="L2569">
        <f>STDEV(H2567:H2571)</f>
        <v>109.1518922</v>
      </c>
      <c r="M2569" s="70">
        <v>78.927862034707</v>
      </c>
      <c r="N2569" s="70">
        <v>78.927862034707</v>
      </c>
      <c r="O2569" s="70">
        <v>1.86774376999897</v>
      </c>
      <c r="P2569" s="70">
        <v>1.86774376999897</v>
      </c>
    </row>
    <row r="2570" hidden="1">
      <c r="A2570" s="67" t="s">
        <v>3330</v>
      </c>
      <c r="B2570" s="67" t="s">
        <v>519</v>
      </c>
      <c r="C2570" s="68">
        <v>0.1</v>
      </c>
      <c r="D2570" s="68">
        <v>1.0</v>
      </c>
      <c r="E2570" s="68">
        <v>6.0</v>
      </c>
      <c r="F2570" s="68">
        <v>3.0</v>
      </c>
      <c r="G2570" s="68">
        <v>0.318624724666863</v>
      </c>
      <c r="H2570" s="68">
        <v>0.406974241682714</v>
      </c>
      <c r="I2570" s="69">
        <v>44322.87054398148</v>
      </c>
      <c r="J2570" s="69">
        <v>44322.87060185185</v>
      </c>
      <c r="K2570">
        <f>AVERAGE(H2567:H2571)</f>
        <v>123.7218</v>
      </c>
      <c r="L2570">
        <f>STDEV(H2567:H2571)</f>
        <v>109.1518922</v>
      </c>
      <c r="M2570" s="70">
        <v>0.406974241682714</v>
      </c>
      <c r="N2570" s="70">
        <v>0.406974241682714</v>
      </c>
      <c r="O2570" s="70">
        <v>0.318624724666863</v>
      </c>
      <c r="P2570" s="70">
        <v>0.318624724666863</v>
      </c>
    </row>
    <row r="2571" hidden="1">
      <c r="A2571" s="67" t="s">
        <v>3331</v>
      </c>
      <c r="B2571" s="67" t="s">
        <v>519</v>
      </c>
      <c r="C2571" s="68">
        <v>0.1</v>
      </c>
      <c r="D2571" s="68">
        <v>1.0</v>
      </c>
      <c r="E2571" s="68">
        <v>6.0</v>
      </c>
      <c r="F2571" s="68">
        <v>4.0</v>
      </c>
      <c r="G2571" s="68">
        <v>1.54260635442384</v>
      </c>
      <c r="H2571" s="68">
        <v>69.0050500472692</v>
      </c>
      <c r="I2571" s="69">
        <v>44322.87131944444</v>
      </c>
      <c r="J2571" s="69">
        <v>44322.87253472222</v>
      </c>
      <c r="K2571">
        <f>AVERAGE(H2567:H2571)</f>
        <v>123.7218</v>
      </c>
      <c r="L2571">
        <f>STDEV(H2567:H2571)</f>
        <v>109.1518922</v>
      </c>
      <c r="M2571" s="70">
        <v>69.0050500472692</v>
      </c>
      <c r="N2571" s="70">
        <v>69.0050500472692</v>
      </c>
      <c r="O2571" s="70">
        <v>1.54260635442384</v>
      </c>
      <c r="P2571" s="70">
        <v>1.54260635442384</v>
      </c>
    </row>
    <row r="2572" hidden="1">
      <c r="A2572" s="67" t="s">
        <v>3332</v>
      </c>
      <c r="B2572" s="67" t="s">
        <v>519</v>
      </c>
      <c r="C2572" s="68">
        <v>0.25</v>
      </c>
      <c r="D2572" s="68">
        <v>0.1</v>
      </c>
      <c r="E2572" s="68">
        <v>6.0</v>
      </c>
      <c r="F2572" s="68">
        <v>0.0</v>
      </c>
      <c r="G2572" s="68">
        <v>3.74040260082807</v>
      </c>
      <c r="H2572" s="68">
        <v>159.943797293563</v>
      </c>
      <c r="I2572" s="69">
        <v>44322.873252314814</v>
      </c>
      <c r="J2572" s="69">
        <v>44322.885671296295</v>
      </c>
      <c r="K2572">
        <f>AVERAGE(H2572:H2576)</f>
        <v>118.920725</v>
      </c>
      <c r="L2572">
        <f>STDEV(H2572:H2576)</f>
        <v>72.3767454</v>
      </c>
      <c r="M2572" s="70">
        <v>159.943797293563</v>
      </c>
      <c r="N2572" s="70">
        <v>159.943797293563</v>
      </c>
      <c r="O2572" s="70">
        <v>3.74040260082807</v>
      </c>
      <c r="P2572" s="70">
        <v>3.74040260082807</v>
      </c>
    </row>
    <row r="2573" hidden="1">
      <c r="A2573" s="67" t="s">
        <v>3333</v>
      </c>
      <c r="B2573" s="67" t="s">
        <v>519</v>
      </c>
      <c r="C2573" s="68">
        <v>0.25</v>
      </c>
      <c r="D2573" s="68">
        <v>0.1</v>
      </c>
      <c r="E2573" s="68">
        <v>6.0</v>
      </c>
      <c r="F2573" s="68">
        <v>1.0</v>
      </c>
      <c r="G2573" s="68">
        <v>3.65166644461363</v>
      </c>
      <c r="H2573" s="68">
        <v>144.045933591334</v>
      </c>
      <c r="I2573" s="69">
        <v>44322.88638888889</v>
      </c>
      <c r="J2573" s="69">
        <v>44322.88655092593</v>
      </c>
      <c r="K2573">
        <f>AVERAGE(H2572:H2576)</f>
        <v>118.920725</v>
      </c>
      <c r="L2573">
        <f>STDEV(H2572:H2576)</f>
        <v>72.3767454</v>
      </c>
      <c r="M2573" s="70">
        <v>144.045933591334</v>
      </c>
      <c r="N2573" s="70">
        <v>144.045933591334</v>
      </c>
      <c r="O2573" s="70">
        <v>3.65166644461363</v>
      </c>
      <c r="P2573" s="70">
        <v>3.65166644461363</v>
      </c>
    </row>
    <row r="2574" hidden="1">
      <c r="A2574" s="67" t="s">
        <v>3334</v>
      </c>
      <c r="B2574" s="67" t="s">
        <v>519</v>
      </c>
      <c r="C2574" s="68">
        <v>0.25</v>
      </c>
      <c r="D2574" s="68">
        <v>0.1</v>
      </c>
      <c r="E2574" s="68">
        <v>6.0</v>
      </c>
      <c r="F2574" s="68">
        <v>2.0</v>
      </c>
      <c r="G2574" s="68">
        <v>1.54718804710377</v>
      </c>
      <c r="H2574" s="68">
        <v>80.0475959055457</v>
      </c>
      <c r="I2574" s="69">
        <v>44322.88725694444</v>
      </c>
      <c r="J2574" s="69">
        <v>44322.89734953704</v>
      </c>
      <c r="K2574">
        <f>AVERAGE(H2572:H2576)</f>
        <v>118.920725</v>
      </c>
      <c r="L2574">
        <f>STDEV(H2572:H2576)</f>
        <v>72.3767454</v>
      </c>
      <c r="M2574" s="70">
        <v>80.0475959055457</v>
      </c>
      <c r="N2574" s="70">
        <v>80.0475959055457</v>
      </c>
      <c r="O2574" s="70">
        <v>1.54718804710377</v>
      </c>
      <c r="P2574" s="70">
        <v>1.54718804710377</v>
      </c>
    </row>
    <row r="2575" hidden="1">
      <c r="A2575" s="67" t="s">
        <v>3335</v>
      </c>
      <c r="B2575" s="67" t="s">
        <v>519</v>
      </c>
      <c r="C2575" s="68">
        <v>0.25</v>
      </c>
      <c r="D2575" s="68">
        <v>0.1</v>
      </c>
      <c r="E2575" s="68">
        <v>6.0</v>
      </c>
      <c r="F2575" s="68">
        <v>3.0</v>
      </c>
      <c r="G2575" s="68">
        <v>0.930220234355122</v>
      </c>
      <c r="H2575" s="68">
        <v>13.7508667939206</v>
      </c>
      <c r="I2575" s="69">
        <v>44322.89806712963</v>
      </c>
      <c r="J2575" s="69">
        <v>44322.89815972222</v>
      </c>
      <c r="K2575">
        <f>AVERAGE(H2572:H2576)</f>
        <v>118.920725</v>
      </c>
      <c r="L2575">
        <f>STDEV(H2572:H2576)</f>
        <v>72.3767454</v>
      </c>
      <c r="M2575" s="70">
        <v>13.7508667939206</v>
      </c>
      <c r="N2575" s="70">
        <v>13.7508667939206</v>
      </c>
      <c r="O2575" s="70">
        <v>0.930220234355122</v>
      </c>
      <c r="P2575" s="70">
        <v>0.930220234355122</v>
      </c>
    </row>
    <row r="2576" hidden="1">
      <c r="A2576" s="67" t="s">
        <v>3336</v>
      </c>
      <c r="B2576" s="67" t="s">
        <v>519</v>
      </c>
      <c r="C2576" s="68">
        <v>0.25</v>
      </c>
      <c r="D2576" s="68">
        <v>0.1</v>
      </c>
      <c r="E2576" s="68">
        <v>6.0</v>
      </c>
      <c r="F2576" s="68">
        <v>4.0</v>
      </c>
      <c r="G2576" s="68">
        <v>4.78908489861837</v>
      </c>
      <c r="H2576" s="68">
        <v>196.815431434805</v>
      </c>
      <c r="I2576" s="69">
        <v>44322.89886574074</v>
      </c>
      <c r="J2576" s="69">
        <v>44322.905127314814</v>
      </c>
      <c r="K2576">
        <f>AVERAGE(H2572:H2576)</f>
        <v>118.920725</v>
      </c>
      <c r="L2576">
        <f>STDEV(H2572:H2576)</f>
        <v>72.3767454</v>
      </c>
      <c r="M2576" s="70">
        <v>196.815431434805</v>
      </c>
      <c r="N2576" s="70">
        <v>196.815431434805</v>
      </c>
      <c r="O2576" s="70">
        <v>4.78908489861837</v>
      </c>
      <c r="P2576" s="70">
        <v>4.78908489861837</v>
      </c>
    </row>
    <row r="2577" hidden="1">
      <c r="A2577" s="67" t="s">
        <v>3337</v>
      </c>
      <c r="B2577" s="67" t="s">
        <v>519</v>
      </c>
      <c r="C2577" s="68">
        <v>0.25</v>
      </c>
      <c r="D2577" s="68">
        <v>0.25</v>
      </c>
      <c r="E2577" s="68">
        <v>6.0</v>
      </c>
      <c r="F2577" s="68">
        <v>0.0</v>
      </c>
      <c r="G2577" s="68">
        <v>2.28101595420431</v>
      </c>
      <c r="H2577" s="68">
        <v>112.501775062318</v>
      </c>
      <c r="I2577" s="69">
        <v>44322.90584490741</v>
      </c>
      <c r="J2577" s="69">
        <v>44322.92818287037</v>
      </c>
      <c r="K2577">
        <f>AVERAGE(H2577:H2581)</f>
        <v>166.9071909</v>
      </c>
      <c r="L2577">
        <f>STDEV(H2577:H2581)</f>
        <v>127.0066539</v>
      </c>
      <c r="M2577" s="70">
        <v>112.501775062318</v>
      </c>
      <c r="N2577" s="70">
        <v>112.501775062318</v>
      </c>
      <c r="O2577" s="70">
        <v>2.28101595420431</v>
      </c>
      <c r="P2577" s="70">
        <v>2.28101595420431</v>
      </c>
    </row>
    <row r="2578" hidden="1">
      <c r="A2578" s="67" t="s">
        <v>3338</v>
      </c>
      <c r="B2578" s="67" t="s">
        <v>519</v>
      </c>
      <c r="C2578" s="68">
        <v>0.25</v>
      </c>
      <c r="D2578" s="68">
        <v>0.25</v>
      </c>
      <c r="E2578" s="68">
        <v>6.0</v>
      </c>
      <c r="F2578" s="68">
        <v>1.0</v>
      </c>
      <c r="G2578" s="68">
        <v>1.08195642263574</v>
      </c>
      <c r="H2578" s="68">
        <v>1.45236498839199</v>
      </c>
      <c r="I2578" s="69">
        <v>44322.92890046296</v>
      </c>
      <c r="J2578" s="69">
        <v>44322.92901620371</v>
      </c>
      <c r="K2578">
        <f>AVERAGE(H2577:H2581)</f>
        <v>166.9071909</v>
      </c>
      <c r="L2578">
        <f>STDEV(H2577:H2581)</f>
        <v>127.0066539</v>
      </c>
      <c r="M2578" s="70">
        <v>1.45236498839199</v>
      </c>
      <c r="N2578" s="70">
        <v>1.45236498839199</v>
      </c>
      <c r="O2578" s="70">
        <v>1.08195642263574</v>
      </c>
      <c r="P2578" s="70">
        <v>1.08195642263574</v>
      </c>
    </row>
    <row r="2579" hidden="1">
      <c r="A2579" s="67" t="s">
        <v>3339</v>
      </c>
      <c r="B2579" s="67" t="s">
        <v>519</v>
      </c>
      <c r="C2579" s="68">
        <v>0.25</v>
      </c>
      <c r="D2579" s="68">
        <v>0.25</v>
      </c>
      <c r="E2579" s="68">
        <v>6.0</v>
      </c>
      <c r="F2579" s="68">
        <v>2.0</v>
      </c>
      <c r="G2579" s="68">
        <v>11.7959312454223</v>
      </c>
      <c r="H2579" s="68">
        <v>349.643270312785</v>
      </c>
      <c r="I2579" s="69">
        <v>44322.9297337963</v>
      </c>
      <c r="J2579" s="69">
        <v>44322.929814814815</v>
      </c>
      <c r="K2579">
        <f>AVERAGE(H2577:H2581)</f>
        <v>166.9071909</v>
      </c>
      <c r="L2579">
        <f>STDEV(H2577:H2581)</f>
        <v>127.0066539</v>
      </c>
      <c r="M2579" s="70">
        <v>349.643270312785</v>
      </c>
      <c r="N2579" s="70">
        <v>349.643270312785</v>
      </c>
      <c r="O2579" s="70">
        <v>11.7959312454223</v>
      </c>
      <c r="P2579" s="70">
        <v>11.7959312454223</v>
      </c>
    </row>
    <row r="2580" hidden="1">
      <c r="A2580" s="67" t="s">
        <v>3340</v>
      </c>
      <c r="B2580" s="67" t="s">
        <v>519</v>
      </c>
      <c r="C2580" s="68">
        <v>0.25</v>
      </c>
      <c r="D2580" s="68">
        <v>0.25</v>
      </c>
      <c r="E2580" s="68">
        <v>6.0</v>
      </c>
      <c r="F2580" s="68">
        <v>3.0</v>
      </c>
      <c r="G2580" s="68">
        <v>6.54930491633586</v>
      </c>
      <c r="H2580" s="68">
        <v>192.747162798027</v>
      </c>
      <c r="I2580" s="69">
        <v>44322.93053240741</v>
      </c>
      <c r="J2580" s="69">
        <v>44322.93067129629</v>
      </c>
      <c r="K2580">
        <f>AVERAGE(H2577:H2581)</f>
        <v>166.9071909</v>
      </c>
      <c r="L2580">
        <f>STDEV(H2577:H2581)</f>
        <v>127.0066539</v>
      </c>
      <c r="M2580" s="70">
        <v>192.747162798027</v>
      </c>
      <c r="N2580" s="70">
        <v>192.747162798027</v>
      </c>
      <c r="O2580" s="70">
        <v>6.54930491633586</v>
      </c>
      <c r="P2580" s="70">
        <v>6.54930491633586</v>
      </c>
    </row>
    <row r="2581" hidden="1">
      <c r="A2581" s="67" t="s">
        <v>3341</v>
      </c>
      <c r="B2581" s="67" t="s">
        <v>519</v>
      </c>
      <c r="C2581" s="68">
        <v>0.25</v>
      </c>
      <c r="D2581" s="68">
        <v>0.25</v>
      </c>
      <c r="E2581" s="68">
        <v>6.0</v>
      </c>
      <c r="F2581" s="68">
        <v>4.0</v>
      </c>
      <c r="G2581" s="68">
        <v>3.83847361767647</v>
      </c>
      <c r="H2581" s="68">
        <v>178.19138157442</v>
      </c>
      <c r="I2581" s="69">
        <v>44322.93138888889</v>
      </c>
      <c r="J2581" s="69">
        <v>44322.952361111114</v>
      </c>
      <c r="K2581">
        <f>AVERAGE(H2577:H2581)</f>
        <v>166.9071909</v>
      </c>
      <c r="L2581">
        <f>STDEV(H2577:H2581)</f>
        <v>127.0066539</v>
      </c>
      <c r="M2581" s="70">
        <v>178.19138157442</v>
      </c>
      <c r="N2581" s="70">
        <v>178.19138157442</v>
      </c>
      <c r="O2581" s="70">
        <v>3.83847361767647</v>
      </c>
      <c r="P2581" s="70">
        <v>3.83847361767647</v>
      </c>
    </row>
    <row r="2582" hidden="1">
      <c r="A2582" s="67" t="s">
        <v>3342</v>
      </c>
      <c r="B2582" s="67" t="s">
        <v>519</v>
      </c>
      <c r="C2582" s="68">
        <v>0.25</v>
      </c>
      <c r="D2582" s="68">
        <v>0.5</v>
      </c>
      <c r="E2582" s="68">
        <v>6.0</v>
      </c>
      <c r="F2582" s="68">
        <v>0.0</v>
      </c>
      <c r="G2582" s="68">
        <v>6.59859696937374</v>
      </c>
      <c r="H2582" s="68">
        <v>167.809625197529</v>
      </c>
      <c r="I2582" s="69">
        <v>44322.9530787037</v>
      </c>
      <c r="J2582" s="69">
        <v>44322.95326388889</v>
      </c>
      <c r="K2582">
        <f>AVERAGE(H2582:H2586)</f>
        <v>183.739938</v>
      </c>
      <c r="L2582">
        <f>STDEV(H2582:H2586)</f>
        <v>61.52920252</v>
      </c>
      <c r="M2582" s="70">
        <v>167.809625197529</v>
      </c>
      <c r="N2582" s="70">
        <v>167.809625197529</v>
      </c>
      <c r="O2582" s="70">
        <v>6.59859696937374</v>
      </c>
      <c r="P2582" s="70">
        <v>6.59859696937374</v>
      </c>
    </row>
    <row r="2583" hidden="1">
      <c r="A2583" s="67" t="s">
        <v>3343</v>
      </c>
      <c r="B2583" s="67" t="s">
        <v>519</v>
      </c>
      <c r="C2583" s="68">
        <v>0.25</v>
      </c>
      <c r="D2583" s="68">
        <v>0.5</v>
      </c>
      <c r="E2583" s="68">
        <v>6.0</v>
      </c>
      <c r="F2583" s="68">
        <v>1.0</v>
      </c>
      <c r="G2583" s="68">
        <v>2.11786271933364</v>
      </c>
      <c r="H2583" s="68">
        <v>111.752964354043</v>
      </c>
      <c r="I2583" s="69">
        <v>44322.95398148148</v>
      </c>
      <c r="J2583" s="69">
        <v>44322.96538194444</v>
      </c>
      <c r="K2583">
        <f>AVERAGE(H2582:H2586)</f>
        <v>183.739938</v>
      </c>
      <c r="L2583">
        <f>STDEV(H2582:H2586)</f>
        <v>61.52920252</v>
      </c>
      <c r="M2583" s="70">
        <v>111.752964354043</v>
      </c>
      <c r="N2583" s="70">
        <v>111.752964354043</v>
      </c>
      <c r="O2583" s="70">
        <v>2.11786271933364</v>
      </c>
      <c r="P2583" s="70">
        <v>2.11786271933364</v>
      </c>
    </row>
    <row r="2584" hidden="1">
      <c r="A2584" s="67" t="s">
        <v>3344</v>
      </c>
      <c r="B2584" s="67" t="s">
        <v>519</v>
      </c>
      <c r="C2584" s="68">
        <v>0.25</v>
      </c>
      <c r="D2584" s="68">
        <v>0.5</v>
      </c>
      <c r="E2584" s="68">
        <v>6.0</v>
      </c>
      <c r="F2584" s="68">
        <v>2.0</v>
      </c>
      <c r="G2584" s="68">
        <v>6.91094702157842</v>
      </c>
      <c r="H2584" s="68">
        <v>213.585628508753</v>
      </c>
      <c r="I2584" s="69">
        <v>44322.96608796297</v>
      </c>
      <c r="J2584" s="69">
        <v>44322.96665509259</v>
      </c>
      <c r="K2584">
        <f>AVERAGE(H2582:H2586)</f>
        <v>183.739938</v>
      </c>
      <c r="L2584">
        <f>STDEV(H2582:H2586)</f>
        <v>61.52920252</v>
      </c>
      <c r="M2584" s="70">
        <v>213.585628508753</v>
      </c>
      <c r="N2584" s="70">
        <v>213.585628508753</v>
      </c>
      <c r="O2584" s="70">
        <v>6.91094702157842</v>
      </c>
      <c r="P2584" s="70">
        <v>6.91094702157842</v>
      </c>
    </row>
    <row r="2585" hidden="1">
      <c r="A2585" s="67" t="s">
        <v>3345</v>
      </c>
      <c r="B2585" s="67" t="s">
        <v>519</v>
      </c>
      <c r="C2585" s="68">
        <v>0.25</v>
      </c>
      <c r="D2585" s="68">
        <v>0.5</v>
      </c>
      <c r="E2585" s="68">
        <v>6.0</v>
      </c>
      <c r="F2585" s="68">
        <v>3.0</v>
      </c>
      <c r="G2585" s="68">
        <v>7.42565410156132</v>
      </c>
      <c r="H2585" s="68">
        <v>272.485665770644</v>
      </c>
      <c r="I2585" s="69">
        <v>44322.967361111114</v>
      </c>
      <c r="J2585" s="69">
        <v>44322.96763888889</v>
      </c>
      <c r="K2585">
        <f>AVERAGE(H2582:H2586)</f>
        <v>183.739938</v>
      </c>
      <c r="L2585">
        <f>STDEV(H2582:H2586)</f>
        <v>61.52920252</v>
      </c>
      <c r="M2585" s="70">
        <v>272.485665770644</v>
      </c>
      <c r="N2585" s="70">
        <v>272.485665770644</v>
      </c>
      <c r="O2585" s="70">
        <v>7.42565410156132</v>
      </c>
      <c r="P2585" s="70">
        <v>7.42565410156132</v>
      </c>
    </row>
    <row r="2586" hidden="1">
      <c r="A2586" s="67" t="s">
        <v>3346</v>
      </c>
      <c r="B2586" s="67" t="s">
        <v>519</v>
      </c>
      <c r="C2586" s="68">
        <v>0.25</v>
      </c>
      <c r="D2586" s="68">
        <v>0.5</v>
      </c>
      <c r="E2586" s="68">
        <v>6.0</v>
      </c>
      <c r="F2586" s="68">
        <v>4.0</v>
      </c>
      <c r="G2586" s="68">
        <v>2.80348107464835</v>
      </c>
      <c r="H2586" s="68">
        <v>153.065806090272</v>
      </c>
      <c r="I2586" s="69">
        <v>44322.968356481484</v>
      </c>
      <c r="J2586" s="69">
        <v>44323.00072916667</v>
      </c>
      <c r="K2586">
        <f>AVERAGE(H2582:H2586)</f>
        <v>183.739938</v>
      </c>
      <c r="L2586">
        <f>STDEV(H2582:H2586)</f>
        <v>61.52920252</v>
      </c>
      <c r="M2586" s="70">
        <v>153.065806090272</v>
      </c>
      <c r="N2586" s="70">
        <v>153.065806090272</v>
      </c>
      <c r="O2586" s="70">
        <v>2.80348107464835</v>
      </c>
      <c r="P2586" s="70">
        <v>2.80348107464835</v>
      </c>
    </row>
    <row r="2587" hidden="1">
      <c r="A2587" s="67" t="s">
        <v>3347</v>
      </c>
      <c r="B2587" s="67" t="s">
        <v>519</v>
      </c>
      <c r="C2587" s="68">
        <v>0.25</v>
      </c>
      <c r="D2587" s="68">
        <v>0.75</v>
      </c>
      <c r="E2587" s="68">
        <v>6.0</v>
      </c>
      <c r="F2587" s="68">
        <v>0.0</v>
      </c>
      <c r="G2587" s="68">
        <v>2.71541413917437</v>
      </c>
      <c r="H2587" s="68">
        <v>132.073207436843</v>
      </c>
      <c r="I2587" s="69">
        <v>44323.001435185186</v>
      </c>
      <c r="J2587" s="69">
        <v>44323.017222222225</v>
      </c>
      <c r="K2587">
        <f>AVERAGE(H2587:H2591)</f>
        <v>109.5967872</v>
      </c>
      <c r="L2587">
        <f>STDEV(H2587:H2591)</f>
        <v>95.33822847</v>
      </c>
      <c r="M2587" s="70">
        <v>132.073207436843</v>
      </c>
      <c r="N2587" s="70">
        <v>132.073207436843</v>
      </c>
      <c r="O2587" s="70">
        <v>2.71541413917437</v>
      </c>
      <c r="P2587" s="70">
        <v>2.71541413917437</v>
      </c>
    </row>
    <row r="2588" hidden="1">
      <c r="A2588" s="67" t="s">
        <v>3348</v>
      </c>
      <c r="B2588" s="67" t="s">
        <v>519</v>
      </c>
      <c r="C2588" s="68">
        <v>0.25</v>
      </c>
      <c r="D2588" s="68">
        <v>0.75</v>
      </c>
      <c r="E2588" s="68">
        <v>6.0</v>
      </c>
      <c r="F2588" s="68">
        <v>1.0</v>
      </c>
      <c r="G2588" s="68">
        <v>1.49350386775565</v>
      </c>
      <c r="H2588" s="68">
        <v>20.0750076763122</v>
      </c>
      <c r="I2588" s="69">
        <v>44323.01793981482</v>
      </c>
      <c r="J2588" s="69">
        <v>44323.017962962964</v>
      </c>
      <c r="K2588">
        <f>AVERAGE(H2587:H2591)</f>
        <v>109.5967872</v>
      </c>
      <c r="L2588">
        <f>STDEV(H2587:H2591)</f>
        <v>95.33822847</v>
      </c>
      <c r="M2588" s="70">
        <v>20.0750076763122</v>
      </c>
      <c r="N2588" s="70">
        <v>20.0750076763122</v>
      </c>
      <c r="O2588" s="70">
        <v>1.49350386775565</v>
      </c>
      <c r="P2588" s="70">
        <v>1.49350386775565</v>
      </c>
    </row>
    <row r="2589" hidden="1">
      <c r="A2589" s="67" t="s">
        <v>3349</v>
      </c>
      <c r="B2589" s="67" t="s">
        <v>519</v>
      </c>
      <c r="C2589" s="68">
        <v>0.25</v>
      </c>
      <c r="D2589" s="68">
        <v>0.75</v>
      </c>
      <c r="E2589" s="68">
        <v>6.0</v>
      </c>
      <c r="F2589" s="68">
        <v>2.0</v>
      </c>
      <c r="G2589" s="68">
        <v>3.70535642415428</v>
      </c>
      <c r="H2589" s="68">
        <v>177.185758197547</v>
      </c>
      <c r="I2589" s="69">
        <v>44323.01868055556</v>
      </c>
      <c r="J2589" s="69">
        <v>44323.05849537037</v>
      </c>
      <c r="K2589">
        <f>AVERAGE(H2587:H2591)</f>
        <v>109.5967872</v>
      </c>
      <c r="L2589">
        <f>STDEV(H2587:H2591)</f>
        <v>95.33822847</v>
      </c>
      <c r="M2589" s="70">
        <v>177.185758197547</v>
      </c>
      <c r="N2589" s="70">
        <v>177.185758197547</v>
      </c>
      <c r="O2589" s="70">
        <v>3.70535642415428</v>
      </c>
      <c r="P2589" s="70">
        <v>3.70535642415428</v>
      </c>
    </row>
    <row r="2590" hidden="1">
      <c r="A2590" s="67" t="s">
        <v>3350</v>
      </c>
      <c r="B2590" s="67" t="s">
        <v>519</v>
      </c>
      <c r="C2590" s="68">
        <v>0.25</v>
      </c>
      <c r="D2590" s="68">
        <v>0.75</v>
      </c>
      <c r="E2590" s="68">
        <v>6.0</v>
      </c>
      <c r="F2590" s="68">
        <v>3.0</v>
      </c>
      <c r="G2590" s="68">
        <v>1.08813236561883</v>
      </c>
      <c r="H2590" s="68">
        <v>1.45988965629567</v>
      </c>
      <c r="I2590" s="69">
        <v>44323.059212962966</v>
      </c>
      <c r="J2590" s="69">
        <v>44323.05931712963</v>
      </c>
      <c r="K2590">
        <f>AVERAGE(H2587:H2591)</f>
        <v>109.5967872</v>
      </c>
      <c r="L2590">
        <f>STDEV(H2587:H2591)</f>
        <v>95.33822847</v>
      </c>
      <c r="M2590" s="70">
        <v>1.45988965629567</v>
      </c>
      <c r="N2590" s="70">
        <v>1.45988965629567</v>
      </c>
      <c r="O2590" s="70">
        <v>1.08813236561883</v>
      </c>
      <c r="P2590" s="70">
        <v>1.08813236561883</v>
      </c>
    </row>
    <row r="2591" hidden="1">
      <c r="A2591" s="67" t="s">
        <v>3351</v>
      </c>
      <c r="B2591" s="67" t="s">
        <v>519</v>
      </c>
      <c r="C2591" s="68">
        <v>0.25</v>
      </c>
      <c r="D2591" s="68">
        <v>0.75</v>
      </c>
      <c r="E2591" s="68">
        <v>6.0</v>
      </c>
      <c r="F2591" s="68">
        <v>4.0</v>
      </c>
      <c r="G2591" s="68">
        <v>9.06300812460613</v>
      </c>
      <c r="H2591" s="68">
        <v>217.190072968166</v>
      </c>
      <c r="I2591" s="69">
        <v>44323.06003472222</v>
      </c>
      <c r="J2591" s="69">
        <v>44323.06015046296</v>
      </c>
      <c r="K2591">
        <f>AVERAGE(H2587:H2591)</f>
        <v>109.5967872</v>
      </c>
      <c r="L2591">
        <f>STDEV(H2587:H2591)</f>
        <v>95.33822847</v>
      </c>
      <c r="M2591" s="70">
        <v>217.190072968166</v>
      </c>
      <c r="N2591" s="70">
        <v>217.190072968166</v>
      </c>
      <c r="O2591" s="70">
        <v>9.06300812460613</v>
      </c>
      <c r="P2591" s="70">
        <v>9.06300812460613</v>
      </c>
    </row>
    <row r="2592" hidden="1">
      <c r="A2592" s="67" t="s">
        <v>3352</v>
      </c>
      <c r="B2592" s="67" t="s">
        <v>519</v>
      </c>
      <c r="C2592" s="68">
        <v>0.25</v>
      </c>
      <c r="D2592" s="68">
        <v>1.0</v>
      </c>
      <c r="E2592" s="68">
        <v>6.0</v>
      </c>
      <c r="F2592" s="68">
        <v>0.0</v>
      </c>
      <c r="G2592" s="68">
        <v>4.64720989916221</v>
      </c>
      <c r="H2592" s="68">
        <v>168.083757691005</v>
      </c>
      <c r="I2592" s="69">
        <v>44323.06085648148</v>
      </c>
      <c r="J2592" s="69">
        <v>44323.0628125</v>
      </c>
      <c r="K2592">
        <f>AVERAGE(H2592:H2596)</f>
        <v>95.98002984</v>
      </c>
      <c r="L2592">
        <f>STDEV(H2592:H2596)</f>
        <v>87.61414562</v>
      </c>
      <c r="M2592" s="70">
        <v>168.083757691005</v>
      </c>
      <c r="N2592" s="70">
        <v>168.083757691005</v>
      </c>
      <c r="O2592" s="70">
        <v>4.64720989916221</v>
      </c>
      <c r="P2592" s="70">
        <v>4.64720989916221</v>
      </c>
    </row>
    <row r="2593" hidden="1">
      <c r="A2593" s="67" t="s">
        <v>3353</v>
      </c>
      <c r="B2593" s="67" t="s">
        <v>519</v>
      </c>
      <c r="C2593" s="68">
        <v>0.25</v>
      </c>
      <c r="D2593" s="68">
        <v>1.0</v>
      </c>
      <c r="E2593" s="68">
        <v>6.0</v>
      </c>
      <c r="F2593" s="68">
        <v>1.0</v>
      </c>
      <c r="G2593" s="68">
        <v>3.38344283587905</v>
      </c>
      <c r="H2593" s="68">
        <v>165.39698161974</v>
      </c>
      <c r="I2593" s="69">
        <v>44323.06351851852</v>
      </c>
      <c r="J2593" s="69">
        <v>44323.10395833333</v>
      </c>
      <c r="K2593">
        <f>AVERAGE(H2592:H2596)</f>
        <v>95.98002984</v>
      </c>
      <c r="L2593">
        <f>STDEV(H2592:H2596)</f>
        <v>87.61414562</v>
      </c>
      <c r="M2593" s="70">
        <v>165.39698161974</v>
      </c>
      <c r="N2593" s="70">
        <v>165.39698161974</v>
      </c>
      <c r="O2593" s="70">
        <v>3.38344283587905</v>
      </c>
      <c r="P2593" s="70">
        <v>3.38344283587905</v>
      </c>
    </row>
    <row r="2594" hidden="1">
      <c r="A2594" s="67" t="s">
        <v>3354</v>
      </c>
      <c r="B2594" s="67" t="s">
        <v>519</v>
      </c>
      <c r="C2594" s="68">
        <v>0.25</v>
      </c>
      <c r="D2594" s="68">
        <v>1.0</v>
      </c>
      <c r="E2594" s="68">
        <v>6.0</v>
      </c>
      <c r="F2594" s="68">
        <v>2.0</v>
      </c>
      <c r="G2594" s="68">
        <v>0.317145370870006</v>
      </c>
      <c r="H2594" s="68">
        <v>0.406115963760371</v>
      </c>
      <c r="I2594" s="69">
        <v>44323.104675925926</v>
      </c>
      <c r="J2594" s="69">
        <v>44323.104733796295</v>
      </c>
      <c r="K2594">
        <f>AVERAGE(H2592:H2596)</f>
        <v>95.98002984</v>
      </c>
      <c r="L2594">
        <f>STDEV(H2592:H2596)</f>
        <v>87.61414562</v>
      </c>
      <c r="M2594" s="70">
        <v>0.406115963760371</v>
      </c>
      <c r="N2594" s="70">
        <v>0.406115963760371</v>
      </c>
      <c r="O2594" s="70">
        <v>0.317145370870006</v>
      </c>
      <c r="P2594" s="70">
        <v>0.317145370870006</v>
      </c>
    </row>
    <row r="2595" hidden="1">
      <c r="A2595" s="67" t="s">
        <v>3355</v>
      </c>
      <c r="B2595" s="67" t="s">
        <v>519</v>
      </c>
      <c r="C2595" s="68">
        <v>0.25</v>
      </c>
      <c r="D2595" s="68">
        <v>1.0</v>
      </c>
      <c r="E2595" s="68">
        <v>6.0</v>
      </c>
      <c r="F2595" s="68">
        <v>3.0</v>
      </c>
      <c r="G2595" s="68">
        <v>2.95548026517831</v>
      </c>
      <c r="H2595" s="68">
        <v>145.45444758993</v>
      </c>
      <c r="I2595" s="69">
        <v>44323.10543981481</v>
      </c>
      <c r="J2595" s="69">
        <v>44323.10899305555</v>
      </c>
      <c r="K2595">
        <f>AVERAGE(H2592:H2596)</f>
        <v>95.98002984</v>
      </c>
      <c r="L2595">
        <f>STDEV(H2592:H2596)</f>
        <v>87.61414562</v>
      </c>
      <c r="M2595" s="70">
        <v>145.45444758993</v>
      </c>
      <c r="N2595" s="70">
        <v>145.45444758993</v>
      </c>
      <c r="O2595" s="70">
        <v>2.95548026517831</v>
      </c>
      <c r="P2595" s="70">
        <v>2.95548026517831</v>
      </c>
    </row>
    <row r="2596" hidden="1">
      <c r="A2596" s="67" t="s">
        <v>3356</v>
      </c>
      <c r="B2596" s="67" t="s">
        <v>519</v>
      </c>
      <c r="C2596" s="68">
        <v>0.25</v>
      </c>
      <c r="D2596" s="68">
        <v>1.0</v>
      </c>
      <c r="E2596" s="68">
        <v>6.0</v>
      </c>
      <c r="F2596" s="68">
        <v>4.0</v>
      </c>
      <c r="G2596" s="68">
        <v>0.466491018990041</v>
      </c>
      <c r="H2596" s="68">
        <v>0.558846337991739</v>
      </c>
      <c r="I2596" s="69">
        <v>44323.10971064815</v>
      </c>
      <c r="J2596" s="69">
        <v>44323.10988425926</v>
      </c>
      <c r="K2596">
        <f>AVERAGE(H2592:H2596)</f>
        <v>95.98002984</v>
      </c>
      <c r="L2596">
        <f>STDEV(H2592:H2596)</f>
        <v>87.61414562</v>
      </c>
      <c r="M2596" s="70">
        <v>0.558846337991739</v>
      </c>
      <c r="N2596" s="70">
        <v>0.558846337991739</v>
      </c>
      <c r="O2596" s="70">
        <v>0.466491018990041</v>
      </c>
      <c r="P2596" s="70">
        <v>0.466491018990041</v>
      </c>
    </row>
    <row r="2597" hidden="1">
      <c r="A2597" s="67" t="s">
        <v>3357</v>
      </c>
      <c r="B2597" s="67" t="s">
        <v>519</v>
      </c>
      <c r="C2597" s="68">
        <v>0.5</v>
      </c>
      <c r="D2597" s="68">
        <v>0.1</v>
      </c>
      <c r="E2597" s="68">
        <v>6.0</v>
      </c>
      <c r="F2597" s="68">
        <v>0.0</v>
      </c>
      <c r="G2597" s="68">
        <v>2.74047633669739</v>
      </c>
      <c r="H2597" s="68">
        <v>144.228636616941</v>
      </c>
      <c r="I2597" s="69">
        <v>44323.110601851855</v>
      </c>
      <c r="J2597" s="69">
        <v>44323.158321759256</v>
      </c>
      <c r="K2597">
        <f>AVERAGE(H2597:H2601)</f>
        <v>146.2914517</v>
      </c>
      <c r="L2597">
        <f>STDEV(H2597:H2601)</f>
        <v>31.04118015</v>
      </c>
      <c r="M2597" s="70">
        <v>144.228636616941</v>
      </c>
      <c r="N2597" s="70">
        <v>144.228636616941</v>
      </c>
      <c r="O2597" s="70">
        <v>2.74047633669739</v>
      </c>
      <c r="P2597" s="70">
        <v>2.74047633669739</v>
      </c>
    </row>
    <row r="2598" hidden="1">
      <c r="A2598" s="67" t="s">
        <v>3358</v>
      </c>
      <c r="B2598" s="67" t="s">
        <v>519</v>
      </c>
      <c r="C2598" s="68">
        <v>0.5</v>
      </c>
      <c r="D2598" s="68">
        <v>0.1</v>
      </c>
      <c r="E2598" s="68">
        <v>6.0</v>
      </c>
      <c r="F2598" s="68">
        <v>1.0</v>
      </c>
      <c r="G2598" s="68">
        <v>4.69821623557176</v>
      </c>
      <c r="H2598" s="68">
        <v>186.087679515635</v>
      </c>
      <c r="I2598" s="69">
        <v>44323.15902777778</v>
      </c>
      <c r="J2598" s="69">
        <v>44323.161469907405</v>
      </c>
      <c r="K2598">
        <f>AVERAGE(H2597:H2601)</f>
        <v>146.2914517</v>
      </c>
      <c r="L2598">
        <f>STDEV(H2597:H2601)</f>
        <v>31.04118015</v>
      </c>
      <c r="M2598" s="70">
        <v>186.087679515635</v>
      </c>
      <c r="N2598" s="70">
        <v>186.087679515635</v>
      </c>
      <c r="O2598" s="70">
        <v>4.69821623557176</v>
      </c>
      <c r="P2598" s="70">
        <v>4.69821623557176</v>
      </c>
    </row>
    <row r="2599" hidden="1">
      <c r="A2599" s="67" t="s">
        <v>3359</v>
      </c>
      <c r="B2599" s="67" t="s">
        <v>519</v>
      </c>
      <c r="C2599" s="68">
        <v>0.5</v>
      </c>
      <c r="D2599" s="68">
        <v>0.1</v>
      </c>
      <c r="E2599" s="68">
        <v>6.0</v>
      </c>
      <c r="F2599" s="68">
        <v>2.0</v>
      </c>
      <c r="G2599" s="68">
        <v>4.35249322000011</v>
      </c>
      <c r="H2599" s="68">
        <v>163.582806236445</v>
      </c>
      <c r="I2599" s="69">
        <v>44323.16217592593</v>
      </c>
      <c r="J2599" s="69">
        <v>44323.16273148148</v>
      </c>
      <c r="K2599">
        <f>AVERAGE(H2597:H2601)</f>
        <v>146.2914517</v>
      </c>
      <c r="L2599">
        <f>STDEV(H2597:H2601)</f>
        <v>31.04118015</v>
      </c>
      <c r="M2599" s="70">
        <v>163.582806236445</v>
      </c>
      <c r="N2599" s="70">
        <v>163.582806236445</v>
      </c>
      <c r="O2599" s="70">
        <v>4.35249322000011</v>
      </c>
      <c r="P2599" s="70">
        <v>4.35249322000011</v>
      </c>
    </row>
    <row r="2600" hidden="1">
      <c r="A2600" s="67" t="s">
        <v>3360</v>
      </c>
      <c r="B2600" s="67" t="s">
        <v>519</v>
      </c>
      <c r="C2600" s="68">
        <v>0.5</v>
      </c>
      <c r="D2600" s="68">
        <v>0.1</v>
      </c>
      <c r="E2600" s="68">
        <v>6.0</v>
      </c>
      <c r="F2600" s="68">
        <v>3.0</v>
      </c>
      <c r="G2600" s="68">
        <v>2.55606486099939</v>
      </c>
      <c r="H2600" s="68">
        <v>103.722988582077</v>
      </c>
      <c r="I2600" s="69">
        <v>44323.1634375</v>
      </c>
      <c r="J2600" s="69">
        <v>44323.16386574074</v>
      </c>
      <c r="K2600">
        <f>AVERAGE(H2597:H2601)</f>
        <v>146.2914517</v>
      </c>
      <c r="L2600">
        <f>STDEV(H2597:H2601)</f>
        <v>31.04118015</v>
      </c>
      <c r="M2600" s="70">
        <v>103.722988582077</v>
      </c>
      <c r="N2600" s="70">
        <v>103.722988582077</v>
      </c>
      <c r="O2600" s="70">
        <v>2.55606486099939</v>
      </c>
      <c r="P2600" s="70">
        <v>2.55606486099939</v>
      </c>
    </row>
    <row r="2601" hidden="1">
      <c r="A2601" s="67" t="s">
        <v>3361</v>
      </c>
      <c r="B2601" s="67" t="s">
        <v>519</v>
      </c>
      <c r="C2601" s="68">
        <v>0.5</v>
      </c>
      <c r="D2601" s="68">
        <v>0.1</v>
      </c>
      <c r="E2601" s="68">
        <v>6.0</v>
      </c>
      <c r="F2601" s="68">
        <v>4.0</v>
      </c>
      <c r="G2601" s="68">
        <v>5.72108180860507</v>
      </c>
      <c r="H2601" s="68">
        <v>133.835147609404</v>
      </c>
      <c r="I2601" s="69">
        <v>44323.16458333333</v>
      </c>
      <c r="J2601" s="69">
        <v>44323.164618055554</v>
      </c>
      <c r="K2601">
        <f>AVERAGE(H2597:H2601)</f>
        <v>146.2914517</v>
      </c>
      <c r="L2601">
        <f>STDEV(H2597:H2601)</f>
        <v>31.04118015</v>
      </c>
      <c r="M2601" s="70">
        <v>133.835147609404</v>
      </c>
      <c r="N2601" s="70">
        <v>133.835147609404</v>
      </c>
      <c r="O2601" s="70">
        <v>5.72108180860507</v>
      </c>
      <c r="P2601" s="70">
        <v>5.72108180860507</v>
      </c>
    </row>
    <row r="2602" hidden="1">
      <c r="A2602" s="67" t="s">
        <v>3362</v>
      </c>
      <c r="B2602" s="67" t="s">
        <v>519</v>
      </c>
      <c r="C2602" s="68">
        <v>0.5</v>
      </c>
      <c r="D2602" s="68">
        <v>0.25</v>
      </c>
      <c r="E2602" s="68">
        <v>6.0</v>
      </c>
      <c r="F2602" s="68">
        <v>0.0</v>
      </c>
      <c r="G2602" s="68">
        <v>1.08269881214681</v>
      </c>
      <c r="H2602" s="68">
        <v>1.45225338817616</v>
      </c>
      <c r="I2602" s="69">
        <v>44323.16533564815</v>
      </c>
      <c r="J2602" s="69">
        <v>44323.165451388886</v>
      </c>
      <c r="K2602">
        <f>AVERAGE(H2602:H2606)</f>
        <v>88.55854235</v>
      </c>
      <c r="L2602">
        <f>STDEV(H2602:H2606)</f>
        <v>88.39379009</v>
      </c>
      <c r="M2602" s="70">
        <v>1.45225338817616</v>
      </c>
      <c r="N2602" s="70">
        <v>1.45225338817616</v>
      </c>
      <c r="O2602" s="70">
        <v>1.08269881214681</v>
      </c>
      <c r="P2602" s="70">
        <v>1.08269881214681</v>
      </c>
    </row>
    <row r="2603" hidden="1">
      <c r="A2603" s="67" t="s">
        <v>3363</v>
      </c>
      <c r="B2603" s="67" t="s">
        <v>519</v>
      </c>
      <c r="C2603" s="68">
        <v>0.5</v>
      </c>
      <c r="D2603" s="68">
        <v>0.25</v>
      </c>
      <c r="E2603" s="68">
        <v>6.0</v>
      </c>
      <c r="F2603" s="68">
        <v>1.0</v>
      </c>
      <c r="G2603" s="68">
        <v>0.317145370870006</v>
      </c>
      <c r="H2603" s="68">
        <v>0.406115963760371</v>
      </c>
      <c r="I2603" s="69">
        <v>44323.16615740741</v>
      </c>
      <c r="J2603" s="69">
        <v>44323.16621527778</v>
      </c>
      <c r="K2603">
        <f>AVERAGE(H2602:H2606)</f>
        <v>88.55854235</v>
      </c>
      <c r="L2603">
        <f>STDEV(H2602:H2606)</f>
        <v>88.39379009</v>
      </c>
      <c r="M2603" s="70">
        <v>0.406115963760371</v>
      </c>
      <c r="N2603" s="70">
        <v>0.406115963760371</v>
      </c>
      <c r="O2603" s="70">
        <v>0.317145370870006</v>
      </c>
      <c r="P2603" s="70">
        <v>0.317145370870006</v>
      </c>
    </row>
    <row r="2604" hidden="1">
      <c r="A2604" s="67" t="s">
        <v>3364</v>
      </c>
      <c r="B2604" s="67" t="s">
        <v>519</v>
      </c>
      <c r="C2604" s="68">
        <v>0.5</v>
      </c>
      <c r="D2604" s="68">
        <v>0.25</v>
      </c>
      <c r="E2604" s="68">
        <v>6.0</v>
      </c>
      <c r="F2604" s="68">
        <v>2.0</v>
      </c>
      <c r="G2604" s="68">
        <v>1.74534689793927</v>
      </c>
      <c r="H2604" s="68">
        <v>86.3947924171575</v>
      </c>
      <c r="I2604" s="69">
        <v>44323.16693287037</v>
      </c>
      <c r="J2604" s="69">
        <v>44323.16784722222</v>
      </c>
      <c r="K2604">
        <f>AVERAGE(H2602:H2606)</f>
        <v>88.55854235</v>
      </c>
      <c r="L2604">
        <f>STDEV(H2602:H2606)</f>
        <v>88.39379009</v>
      </c>
      <c r="M2604" s="70">
        <v>86.3947924171575</v>
      </c>
      <c r="N2604" s="70">
        <v>86.3947924171575</v>
      </c>
      <c r="O2604" s="70">
        <v>1.74534689793927</v>
      </c>
      <c r="P2604" s="70">
        <v>1.74534689793927</v>
      </c>
    </row>
    <row r="2605" hidden="1">
      <c r="A2605" s="67" t="s">
        <v>3365</v>
      </c>
      <c r="B2605" s="67" t="s">
        <v>519</v>
      </c>
      <c r="C2605" s="68">
        <v>0.5</v>
      </c>
      <c r="D2605" s="68">
        <v>0.25</v>
      </c>
      <c r="E2605" s="68">
        <v>6.0</v>
      </c>
      <c r="F2605" s="68">
        <v>3.0</v>
      </c>
      <c r="G2605" s="68">
        <v>5.05190275469401</v>
      </c>
      <c r="H2605" s="68">
        <v>185.971649621572</v>
      </c>
      <c r="I2605" s="69">
        <v>44323.16855324074</v>
      </c>
      <c r="J2605" s="69">
        <v>44323.171435185184</v>
      </c>
      <c r="K2605">
        <f>AVERAGE(H2602:H2606)</f>
        <v>88.55854235</v>
      </c>
      <c r="L2605">
        <f>STDEV(H2602:H2606)</f>
        <v>88.39379009</v>
      </c>
      <c r="M2605" s="70">
        <v>185.971649621572</v>
      </c>
      <c r="N2605" s="70">
        <v>185.971649621572</v>
      </c>
      <c r="O2605" s="70">
        <v>5.05190275469401</v>
      </c>
      <c r="P2605" s="70">
        <v>5.05190275469401</v>
      </c>
    </row>
    <row r="2606" hidden="1">
      <c r="A2606" s="67" t="s">
        <v>3366</v>
      </c>
      <c r="B2606" s="67" t="s">
        <v>519</v>
      </c>
      <c r="C2606" s="68">
        <v>0.5</v>
      </c>
      <c r="D2606" s="68">
        <v>0.25</v>
      </c>
      <c r="E2606" s="68">
        <v>6.0</v>
      </c>
      <c r="F2606" s="68">
        <v>4.0</v>
      </c>
      <c r="G2606" s="68">
        <v>3.35790625923241</v>
      </c>
      <c r="H2606" s="68">
        <v>168.567900351866</v>
      </c>
      <c r="I2606" s="69">
        <v>44323.17215277778</v>
      </c>
      <c r="J2606" s="69">
        <v>44323.22116898148</v>
      </c>
      <c r="K2606">
        <f>AVERAGE(H2602:H2606)</f>
        <v>88.55854235</v>
      </c>
      <c r="L2606">
        <f>STDEV(H2602:H2606)</f>
        <v>88.39379009</v>
      </c>
      <c r="M2606" s="70">
        <v>168.567900351866</v>
      </c>
      <c r="N2606" s="70">
        <v>168.567900351866</v>
      </c>
      <c r="O2606" s="70">
        <v>3.35790625923241</v>
      </c>
      <c r="P2606" s="70">
        <v>3.35790625923241</v>
      </c>
    </row>
    <row r="2607" hidden="1">
      <c r="A2607" s="67" t="s">
        <v>3367</v>
      </c>
      <c r="B2607" s="67" t="s">
        <v>519</v>
      </c>
      <c r="C2607" s="68">
        <v>0.5</v>
      </c>
      <c r="D2607" s="68">
        <v>0.5</v>
      </c>
      <c r="E2607" s="68">
        <v>6.0</v>
      </c>
      <c r="F2607" s="68">
        <v>0.0</v>
      </c>
      <c r="G2607" s="68">
        <v>0.713041339998514</v>
      </c>
      <c r="H2607" s="68">
        <v>0.949747853046422</v>
      </c>
      <c r="I2607" s="69">
        <v>44323.22188657407</v>
      </c>
      <c r="J2607" s="69">
        <v>44323.22211805556</v>
      </c>
      <c r="K2607">
        <f>AVERAGE(H2607:H2611)</f>
        <v>84.76807974</v>
      </c>
      <c r="L2607">
        <f>STDEV(H2607:H2611)</f>
        <v>82.9412821</v>
      </c>
      <c r="M2607" s="70">
        <v>0.949747853046422</v>
      </c>
      <c r="N2607" s="70">
        <v>0.949747853046422</v>
      </c>
      <c r="O2607" s="70">
        <v>0.713041339998514</v>
      </c>
      <c r="P2607" s="70">
        <v>0.713041339998514</v>
      </c>
    </row>
    <row r="2608" hidden="1">
      <c r="A2608" s="67" t="s">
        <v>3368</v>
      </c>
      <c r="B2608" s="67" t="s">
        <v>519</v>
      </c>
      <c r="C2608" s="68">
        <v>0.5</v>
      </c>
      <c r="D2608" s="68">
        <v>0.5</v>
      </c>
      <c r="E2608" s="68">
        <v>6.0</v>
      </c>
      <c r="F2608" s="68">
        <v>1.0</v>
      </c>
      <c r="G2608" s="68">
        <v>1.71968484439929</v>
      </c>
      <c r="H2608" s="68">
        <v>89.5880522403405</v>
      </c>
      <c r="I2608" s="69">
        <v>44323.22282407407</v>
      </c>
      <c r="J2608" s="69">
        <v>44323.22361111111</v>
      </c>
      <c r="K2608">
        <f>AVERAGE(H2607:H2611)</f>
        <v>84.76807974</v>
      </c>
      <c r="L2608">
        <f>STDEV(H2607:H2611)</f>
        <v>82.9412821</v>
      </c>
      <c r="M2608" s="70">
        <v>89.5880522403405</v>
      </c>
      <c r="N2608" s="70">
        <v>89.5880522403405</v>
      </c>
      <c r="O2608" s="70">
        <v>1.71968484439929</v>
      </c>
      <c r="P2608" s="70">
        <v>1.71968484439929</v>
      </c>
    </row>
    <row r="2609" hidden="1">
      <c r="A2609" s="67" t="s">
        <v>3369</v>
      </c>
      <c r="B2609" s="67" t="s">
        <v>519</v>
      </c>
      <c r="C2609" s="68">
        <v>0.5</v>
      </c>
      <c r="D2609" s="68">
        <v>0.5</v>
      </c>
      <c r="E2609" s="68">
        <v>6.0</v>
      </c>
      <c r="F2609" s="68">
        <v>2.0</v>
      </c>
      <c r="G2609" s="68">
        <v>4.82697802300394</v>
      </c>
      <c r="H2609" s="68">
        <v>175.550382022448</v>
      </c>
      <c r="I2609" s="69">
        <v>44323.224328703705</v>
      </c>
      <c r="J2609" s="69">
        <v>44323.23457175926</v>
      </c>
      <c r="K2609">
        <f>AVERAGE(H2607:H2611)</f>
        <v>84.76807974</v>
      </c>
      <c r="L2609">
        <f>STDEV(H2607:H2611)</f>
        <v>82.9412821</v>
      </c>
      <c r="M2609" s="70">
        <v>175.550382022448</v>
      </c>
      <c r="N2609" s="70">
        <v>175.550382022448</v>
      </c>
      <c r="O2609" s="70">
        <v>4.82697802300394</v>
      </c>
      <c r="P2609" s="70">
        <v>4.82697802300394</v>
      </c>
    </row>
    <row r="2610" hidden="1">
      <c r="A2610" s="67" t="s">
        <v>3370</v>
      </c>
      <c r="B2610" s="67" t="s">
        <v>519</v>
      </c>
      <c r="C2610" s="68">
        <v>0.5</v>
      </c>
      <c r="D2610" s="68">
        <v>0.5</v>
      </c>
      <c r="E2610" s="68">
        <v>6.0</v>
      </c>
      <c r="F2610" s="68">
        <v>3.0</v>
      </c>
      <c r="G2610" s="68">
        <v>0.568473620369333</v>
      </c>
      <c r="H2610" s="68">
        <v>0.910015819018825</v>
      </c>
      <c r="I2610" s="69">
        <v>44323.23601851852</v>
      </c>
      <c r="J2610" s="69">
        <v>44323.23604166666</v>
      </c>
      <c r="K2610">
        <f>AVERAGE(H2607:H2611)</f>
        <v>84.76807974</v>
      </c>
      <c r="L2610">
        <f>STDEV(H2607:H2611)</f>
        <v>82.9412821</v>
      </c>
      <c r="M2610" s="70">
        <v>0.910015819018825</v>
      </c>
      <c r="N2610" s="70">
        <v>0.910015819018825</v>
      </c>
      <c r="O2610" s="70">
        <v>0.568473620369333</v>
      </c>
      <c r="P2610" s="70">
        <v>0.568473620369333</v>
      </c>
    </row>
    <row r="2611" hidden="1">
      <c r="A2611" s="67" t="s">
        <v>3371</v>
      </c>
      <c r="B2611" s="67" t="s">
        <v>519</v>
      </c>
      <c r="C2611" s="68">
        <v>0.5</v>
      </c>
      <c r="D2611" s="68">
        <v>0.5</v>
      </c>
      <c r="E2611" s="68">
        <v>6.0</v>
      </c>
      <c r="F2611" s="68">
        <v>4.0</v>
      </c>
      <c r="G2611" s="68">
        <v>2.87666738460496</v>
      </c>
      <c r="H2611" s="68">
        <v>156.842200757211</v>
      </c>
      <c r="I2611" s="69">
        <v>44323.236759259256</v>
      </c>
      <c r="J2611" s="69">
        <v>44323.27296296296</v>
      </c>
      <c r="K2611">
        <f>AVERAGE(H2607:H2611)</f>
        <v>84.76807974</v>
      </c>
      <c r="L2611">
        <f>STDEV(H2607:H2611)</f>
        <v>82.9412821</v>
      </c>
      <c r="M2611" s="70">
        <v>156.842200757211</v>
      </c>
      <c r="N2611" s="70">
        <v>156.842200757211</v>
      </c>
      <c r="O2611" s="70">
        <v>2.87666738460496</v>
      </c>
      <c r="P2611" s="70">
        <v>2.87666738460496</v>
      </c>
    </row>
    <row r="2612" hidden="1">
      <c r="A2612" s="67" t="s">
        <v>3372</v>
      </c>
      <c r="B2612" s="67" t="s">
        <v>519</v>
      </c>
      <c r="C2612" s="68">
        <v>0.5</v>
      </c>
      <c r="D2612" s="68">
        <v>0.75</v>
      </c>
      <c r="E2612" s="68">
        <v>6.0</v>
      </c>
      <c r="F2612" s="68">
        <v>0.0</v>
      </c>
      <c r="G2612" s="68">
        <v>6.65049942303669</v>
      </c>
      <c r="H2612" s="68">
        <v>131.358587837656</v>
      </c>
      <c r="I2612" s="69">
        <v>44323.273680555554</v>
      </c>
      <c r="J2612" s="69">
        <v>44323.27369212963</v>
      </c>
      <c r="K2612">
        <f>AVERAGE(H2612:H2616)</f>
        <v>124.6646753</v>
      </c>
      <c r="L2612">
        <f>STDEV(H2612:H2616)</f>
        <v>82.82084352</v>
      </c>
      <c r="M2612" s="70">
        <v>131.358587837656</v>
      </c>
      <c r="N2612" s="70">
        <v>131.358587837656</v>
      </c>
      <c r="O2612" s="70">
        <v>6.65049942303669</v>
      </c>
      <c r="P2612" s="70">
        <v>6.65049942303669</v>
      </c>
    </row>
    <row r="2613" hidden="1">
      <c r="A2613" s="67" t="s">
        <v>3373</v>
      </c>
      <c r="B2613" s="67" t="s">
        <v>519</v>
      </c>
      <c r="C2613" s="68">
        <v>0.5</v>
      </c>
      <c r="D2613" s="68">
        <v>0.75</v>
      </c>
      <c r="E2613" s="68">
        <v>6.0</v>
      </c>
      <c r="F2613" s="68">
        <v>1.0</v>
      </c>
      <c r="G2613" s="68">
        <v>0.574068586005543</v>
      </c>
      <c r="H2613" s="68">
        <v>2.89593877444677</v>
      </c>
      <c r="I2613" s="69">
        <v>44323.274409722224</v>
      </c>
      <c r="J2613" s="69">
        <v>44323.27543981482</v>
      </c>
      <c r="K2613">
        <f>AVERAGE(H2612:H2616)</f>
        <v>124.6646753</v>
      </c>
      <c r="L2613">
        <f>STDEV(H2612:H2616)</f>
        <v>82.82084352</v>
      </c>
      <c r="M2613" s="70">
        <v>2.89593877444677</v>
      </c>
      <c r="N2613" s="70">
        <v>2.89593877444677</v>
      </c>
      <c r="O2613" s="70">
        <v>0.574068586005543</v>
      </c>
      <c r="P2613" s="70">
        <v>0.574068586005543</v>
      </c>
    </row>
    <row r="2614" hidden="1">
      <c r="A2614" s="67" t="s">
        <v>3374</v>
      </c>
      <c r="B2614" s="67" t="s">
        <v>519</v>
      </c>
      <c r="C2614" s="68">
        <v>0.5</v>
      </c>
      <c r="D2614" s="68">
        <v>0.75</v>
      </c>
      <c r="E2614" s="68">
        <v>6.0</v>
      </c>
      <c r="F2614" s="68">
        <v>2.0</v>
      </c>
      <c r="G2614" s="68">
        <v>3.75336085180749</v>
      </c>
      <c r="H2614" s="68">
        <v>175.574437327094</v>
      </c>
      <c r="I2614" s="69">
        <v>44323.27615740741</v>
      </c>
      <c r="J2614" s="69">
        <v>44323.33898148148</v>
      </c>
      <c r="K2614">
        <f>AVERAGE(H2612:H2616)</f>
        <v>124.6646753</v>
      </c>
      <c r="L2614">
        <f>STDEV(H2612:H2616)</f>
        <v>82.82084352</v>
      </c>
      <c r="M2614" s="70">
        <v>175.574437327094</v>
      </c>
      <c r="N2614" s="70">
        <v>175.574437327094</v>
      </c>
      <c r="O2614" s="70">
        <v>3.75336085180749</v>
      </c>
      <c r="P2614" s="70">
        <v>3.75336085180749</v>
      </c>
    </row>
    <row r="2615" hidden="1">
      <c r="A2615" s="67" t="s">
        <v>3375</v>
      </c>
      <c r="B2615" s="67" t="s">
        <v>519</v>
      </c>
      <c r="C2615" s="68">
        <v>0.5</v>
      </c>
      <c r="D2615" s="68">
        <v>0.75</v>
      </c>
      <c r="E2615" s="68">
        <v>6.0</v>
      </c>
      <c r="F2615" s="68">
        <v>3.0</v>
      </c>
      <c r="G2615" s="68">
        <v>2.14017586986329</v>
      </c>
      <c r="H2615" s="68">
        <v>93.8411119517363</v>
      </c>
      <c r="I2615" s="69">
        <v>44323.33969907407</v>
      </c>
      <c r="J2615" s="69">
        <v>44323.34018518519</v>
      </c>
      <c r="K2615">
        <f>AVERAGE(H2612:H2616)</f>
        <v>124.6646753</v>
      </c>
      <c r="L2615">
        <f>STDEV(H2612:H2616)</f>
        <v>82.82084352</v>
      </c>
      <c r="M2615" s="70">
        <v>93.8411119517363</v>
      </c>
      <c r="N2615" s="70">
        <v>93.8411119517363</v>
      </c>
      <c r="O2615" s="70">
        <v>2.14017586986329</v>
      </c>
      <c r="P2615" s="70">
        <v>2.14017586986329</v>
      </c>
    </row>
    <row r="2616" hidden="1">
      <c r="A2616" s="67" t="s">
        <v>3376</v>
      </c>
      <c r="B2616" s="67" t="s">
        <v>519</v>
      </c>
      <c r="C2616" s="68">
        <v>0.5</v>
      </c>
      <c r="D2616" s="68">
        <v>0.75</v>
      </c>
      <c r="E2616" s="68">
        <v>6.0</v>
      </c>
      <c r="F2616" s="68">
        <v>4.0</v>
      </c>
      <c r="G2616" s="68">
        <v>9.11880972453763</v>
      </c>
      <c r="H2616" s="68">
        <v>219.653300406362</v>
      </c>
      <c r="I2616" s="69">
        <v>44323.340902777774</v>
      </c>
      <c r="J2616" s="69">
        <v>44323.34101851852</v>
      </c>
      <c r="K2616">
        <f>AVERAGE(H2612:H2616)</f>
        <v>124.6646753</v>
      </c>
      <c r="L2616">
        <f>STDEV(H2612:H2616)</f>
        <v>82.82084352</v>
      </c>
      <c r="M2616" s="70">
        <v>219.653300406362</v>
      </c>
      <c r="N2616" s="70">
        <v>219.653300406362</v>
      </c>
      <c r="O2616" s="70">
        <v>9.11880972453763</v>
      </c>
      <c r="P2616" s="70">
        <v>9.11880972453763</v>
      </c>
    </row>
    <row r="2617" hidden="1">
      <c r="A2617" s="67" t="s">
        <v>3377</v>
      </c>
      <c r="B2617" s="67" t="s">
        <v>519</v>
      </c>
      <c r="C2617" s="68">
        <v>0.5</v>
      </c>
      <c r="D2617" s="68">
        <v>1.0</v>
      </c>
      <c r="E2617" s="68">
        <v>6.0</v>
      </c>
      <c r="F2617" s="68">
        <v>0.0</v>
      </c>
      <c r="G2617" s="68">
        <v>2.60760562342557</v>
      </c>
      <c r="H2617" s="68">
        <v>135.962318970877</v>
      </c>
      <c r="I2617" s="69">
        <v>44323.34173611111</v>
      </c>
      <c r="J2617" s="69">
        <v>44323.341944444444</v>
      </c>
      <c r="K2617">
        <f>AVERAGE(H2617:H2621)</f>
        <v>139.9726467</v>
      </c>
      <c r="L2617">
        <f>STDEV(H2617:H2621)</f>
        <v>83.05846269</v>
      </c>
      <c r="M2617" s="70">
        <v>135.962318970877</v>
      </c>
      <c r="N2617" s="70">
        <v>135.962318970877</v>
      </c>
      <c r="O2617" s="70">
        <v>2.60760562342557</v>
      </c>
      <c r="P2617" s="70">
        <v>2.60760562342557</v>
      </c>
    </row>
    <row r="2618" hidden="1">
      <c r="A2618" s="67" t="s">
        <v>3378</v>
      </c>
      <c r="B2618" s="67" t="s">
        <v>519</v>
      </c>
      <c r="C2618" s="68">
        <v>0.5</v>
      </c>
      <c r="D2618" s="68">
        <v>1.0</v>
      </c>
      <c r="E2618" s="68">
        <v>6.0</v>
      </c>
      <c r="F2618" s="68">
        <v>1.0</v>
      </c>
      <c r="G2618" s="68">
        <v>3.51807410429385</v>
      </c>
      <c r="H2618" s="68">
        <v>169.325981863218</v>
      </c>
      <c r="I2618" s="69">
        <v>44323.34266203704</v>
      </c>
      <c r="J2618" s="69">
        <v>44323.416284722225</v>
      </c>
      <c r="K2618">
        <f>AVERAGE(H2617:H2621)</f>
        <v>139.9726467</v>
      </c>
      <c r="L2618">
        <f>STDEV(H2617:H2621)</f>
        <v>83.05846269</v>
      </c>
      <c r="M2618" s="70">
        <v>169.325981863218</v>
      </c>
      <c r="N2618" s="70">
        <v>169.325981863218</v>
      </c>
      <c r="O2618" s="70">
        <v>3.51807410429385</v>
      </c>
      <c r="P2618" s="70">
        <v>3.51807410429385</v>
      </c>
    </row>
    <row r="2619" hidden="1">
      <c r="A2619" s="67" t="s">
        <v>3379</v>
      </c>
      <c r="B2619" s="67" t="s">
        <v>519</v>
      </c>
      <c r="C2619" s="68">
        <v>0.5</v>
      </c>
      <c r="D2619" s="68">
        <v>1.0</v>
      </c>
      <c r="E2619" s="68">
        <v>6.0</v>
      </c>
      <c r="F2619" s="68">
        <v>2.0</v>
      </c>
      <c r="G2619" s="68">
        <v>9.1626152265726</v>
      </c>
      <c r="H2619" s="68">
        <v>218.622895062689</v>
      </c>
      <c r="I2619" s="69">
        <v>44323.41699074074</v>
      </c>
      <c r="J2619" s="69">
        <v>44323.41710648148</v>
      </c>
      <c r="K2619">
        <f>AVERAGE(H2617:H2621)</f>
        <v>139.9726467</v>
      </c>
      <c r="L2619">
        <f>STDEV(H2617:H2621)</f>
        <v>83.05846269</v>
      </c>
      <c r="M2619" s="70">
        <v>218.622895062689</v>
      </c>
      <c r="N2619" s="70">
        <v>218.622895062689</v>
      </c>
      <c r="O2619" s="70">
        <v>9.1626152265726</v>
      </c>
      <c r="P2619" s="70">
        <v>9.1626152265726</v>
      </c>
    </row>
    <row r="2620" hidden="1">
      <c r="A2620" s="67" t="s">
        <v>3380</v>
      </c>
      <c r="B2620" s="67" t="s">
        <v>519</v>
      </c>
      <c r="C2620" s="68">
        <v>0.5</v>
      </c>
      <c r="D2620" s="68">
        <v>1.0</v>
      </c>
      <c r="E2620" s="68">
        <v>6.0</v>
      </c>
      <c r="F2620" s="68">
        <v>3.0</v>
      </c>
      <c r="G2620" s="68">
        <v>0.740058628443258</v>
      </c>
      <c r="H2620" s="68">
        <v>1.01633940809082</v>
      </c>
      <c r="I2620" s="69">
        <v>44323.41782407407</v>
      </c>
      <c r="J2620" s="69">
        <v>44323.41866898148</v>
      </c>
      <c r="K2620">
        <f>AVERAGE(H2617:H2621)</f>
        <v>139.9726467</v>
      </c>
      <c r="L2620">
        <f>STDEV(H2617:H2621)</f>
        <v>83.05846269</v>
      </c>
      <c r="M2620" s="70">
        <v>1.01633940809082</v>
      </c>
      <c r="N2620" s="70">
        <v>1.01633940809082</v>
      </c>
      <c r="O2620" s="70">
        <v>0.740058628443258</v>
      </c>
      <c r="P2620" s="70">
        <v>0.740058628443258</v>
      </c>
    </row>
    <row r="2621" hidden="1">
      <c r="A2621" s="67" t="s">
        <v>3381</v>
      </c>
      <c r="B2621" s="67" t="s">
        <v>519</v>
      </c>
      <c r="C2621" s="68">
        <v>0.5</v>
      </c>
      <c r="D2621" s="68">
        <v>1.0</v>
      </c>
      <c r="E2621" s="68">
        <v>6.0</v>
      </c>
      <c r="F2621" s="68">
        <v>4.0</v>
      </c>
      <c r="G2621" s="68">
        <v>5.73160132311728</v>
      </c>
      <c r="H2621" s="68">
        <v>174.935698338078</v>
      </c>
      <c r="I2621" s="69">
        <v>44323.419386574074</v>
      </c>
      <c r="J2621" s="69">
        <v>44323.41952546296</v>
      </c>
      <c r="K2621">
        <f>AVERAGE(H2617:H2621)</f>
        <v>139.9726467</v>
      </c>
      <c r="L2621">
        <f>STDEV(H2617:H2621)</f>
        <v>83.05846269</v>
      </c>
      <c r="M2621" s="70">
        <v>174.935698338078</v>
      </c>
      <c r="N2621" s="70">
        <v>174.935698338078</v>
      </c>
      <c r="O2621" s="70">
        <v>5.73160132311728</v>
      </c>
      <c r="P2621" s="70">
        <v>5.73160132311728</v>
      </c>
    </row>
    <row r="2622" hidden="1">
      <c r="A2622" s="67" t="s">
        <v>3382</v>
      </c>
      <c r="B2622" s="67" t="s">
        <v>519</v>
      </c>
      <c r="C2622" s="68">
        <v>0.75</v>
      </c>
      <c r="D2622" s="68">
        <v>0.1</v>
      </c>
      <c r="E2622" s="68">
        <v>6.0</v>
      </c>
      <c r="F2622" s="68">
        <v>0.0</v>
      </c>
      <c r="G2622" s="68">
        <v>4.49587990721596</v>
      </c>
      <c r="H2622" s="68">
        <v>167.311816871959</v>
      </c>
      <c r="I2622" s="69">
        <v>44323.42024305555</v>
      </c>
      <c r="J2622" s="69">
        <v>44323.42039351852</v>
      </c>
      <c r="K2622">
        <f>AVERAGE(H2622:H2626)</f>
        <v>170.9437978</v>
      </c>
      <c r="L2622">
        <f>STDEV(H2622:H2626)</f>
        <v>28.13747043</v>
      </c>
      <c r="M2622" s="70">
        <v>167.311816871959</v>
      </c>
      <c r="N2622" s="70">
        <v>167.311816871959</v>
      </c>
      <c r="O2622" s="70">
        <v>4.49587990721596</v>
      </c>
      <c r="P2622" s="70">
        <v>4.49587990721596</v>
      </c>
    </row>
    <row r="2623" hidden="1">
      <c r="A2623" s="67" t="s">
        <v>3383</v>
      </c>
      <c r="B2623" s="67" t="s">
        <v>519</v>
      </c>
      <c r="C2623" s="68">
        <v>0.75</v>
      </c>
      <c r="D2623" s="68">
        <v>0.1</v>
      </c>
      <c r="E2623" s="68">
        <v>6.0</v>
      </c>
      <c r="F2623" s="68">
        <v>1.0</v>
      </c>
      <c r="G2623" s="68">
        <v>5.09221469153763</v>
      </c>
      <c r="H2623" s="68">
        <v>192.352467164383</v>
      </c>
      <c r="I2623" s="69">
        <v>44323.421111111114</v>
      </c>
      <c r="J2623" s="69">
        <v>44323.42130787037</v>
      </c>
      <c r="K2623">
        <f>AVERAGE(H2622:H2626)</f>
        <v>170.9437978</v>
      </c>
      <c r="L2623">
        <f>STDEV(H2622:H2626)</f>
        <v>28.13747043</v>
      </c>
      <c r="M2623" s="70">
        <v>192.352467164383</v>
      </c>
      <c r="N2623" s="70">
        <v>192.352467164383</v>
      </c>
      <c r="O2623" s="70">
        <v>5.09221469153763</v>
      </c>
      <c r="P2623" s="70">
        <v>5.09221469153763</v>
      </c>
    </row>
    <row r="2624" hidden="1">
      <c r="A2624" s="67" t="s">
        <v>3384</v>
      </c>
      <c r="B2624" s="67" t="s">
        <v>519</v>
      </c>
      <c r="C2624" s="68">
        <v>0.75</v>
      </c>
      <c r="D2624" s="68">
        <v>0.1</v>
      </c>
      <c r="E2624" s="68">
        <v>6.0</v>
      </c>
      <c r="F2624" s="68">
        <v>2.0</v>
      </c>
      <c r="G2624" s="68">
        <v>2.56273597771134</v>
      </c>
      <c r="H2624" s="68">
        <v>137.316759864802</v>
      </c>
      <c r="I2624" s="69">
        <v>44323.42202546296</v>
      </c>
      <c r="J2624" s="69">
        <v>44323.48673611111</v>
      </c>
      <c r="K2624">
        <f>AVERAGE(H2622:H2626)</f>
        <v>170.9437978</v>
      </c>
      <c r="L2624">
        <f>STDEV(H2622:H2626)</f>
        <v>28.13747043</v>
      </c>
      <c r="M2624" s="70">
        <v>137.316759864802</v>
      </c>
      <c r="N2624" s="70">
        <v>137.316759864802</v>
      </c>
      <c r="O2624" s="70">
        <v>2.56273597771134</v>
      </c>
      <c r="P2624" s="70">
        <v>2.56273597771134</v>
      </c>
    </row>
    <row r="2625" hidden="1">
      <c r="A2625" s="67" t="s">
        <v>3385</v>
      </c>
      <c r="B2625" s="67" t="s">
        <v>519</v>
      </c>
      <c r="C2625" s="68">
        <v>0.75</v>
      </c>
      <c r="D2625" s="68">
        <v>0.1</v>
      </c>
      <c r="E2625" s="68">
        <v>6.0</v>
      </c>
      <c r="F2625" s="68">
        <v>3.0</v>
      </c>
      <c r="G2625" s="68">
        <v>5.63256837181172</v>
      </c>
      <c r="H2625" s="68">
        <v>205.692023191239</v>
      </c>
      <c r="I2625" s="69">
        <v>44323.4874537037</v>
      </c>
      <c r="J2625" s="69">
        <v>44323.48947916667</v>
      </c>
      <c r="K2625">
        <f>AVERAGE(H2622:H2626)</f>
        <v>170.9437978</v>
      </c>
      <c r="L2625">
        <f>STDEV(H2622:H2626)</f>
        <v>28.13747043</v>
      </c>
      <c r="M2625" s="70">
        <v>205.692023191239</v>
      </c>
      <c r="N2625" s="70">
        <v>205.692023191239</v>
      </c>
      <c r="O2625" s="70">
        <v>5.63256837181172</v>
      </c>
      <c r="P2625" s="70">
        <v>5.63256837181172</v>
      </c>
    </row>
    <row r="2626" hidden="1">
      <c r="A2626" s="67" t="s">
        <v>3386</v>
      </c>
      <c r="B2626" s="67" t="s">
        <v>519</v>
      </c>
      <c r="C2626" s="68">
        <v>0.75</v>
      </c>
      <c r="D2626" s="68">
        <v>0.1</v>
      </c>
      <c r="E2626" s="68">
        <v>6.0</v>
      </c>
      <c r="F2626" s="68">
        <v>4.0</v>
      </c>
      <c r="G2626" s="68">
        <v>4.97739895614325</v>
      </c>
      <c r="H2626" s="68">
        <v>152.045921971648</v>
      </c>
      <c r="I2626" s="69">
        <v>44323.49018518518</v>
      </c>
      <c r="J2626" s="69">
        <v>44323.49030092593</v>
      </c>
      <c r="K2626">
        <f>AVERAGE(H2622:H2626)</f>
        <v>170.9437978</v>
      </c>
      <c r="L2626">
        <f>STDEV(H2622:H2626)</f>
        <v>28.13747043</v>
      </c>
      <c r="M2626" s="70">
        <v>152.045921971648</v>
      </c>
      <c r="N2626" s="70">
        <v>152.045921971648</v>
      </c>
      <c r="O2626" s="70">
        <v>4.97739895614325</v>
      </c>
      <c r="P2626" s="70">
        <v>4.97739895614325</v>
      </c>
    </row>
    <row r="2627" hidden="1">
      <c r="A2627" s="67" t="s">
        <v>3387</v>
      </c>
      <c r="B2627" s="67" t="s">
        <v>519</v>
      </c>
      <c r="C2627" s="68">
        <v>0.75</v>
      </c>
      <c r="D2627" s="68">
        <v>0.25</v>
      </c>
      <c r="E2627" s="68">
        <v>6.0</v>
      </c>
      <c r="F2627" s="68">
        <v>0.0</v>
      </c>
      <c r="G2627" s="68">
        <v>0.623564165925032</v>
      </c>
      <c r="H2627" s="68">
        <v>8.59557875052223</v>
      </c>
      <c r="I2627" s="69">
        <v>44323.49101851852</v>
      </c>
      <c r="J2627" s="69">
        <v>44323.4921875</v>
      </c>
      <c r="K2627">
        <f>AVERAGE(H2627:H2631)</f>
        <v>116.5976356</v>
      </c>
      <c r="L2627">
        <f>STDEV(H2627:H2631)</f>
        <v>89.61059323</v>
      </c>
      <c r="M2627" s="70">
        <v>8.59557875052223</v>
      </c>
      <c r="N2627" s="70">
        <v>8.59557875052223</v>
      </c>
      <c r="O2627" s="70">
        <v>0.623564165925032</v>
      </c>
      <c r="P2627" s="70">
        <v>0.623564165925032</v>
      </c>
    </row>
    <row r="2628" hidden="1">
      <c r="A2628" s="67" t="s">
        <v>3388</v>
      </c>
      <c r="B2628" s="67" t="s">
        <v>519</v>
      </c>
      <c r="C2628" s="68">
        <v>0.75</v>
      </c>
      <c r="D2628" s="68">
        <v>0.25</v>
      </c>
      <c r="E2628" s="68">
        <v>6.0</v>
      </c>
      <c r="F2628" s="68">
        <v>1.0</v>
      </c>
      <c r="G2628" s="68">
        <v>5.41221225755036</v>
      </c>
      <c r="H2628" s="68">
        <v>199.180230129942</v>
      </c>
      <c r="I2628" s="69">
        <v>44323.492893518516</v>
      </c>
      <c r="J2628" s="69">
        <v>44323.4930787037</v>
      </c>
      <c r="K2628">
        <f>AVERAGE(H2627:H2631)</f>
        <v>116.5976356</v>
      </c>
      <c r="L2628">
        <f>STDEV(H2627:H2631)</f>
        <v>89.61059323</v>
      </c>
      <c r="M2628" s="70">
        <v>199.180230129942</v>
      </c>
      <c r="N2628" s="70">
        <v>199.180230129942</v>
      </c>
      <c r="O2628" s="70">
        <v>5.41221225755036</v>
      </c>
      <c r="P2628" s="70">
        <v>5.41221225755036</v>
      </c>
    </row>
    <row r="2629" hidden="1">
      <c r="A2629" s="67" t="s">
        <v>3389</v>
      </c>
      <c r="B2629" s="67" t="s">
        <v>519</v>
      </c>
      <c r="C2629" s="68">
        <v>0.75</v>
      </c>
      <c r="D2629" s="68">
        <v>0.25</v>
      </c>
      <c r="E2629" s="68">
        <v>6.0</v>
      </c>
      <c r="F2629" s="68">
        <v>2.0</v>
      </c>
      <c r="G2629" s="68">
        <v>3.68322966726927</v>
      </c>
      <c r="H2629" s="68">
        <v>176.428471752734</v>
      </c>
      <c r="I2629" s="69">
        <v>44323.493784722225</v>
      </c>
      <c r="J2629" s="69">
        <v>44323.54460648148</v>
      </c>
      <c r="K2629">
        <f>AVERAGE(H2627:H2631)</f>
        <v>116.5976356</v>
      </c>
      <c r="L2629">
        <f>STDEV(H2627:H2631)</f>
        <v>89.61059323</v>
      </c>
      <c r="M2629" s="70">
        <v>176.428471752734</v>
      </c>
      <c r="N2629" s="70">
        <v>176.428471752734</v>
      </c>
      <c r="O2629" s="70">
        <v>3.68322966726927</v>
      </c>
      <c r="P2629" s="70">
        <v>3.68322966726927</v>
      </c>
    </row>
    <row r="2630" hidden="1">
      <c r="A2630" s="67" t="s">
        <v>3390</v>
      </c>
      <c r="B2630" s="67" t="s">
        <v>519</v>
      </c>
      <c r="C2630" s="68">
        <v>0.75</v>
      </c>
      <c r="D2630" s="68">
        <v>0.25</v>
      </c>
      <c r="E2630" s="68">
        <v>6.0</v>
      </c>
      <c r="F2630" s="68">
        <v>3.0</v>
      </c>
      <c r="G2630" s="68">
        <v>1.87943762662612</v>
      </c>
      <c r="H2630" s="68">
        <v>30.6020359649245</v>
      </c>
      <c r="I2630" s="69">
        <v>44323.545324074075</v>
      </c>
      <c r="J2630" s="69">
        <v>44323.54541666667</v>
      </c>
      <c r="K2630">
        <f>AVERAGE(H2627:H2631)</f>
        <v>116.5976356</v>
      </c>
      <c r="L2630">
        <f>STDEV(H2627:H2631)</f>
        <v>89.61059323</v>
      </c>
      <c r="M2630" s="70">
        <v>30.6020359649245</v>
      </c>
      <c r="N2630" s="70">
        <v>30.6020359649245</v>
      </c>
      <c r="O2630" s="70">
        <v>1.87943762662612</v>
      </c>
      <c r="P2630" s="70">
        <v>1.87943762662612</v>
      </c>
    </row>
    <row r="2631" hidden="1">
      <c r="A2631" s="67" t="s">
        <v>3391</v>
      </c>
      <c r="B2631" s="67" t="s">
        <v>519</v>
      </c>
      <c r="C2631" s="68">
        <v>0.75</v>
      </c>
      <c r="D2631" s="68">
        <v>0.25</v>
      </c>
      <c r="E2631" s="68">
        <v>6.0</v>
      </c>
      <c r="F2631" s="68">
        <v>4.0</v>
      </c>
      <c r="G2631" s="68">
        <v>4.25707355739755</v>
      </c>
      <c r="H2631" s="68">
        <v>168.181861485475</v>
      </c>
      <c r="I2631" s="69">
        <v>44323.546122685184</v>
      </c>
      <c r="J2631" s="69">
        <v>44323.54791666667</v>
      </c>
      <c r="K2631">
        <f>AVERAGE(H2627:H2631)</f>
        <v>116.5976356</v>
      </c>
      <c r="L2631">
        <f>STDEV(H2627:H2631)</f>
        <v>89.61059323</v>
      </c>
      <c r="M2631" s="70">
        <v>168.181861485475</v>
      </c>
      <c r="N2631" s="70">
        <v>168.181861485475</v>
      </c>
      <c r="O2631" s="70">
        <v>4.25707355739755</v>
      </c>
      <c r="P2631" s="70">
        <v>4.25707355739755</v>
      </c>
    </row>
    <row r="2632" hidden="1">
      <c r="A2632" s="67" t="s">
        <v>3392</v>
      </c>
      <c r="B2632" s="67" t="s">
        <v>519</v>
      </c>
      <c r="C2632" s="68">
        <v>0.75</v>
      </c>
      <c r="D2632" s="68">
        <v>0.5</v>
      </c>
      <c r="E2632" s="68">
        <v>6.0</v>
      </c>
      <c r="F2632" s="68">
        <v>0.0</v>
      </c>
      <c r="G2632" s="68">
        <v>0.428851723980157</v>
      </c>
      <c r="H2632" s="68">
        <v>0.512998276382099</v>
      </c>
      <c r="I2632" s="69">
        <v>44323.548634259256</v>
      </c>
      <c r="J2632" s="69">
        <v>44323.54877314815</v>
      </c>
      <c r="K2632">
        <f>AVERAGE(H2632:H2636)</f>
        <v>100.1478021</v>
      </c>
      <c r="L2632">
        <f>STDEV(H2632:H2636)</f>
        <v>91.55510232</v>
      </c>
      <c r="M2632" s="70">
        <v>0.512998276382099</v>
      </c>
      <c r="N2632" s="70">
        <v>0.512998276382099</v>
      </c>
      <c r="O2632" s="70">
        <v>0.428851723980157</v>
      </c>
      <c r="P2632" s="70">
        <v>0.428851723980157</v>
      </c>
    </row>
    <row r="2633" hidden="1">
      <c r="A2633" s="67" t="s">
        <v>3393</v>
      </c>
      <c r="B2633" s="67" t="s">
        <v>519</v>
      </c>
      <c r="C2633" s="68">
        <v>0.75</v>
      </c>
      <c r="D2633" s="68">
        <v>0.5</v>
      </c>
      <c r="E2633" s="68">
        <v>6.0</v>
      </c>
      <c r="F2633" s="68">
        <v>1.0</v>
      </c>
      <c r="G2633" s="68">
        <v>5.26930543239757</v>
      </c>
      <c r="H2633" s="68">
        <v>186.044770397458</v>
      </c>
      <c r="I2633" s="69">
        <v>44323.54949074074</v>
      </c>
      <c r="J2633" s="69">
        <v>44323.55130787037</v>
      </c>
      <c r="K2633">
        <f>AVERAGE(H2632:H2636)</f>
        <v>100.1478021</v>
      </c>
      <c r="L2633">
        <f>STDEV(H2632:H2636)</f>
        <v>91.55510232</v>
      </c>
      <c r="M2633" s="70">
        <v>186.044770397458</v>
      </c>
      <c r="N2633" s="70">
        <v>186.044770397458</v>
      </c>
      <c r="O2633" s="70">
        <v>5.26930543239757</v>
      </c>
      <c r="P2633" s="70">
        <v>5.26930543239757</v>
      </c>
    </row>
    <row r="2634" hidden="1">
      <c r="A2634" s="67" t="s">
        <v>3394</v>
      </c>
      <c r="B2634" s="67" t="s">
        <v>519</v>
      </c>
      <c r="C2634" s="68">
        <v>0.75</v>
      </c>
      <c r="D2634" s="68">
        <v>0.5</v>
      </c>
      <c r="E2634" s="68">
        <v>6.0</v>
      </c>
      <c r="F2634" s="68">
        <v>2.0</v>
      </c>
      <c r="G2634" s="68">
        <v>3.00919024436322</v>
      </c>
      <c r="H2634" s="68">
        <v>154.811683212365</v>
      </c>
      <c r="I2634" s="69">
        <v>44323.55202546297</v>
      </c>
      <c r="J2634" s="69">
        <v>44323.601875</v>
      </c>
      <c r="K2634">
        <f>AVERAGE(H2632:H2636)</f>
        <v>100.1478021</v>
      </c>
      <c r="L2634">
        <f>STDEV(H2632:H2636)</f>
        <v>91.55510232</v>
      </c>
      <c r="M2634" s="70">
        <v>154.811683212365</v>
      </c>
      <c r="N2634" s="70">
        <v>154.811683212365</v>
      </c>
      <c r="O2634" s="70">
        <v>3.00919024436322</v>
      </c>
      <c r="P2634" s="70">
        <v>3.00919024436322</v>
      </c>
    </row>
    <row r="2635" hidden="1">
      <c r="A2635" s="67" t="s">
        <v>3395</v>
      </c>
      <c r="B2635" s="67" t="s">
        <v>519</v>
      </c>
      <c r="C2635" s="68">
        <v>0.75</v>
      </c>
      <c r="D2635" s="68">
        <v>0.5</v>
      </c>
      <c r="E2635" s="68">
        <v>6.0</v>
      </c>
      <c r="F2635" s="68">
        <v>3.0</v>
      </c>
      <c r="G2635" s="68">
        <v>5.16212715957924</v>
      </c>
      <c r="H2635" s="68">
        <v>158.41962941944</v>
      </c>
      <c r="I2635" s="69">
        <v>44323.60259259259</v>
      </c>
      <c r="J2635" s="69">
        <v>44323.60277777778</v>
      </c>
      <c r="K2635">
        <f>AVERAGE(H2632:H2636)</f>
        <v>100.1478021</v>
      </c>
      <c r="L2635">
        <f>STDEV(H2632:H2636)</f>
        <v>91.55510232</v>
      </c>
      <c r="M2635" s="70">
        <v>158.41962941944</v>
      </c>
      <c r="N2635" s="70">
        <v>158.41962941944</v>
      </c>
      <c r="O2635" s="70">
        <v>5.16212715957924</v>
      </c>
      <c r="P2635" s="70">
        <v>5.16212715957924</v>
      </c>
    </row>
    <row r="2636" hidden="1">
      <c r="A2636" s="67" t="s">
        <v>3396</v>
      </c>
      <c r="B2636" s="67" t="s">
        <v>519</v>
      </c>
      <c r="C2636" s="68">
        <v>0.75</v>
      </c>
      <c r="D2636" s="68">
        <v>0.5</v>
      </c>
      <c r="E2636" s="68">
        <v>6.0</v>
      </c>
      <c r="F2636" s="68">
        <v>4.0</v>
      </c>
      <c r="G2636" s="68">
        <v>0.712862435196883</v>
      </c>
      <c r="H2636" s="68">
        <v>0.949929176183165</v>
      </c>
      <c r="I2636" s="69">
        <v>44323.60349537037</v>
      </c>
      <c r="J2636" s="69">
        <v>44323.60371527778</v>
      </c>
      <c r="K2636">
        <f>AVERAGE(H2632:H2636)</f>
        <v>100.1478021</v>
      </c>
      <c r="L2636">
        <f>STDEV(H2632:H2636)</f>
        <v>91.55510232</v>
      </c>
      <c r="M2636" s="70">
        <v>0.949929176183165</v>
      </c>
      <c r="N2636" s="70">
        <v>0.949929176183165</v>
      </c>
      <c r="O2636" s="70">
        <v>0.712862435196883</v>
      </c>
      <c r="P2636" s="70">
        <v>0.712862435196883</v>
      </c>
    </row>
    <row r="2637" hidden="1">
      <c r="A2637" s="67" t="s">
        <v>3397</v>
      </c>
      <c r="B2637" s="67" t="s">
        <v>519</v>
      </c>
      <c r="C2637" s="68">
        <v>0.75</v>
      </c>
      <c r="D2637" s="68">
        <v>0.75</v>
      </c>
      <c r="E2637" s="68">
        <v>6.0</v>
      </c>
      <c r="F2637" s="68">
        <v>0.0</v>
      </c>
      <c r="G2637" s="68">
        <v>1.04041477522613</v>
      </c>
      <c r="H2637" s="68">
        <v>15.054672088751</v>
      </c>
      <c r="I2637" s="69">
        <v>44323.60443287037</v>
      </c>
      <c r="J2637" s="69">
        <v>44323.60636574074</v>
      </c>
      <c r="K2637">
        <f>AVERAGE(H2637:H2641)</f>
        <v>168.6697548</v>
      </c>
      <c r="L2637">
        <f>STDEV(H2637:H2641)</f>
        <v>97.32582788</v>
      </c>
      <c r="M2637" s="70">
        <v>15.054672088751</v>
      </c>
      <c r="N2637" s="70">
        <v>15.054672088751</v>
      </c>
      <c r="O2637" s="70">
        <v>1.04041477522613</v>
      </c>
      <c r="P2637" s="70">
        <v>1.04041477522613</v>
      </c>
    </row>
    <row r="2638" hidden="1">
      <c r="A2638" s="67" t="s">
        <v>3398</v>
      </c>
      <c r="B2638" s="67" t="s">
        <v>519</v>
      </c>
      <c r="C2638" s="68">
        <v>0.75</v>
      </c>
      <c r="D2638" s="68">
        <v>0.75</v>
      </c>
      <c r="E2638" s="68">
        <v>6.0</v>
      </c>
      <c r="F2638" s="68">
        <v>1.0</v>
      </c>
      <c r="G2638" s="68">
        <v>7.64790764507277</v>
      </c>
      <c r="H2638" s="68">
        <v>276.895064571138</v>
      </c>
      <c r="I2638" s="69">
        <v>44323.607083333336</v>
      </c>
      <c r="J2638" s="69">
        <v>44323.60732638889</v>
      </c>
      <c r="K2638">
        <f>AVERAGE(H2637:H2641)</f>
        <v>168.6697548</v>
      </c>
      <c r="L2638">
        <f>STDEV(H2637:H2641)</f>
        <v>97.32582788</v>
      </c>
      <c r="M2638" s="70">
        <v>276.895064571138</v>
      </c>
      <c r="N2638" s="70">
        <v>276.895064571138</v>
      </c>
      <c r="O2638" s="70">
        <v>7.64790764507277</v>
      </c>
      <c r="P2638" s="70">
        <v>7.64790764507277</v>
      </c>
    </row>
    <row r="2639" hidden="1">
      <c r="A2639" s="67" t="s">
        <v>3399</v>
      </c>
      <c r="B2639" s="67" t="s">
        <v>519</v>
      </c>
      <c r="C2639" s="68">
        <v>0.75</v>
      </c>
      <c r="D2639" s="68">
        <v>0.75</v>
      </c>
      <c r="E2639" s="68">
        <v>6.0</v>
      </c>
      <c r="F2639" s="68">
        <v>2.0</v>
      </c>
      <c r="G2639" s="68">
        <v>9.13864405572006</v>
      </c>
      <c r="H2639" s="68">
        <v>218.320535978261</v>
      </c>
      <c r="I2639" s="69">
        <v>44323.60804398148</v>
      </c>
      <c r="J2639" s="69">
        <v>44323.60815972222</v>
      </c>
      <c r="K2639">
        <f>AVERAGE(H2637:H2641)</f>
        <v>168.6697548</v>
      </c>
      <c r="L2639">
        <f>STDEV(H2637:H2641)</f>
        <v>97.32582788</v>
      </c>
      <c r="M2639" s="70">
        <v>218.320535978261</v>
      </c>
      <c r="N2639" s="70">
        <v>218.320535978261</v>
      </c>
      <c r="O2639" s="70">
        <v>9.13864405572006</v>
      </c>
      <c r="P2639" s="70">
        <v>9.13864405572006</v>
      </c>
    </row>
    <row r="2640" hidden="1">
      <c r="A2640" s="67" t="s">
        <v>3400</v>
      </c>
      <c r="B2640" s="67" t="s">
        <v>519</v>
      </c>
      <c r="C2640" s="68">
        <v>0.75</v>
      </c>
      <c r="D2640" s="68">
        <v>0.75</v>
      </c>
      <c r="E2640" s="68">
        <v>6.0</v>
      </c>
      <c r="F2640" s="68">
        <v>3.0</v>
      </c>
      <c r="G2640" s="68">
        <v>5.78817864844328</v>
      </c>
      <c r="H2640" s="68">
        <v>173.773807118511</v>
      </c>
      <c r="I2640" s="69">
        <v>44323.608877314815</v>
      </c>
      <c r="J2640" s="69">
        <v>44323.60903935185</v>
      </c>
      <c r="K2640">
        <f>AVERAGE(H2637:H2641)</f>
        <v>168.6697548</v>
      </c>
      <c r="L2640">
        <f>STDEV(H2637:H2641)</f>
        <v>97.32582788</v>
      </c>
      <c r="M2640" s="70">
        <v>173.773807118511</v>
      </c>
      <c r="N2640" s="70">
        <v>173.773807118511</v>
      </c>
      <c r="O2640" s="70">
        <v>5.78817864844328</v>
      </c>
      <c r="P2640" s="70">
        <v>5.78817864844328</v>
      </c>
    </row>
    <row r="2641" hidden="1">
      <c r="A2641" s="67" t="s">
        <v>3401</v>
      </c>
      <c r="B2641" s="67" t="s">
        <v>519</v>
      </c>
      <c r="C2641" s="68">
        <v>0.75</v>
      </c>
      <c r="D2641" s="68">
        <v>0.75</v>
      </c>
      <c r="E2641" s="68">
        <v>6.0</v>
      </c>
      <c r="F2641" s="68">
        <v>4.0</v>
      </c>
      <c r="G2641" s="68">
        <v>3.22577121030597</v>
      </c>
      <c r="H2641" s="68">
        <v>159.304694341719</v>
      </c>
      <c r="I2641" s="69">
        <v>44323.60974537037</v>
      </c>
      <c r="J2641" s="69">
        <v>44323.679560185185</v>
      </c>
      <c r="K2641">
        <f>AVERAGE(H2637:H2641)</f>
        <v>168.6697548</v>
      </c>
      <c r="L2641">
        <f>STDEV(H2637:H2641)</f>
        <v>97.32582788</v>
      </c>
      <c r="M2641" s="70">
        <v>159.304694341719</v>
      </c>
      <c r="N2641" s="70">
        <v>159.304694341719</v>
      </c>
      <c r="O2641" s="70">
        <v>3.22577121030597</v>
      </c>
      <c r="P2641" s="70">
        <v>3.22577121030597</v>
      </c>
    </row>
    <row r="2642" hidden="1">
      <c r="A2642" s="67" t="s">
        <v>3402</v>
      </c>
      <c r="B2642" s="67" t="s">
        <v>519</v>
      </c>
      <c r="C2642" s="68">
        <v>0.75</v>
      </c>
      <c r="D2642" s="68">
        <v>1.0</v>
      </c>
      <c r="E2642" s="68">
        <v>6.0</v>
      </c>
      <c r="F2642" s="68">
        <v>0.0</v>
      </c>
      <c r="G2642" s="68">
        <v>3.37713900299662</v>
      </c>
      <c r="H2642" s="68">
        <v>163.154257123166</v>
      </c>
      <c r="I2642" s="69">
        <v>44323.6802662037</v>
      </c>
      <c r="J2642" s="69">
        <v>44323.75827546296</v>
      </c>
      <c r="K2642">
        <f>AVERAGE(H2642:H2646)</f>
        <v>97.08748271</v>
      </c>
      <c r="L2642">
        <f>STDEV(H2642:H2646)</f>
        <v>97.28457556</v>
      </c>
      <c r="M2642" s="70">
        <v>163.154257123166</v>
      </c>
      <c r="N2642" s="70">
        <v>163.154257123166</v>
      </c>
      <c r="O2642" s="70">
        <v>3.37713900299662</v>
      </c>
      <c r="P2642" s="70">
        <v>3.37713900299662</v>
      </c>
    </row>
    <row r="2643" hidden="1">
      <c r="A2643" s="67" t="s">
        <v>3403</v>
      </c>
      <c r="B2643" s="67" t="s">
        <v>519</v>
      </c>
      <c r="C2643" s="68">
        <v>0.75</v>
      </c>
      <c r="D2643" s="68">
        <v>1.0</v>
      </c>
      <c r="E2643" s="68">
        <v>6.0</v>
      </c>
      <c r="F2643" s="68">
        <v>1.0</v>
      </c>
      <c r="G2643" s="68">
        <v>0.437911990429868</v>
      </c>
      <c r="H2643" s="68">
        <v>0.5218388391493</v>
      </c>
      <c r="I2643" s="69">
        <v>44323.758993055555</v>
      </c>
      <c r="J2643" s="69">
        <v>44323.759108796294</v>
      </c>
      <c r="K2643">
        <f>AVERAGE(H2642:H2646)</f>
        <v>97.08748271</v>
      </c>
      <c r="L2643">
        <f>STDEV(H2642:H2646)</f>
        <v>97.28457556</v>
      </c>
      <c r="M2643" s="70">
        <v>0.5218388391493</v>
      </c>
      <c r="N2643" s="70">
        <v>0.5218388391493</v>
      </c>
      <c r="O2643" s="70">
        <v>0.437911990429868</v>
      </c>
      <c r="P2643" s="70">
        <v>0.437911990429868</v>
      </c>
    </row>
    <row r="2644" hidden="1">
      <c r="A2644" s="67" t="s">
        <v>3404</v>
      </c>
      <c r="B2644" s="67" t="s">
        <v>519</v>
      </c>
      <c r="C2644" s="68">
        <v>0.75</v>
      </c>
      <c r="D2644" s="68">
        <v>1.0</v>
      </c>
      <c r="E2644" s="68">
        <v>6.0</v>
      </c>
      <c r="F2644" s="68">
        <v>2.0</v>
      </c>
      <c r="G2644" s="68">
        <v>9.16790133610679</v>
      </c>
      <c r="H2644" s="68">
        <v>218.488960079782</v>
      </c>
      <c r="I2644" s="69">
        <v>44323.75982638889</v>
      </c>
      <c r="J2644" s="69">
        <v>44323.759930555556</v>
      </c>
      <c r="K2644">
        <f>AVERAGE(H2642:H2646)</f>
        <v>97.08748271</v>
      </c>
      <c r="L2644">
        <f>STDEV(H2642:H2646)</f>
        <v>97.28457556</v>
      </c>
      <c r="M2644" s="70">
        <v>218.488960079782</v>
      </c>
      <c r="N2644" s="70">
        <v>218.488960079782</v>
      </c>
      <c r="O2644" s="70">
        <v>9.16790133610679</v>
      </c>
      <c r="P2644" s="70">
        <v>9.16790133610679</v>
      </c>
    </row>
    <row r="2645" hidden="1">
      <c r="A2645" s="67" t="s">
        <v>3405</v>
      </c>
      <c r="B2645" s="67" t="s">
        <v>519</v>
      </c>
      <c r="C2645" s="68">
        <v>0.75</v>
      </c>
      <c r="D2645" s="68">
        <v>1.0</v>
      </c>
      <c r="E2645" s="68">
        <v>6.0</v>
      </c>
      <c r="F2645" s="68">
        <v>3.0</v>
      </c>
      <c r="G2645" s="68">
        <v>2.34716491537877</v>
      </c>
      <c r="H2645" s="68">
        <v>103.10195152632</v>
      </c>
      <c r="I2645" s="69">
        <v>44323.76064814815</v>
      </c>
      <c r="J2645" s="69">
        <v>44323.76099537037</v>
      </c>
      <c r="K2645">
        <f>AVERAGE(H2642:H2646)</f>
        <v>97.08748271</v>
      </c>
      <c r="L2645">
        <f>STDEV(H2642:H2646)</f>
        <v>97.28457556</v>
      </c>
      <c r="M2645" s="70">
        <v>103.10195152632</v>
      </c>
      <c r="N2645" s="70">
        <v>103.10195152632</v>
      </c>
      <c r="O2645" s="70">
        <v>2.34716491537877</v>
      </c>
      <c r="P2645" s="70">
        <v>2.34716491537877</v>
      </c>
    </row>
    <row r="2646" hidden="1">
      <c r="A2646" s="67" t="s">
        <v>3406</v>
      </c>
      <c r="B2646" s="67" t="s">
        <v>519</v>
      </c>
      <c r="C2646" s="68">
        <v>0.75</v>
      </c>
      <c r="D2646" s="68">
        <v>1.0</v>
      </c>
      <c r="E2646" s="68">
        <v>6.0</v>
      </c>
      <c r="F2646" s="68">
        <v>4.0</v>
      </c>
      <c r="G2646" s="68">
        <v>0.107767777744289</v>
      </c>
      <c r="H2646" s="68">
        <v>0.170405964170632</v>
      </c>
      <c r="I2646" s="69">
        <v>44323.761712962965</v>
      </c>
      <c r="J2646" s="69">
        <v>44323.761712962965</v>
      </c>
      <c r="K2646">
        <f>AVERAGE(H2642:H2646)</f>
        <v>97.08748271</v>
      </c>
      <c r="L2646">
        <f>STDEV(H2642:H2646)</f>
        <v>97.28457556</v>
      </c>
      <c r="M2646" s="70">
        <v>0.170405964170632</v>
      </c>
      <c r="N2646" s="70">
        <v>0.170405964170632</v>
      </c>
      <c r="O2646" s="70">
        <v>0.107767777744289</v>
      </c>
      <c r="P2646" s="70">
        <v>0.107767777744289</v>
      </c>
    </row>
    <row r="2647" hidden="1">
      <c r="A2647" s="67" t="s">
        <v>3407</v>
      </c>
      <c r="B2647" s="67" t="s">
        <v>519</v>
      </c>
      <c r="C2647" s="68">
        <v>1.0</v>
      </c>
      <c r="D2647" s="68">
        <v>0.1</v>
      </c>
      <c r="E2647" s="68">
        <v>6.0</v>
      </c>
      <c r="F2647" s="68">
        <v>0.0</v>
      </c>
      <c r="G2647" s="68">
        <v>2.83048758482468</v>
      </c>
      <c r="H2647" s="68">
        <v>141.171231822402</v>
      </c>
      <c r="I2647" s="69">
        <v>44323.76241898148</v>
      </c>
      <c r="J2647" s="69">
        <v>44323.79243055556</v>
      </c>
      <c r="K2647">
        <f>AVERAGE(H2647:H2651)</f>
        <v>126.3587727</v>
      </c>
      <c r="L2647">
        <f>STDEV(H2647:H2651)</f>
        <v>79.2192984</v>
      </c>
      <c r="M2647" s="70">
        <v>141.171231822402</v>
      </c>
      <c r="N2647" s="70">
        <v>141.171231822402</v>
      </c>
      <c r="O2647" s="70">
        <v>2.83048758482468</v>
      </c>
      <c r="P2647" s="70">
        <v>2.83048758482468</v>
      </c>
    </row>
    <row r="2648" hidden="1">
      <c r="A2648" s="67" t="s">
        <v>3408</v>
      </c>
      <c r="B2648" s="67" t="s">
        <v>519</v>
      </c>
      <c r="C2648" s="68">
        <v>1.0</v>
      </c>
      <c r="D2648" s="68">
        <v>0.1</v>
      </c>
      <c r="E2648" s="68">
        <v>6.0</v>
      </c>
      <c r="F2648" s="68">
        <v>1.0</v>
      </c>
      <c r="G2648" s="68">
        <v>6.30743441509524</v>
      </c>
      <c r="H2648" s="68">
        <v>178.937864628446</v>
      </c>
      <c r="I2648" s="69">
        <v>44323.79313657407</v>
      </c>
      <c r="J2648" s="69">
        <v>44323.79332175926</v>
      </c>
      <c r="K2648">
        <f>AVERAGE(H2647:H2651)</f>
        <v>126.3587727</v>
      </c>
      <c r="L2648">
        <f>STDEV(H2647:H2651)</f>
        <v>79.2192984</v>
      </c>
      <c r="M2648" s="70">
        <v>178.937864628446</v>
      </c>
      <c r="N2648" s="70">
        <v>178.937864628446</v>
      </c>
      <c r="O2648" s="70">
        <v>6.30743441509524</v>
      </c>
      <c r="P2648" s="70">
        <v>6.30743441509524</v>
      </c>
    </row>
    <row r="2649" hidden="1">
      <c r="A2649" s="67" t="s">
        <v>3409</v>
      </c>
      <c r="B2649" s="67" t="s">
        <v>519</v>
      </c>
      <c r="C2649" s="68">
        <v>1.0</v>
      </c>
      <c r="D2649" s="68">
        <v>0.1</v>
      </c>
      <c r="E2649" s="68">
        <v>6.0</v>
      </c>
      <c r="F2649" s="68">
        <v>2.0</v>
      </c>
      <c r="G2649" s="68">
        <v>2.07999653546693</v>
      </c>
      <c r="H2649" s="68">
        <v>108.115339991288</v>
      </c>
      <c r="I2649" s="69">
        <v>44323.79403935185</v>
      </c>
      <c r="J2649" s="69">
        <v>44323.79601851852</v>
      </c>
      <c r="K2649">
        <f>AVERAGE(H2647:H2651)</f>
        <v>126.3587727</v>
      </c>
      <c r="L2649">
        <f>STDEV(H2647:H2651)</f>
        <v>79.2192984</v>
      </c>
      <c r="M2649" s="70">
        <v>108.115339991288</v>
      </c>
      <c r="N2649" s="70">
        <v>108.115339991288</v>
      </c>
      <c r="O2649" s="70">
        <v>2.07999653546693</v>
      </c>
      <c r="P2649" s="70">
        <v>2.07999653546693</v>
      </c>
    </row>
    <row r="2650" hidden="1">
      <c r="A2650" s="67" t="s">
        <v>3410</v>
      </c>
      <c r="B2650" s="67" t="s">
        <v>519</v>
      </c>
      <c r="C2650" s="68">
        <v>1.0</v>
      </c>
      <c r="D2650" s="68">
        <v>0.1</v>
      </c>
      <c r="E2650" s="68">
        <v>6.0</v>
      </c>
      <c r="F2650" s="68">
        <v>3.0</v>
      </c>
      <c r="G2650" s="68">
        <v>0.281355052496836</v>
      </c>
      <c r="H2650" s="68">
        <v>0.349444721074364</v>
      </c>
      <c r="I2650" s="69">
        <v>44323.79672453704</v>
      </c>
      <c r="J2650" s="69">
        <v>44323.7968287037</v>
      </c>
      <c r="K2650">
        <f>AVERAGE(H2647:H2651)</f>
        <v>126.3587727</v>
      </c>
      <c r="L2650">
        <f>STDEV(H2647:H2651)</f>
        <v>79.2192984</v>
      </c>
      <c r="M2650" s="70">
        <v>0.349444721074364</v>
      </c>
      <c r="N2650" s="70">
        <v>0.349444721074364</v>
      </c>
      <c r="O2650" s="70">
        <v>0.281355052496836</v>
      </c>
      <c r="P2650" s="70">
        <v>0.281355052496836</v>
      </c>
    </row>
    <row r="2651" hidden="1">
      <c r="A2651" s="67" t="s">
        <v>3411</v>
      </c>
      <c r="B2651" s="67" t="s">
        <v>519</v>
      </c>
      <c r="C2651" s="68">
        <v>1.0</v>
      </c>
      <c r="D2651" s="68">
        <v>0.1</v>
      </c>
      <c r="E2651" s="68">
        <v>6.0</v>
      </c>
      <c r="F2651" s="68">
        <v>4.0</v>
      </c>
      <c r="G2651" s="68">
        <v>5.77885125256086</v>
      </c>
      <c r="H2651" s="68">
        <v>203.219982202745</v>
      </c>
      <c r="I2651" s="69">
        <v>44323.797534722224</v>
      </c>
      <c r="J2651" s="69">
        <v>44323.7990625</v>
      </c>
      <c r="K2651">
        <f>AVERAGE(H2647:H2651)</f>
        <v>126.3587727</v>
      </c>
      <c r="L2651">
        <f>STDEV(H2647:H2651)</f>
        <v>79.2192984</v>
      </c>
      <c r="M2651" s="70">
        <v>203.219982202745</v>
      </c>
      <c r="N2651" s="70">
        <v>203.219982202745</v>
      </c>
      <c r="O2651" s="70">
        <v>5.77885125256086</v>
      </c>
      <c r="P2651" s="70">
        <v>5.77885125256086</v>
      </c>
    </row>
    <row r="2652" hidden="1">
      <c r="A2652" s="67" t="s">
        <v>3412</v>
      </c>
      <c r="B2652" s="67" t="s">
        <v>519</v>
      </c>
      <c r="C2652" s="68">
        <v>1.0</v>
      </c>
      <c r="D2652" s="68">
        <v>0.25</v>
      </c>
      <c r="E2652" s="68">
        <v>6.0</v>
      </c>
      <c r="F2652" s="68">
        <v>0.0</v>
      </c>
      <c r="G2652" s="68">
        <v>3.36595893416605</v>
      </c>
      <c r="H2652" s="68">
        <v>164.977578345872</v>
      </c>
      <c r="I2652" s="69">
        <v>44323.79976851852</v>
      </c>
      <c r="J2652" s="69">
        <v>44323.87106481481</v>
      </c>
      <c r="K2652">
        <f>AVERAGE(H2652:H2656)</f>
        <v>105.4121147</v>
      </c>
      <c r="L2652">
        <f>STDEV(H2652:H2656)</f>
        <v>94.66199181</v>
      </c>
      <c r="M2652" s="70">
        <v>164.977578345872</v>
      </c>
      <c r="N2652" s="70">
        <v>164.977578345872</v>
      </c>
      <c r="O2652" s="70">
        <v>3.36595893416605</v>
      </c>
      <c r="P2652" s="70">
        <v>3.36595893416605</v>
      </c>
    </row>
    <row r="2653" hidden="1">
      <c r="A2653" s="67" t="s">
        <v>3413</v>
      </c>
      <c r="B2653" s="67" t="s">
        <v>519</v>
      </c>
      <c r="C2653" s="68">
        <v>1.0</v>
      </c>
      <c r="D2653" s="68">
        <v>0.25</v>
      </c>
      <c r="E2653" s="68">
        <v>6.0</v>
      </c>
      <c r="F2653" s="68">
        <v>1.0</v>
      </c>
      <c r="G2653" s="68">
        <v>0.980377089476213</v>
      </c>
      <c r="H2653" s="68">
        <v>14.683583988365</v>
      </c>
      <c r="I2653" s="69">
        <v>44323.871782407405</v>
      </c>
      <c r="J2653" s="69">
        <v>44323.87185185185</v>
      </c>
      <c r="K2653">
        <f>AVERAGE(H2652:H2656)</f>
        <v>105.4121147</v>
      </c>
      <c r="L2653">
        <f>STDEV(H2652:H2656)</f>
        <v>94.66199181</v>
      </c>
      <c r="M2653" s="70">
        <v>14.683583988365</v>
      </c>
      <c r="N2653" s="70">
        <v>14.683583988365</v>
      </c>
      <c r="O2653" s="70">
        <v>0.980377089476213</v>
      </c>
      <c r="P2653" s="70">
        <v>0.980377089476213</v>
      </c>
    </row>
    <row r="2654" hidden="1">
      <c r="A2654" s="67" t="s">
        <v>3414</v>
      </c>
      <c r="B2654" s="67" t="s">
        <v>519</v>
      </c>
      <c r="C2654" s="68">
        <v>1.0</v>
      </c>
      <c r="D2654" s="68">
        <v>0.25</v>
      </c>
      <c r="E2654" s="68">
        <v>6.0</v>
      </c>
      <c r="F2654" s="68">
        <v>2.0</v>
      </c>
      <c r="G2654" s="68">
        <v>2.94915324430044</v>
      </c>
      <c r="H2654" s="68">
        <v>130.099683409607</v>
      </c>
      <c r="I2654" s="69">
        <v>44323.87255787037</v>
      </c>
      <c r="J2654" s="69">
        <v>44323.87315972222</v>
      </c>
      <c r="K2654">
        <f>AVERAGE(H2652:H2656)</f>
        <v>105.4121147</v>
      </c>
      <c r="L2654">
        <f>STDEV(H2652:H2656)</f>
        <v>94.66199181</v>
      </c>
      <c r="M2654" s="70">
        <v>130.099683409607</v>
      </c>
      <c r="N2654" s="70">
        <v>130.099683409607</v>
      </c>
      <c r="O2654" s="70">
        <v>2.94915324430044</v>
      </c>
      <c r="P2654" s="70">
        <v>2.94915324430044</v>
      </c>
    </row>
    <row r="2655" hidden="1">
      <c r="A2655" s="67" t="s">
        <v>3415</v>
      </c>
      <c r="B2655" s="67" t="s">
        <v>519</v>
      </c>
      <c r="C2655" s="68">
        <v>1.0</v>
      </c>
      <c r="D2655" s="68">
        <v>0.25</v>
      </c>
      <c r="E2655" s="68">
        <v>6.0</v>
      </c>
      <c r="F2655" s="68">
        <v>3.0</v>
      </c>
      <c r="G2655" s="68">
        <v>0.317145370870006</v>
      </c>
      <c r="H2655" s="68">
        <v>0.406115963760371</v>
      </c>
      <c r="I2655" s="69">
        <v>44323.87386574074</v>
      </c>
      <c r="J2655" s="69">
        <v>44323.873923611114</v>
      </c>
      <c r="K2655">
        <f>AVERAGE(H2652:H2656)</f>
        <v>105.4121147</v>
      </c>
      <c r="L2655">
        <f>STDEV(H2652:H2656)</f>
        <v>94.66199181</v>
      </c>
      <c r="M2655" s="70">
        <v>0.406115963760371</v>
      </c>
      <c r="N2655" s="70">
        <v>0.406115963760371</v>
      </c>
      <c r="O2655" s="70">
        <v>0.317145370870006</v>
      </c>
      <c r="P2655" s="70">
        <v>0.317145370870006</v>
      </c>
    </row>
    <row r="2656" hidden="1">
      <c r="A2656" s="67" t="s">
        <v>3416</v>
      </c>
      <c r="B2656" s="67" t="s">
        <v>519</v>
      </c>
      <c r="C2656" s="68">
        <v>1.0</v>
      </c>
      <c r="D2656" s="68">
        <v>0.25</v>
      </c>
      <c r="E2656" s="68">
        <v>6.0</v>
      </c>
      <c r="F2656" s="68">
        <v>4.0</v>
      </c>
      <c r="G2656" s="68">
        <v>9.03873452055299</v>
      </c>
      <c r="H2656" s="68">
        <v>216.893611866176</v>
      </c>
      <c r="I2656" s="69">
        <v>44323.87462962963</v>
      </c>
      <c r="J2656" s="69">
        <v>44323.87474537037</v>
      </c>
      <c r="K2656">
        <f>AVERAGE(H2652:H2656)</f>
        <v>105.4121147</v>
      </c>
      <c r="L2656">
        <f>STDEV(H2652:H2656)</f>
        <v>94.66199181</v>
      </c>
      <c r="M2656" s="70">
        <v>216.893611866176</v>
      </c>
      <c r="N2656" s="70">
        <v>216.893611866176</v>
      </c>
      <c r="O2656" s="70">
        <v>9.03873452055299</v>
      </c>
      <c r="P2656" s="70">
        <v>9.03873452055299</v>
      </c>
    </row>
    <row r="2657" hidden="1">
      <c r="A2657" s="67" t="s">
        <v>3417</v>
      </c>
      <c r="B2657" s="67" t="s">
        <v>519</v>
      </c>
      <c r="C2657" s="68">
        <v>1.0</v>
      </c>
      <c r="D2657" s="68">
        <v>0.75</v>
      </c>
      <c r="E2657" s="68">
        <v>6.0</v>
      </c>
      <c r="F2657" s="68">
        <v>0.0</v>
      </c>
      <c r="G2657" s="68">
        <v>3.4024359985285</v>
      </c>
      <c r="H2657" s="68">
        <v>166.182857954697</v>
      </c>
      <c r="I2657" s="69">
        <v>44323.875451388885</v>
      </c>
      <c r="J2657" s="69">
        <v>44323.95513888889</v>
      </c>
      <c r="K2657">
        <f>AVERAGE(H2657:H2661)</f>
        <v>125.5330704</v>
      </c>
      <c r="L2657">
        <f>STDEV(H2657:H2661)</f>
        <v>88.33911233</v>
      </c>
      <c r="M2657" s="70">
        <v>166.182857954697</v>
      </c>
      <c r="N2657" s="70">
        <v>166.182857954697</v>
      </c>
      <c r="O2657" s="70">
        <v>3.4024359985285</v>
      </c>
      <c r="P2657" s="70">
        <v>3.4024359985285</v>
      </c>
    </row>
    <row r="2658" hidden="1">
      <c r="A2658" s="67" t="s">
        <v>3418</v>
      </c>
      <c r="B2658" s="67" t="s">
        <v>519</v>
      </c>
      <c r="C2658" s="68">
        <v>1.0</v>
      </c>
      <c r="D2658" s="68">
        <v>0.75</v>
      </c>
      <c r="E2658" s="68">
        <v>6.0</v>
      </c>
      <c r="F2658" s="68">
        <v>1.0</v>
      </c>
      <c r="G2658" s="68">
        <v>0.178533738235558</v>
      </c>
      <c r="H2658" s="68">
        <v>0.246489658513568</v>
      </c>
      <c r="I2658" s="69">
        <v>44323.95585648148</v>
      </c>
      <c r="J2658" s="69">
        <v>44323.955879629626</v>
      </c>
      <c r="K2658">
        <f>AVERAGE(H2657:H2661)</f>
        <v>125.5330704</v>
      </c>
      <c r="L2658">
        <f>STDEV(H2657:H2661)</f>
        <v>88.33911233</v>
      </c>
      <c r="M2658" s="70">
        <v>0.246489658513568</v>
      </c>
      <c r="N2658" s="70">
        <v>0.246489658513568</v>
      </c>
      <c r="O2658" s="70">
        <v>0.178533738235558</v>
      </c>
      <c r="P2658" s="70">
        <v>0.178533738235558</v>
      </c>
    </row>
    <row r="2659" hidden="1">
      <c r="A2659" s="67" t="s">
        <v>3419</v>
      </c>
      <c r="B2659" s="67" t="s">
        <v>519</v>
      </c>
      <c r="C2659" s="68">
        <v>1.0</v>
      </c>
      <c r="D2659" s="68">
        <v>0.75</v>
      </c>
      <c r="E2659" s="68">
        <v>6.0</v>
      </c>
      <c r="F2659" s="68">
        <v>2.0</v>
      </c>
      <c r="G2659" s="68">
        <v>5.58548874415191</v>
      </c>
      <c r="H2659" s="68">
        <v>172.51362951992</v>
      </c>
      <c r="I2659" s="69">
        <v>44323.95658564815</v>
      </c>
      <c r="J2659" s="69">
        <v>44323.956724537034</v>
      </c>
      <c r="K2659">
        <f>AVERAGE(H2657:H2661)</f>
        <v>125.5330704</v>
      </c>
      <c r="L2659">
        <f>STDEV(H2657:H2661)</f>
        <v>88.33911233</v>
      </c>
      <c r="M2659" s="70">
        <v>172.51362951992</v>
      </c>
      <c r="N2659" s="70">
        <v>172.51362951992</v>
      </c>
      <c r="O2659" s="70">
        <v>5.58548874415191</v>
      </c>
      <c r="P2659" s="70">
        <v>5.58548874415191</v>
      </c>
    </row>
    <row r="2660" hidden="1">
      <c r="A2660" s="67" t="s">
        <v>3420</v>
      </c>
      <c r="B2660" s="67" t="s">
        <v>519</v>
      </c>
      <c r="C2660" s="68">
        <v>1.0</v>
      </c>
      <c r="D2660" s="68">
        <v>0.75</v>
      </c>
      <c r="E2660" s="68">
        <v>6.0</v>
      </c>
      <c r="F2660" s="68">
        <v>3.0</v>
      </c>
      <c r="G2660" s="68">
        <v>9.14178217018625</v>
      </c>
      <c r="H2660" s="68">
        <v>218.354070996049</v>
      </c>
      <c r="I2660" s="69">
        <v>44323.95744212963</v>
      </c>
      <c r="J2660" s="69">
        <v>44323.95755787037</v>
      </c>
      <c r="K2660">
        <f>AVERAGE(H2657:H2661)</f>
        <v>125.5330704</v>
      </c>
      <c r="L2660">
        <f>STDEV(H2657:H2661)</f>
        <v>88.33911233</v>
      </c>
      <c r="M2660" s="70">
        <v>218.354070996049</v>
      </c>
      <c r="N2660" s="70">
        <v>218.354070996049</v>
      </c>
      <c r="O2660" s="70">
        <v>9.14178217018625</v>
      </c>
      <c r="P2660" s="70">
        <v>9.14178217018625</v>
      </c>
    </row>
    <row r="2661" hidden="1">
      <c r="A2661" s="67" t="s">
        <v>3421</v>
      </c>
      <c r="B2661" s="67" t="s">
        <v>519</v>
      </c>
      <c r="C2661" s="68">
        <v>1.0</v>
      </c>
      <c r="D2661" s="68">
        <v>0.75</v>
      </c>
      <c r="E2661" s="68">
        <v>6.0</v>
      </c>
      <c r="F2661" s="68">
        <v>4.0</v>
      </c>
      <c r="G2661" s="68">
        <v>1.37124054701157</v>
      </c>
      <c r="H2661" s="68">
        <v>70.3683040883317</v>
      </c>
      <c r="I2661" s="69">
        <v>44323.95826388889</v>
      </c>
      <c r="J2661" s="69">
        <v>44323.95929398148</v>
      </c>
      <c r="K2661">
        <f>AVERAGE(H2657:H2661)</f>
        <v>125.5330704</v>
      </c>
      <c r="L2661">
        <f>STDEV(H2657:H2661)</f>
        <v>88.33911233</v>
      </c>
      <c r="M2661" s="70">
        <v>70.3683040883317</v>
      </c>
      <c r="N2661" s="70">
        <v>70.3683040883317</v>
      </c>
      <c r="O2661" s="70">
        <v>1.37124054701157</v>
      </c>
      <c r="P2661" s="70">
        <v>1.37124054701157</v>
      </c>
    </row>
    <row r="2662" hidden="1">
      <c r="A2662" s="67" t="s">
        <v>3422</v>
      </c>
      <c r="B2662" s="67" t="s">
        <v>519</v>
      </c>
      <c r="C2662" s="68">
        <v>1.0</v>
      </c>
      <c r="D2662" s="68">
        <v>1.0</v>
      </c>
      <c r="E2662" s="68">
        <v>6.0</v>
      </c>
      <c r="F2662" s="68">
        <v>0.0</v>
      </c>
      <c r="G2662" s="68">
        <v>0.473681116034588</v>
      </c>
      <c r="H2662" s="68">
        <v>0.666985115715644</v>
      </c>
      <c r="I2662" s="69">
        <v>44323.96</v>
      </c>
      <c r="J2662" s="69">
        <v>44323.960023148145</v>
      </c>
      <c r="K2662">
        <f>AVERAGE(H2662:H2666)</f>
        <v>115.2807072</v>
      </c>
      <c r="L2662">
        <f>STDEV(H2662:H2666)</f>
        <v>110.240997</v>
      </c>
      <c r="M2662" s="70">
        <v>0.666985115715644</v>
      </c>
      <c r="N2662" s="70">
        <v>0.666985115715644</v>
      </c>
      <c r="O2662" s="70">
        <v>0.473681116034588</v>
      </c>
      <c r="P2662" s="70">
        <v>0.473681116034588</v>
      </c>
    </row>
    <row r="2663" hidden="1">
      <c r="A2663" s="67" t="s">
        <v>3423</v>
      </c>
      <c r="B2663" s="67" t="s">
        <v>519</v>
      </c>
      <c r="C2663" s="68">
        <v>1.0</v>
      </c>
      <c r="D2663" s="68">
        <v>1.0</v>
      </c>
      <c r="E2663" s="68">
        <v>6.0</v>
      </c>
      <c r="F2663" s="68">
        <v>1.0</v>
      </c>
      <c r="G2663" s="68">
        <v>11.5951106416635</v>
      </c>
      <c r="H2663" s="68">
        <v>247.378354121598</v>
      </c>
      <c r="I2663" s="69">
        <v>44323.96074074074</v>
      </c>
      <c r="J2663" s="69">
        <v>44323.96082175926</v>
      </c>
      <c r="K2663">
        <f>AVERAGE(H2662:H2666)</f>
        <v>115.2807072</v>
      </c>
      <c r="L2663">
        <f>STDEV(H2662:H2666)</f>
        <v>110.240997</v>
      </c>
      <c r="M2663" s="70">
        <v>247.378354121598</v>
      </c>
      <c r="N2663" s="70">
        <v>247.378354121598</v>
      </c>
      <c r="O2663" s="70">
        <v>11.5951106416635</v>
      </c>
      <c r="P2663" s="70">
        <v>11.5951106416635</v>
      </c>
    </row>
    <row r="2664" hidden="1">
      <c r="A2664" s="67" t="s">
        <v>3424</v>
      </c>
      <c r="B2664" s="67" t="s">
        <v>519</v>
      </c>
      <c r="C2664" s="68">
        <v>1.0</v>
      </c>
      <c r="D2664" s="68">
        <v>1.0</v>
      </c>
      <c r="E2664" s="68">
        <v>6.0</v>
      </c>
      <c r="F2664" s="68">
        <v>2.0</v>
      </c>
      <c r="G2664" s="68">
        <v>0.315606184811127</v>
      </c>
      <c r="H2664" s="68">
        <v>0.500707738533942</v>
      </c>
      <c r="I2664" s="69">
        <v>44323.96152777778</v>
      </c>
      <c r="J2664" s="69">
        <v>44323.961539351854</v>
      </c>
      <c r="K2664">
        <f>AVERAGE(H2662:H2666)</f>
        <v>115.2807072</v>
      </c>
      <c r="L2664">
        <f>STDEV(H2662:H2666)</f>
        <v>110.240997</v>
      </c>
      <c r="M2664" s="70">
        <v>0.500707738533942</v>
      </c>
      <c r="N2664" s="70">
        <v>0.500707738533942</v>
      </c>
      <c r="O2664" s="70">
        <v>0.315606184811127</v>
      </c>
      <c r="P2664" s="70">
        <v>0.315606184811127</v>
      </c>
    </row>
    <row r="2665" hidden="1">
      <c r="A2665" s="67" t="s">
        <v>3425</v>
      </c>
      <c r="B2665" s="67" t="s">
        <v>519</v>
      </c>
      <c r="C2665" s="68">
        <v>1.0</v>
      </c>
      <c r="D2665" s="68">
        <v>1.0</v>
      </c>
      <c r="E2665" s="68">
        <v>6.0</v>
      </c>
      <c r="F2665" s="68">
        <v>3.0</v>
      </c>
      <c r="G2665" s="68">
        <v>5.53543405250226</v>
      </c>
      <c r="H2665" s="68">
        <v>171.626300075669</v>
      </c>
      <c r="I2665" s="69">
        <v>44323.96224537037</v>
      </c>
      <c r="J2665" s="69">
        <v>44323.96239583333</v>
      </c>
      <c r="K2665">
        <f>AVERAGE(H2662:H2666)</f>
        <v>115.2807072</v>
      </c>
      <c r="L2665">
        <f>STDEV(H2662:H2666)</f>
        <v>110.240997</v>
      </c>
      <c r="M2665" s="70">
        <v>171.626300075669</v>
      </c>
      <c r="N2665" s="70">
        <v>171.626300075669</v>
      </c>
      <c r="O2665" s="70">
        <v>5.53543405250226</v>
      </c>
      <c r="P2665" s="70">
        <v>5.53543405250226</v>
      </c>
    </row>
    <row r="2666" hidden="1">
      <c r="A2666" s="67" t="s">
        <v>3426</v>
      </c>
      <c r="B2666" s="67" t="s">
        <v>519</v>
      </c>
      <c r="C2666" s="68">
        <v>1.0</v>
      </c>
      <c r="D2666" s="68">
        <v>1.0</v>
      </c>
      <c r="E2666" s="68">
        <v>6.0</v>
      </c>
      <c r="F2666" s="68">
        <v>4.0</v>
      </c>
      <c r="G2666" s="68">
        <v>3.11131363514577</v>
      </c>
      <c r="H2666" s="68">
        <v>156.231188855178</v>
      </c>
      <c r="I2666" s="69">
        <v>44384.967777777776</v>
      </c>
      <c r="J2666" s="69">
        <v>44385.14368055556</v>
      </c>
      <c r="K2666">
        <f>AVERAGE(H2662:H2666)</f>
        <v>115.2807072</v>
      </c>
      <c r="L2666">
        <f>STDEV(H2662:H2666)</f>
        <v>110.240997</v>
      </c>
      <c r="M2666" s="70">
        <v>156.231188855178</v>
      </c>
      <c r="N2666" s="70">
        <v>156.231188855178</v>
      </c>
      <c r="O2666" s="70">
        <v>3.11131363514577</v>
      </c>
      <c r="P2666" s="70">
        <v>3.11131363514577</v>
      </c>
    </row>
    <row r="2667" hidden="1">
      <c r="A2667" s="67" t="s">
        <v>3427</v>
      </c>
      <c r="B2667" s="67" t="s">
        <v>17</v>
      </c>
      <c r="C2667" s="68">
        <v>0.1</v>
      </c>
      <c r="D2667" s="68">
        <v>0.1</v>
      </c>
      <c r="E2667" s="68">
        <v>7.0</v>
      </c>
      <c r="F2667" s="68">
        <v>0.0</v>
      </c>
      <c r="G2667" s="68">
        <v>2.49114450253838</v>
      </c>
      <c r="H2667" s="68">
        <v>131.89098122686</v>
      </c>
      <c r="I2667" s="69">
        <v>44349.769375</v>
      </c>
      <c r="J2667" s="69">
        <v>44349.76965277778</v>
      </c>
      <c r="K2667">
        <f>AVERAGE(H2667:H2671)</f>
        <v>132.1523182</v>
      </c>
      <c r="L2667">
        <f>STDEV(H2667:H2671)</f>
        <v>105.6731798</v>
      </c>
      <c r="M2667" s="70">
        <v>131.89098122686</v>
      </c>
      <c r="N2667" s="70">
        <v>131.89098122686</v>
      </c>
      <c r="O2667" s="70">
        <v>2.49114450253838</v>
      </c>
      <c r="P2667" s="70">
        <v>2.49114450253838</v>
      </c>
    </row>
    <row r="2668" hidden="1">
      <c r="A2668" s="67" t="s">
        <v>3428</v>
      </c>
      <c r="B2668" s="67" t="s">
        <v>17</v>
      </c>
      <c r="C2668" s="68">
        <v>0.1</v>
      </c>
      <c r="D2668" s="68">
        <v>0.1</v>
      </c>
      <c r="E2668" s="68">
        <v>7.0</v>
      </c>
      <c r="F2668" s="68">
        <v>1.0</v>
      </c>
      <c r="G2668" s="68">
        <v>1.35224836248878</v>
      </c>
      <c r="H2668" s="68">
        <v>69.5144870271492</v>
      </c>
      <c r="I2668" s="69">
        <v>44349.7703587963</v>
      </c>
      <c r="J2668" s="69">
        <v>44349.771875</v>
      </c>
      <c r="K2668">
        <f>AVERAGE(H2667:H2671)</f>
        <v>132.1523182</v>
      </c>
      <c r="L2668">
        <f>STDEV(H2667:H2671)</f>
        <v>105.6731798</v>
      </c>
      <c r="M2668" s="70">
        <v>69.5144870271492</v>
      </c>
      <c r="N2668" s="70">
        <v>69.5144870271492</v>
      </c>
      <c r="O2668" s="70">
        <v>1.35224836248878</v>
      </c>
      <c r="P2668" s="70">
        <v>1.35224836248878</v>
      </c>
    </row>
    <row r="2669" hidden="1">
      <c r="A2669" s="67" t="s">
        <v>3429</v>
      </c>
      <c r="B2669" s="67" t="s">
        <v>17</v>
      </c>
      <c r="C2669" s="68">
        <v>0.1</v>
      </c>
      <c r="D2669" s="68">
        <v>0.1</v>
      </c>
      <c r="E2669" s="68">
        <v>7.0</v>
      </c>
      <c r="F2669" s="68">
        <v>2.0</v>
      </c>
      <c r="G2669" s="68">
        <v>3.81489980077062</v>
      </c>
      <c r="H2669" s="68">
        <v>165.437661484183</v>
      </c>
      <c r="I2669" s="69">
        <v>44349.77258101852</v>
      </c>
      <c r="J2669" s="69">
        <v>44349.80296296296</v>
      </c>
      <c r="K2669">
        <f>AVERAGE(H2667:H2671)</f>
        <v>132.1523182</v>
      </c>
      <c r="L2669">
        <f>STDEV(H2667:H2671)</f>
        <v>105.6731798</v>
      </c>
      <c r="M2669" s="70">
        <v>165.437661484183</v>
      </c>
      <c r="N2669" s="70">
        <v>165.437661484183</v>
      </c>
      <c r="O2669" s="70">
        <v>3.81489980077062</v>
      </c>
      <c r="P2669" s="70">
        <v>3.81489980077062</v>
      </c>
    </row>
    <row r="2670" hidden="1">
      <c r="A2670" s="67" t="s">
        <v>3430</v>
      </c>
      <c r="B2670" s="67" t="s">
        <v>17</v>
      </c>
      <c r="C2670" s="68">
        <v>0.1</v>
      </c>
      <c r="D2670" s="68">
        <v>0.1</v>
      </c>
      <c r="E2670" s="68">
        <v>7.0</v>
      </c>
      <c r="F2670" s="68">
        <v>3.0</v>
      </c>
      <c r="G2670" s="68">
        <v>0.926192974812534</v>
      </c>
      <c r="H2670" s="68">
        <v>6.96402696596508</v>
      </c>
      <c r="I2670" s="69">
        <v>44349.80366898148</v>
      </c>
      <c r="J2670" s="69">
        <v>44349.80519675926</v>
      </c>
      <c r="K2670">
        <f>AVERAGE(H2667:H2671)</f>
        <v>132.1523182</v>
      </c>
      <c r="L2670">
        <f>STDEV(H2667:H2671)</f>
        <v>105.6731798</v>
      </c>
      <c r="M2670" s="70">
        <v>6.96402696596508</v>
      </c>
      <c r="N2670" s="70">
        <v>6.96402696596508</v>
      </c>
      <c r="O2670" s="70">
        <v>0.926192974812534</v>
      </c>
      <c r="P2670" s="70">
        <v>0.926192974812534</v>
      </c>
    </row>
    <row r="2671" hidden="1">
      <c r="A2671" s="67" t="s">
        <v>3431</v>
      </c>
      <c r="B2671" s="67" t="s">
        <v>17</v>
      </c>
      <c r="C2671" s="68">
        <v>0.1</v>
      </c>
      <c r="D2671" s="68">
        <v>0.1</v>
      </c>
      <c r="E2671" s="68">
        <v>7.0</v>
      </c>
      <c r="F2671" s="68">
        <v>4.0</v>
      </c>
      <c r="G2671" s="68">
        <v>8.15560031885661</v>
      </c>
      <c r="H2671" s="68">
        <v>286.954434314953</v>
      </c>
      <c r="I2671" s="69">
        <v>44349.80590277778</v>
      </c>
      <c r="J2671" s="69">
        <v>44349.806875</v>
      </c>
      <c r="K2671">
        <f>AVERAGE(H2667:H2671)</f>
        <v>132.1523182</v>
      </c>
      <c r="L2671">
        <f>STDEV(H2667:H2671)</f>
        <v>105.6731798</v>
      </c>
      <c r="M2671" s="70">
        <v>286.954434314953</v>
      </c>
      <c r="N2671" s="70">
        <v>286.954434314953</v>
      </c>
      <c r="O2671" s="70">
        <v>8.15560031885661</v>
      </c>
      <c r="P2671" s="70">
        <v>8.15560031885661</v>
      </c>
    </row>
    <row r="2672" hidden="1">
      <c r="A2672" s="67" t="s">
        <v>3432</v>
      </c>
      <c r="B2672" s="67" t="s">
        <v>17</v>
      </c>
      <c r="C2672" s="68">
        <v>0.1</v>
      </c>
      <c r="D2672" s="68">
        <v>0.25</v>
      </c>
      <c r="E2672" s="68">
        <v>7.0</v>
      </c>
      <c r="F2672" s="68">
        <v>0.0</v>
      </c>
      <c r="G2672" s="68">
        <v>2.16273150135074</v>
      </c>
      <c r="H2672" s="68">
        <v>84.15143513095</v>
      </c>
      <c r="I2672" s="69">
        <v>44349.80758101852</v>
      </c>
      <c r="J2672" s="69">
        <v>44349.813738425924</v>
      </c>
      <c r="K2672">
        <f>AVERAGE(H2672:H2676)</f>
        <v>159.9276207</v>
      </c>
      <c r="L2672">
        <f>STDEV(H2672:H2676)</f>
        <v>45.49094341</v>
      </c>
      <c r="M2672" s="70">
        <v>84.15143513095</v>
      </c>
      <c r="N2672" s="70">
        <v>84.15143513095</v>
      </c>
      <c r="O2672" s="70">
        <v>2.16273150135074</v>
      </c>
      <c r="P2672" s="70">
        <v>2.16273150135074</v>
      </c>
    </row>
    <row r="2673" hidden="1">
      <c r="A2673" s="67" t="s">
        <v>3433</v>
      </c>
      <c r="B2673" s="67" t="s">
        <v>17</v>
      </c>
      <c r="C2673" s="68">
        <v>0.1</v>
      </c>
      <c r="D2673" s="68">
        <v>0.25</v>
      </c>
      <c r="E2673" s="68">
        <v>7.0</v>
      </c>
      <c r="F2673" s="68">
        <v>1.0</v>
      </c>
      <c r="G2673" s="68">
        <v>3.01215717406789</v>
      </c>
      <c r="H2673" s="68">
        <v>156.222799690046</v>
      </c>
      <c r="I2673" s="69">
        <v>44349.81444444445</v>
      </c>
      <c r="J2673" s="69">
        <v>44349.828831018516</v>
      </c>
      <c r="K2673">
        <f>AVERAGE(H2672:H2676)</f>
        <v>159.9276207</v>
      </c>
      <c r="L2673">
        <f>STDEV(H2672:H2676)</f>
        <v>45.49094341</v>
      </c>
      <c r="M2673" s="70">
        <v>156.222799690046</v>
      </c>
      <c r="N2673" s="70">
        <v>156.222799690046</v>
      </c>
      <c r="O2673" s="70">
        <v>3.01215717406789</v>
      </c>
      <c r="P2673" s="70">
        <v>3.01215717406789</v>
      </c>
    </row>
    <row r="2674" hidden="1">
      <c r="A2674" s="67" t="s">
        <v>3434</v>
      </c>
      <c r="B2674" s="67" t="s">
        <v>17</v>
      </c>
      <c r="C2674" s="68">
        <v>0.1</v>
      </c>
      <c r="D2674" s="68">
        <v>0.25</v>
      </c>
      <c r="E2674" s="68">
        <v>7.0</v>
      </c>
      <c r="F2674" s="68">
        <v>2.0</v>
      </c>
      <c r="G2674" s="68">
        <v>4.59086975894612</v>
      </c>
      <c r="H2674" s="68">
        <v>196.486462948539</v>
      </c>
      <c r="I2674" s="69">
        <v>44349.82953703704</v>
      </c>
      <c r="J2674" s="69">
        <v>44349.83645833333</v>
      </c>
      <c r="K2674">
        <f>AVERAGE(H2672:H2676)</f>
        <v>159.9276207</v>
      </c>
      <c r="L2674">
        <f>STDEV(H2672:H2676)</f>
        <v>45.49094341</v>
      </c>
      <c r="M2674" s="70">
        <v>196.486462948539</v>
      </c>
      <c r="N2674" s="70">
        <v>196.486462948539</v>
      </c>
      <c r="O2674" s="70">
        <v>4.59086975894612</v>
      </c>
      <c r="P2674" s="70">
        <v>4.59086975894612</v>
      </c>
    </row>
    <row r="2675" hidden="1">
      <c r="A2675" s="67" t="s">
        <v>3435</v>
      </c>
      <c r="B2675" s="67" t="s">
        <v>17</v>
      </c>
      <c r="C2675" s="68">
        <v>0.1</v>
      </c>
      <c r="D2675" s="68">
        <v>0.25</v>
      </c>
      <c r="E2675" s="68">
        <v>7.0</v>
      </c>
      <c r="F2675" s="68">
        <v>3.0</v>
      </c>
      <c r="G2675" s="68">
        <v>4.4508057112261</v>
      </c>
      <c r="H2675" s="68">
        <v>169.894297675225</v>
      </c>
      <c r="I2675" s="69">
        <v>44349.837164351855</v>
      </c>
      <c r="J2675" s="69">
        <v>44349.837222222224</v>
      </c>
      <c r="K2675">
        <f>AVERAGE(H2672:H2676)</f>
        <v>159.9276207</v>
      </c>
      <c r="L2675">
        <f>STDEV(H2672:H2676)</f>
        <v>45.49094341</v>
      </c>
      <c r="M2675" s="70">
        <v>169.894297675225</v>
      </c>
      <c r="N2675" s="70">
        <v>169.894297675225</v>
      </c>
      <c r="O2675" s="70">
        <v>4.4508057112261</v>
      </c>
      <c r="P2675" s="70">
        <v>4.4508057112261</v>
      </c>
    </row>
    <row r="2676" hidden="1">
      <c r="A2676" s="67" t="s">
        <v>3436</v>
      </c>
      <c r="B2676" s="67" t="s">
        <v>17</v>
      </c>
      <c r="C2676" s="68">
        <v>0.1</v>
      </c>
      <c r="D2676" s="68">
        <v>0.25</v>
      </c>
      <c r="E2676" s="68">
        <v>7.0</v>
      </c>
      <c r="F2676" s="68">
        <v>4.0</v>
      </c>
      <c r="G2676" s="68">
        <v>7.97116231550328</v>
      </c>
      <c r="H2676" s="68">
        <v>192.883107853925</v>
      </c>
      <c r="I2676" s="69">
        <v>44349.83792824074</v>
      </c>
      <c r="J2676" s="69">
        <v>44349.83797453704</v>
      </c>
      <c r="K2676">
        <f>AVERAGE(H2672:H2676)</f>
        <v>159.9276207</v>
      </c>
      <c r="L2676">
        <f>STDEV(H2672:H2676)</f>
        <v>45.49094341</v>
      </c>
      <c r="M2676" s="70">
        <v>192.883107853925</v>
      </c>
      <c r="N2676" s="70">
        <v>192.883107853925</v>
      </c>
      <c r="O2676" s="70">
        <v>7.97116231550328</v>
      </c>
      <c r="P2676" s="70">
        <v>7.97116231550328</v>
      </c>
    </row>
    <row r="2677" hidden="1">
      <c r="A2677" s="67" t="s">
        <v>3437</v>
      </c>
      <c r="B2677" s="67" t="s">
        <v>17</v>
      </c>
      <c r="C2677" s="68">
        <v>0.1</v>
      </c>
      <c r="D2677" s="68">
        <v>0.5</v>
      </c>
      <c r="E2677" s="68">
        <v>7.0</v>
      </c>
      <c r="F2677" s="68">
        <v>0.0</v>
      </c>
      <c r="G2677" s="68">
        <v>3.61843555883042</v>
      </c>
      <c r="H2677" s="68">
        <v>167.643002423888</v>
      </c>
      <c r="I2677" s="69">
        <v>44349.83868055556</v>
      </c>
      <c r="J2677" s="69">
        <v>44349.973761574074</v>
      </c>
      <c r="K2677">
        <f>AVERAGE(H2677:H2681)</f>
        <v>66.88937067</v>
      </c>
      <c r="L2677">
        <f>STDEV(H2677:H2681)</f>
        <v>77.55947659</v>
      </c>
      <c r="M2677" s="70">
        <v>167.643002423888</v>
      </c>
      <c r="N2677" s="70">
        <v>167.643002423888</v>
      </c>
      <c r="O2677" s="70">
        <v>3.61843555883042</v>
      </c>
      <c r="P2677" s="70">
        <v>3.61843555883042</v>
      </c>
    </row>
    <row r="2678" hidden="1">
      <c r="A2678" s="67" t="s">
        <v>3438</v>
      </c>
      <c r="B2678" s="67" t="s">
        <v>17</v>
      </c>
      <c r="C2678" s="68">
        <v>0.1</v>
      </c>
      <c r="D2678" s="68">
        <v>0.5</v>
      </c>
      <c r="E2678" s="68">
        <v>7.0</v>
      </c>
      <c r="F2678" s="68">
        <v>1.0</v>
      </c>
      <c r="G2678" s="68">
        <v>1.67857976228517</v>
      </c>
      <c r="H2678" s="68">
        <v>28.5063218306903</v>
      </c>
      <c r="I2678" s="69">
        <v>44349.97446759259</v>
      </c>
      <c r="J2678" s="69">
        <v>44349.97488425926</v>
      </c>
      <c r="K2678">
        <f>AVERAGE(H2677:H2681)</f>
        <v>66.88937067</v>
      </c>
      <c r="L2678">
        <f>STDEV(H2677:H2681)</f>
        <v>77.55947659</v>
      </c>
      <c r="M2678" s="70">
        <v>28.5063218306903</v>
      </c>
      <c r="N2678" s="70">
        <v>28.5063218306903</v>
      </c>
      <c r="O2678" s="70">
        <v>1.67857976228517</v>
      </c>
      <c r="P2678" s="70">
        <v>1.67857976228517</v>
      </c>
    </row>
    <row r="2679" hidden="1">
      <c r="A2679" s="67" t="s">
        <v>3439</v>
      </c>
      <c r="B2679" s="67" t="s">
        <v>17</v>
      </c>
      <c r="C2679" s="68">
        <v>0.1</v>
      </c>
      <c r="D2679" s="68">
        <v>0.5</v>
      </c>
      <c r="E2679" s="68">
        <v>7.0</v>
      </c>
      <c r="F2679" s="68">
        <v>2.0</v>
      </c>
      <c r="G2679" s="68">
        <v>2.49725454612862</v>
      </c>
      <c r="H2679" s="68">
        <v>132.26989784851</v>
      </c>
      <c r="I2679" s="69">
        <v>44349.975590277776</v>
      </c>
      <c r="J2679" s="69">
        <v>44349.975810185184</v>
      </c>
      <c r="K2679">
        <f>AVERAGE(H2677:H2681)</f>
        <v>66.88937067</v>
      </c>
      <c r="L2679">
        <f>STDEV(H2677:H2681)</f>
        <v>77.55947659</v>
      </c>
      <c r="M2679" s="70">
        <v>132.26989784851</v>
      </c>
      <c r="N2679" s="70">
        <v>132.26989784851</v>
      </c>
      <c r="O2679" s="70">
        <v>2.49725454612862</v>
      </c>
      <c r="P2679" s="70">
        <v>2.49725454612862</v>
      </c>
    </row>
    <row r="2680" hidden="1">
      <c r="A2680" s="67" t="s">
        <v>3440</v>
      </c>
      <c r="B2680" s="67" t="s">
        <v>17</v>
      </c>
      <c r="C2680" s="68">
        <v>0.1</v>
      </c>
      <c r="D2680" s="68">
        <v>0.5</v>
      </c>
      <c r="E2680" s="68">
        <v>7.0</v>
      </c>
      <c r="F2680" s="68">
        <v>3.0</v>
      </c>
      <c r="G2680" s="68">
        <v>1.10120180684559</v>
      </c>
      <c r="H2680" s="68">
        <v>1.88454841990868</v>
      </c>
      <c r="I2680" s="69">
        <v>44349.9765162037</v>
      </c>
      <c r="J2680" s="69">
        <v>44349.97655092592</v>
      </c>
      <c r="K2680">
        <f>AVERAGE(H2677:H2681)</f>
        <v>66.88937067</v>
      </c>
      <c r="L2680">
        <f>STDEV(H2677:H2681)</f>
        <v>77.55947659</v>
      </c>
      <c r="M2680" s="70">
        <v>1.88454841990868</v>
      </c>
      <c r="N2680" s="70">
        <v>1.88454841990868</v>
      </c>
      <c r="O2680" s="70">
        <v>1.10120180684559</v>
      </c>
      <c r="P2680" s="70">
        <v>1.10120180684559</v>
      </c>
    </row>
    <row r="2681" hidden="1">
      <c r="A2681" s="67" t="s">
        <v>3441</v>
      </c>
      <c r="B2681" s="67" t="s">
        <v>17</v>
      </c>
      <c r="C2681" s="68">
        <v>0.1</v>
      </c>
      <c r="D2681" s="68">
        <v>0.5</v>
      </c>
      <c r="E2681" s="68">
        <v>7.0</v>
      </c>
      <c r="F2681" s="68">
        <v>4.0</v>
      </c>
      <c r="G2681" s="68">
        <v>2.64397974277779</v>
      </c>
      <c r="H2681" s="68">
        <v>4.14308284676004</v>
      </c>
      <c r="I2681" s="69">
        <v>44349.97725694445</v>
      </c>
      <c r="J2681" s="69">
        <v>44349.97734953704</v>
      </c>
      <c r="K2681">
        <f>AVERAGE(H2677:H2681)</f>
        <v>66.88937067</v>
      </c>
      <c r="L2681">
        <f>STDEV(H2677:H2681)</f>
        <v>77.55947659</v>
      </c>
      <c r="M2681" s="70">
        <v>4.14308284676004</v>
      </c>
      <c r="N2681" s="70">
        <v>4.14308284676004</v>
      </c>
      <c r="O2681" s="70">
        <v>2.64397974277779</v>
      </c>
      <c r="P2681" s="70">
        <v>2.64397974277779</v>
      </c>
    </row>
    <row r="2682" hidden="1">
      <c r="A2682" s="67" t="s">
        <v>3442</v>
      </c>
      <c r="B2682" s="67" t="s">
        <v>17</v>
      </c>
      <c r="C2682" s="68">
        <v>0.1</v>
      </c>
      <c r="D2682" s="68">
        <v>0.75</v>
      </c>
      <c r="E2682" s="68">
        <v>7.0</v>
      </c>
      <c r="F2682" s="68">
        <v>0.0</v>
      </c>
      <c r="G2682" s="68">
        <v>4.08739269056517</v>
      </c>
      <c r="H2682" s="68">
        <v>182.659381044765</v>
      </c>
      <c r="I2682" s="69">
        <v>44349.978055555555</v>
      </c>
      <c r="J2682" s="69">
        <v>44350.031331018516</v>
      </c>
      <c r="K2682">
        <f>AVERAGE(H2682:H2686)</f>
        <v>65.14224345</v>
      </c>
      <c r="L2682">
        <f>STDEV(H2682:H2686)</f>
        <v>78.84793583</v>
      </c>
      <c r="M2682" s="70">
        <v>182.659381044765</v>
      </c>
      <c r="N2682" s="70">
        <v>182.659381044765</v>
      </c>
      <c r="O2682" s="70">
        <v>4.08739269056517</v>
      </c>
      <c r="P2682" s="70">
        <v>4.08739269056517</v>
      </c>
    </row>
    <row r="2683" hidden="1">
      <c r="A2683" s="67" t="s">
        <v>3443</v>
      </c>
      <c r="B2683" s="67" t="s">
        <v>17</v>
      </c>
      <c r="C2683" s="68">
        <v>0.1</v>
      </c>
      <c r="D2683" s="68">
        <v>0.75</v>
      </c>
      <c r="E2683" s="68">
        <v>7.0</v>
      </c>
      <c r="F2683" s="68">
        <v>1.0</v>
      </c>
      <c r="G2683" s="68">
        <v>2.86850291804152</v>
      </c>
      <c r="H2683" s="68">
        <v>110.472893955086</v>
      </c>
      <c r="I2683" s="69">
        <v>44350.03203703704</v>
      </c>
      <c r="J2683" s="69">
        <v>44350.03334490741</v>
      </c>
      <c r="K2683">
        <f>AVERAGE(H2682:H2686)</f>
        <v>65.14224345</v>
      </c>
      <c r="L2683">
        <f>STDEV(H2682:H2686)</f>
        <v>78.84793583</v>
      </c>
      <c r="M2683" s="70">
        <v>110.472893955086</v>
      </c>
      <c r="N2683" s="70">
        <v>110.472893955086</v>
      </c>
      <c r="O2683" s="70">
        <v>2.86850291804152</v>
      </c>
      <c r="P2683" s="70">
        <v>2.86850291804152</v>
      </c>
    </row>
    <row r="2684" hidden="1">
      <c r="A2684" s="67" t="s">
        <v>3444</v>
      </c>
      <c r="B2684" s="67" t="s">
        <v>17</v>
      </c>
      <c r="C2684" s="68">
        <v>0.1</v>
      </c>
      <c r="D2684" s="68">
        <v>0.75</v>
      </c>
      <c r="E2684" s="68">
        <v>7.0</v>
      </c>
      <c r="F2684" s="68">
        <v>2.0</v>
      </c>
      <c r="G2684" s="68">
        <v>0.510055598216372</v>
      </c>
      <c r="H2684" s="68">
        <v>0.61791749994393</v>
      </c>
      <c r="I2684" s="69">
        <v>44350.034050925926</v>
      </c>
      <c r="J2684" s="69">
        <v>44350.03451388889</v>
      </c>
      <c r="K2684">
        <f>AVERAGE(H2682:H2686)</f>
        <v>65.14224345</v>
      </c>
      <c r="L2684">
        <f>STDEV(H2682:H2686)</f>
        <v>78.84793583</v>
      </c>
      <c r="M2684" s="70">
        <v>0.61791749994393</v>
      </c>
      <c r="N2684" s="70">
        <v>0.61791749994393</v>
      </c>
      <c r="O2684" s="70">
        <v>0.510055598216372</v>
      </c>
      <c r="P2684" s="70">
        <v>0.510055598216372</v>
      </c>
    </row>
    <row r="2685" hidden="1">
      <c r="A2685" s="67" t="s">
        <v>3445</v>
      </c>
      <c r="B2685" s="67" t="s">
        <v>17</v>
      </c>
      <c r="C2685" s="68">
        <v>0.1</v>
      </c>
      <c r="D2685" s="68">
        <v>0.75</v>
      </c>
      <c r="E2685" s="68">
        <v>7.0</v>
      </c>
      <c r="F2685" s="68">
        <v>3.0</v>
      </c>
      <c r="G2685" s="68">
        <v>1.22591733063702</v>
      </c>
      <c r="H2685" s="68">
        <v>17.6690310537517</v>
      </c>
      <c r="I2685" s="69">
        <v>44350.035219907404</v>
      </c>
      <c r="J2685" s="69">
        <v>44350.03556712963</v>
      </c>
      <c r="K2685">
        <f>AVERAGE(H2682:H2686)</f>
        <v>65.14224345</v>
      </c>
      <c r="L2685">
        <f>STDEV(H2682:H2686)</f>
        <v>78.84793583</v>
      </c>
      <c r="M2685" s="70">
        <v>17.6690310537517</v>
      </c>
      <c r="N2685" s="70">
        <v>17.6690310537517</v>
      </c>
      <c r="O2685" s="70">
        <v>1.22591733063702</v>
      </c>
      <c r="P2685" s="70">
        <v>1.22591733063702</v>
      </c>
    </row>
    <row r="2686" hidden="1">
      <c r="A2686" s="67" t="s">
        <v>3446</v>
      </c>
      <c r="B2686" s="67" t="s">
        <v>17</v>
      </c>
      <c r="C2686" s="68">
        <v>0.1</v>
      </c>
      <c r="D2686" s="68">
        <v>0.75</v>
      </c>
      <c r="E2686" s="68">
        <v>7.0</v>
      </c>
      <c r="F2686" s="68">
        <v>4.0</v>
      </c>
      <c r="G2686" s="68">
        <v>0.98741501077339</v>
      </c>
      <c r="H2686" s="68">
        <v>14.2919937144437</v>
      </c>
      <c r="I2686" s="69">
        <v>44350.03628472222</v>
      </c>
      <c r="J2686" s="69">
        <v>44350.03640046297</v>
      </c>
      <c r="K2686">
        <f>AVERAGE(H2682:H2686)</f>
        <v>65.14224345</v>
      </c>
      <c r="L2686">
        <f>STDEV(H2682:H2686)</f>
        <v>78.84793583</v>
      </c>
      <c r="M2686" s="70">
        <v>14.2919937144437</v>
      </c>
      <c r="N2686" s="70">
        <v>14.2919937144437</v>
      </c>
      <c r="O2686" s="70">
        <v>0.98741501077339</v>
      </c>
      <c r="P2686" s="70">
        <v>0.98741501077339</v>
      </c>
    </row>
    <row r="2687" hidden="1">
      <c r="A2687" s="67" t="s">
        <v>3447</v>
      </c>
      <c r="B2687" s="67" t="s">
        <v>17</v>
      </c>
      <c r="C2687" s="68">
        <v>0.1</v>
      </c>
      <c r="D2687" s="68">
        <v>1.0</v>
      </c>
      <c r="E2687" s="68">
        <v>7.0</v>
      </c>
      <c r="F2687" s="68">
        <v>0.0</v>
      </c>
      <c r="G2687" s="68">
        <v>8.13336053988829</v>
      </c>
      <c r="H2687" s="68">
        <v>286.455761445676</v>
      </c>
      <c r="I2687" s="69">
        <v>44350.03710648148</v>
      </c>
      <c r="J2687" s="69">
        <v>44350.038136574076</v>
      </c>
      <c r="K2687">
        <f>AVERAGE(H2687:H2691)</f>
        <v>103.9854195</v>
      </c>
      <c r="L2687">
        <f>STDEV(H2687:H2691)</f>
        <v>116.1680742</v>
      </c>
      <c r="M2687" s="70">
        <v>286.455761445676</v>
      </c>
      <c r="N2687" s="70">
        <v>286.455761445676</v>
      </c>
      <c r="O2687" s="70">
        <v>8.13336053988829</v>
      </c>
      <c r="P2687" s="70">
        <v>8.13336053988829</v>
      </c>
    </row>
    <row r="2688" hidden="1">
      <c r="A2688" s="67" t="s">
        <v>3448</v>
      </c>
      <c r="B2688" s="67" t="s">
        <v>17</v>
      </c>
      <c r="C2688" s="68">
        <v>0.1</v>
      </c>
      <c r="D2688" s="68">
        <v>1.0</v>
      </c>
      <c r="E2688" s="68">
        <v>7.0</v>
      </c>
      <c r="F2688" s="68">
        <v>1.0</v>
      </c>
      <c r="G2688" s="68">
        <v>1.35202678106678</v>
      </c>
      <c r="H2688" s="68">
        <v>69.4969443457134</v>
      </c>
      <c r="I2688" s="69">
        <v>44350.03884259259</v>
      </c>
      <c r="J2688" s="69">
        <v>44350.04001157408</v>
      </c>
      <c r="K2688">
        <f>AVERAGE(H2687:H2691)</f>
        <v>103.9854195</v>
      </c>
      <c r="L2688">
        <f>STDEV(H2687:H2691)</f>
        <v>116.1680742</v>
      </c>
      <c r="M2688" s="70">
        <v>69.4969443457134</v>
      </c>
      <c r="N2688" s="70">
        <v>69.4969443457134</v>
      </c>
      <c r="O2688" s="70">
        <v>1.35202678106678</v>
      </c>
      <c r="P2688" s="70">
        <v>1.35202678106678</v>
      </c>
    </row>
    <row r="2689" hidden="1">
      <c r="A2689" s="67" t="s">
        <v>3449</v>
      </c>
      <c r="B2689" s="67" t="s">
        <v>17</v>
      </c>
      <c r="C2689" s="68">
        <v>0.1</v>
      </c>
      <c r="D2689" s="68">
        <v>1.0</v>
      </c>
      <c r="E2689" s="68">
        <v>7.0</v>
      </c>
      <c r="F2689" s="68">
        <v>2.0</v>
      </c>
      <c r="G2689" s="68">
        <v>0.317145370870006</v>
      </c>
      <c r="H2689" s="68">
        <v>0.406115963760371</v>
      </c>
      <c r="I2689" s="69">
        <v>44350.040717592594</v>
      </c>
      <c r="J2689" s="69">
        <v>44350.04077546296</v>
      </c>
      <c r="K2689">
        <f>AVERAGE(H2687:H2691)</f>
        <v>103.9854195</v>
      </c>
      <c r="L2689">
        <f>STDEV(H2687:H2691)</f>
        <v>116.1680742</v>
      </c>
      <c r="M2689" s="70">
        <v>0.406115963760371</v>
      </c>
      <c r="N2689" s="70">
        <v>0.406115963760371</v>
      </c>
      <c r="O2689" s="70">
        <v>0.317145370870006</v>
      </c>
      <c r="P2689" s="70">
        <v>0.317145370870006</v>
      </c>
    </row>
    <row r="2690" hidden="1">
      <c r="A2690" s="67" t="s">
        <v>3450</v>
      </c>
      <c r="B2690" s="67" t="s">
        <v>17</v>
      </c>
      <c r="C2690" s="68">
        <v>0.1</v>
      </c>
      <c r="D2690" s="68">
        <v>1.0</v>
      </c>
      <c r="E2690" s="68">
        <v>7.0</v>
      </c>
      <c r="F2690" s="68">
        <v>3.0</v>
      </c>
      <c r="G2690" s="68">
        <v>3.13560140639544</v>
      </c>
      <c r="H2690" s="68">
        <v>144.156965597072</v>
      </c>
      <c r="I2690" s="69">
        <v>44350.04148148148</v>
      </c>
      <c r="J2690" s="69">
        <v>44350.1025</v>
      </c>
      <c r="K2690">
        <f>AVERAGE(H2687:H2691)</f>
        <v>103.9854195</v>
      </c>
      <c r="L2690">
        <f>STDEV(H2687:H2691)</f>
        <v>116.1680742</v>
      </c>
      <c r="M2690" s="70">
        <v>144.156965597072</v>
      </c>
      <c r="N2690" s="70">
        <v>144.156965597072</v>
      </c>
      <c r="O2690" s="70">
        <v>3.13560140639544</v>
      </c>
      <c r="P2690" s="70">
        <v>3.13560140639544</v>
      </c>
    </row>
    <row r="2691" hidden="1">
      <c r="A2691" s="67" t="s">
        <v>3451</v>
      </c>
      <c r="B2691" s="67" t="s">
        <v>17</v>
      </c>
      <c r="C2691" s="68">
        <v>0.1</v>
      </c>
      <c r="D2691" s="68">
        <v>1.0</v>
      </c>
      <c r="E2691" s="68">
        <v>7.0</v>
      </c>
      <c r="F2691" s="68">
        <v>4.0</v>
      </c>
      <c r="G2691" s="68">
        <v>2.32938582146319</v>
      </c>
      <c r="H2691" s="68">
        <v>19.411310138111</v>
      </c>
      <c r="I2691" s="69">
        <v>44350.10320601852</v>
      </c>
      <c r="J2691" s="69">
        <v>44350.103217592594</v>
      </c>
      <c r="K2691">
        <f>AVERAGE(H2687:H2691)</f>
        <v>103.9854195</v>
      </c>
      <c r="L2691">
        <f>STDEV(H2687:H2691)</f>
        <v>116.1680742</v>
      </c>
      <c r="M2691" s="70">
        <v>19.411310138111</v>
      </c>
      <c r="N2691" s="70">
        <v>19.411310138111</v>
      </c>
      <c r="O2691" s="70">
        <v>2.32938582146319</v>
      </c>
      <c r="P2691" s="70">
        <v>2.32938582146319</v>
      </c>
    </row>
    <row r="2692" hidden="1">
      <c r="A2692" s="67" t="s">
        <v>3452</v>
      </c>
      <c r="B2692" s="67" t="s">
        <v>17</v>
      </c>
      <c r="C2692" s="68">
        <v>0.25</v>
      </c>
      <c r="D2692" s="68">
        <v>0.1</v>
      </c>
      <c r="E2692" s="68">
        <v>7.0</v>
      </c>
      <c r="F2692" s="68">
        <v>0.0</v>
      </c>
      <c r="G2692" s="68">
        <v>0.523624865993618</v>
      </c>
      <c r="H2692" s="68">
        <v>0.636134309836167</v>
      </c>
      <c r="I2692" s="69">
        <v>44350.10392361111</v>
      </c>
      <c r="J2692" s="69">
        <v>44350.10498842593</v>
      </c>
      <c r="K2692">
        <f>AVERAGE(H2692:H2696)</f>
        <v>87.8895889</v>
      </c>
      <c r="L2692">
        <f>STDEV(H2692:H2696)</f>
        <v>85.23368807</v>
      </c>
      <c r="M2692" s="70">
        <v>0.636134309836167</v>
      </c>
      <c r="N2692" s="70">
        <v>0.636134309836167</v>
      </c>
      <c r="O2692" s="70">
        <v>0.523624865993618</v>
      </c>
      <c r="P2692" s="70">
        <v>0.523624865993618</v>
      </c>
    </row>
    <row r="2693" hidden="1">
      <c r="A2693" s="67" t="s">
        <v>3453</v>
      </c>
      <c r="B2693" s="67" t="s">
        <v>17</v>
      </c>
      <c r="C2693" s="68">
        <v>0.25</v>
      </c>
      <c r="D2693" s="68">
        <v>0.1</v>
      </c>
      <c r="E2693" s="68">
        <v>7.0</v>
      </c>
      <c r="F2693" s="68">
        <v>1.0</v>
      </c>
      <c r="G2693" s="68">
        <v>4.2701079929384</v>
      </c>
      <c r="H2693" s="68">
        <v>183.726022558384</v>
      </c>
      <c r="I2693" s="69">
        <v>44350.10569444444</v>
      </c>
      <c r="J2693" s="69">
        <v>44350.10980324074</v>
      </c>
      <c r="K2693">
        <f>AVERAGE(H2692:H2696)</f>
        <v>87.8895889</v>
      </c>
      <c r="L2693">
        <f>STDEV(H2692:H2696)</f>
        <v>85.23368807</v>
      </c>
      <c r="M2693" s="70">
        <v>183.726022558384</v>
      </c>
      <c r="N2693" s="70">
        <v>183.726022558384</v>
      </c>
      <c r="O2693" s="70">
        <v>4.2701079929384</v>
      </c>
      <c r="P2693" s="70">
        <v>4.2701079929384</v>
      </c>
    </row>
    <row r="2694" hidden="1">
      <c r="A2694" s="67" t="s">
        <v>3454</v>
      </c>
      <c r="B2694" s="67" t="s">
        <v>17</v>
      </c>
      <c r="C2694" s="68">
        <v>0.25</v>
      </c>
      <c r="D2694" s="68">
        <v>0.1</v>
      </c>
      <c r="E2694" s="68">
        <v>7.0</v>
      </c>
      <c r="F2694" s="68">
        <v>2.0</v>
      </c>
      <c r="G2694" s="68">
        <v>1.34773095167125</v>
      </c>
      <c r="H2694" s="68">
        <v>8.4280414440837</v>
      </c>
      <c r="I2694" s="69">
        <v>44350.110497685186</v>
      </c>
      <c r="J2694" s="69">
        <v>44350.11111111111</v>
      </c>
      <c r="K2694">
        <f>AVERAGE(H2692:H2696)</f>
        <v>87.8895889</v>
      </c>
      <c r="L2694">
        <f>STDEV(H2692:H2696)</f>
        <v>85.23368807</v>
      </c>
      <c r="M2694" s="70">
        <v>8.4280414440837</v>
      </c>
      <c r="N2694" s="70">
        <v>8.4280414440837</v>
      </c>
      <c r="O2694" s="70">
        <v>1.34773095167125</v>
      </c>
      <c r="P2694" s="70">
        <v>1.34773095167125</v>
      </c>
    </row>
    <row r="2695" hidden="1">
      <c r="A2695" s="67" t="s">
        <v>3455</v>
      </c>
      <c r="B2695" s="67" t="s">
        <v>17</v>
      </c>
      <c r="C2695" s="68">
        <v>0.25</v>
      </c>
      <c r="D2695" s="68">
        <v>0.1</v>
      </c>
      <c r="E2695" s="68">
        <v>7.0</v>
      </c>
      <c r="F2695" s="68">
        <v>3.0</v>
      </c>
      <c r="G2695" s="68">
        <v>3.72380662940862</v>
      </c>
      <c r="H2695" s="68">
        <v>164.773509181633</v>
      </c>
      <c r="I2695" s="69">
        <v>44350.11181712963</v>
      </c>
      <c r="J2695" s="69">
        <v>44350.14826388889</v>
      </c>
      <c r="K2695">
        <f>AVERAGE(H2692:H2696)</f>
        <v>87.8895889</v>
      </c>
      <c r="L2695">
        <f>STDEV(H2692:H2696)</f>
        <v>85.23368807</v>
      </c>
      <c r="M2695" s="70">
        <v>164.773509181633</v>
      </c>
      <c r="N2695" s="70">
        <v>164.773509181633</v>
      </c>
      <c r="O2695" s="70">
        <v>3.72380662940862</v>
      </c>
      <c r="P2695" s="70">
        <v>3.72380662940862</v>
      </c>
    </row>
    <row r="2696" hidden="1">
      <c r="A2696" s="67" t="s">
        <v>3456</v>
      </c>
      <c r="B2696" s="67" t="s">
        <v>17</v>
      </c>
      <c r="C2696" s="68">
        <v>0.25</v>
      </c>
      <c r="D2696" s="68">
        <v>0.1</v>
      </c>
      <c r="E2696" s="68">
        <v>7.0</v>
      </c>
      <c r="F2696" s="68">
        <v>4.0</v>
      </c>
      <c r="G2696" s="68">
        <v>5.63298217825491</v>
      </c>
      <c r="H2696" s="68">
        <v>81.884237022226</v>
      </c>
      <c r="I2696" s="69">
        <v>44350.14896990741</v>
      </c>
      <c r="J2696" s="69">
        <v>44350.14900462963</v>
      </c>
      <c r="K2696">
        <f>AVERAGE(H2692:H2696)</f>
        <v>87.8895889</v>
      </c>
      <c r="L2696">
        <f>STDEV(H2692:H2696)</f>
        <v>85.23368807</v>
      </c>
      <c r="M2696" s="70">
        <v>81.884237022226</v>
      </c>
      <c r="N2696" s="70">
        <v>81.884237022226</v>
      </c>
      <c r="O2696" s="70">
        <v>5.63298217825491</v>
      </c>
      <c r="P2696" s="70">
        <v>5.63298217825491</v>
      </c>
    </row>
    <row r="2697" hidden="1">
      <c r="A2697" s="67" t="s">
        <v>3457</v>
      </c>
      <c r="B2697" s="67" t="s">
        <v>17</v>
      </c>
      <c r="C2697" s="68">
        <v>0.25</v>
      </c>
      <c r="D2697" s="68">
        <v>0.25</v>
      </c>
      <c r="E2697" s="68">
        <v>7.0</v>
      </c>
      <c r="F2697" s="68">
        <v>0.0</v>
      </c>
      <c r="G2697" s="68">
        <v>1.43518153128158</v>
      </c>
      <c r="H2697" s="68">
        <v>71.9944953803427</v>
      </c>
      <c r="I2697" s="69">
        <v>44350.14971064815</v>
      </c>
      <c r="J2697" s="69">
        <v>44350.162314814814</v>
      </c>
      <c r="K2697">
        <f>AVERAGE(H2697:H2701)</f>
        <v>105.3534366</v>
      </c>
      <c r="L2697">
        <f>STDEV(H2697:H2701)</f>
        <v>118.3968246</v>
      </c>
      <c r="M2697" s="70">
        <v>71.9944953803427</v>
      </c>
      <c r="N2697" s="70">
        <v>71.9944953803427</v>
      </c>
      <c r="O2697" s="70">
        <v>1.43518153128158</v>
      </c>
      <c r="P2697" s="70">
        <v>1.43518153128158</v>
      </c>
    </row>
    <row r="2698" hidden="1">
      <c r="A2698" s="67" t="s">
        <v>3458</v>
      </c>
      <c r="B2698" s="67" t="s">
        <v>17</v>
      </c>
      <c r="C2698" s="68">
        <v>0.25</v>
      </c>
      <c r="D2698" s="68">
        <v>0.25</v>
      </c>
      <c r="E2698" s="68">
        <v>7.0</v>
      </c>
      <c r="F2698" s="68">
        <v>1.0</v>
      </c>
      <c r="G2698" s="68">
        <v>0.361009675615359</v>
      </c>
      <c r="H2698" s="68">
        <v>0.478551383400447</v>
      </c>
      <c r="I2698" s="69">
        <v>44350.16302083333</v>
      </c>
      <c r="J2698" s="69">
        <v>44350.16303240741</v>
      </c>
      <c r="K2698">
        <f>AVERAGE(H2697:H2701)</f>
        <v>105.3534366</v>
      </c>
      <c r="L2698">
        <f>STDEV(H2697:H2701)</f>
        <v>118.3968246</v>
      </c>
      <c r="M2698" s="70">
        <v>0.478551383400447</v>
      </c>
      <c r="N2698" s="70">
        <v>0.478551383400447</v>
      </c>
      <c r="O2698" s="70">
        <v>0.361009675615359</v>
      </c>
      <c r="P2698" s="70">
        <v>0.361009675615359</v>
      </c>
    </row>
    <row r="2699" hidden="1">
      <c r="A2699" s="67" t="s">
        <v>3459</v>
      </c>
      <c r="B2699" s="67" t="s">
        <v>17</v>
      </c>
      <c r="C2699" s="68">
        <v>0.25</v>
      </c>
      <c r="D2699" s="68">
        <v>0.25</v>
      </c>
      <c r="E2699" s="68">
        <v>7.0</v>
      </c>
      <c r="F2699" s="68">
        <v>2.0</v>
      </c>
      <c r="G2699" s="68">
        <v>4.19936910742122</v>
      </c>
      <c r="H2699" s="68">
        <v>181.242027626068</v>
      </c>
      <c r="I2699" s="69">
        <v>44350.16373842592</v>
      </c>
      <c r="J2699" s="69">
        <v>44350.209074074075</v>
      </c>
      <c r="K2699">
        <f>AVERAGE(H2697:H2701)</f>
        <v>105.3534366</v>
      </c>
      <c r="L2699">
        <f>STDEV(H2697:H2701)</f>
        <v>118.3968246</v>
      </c>
      <c r="M2699" s="70">
        <v>181.242027626068</v>
      </c>
      <c r="N2699" s="70">
        <v>181.242027626068</v>
      </c>
      <c r="O2699" s="70">
        <v>4.19936910742122</v>
      </c>
      <c r="P2699" s="70">
        <v>4.19936910742122</v>
      </c>
    </row>
    <row r="2700" hidden="1">
      <c r="A2700" s="67" t="s">
        <v>3460</v>
      </c>
      <c r="B2700" s="67" t="s">
        <v>17</v>
      </c>
      <c r="C2700" s="68">
        <v>0.25</v>
      </c>
      <c r="D2700" s="68">
        <v>0.25</v>
      </c>
      <c r="E2700" s="68">
        <v>7.0</v>
      </c>
      <c r="F2700" s="68">
        <v>3.0</v>
      </c>
      <c r="G2700" s="68">
        <v>7.35517505635339</v>
      </c>
      <c r="H2700" s="68">
        <v>271.168412708723</v>
      </c>
      <c r="I2700" s="69">
        <v>44350.20978009259</v>
      </c>
      <c r="J2700" s="69">
        <v>44350.2100462963</v>
      </c>
      <c r="K2700">
        <f>AVERAGE(H2697:H2701)</f>
        <v>105.3534366</v>
      </c>
      <c r="L2700">
        <f>STDEV(H2697:H2701)</f>
        <v>118.3968246</v>
      </c>
      <c r="M2700" s="70">
        <v>271.168412708723</v>
      </c>
      <c r="N2700" s="70">
        <v>271.168412708723</v>
      </c>
      <c r="O2700" s="70">
        <v>7.35517505635339</v>
      </c>
      <c r="P2700" s="70">
        <v>7.35517505635339</v>
      </c>
    </row>
    <row r="2701" hidden="1">
      <c r="A2701" s="67" t="s">
        <v>3461</v>
      </c>
      <c r="B2701" s="67" t="s">
        <v>17</v>
      </c>
      <c r="C2701" s="68">
        <v>0.25</v>
      </c>
      <c r="D2701" s="68">
        <v>0.25</v>
      </c>
      <c r="E2701" s="68">
        <v>7.0</v>
      </c>
      <c r="F2701" s="68">
        <v>4.0</v>
      </c>
      <c r="G2701" s="68">
        <v>1.10238642608938</v>
      </c>
      <c r="H2701" s="68">
        <v>1.88369575778837</v>
      </c>
      <c r="I2701" s="69">
        <v>44350.210752314815</v>
      </c>
      <c r="J2701" s="69">
        <v>44350.21078703704</v>
      </c>
      <c r="K2701">
        <f>AVERAGE(H2697:H2701)</f>
        <v>105.3534366</v>
      </c>
      <c r="L2701">
        <f>STDEV(H2697:H2701)</f>
        <v>118.3968246</v>
      </c>
      <c r="M2701" s="70">
        <v>1.88369575778837</v>
      </c>
      <c r="N2701" s="70">
        <v>1.88369575778837</v>
      </c>
      <c r="O2701" s="70">
        <v>1.10238642608938</v>
      </c>
      <c r="P2701" s="70">
        <v>1.10238642608938</v>
      </c>
    </row>
    <row r="2702" hidden="1">
      <c r="A2702" s="67" t="s">
        <v>3462</v>
      </c>
      <c r="B2702" s="67" t="s">
        <v>17</v>
      </c>
      <c r="C2702" s="68">
        <v>0.25</v>
      </c>
      <c r="D2702" s="68">
        <v>0.5</v>
      </c>
      <c r="E2702" s="68">
        <v>7.0</v>
      </c>
      <c r="F2702" s="68">
        <v>0.0</v>
      </c>
      <c r="G2702" s="68">
        <v>7.17498667771855</v>
      </c>
      <c r="H2702" s="68">
        <v>206.411220034628</v>
      </c>
      <c r="I2702" s="69">
        <v>44350.211493055554</v>
      </c>
      <c r="J2702" s="69">
        <v>44350.211550925924</v>
      </c>
      <c r="K2702">
        <f>AVERAGE(H2702:H2706)</f>
        <v>158.6591769</v>
      </c>
      <c r="L2702">
        <f>STDEV(H2702:H2706)</f>
        <v>90.15253337</v>
      </c>
      <c r="M2702" s="70">
        <v>206.411220034628</v>
      </c>
      <c r="N2702" s="70">
        <v>206.411220034628</v>
      </c>
      <c r="O2702" s="70">
        <v>7.17498667771855</v>
      </c>
      <c r="P2702" s="70">
        <v>7.17498667771855</v>
      </c>
    </row>
    <row r="2703" hidden="1">
      <c r="A2703" s="67" t="s">
        <v>3463</v>
      </c>
      <c r="B2703" s="67" t="s">
        <v>17</v>
      </c>
      <c r="C2703" s="68">
        <v>0.25</v>
      </c>
      <c r="D2703" s="68">
        <v>0.5</v>
      </c>
      <c r="E2703" s="68">
        <v>7.0</v>
      </c>
      <c r="F2703" s="68">
        <v>1.0</v>
      </c>
      <c r="G2703" s="68">
        <v>7.37231374504142</v>
      </c>
      <c r="H2703" s="68">
        <v>271.379700769382</v>
      </c>
      <c r="I2703" s="69">
        <v>44350.21225694445</v>
      </c>
      <c r="J2703" s="69">
        <v>44350.21252314815</v>
      </c>
      <c r="K2703">
        <f>AVERAGE(H2702:H2706)</f>
        <v>158.6591769</v>
      </c>
      <c r="L2703">
        <f>STDEV(H2702:H2706)</f>
        <v>90.15253337</v>
      </c>
      <c r="M2703" s="70">
        <v>271.379700769382</v>
      </c>
      <c r="N2703" s="70">
        <v>271.379700769382</v>
      </c>
      <c r="O2703" s="70">
        <v>7.37231374504142</v>
      </c>
      <c r="P2703" s="70">
        <v>7.37231374504142</v>
      </c>
    </row>
    <row r="2704" hidden="1">
      <c r="A2704" s="67" t="s">
        <v>3464</v>
      </c>
      <c r="B2704" s="67" t="s">
        <v>17</v>
      </c>
      <c r="C2704" s="68">
        <v>0.25</v>
      </c>
      <c r="D2704" s="68">
        <v>0.5</v>
      </c>
      <c r="E2704" s="68">
        <v>7.0</v>
      </c>
      <c r="F2704" s="68">
        <v>2.0</v>
      </c>
      <c r="G2704" s="68">
        <v>3.25325628086838</v>
      </c>
      <c r="H2704" s="68">
        <v>154.60373017998</v>
      </c>
      <c r="I2704" s="69">
        <v>44350.213229166664</v>
      </c>
      <c r="J2704" s="69">
        <v>44350.321539351855</v>
      </c>
      <c r="K2704">
        <f>AVERAGE(H2702:H2706)</f>
        <v>158.6591769</v>
      </c>
      <c r="L2704">
        <f>STDEV(H2702:H2706)</f>
        <v>90.15253337</v>
      </c>
      <c r="M2704" s="70">
        <v>154.60373017998</v>
      </c>
      <c r="N2704" s="70">
        <v>154.60373017998</v>
      </c>
      <c r="O2704" s="70">
        <v>3.25325628086838</v>
      </c>
      <c r="P2704" s="70">
        <v>3.25325628086838</v>
      </c>
    </row>
    <row r="2705" hidden="1">
      <c r="A2705" s="67" t="s">
        <v>3465</v>
      </c>
      <c r="B2705" s="67" t="s">
        <v>17</v>
      </c>
      <c r="C2705" s="68">
        <v>0.25</v>
      </c>
      <c r="D2705" s="68">
        <v>0.5</v>
      </c>
      <c r="E2705" s="68">
        <v>7.0</v>
      </c>
      <c r="F2705" s="68">
        <v>3.0</v>
      </c>
      <c r="G2705" s="68">
        <v>2.48827350719733</v>
      </c>
      <c r="H2705" s="68">
        <v>131.803019410388</v>
      </c>
      <c r="I2705" s="69">
        <v>44350.32224537037</v>
      </c>
      <c r="J2705" s="69">
        <v>44350.32246527778</v>
      </c>
      <c r="K2705">
        <f>AVERAGE(H2702:H2706)</f>
        <v>158.6591769</v>
      </c>
      <c r="L2705">
        <f>STDEV(H2702:H2706)</f>
        <v>90.15253337</v>
      </c>
      <c r="M2705" s="70">
        <v>131.803019410388</v>
      </c>
      <c r="N2705" s="70">
        <v>131.803019410388</v>
      </c>
      <c r="O2705" s="70">
        <v>2.48827350719733</v>
      </c>
      <c r="P2705" s="70">
        <v>2.48827350719733</v>
      </c>
    </row>
    <row r="2706" hidden="1">
      <c r="A2706" s="67" t="s">
        <v>3466</v>
      </c>
      <c r="B2706" s="67" t="s">
        <v>17</v>
      </c>
      <c r="C2706" s="68">
        <v>0.25</v>
      </c>
      <c r="D2706" s="68">
        <v>0.5</v>
      </c>
      <c r="E2706" s="68">
        <v>7.0</v>
      </c>
      <c r="F2706" s="68">
        <v>4.0</v>
      </c>
      <c r="G2706" s="68">
        <v>1.70410239246698</v>
      </c>
      <c r="H2706" s="68">
        <v>29.0982139496833</v>
      </c>
      <c r="I2706" s="69">
        <v>44350.323171296295</v>
      </c>
      <c r="J2706" s="69">
        <v>44350.323541666665</v>
      </c>
      <c r="K2706">
        <f>AVERAGE(H2702:H2706)</f>
        <v>158.6591769</v>
      </c>
      <c r="L2706">
        <f>STDEV(H2702:H2706)</f>
        <v>90.15253337</v>
      </c>
      <c r="M2706" s="70">
        <v>29.0982139496833</v>
      </c>
      <c r="N2706" s="70">
        <v>29.0982139496833</v>
      </c>
      <c r="O2706" s="70">
        <v>1.70410239246698</v>
      </c>
      <c r="P2706" s="70">
        <v>1.70410239246698</v>
      </c>
    </row>
    <row r="2707" hidden="1">
      <c r="A2707" s="67" t="s">
        <v>3467</v>
      </c>
      <c r="B2707" s="67" t="s">
        <v>17</v>
      </c>
      <c r="C2707" s="68">
        <v>0.25</v>
      </c>
      <c r="D2707" s="68">
        <v>0.75</v>
      </c>
      <c r="E2707" s="68">
        <v>7.0</v>
      </c>
      <c r="F2707" s="68">
        <v>0.0</v>
      </c>
      <c r="G2707" s="68">
        <v>2.54396926191699</v>
      </c>
      <c r="H2707" s="68">
        <v>116.534999227375</v>
      </c>
      <c r="I2707" s="69">
        <v>44350.32424768519</v>
      </c>
      <c r="J2707" s="69">
        <v>44350.33930555556</v>
      </c>
      <c r="K2707">
        <f>AVERAGE(H2707:H2711)</f>
        <v>103.3598426</v>
      </c>
      <c r="L2707">
        <f>STDEV(H2707:H2711)</f>
        <v>115.3802147</v>
      </c>
      <c r="M2707" s="70">
        <v>116.534999227375</v>
      </c>
      <c r="N2707" s="70">
        <v>116.534999227375</v>
      </c>
      <c r="O2707" s="70">
        <v>2.54396926191699</v>
      </c>
      <c r="P2707" s="70">
        <v>2.54396926191699</v>
      </c>
    </row>
    <row r="2708" hidden="1">
      <c r="A2708" s="67" t="s">
        <v>3468</v>
      </c>
      <c r="B2708" s="67" t="s">
        <v>17</v>
      </c>
      <c r="C2708" s="68">
        <v>0.25</v>
      </c>
      <c r="D2708" s="68">
        <v>0.75</v>
      </c>
      <c r="E2708" s="68">
        <v>7.0</v>
      </c>
      <c r="F2708" s="68">
        <v>1.0</v>
      </c>
      <c r="G2708" s="68">
        <v>2.52091123778656</v>
      </c>
      <c r="H2708" s="68">
        <v>117.899819295706</v>
      </c>
      <c r="I2708" s="69">
        <v>44350.34001157407</v>
      </c>
      <c r="J2708" s="69">
        <v>44350.3559375</v>
      </c>
      <c r="K2708">
        <f>AVERAGE(H2707:H2711)</f>
        <v>103.3598426</v>
      </c>
      <c r="L2708">
        <f>STDEV(H2707:H2711)</f>
        <v>115.3802147</v>
      </c>
      <c r="M2708" s="70">
        <v>117.899819295706</v>
      </c>
      <c r="N2708" s="70">
        <v>117.899819295706</v>
      </c>
      <c r="O2708" s="70">
        <v>2.52091123778656</v>
      </c>
      <c r="P2708" s="70">
        <v>2.52091123778656</v>
      </c>
    </row>
    <row r="2709" hidden="1">
      <c r="A2709" s="67" t="s">
        <v>3469</v>
      </c>
      <c r="B2709" s="67" t="s">
        <v>17</v>
      </c>
      <c r="C2709" s="68">
        <v>0.25</v>
      </c>
      <c r="D2709" s="68">
        <v>0.75</v>
      </c>
      <c r="E2709" s="68">
        <v>7.0</v>
      </c>
      <c r="F2709" s="68">
        <v>2.0</v>
      </c>
      <c r="G2709" s="68">
        <v>0.317145370870006</v>
      </c>
      <c r="H2709" s="68">
        <v>0.406115963760371</v>
      </c>
      <c r="I2709" s="69">
        <v>44350.35664351852</v>
      </c>
      <c r="J2709" s="69">
        <v>44350.35670138889</v>
      </c>
      <c r="K2709">
        <f>AVERAGE(H2707:H2711)</f>
        <v>103.3598426</v>
      </c>
      <c r="L2709">
        <f>STDEV(H2707:H2711)</f>
        <v>115.3802147</v>
      </c>
      <c r="M2709" s="70">
        <v>0.406115963760371</v>
      </c>
      <c r="N2709" s="70">
        <v>0.406115963760371</v>
      </c>
      <c r="O2709" s="70">
        <v>0.317145370870006</v>
      </c>
      <c r="P2709" s="70">
        <v>0.317145370870006</v>
      </c>
    </row>
    <row r="2710" hidden="1">
      <c r="A2710" s="67" t="s">
        <v>3470</v>
      </c>
      <c r="B2710" s="67" t="s">
        <v>17</v>
      </c>
      <c r="C2710" s="68">
        <v>0.25</v>
      </c>
      <c r="D2710" s="68">
        <v>0.75</v>
      </c>
      <c r="E2710" s="68">
        <v>7.0</v>
      </c>
      <c r="F2710" s="68">
        <v>3.0</v>
      </c>
      <c r="G2710" s="68">
        <v>8.63524562001266</v>
      </c>
      <c r="H2710" s="68">
        <v>281.399022616843</v>
      </c>
      <c r="I2710" s="69">
        <v>44350.357407407406</v>
      </c>
      <c r="J2710" s="69">
        <v>44350.35891203704</v>
      </c>
      <c r="K2710">
        <f>AVERAGE(H2707:H2711)</f>
        <v>103.3598426</v>
      </c>
      <c r="L2710">
        <f>STDEV(H2707:H2711)</f>
        <v>115.3802147</v>
      </c>
      <c r="M2710" s="70">
        <v>281.399022616843</v>
      </c>
      <c r="N2710" s="70">
        <v>281.399022616843</v>
      </c>
      <c r="O2710" s="70">
        <v>8.63524562001266</v>
      </c>
      <c r="P2710" s="70">
        <v>8.63524562001266</v>
      </c>
    </row>
    <row r="2711" hidden="1">
      <c r="A2711" s="67" t="s">
        <v>3471</v>
      </c>
      <c r="B2711" s="67" t="s">
        <v>17</v>
      </c>
      <c r="C2711" s="68">
        <v>0.25</v>
      </c>
      <c r="D2711" s="68">
        <v>0.75</v>
      </c>
      <c r="E2711" s="68">
        <v>7.0</v>
      </c>
      <c r="F2711" s="68">
        <v>4.0</v>
      </c>
      <c r="G2711" s="68">
        <v>0.467064118593437</v>
      </c>
      <c r="H2711" s="68">
        <v>0.559255787345452</v>
      </c>
      <c r="I2711" s="69">
        <v>44350.359606481485</v>
      </c>
      <c r="J2711" s="69">
        <v>44350.35979166667</v>
      </c>
      <c r="K2711">
        <f>AVERAGE(H2707:H2711)</f>
        <v>103.3598426</v>
      </c>
      <c r="L2711">
        <f>STDEV(H2707:H2711)</f>
        <v>115.3802147</v>
      </c>
      <c r="M2711" s="70">
        <v>0.559255787345452</v>
      </c>
      <c r="N2711" s="70">
        <v>0.559255787345452</v>
      </c>
      <c r="O2711" s="70">
        <v>0.467064118593437</v>
      </c>
      <c r="P2711" s="70">
        <v>0.467064118593437</v>
      </c>
    </row>
    <row r="2712" hidden="1">
      <c r="A2712" s="67" t="s">
        <v>3472</v>
      </c>
      <c r="B2712" s="67" t="s">
        <v>17</v>
      </c>
      <c r="C2712" s="68">
        <v>0.25</v>
      </c>
      <c r="D2712" s="68">
        <v>1.0</v>
      </c>
      <c r="E2712" s="68">
        <v>7.0</v>
      </c>
      <c r="F2712" s="68">
        <v>0.0</v>
      </c>
      <c r="G2712" s="68">
        <v>3.1424119108134</v>
      </c>
      <c r="H2712" s="68">
        <v>145.205742338295</v>
      </c>
      <c r="I2712" s="69">
        <v>44350.36048611111</v>
      </c>
      <c r="J2712" s="69">
        <v>44350.40599537037</v>
      </c>
      <c r="K2712">
        <f>AVERAGE(H2712:H2716)</f>
        <v>159.6720953</v>
      </c>
      <c r="L2712">
        <f>STDEV(H2712:H2716)</f>
        <v>29.08269558</v>
      </c>
      <c r="M2712" s="70">
        <v>145.205742338295</v>
      </c>
      <c r="N2712" s="70">
        <v>145.205742338295</v>
      </c>
      <c r="O2712" s="70">
        <v>3.1424119108134</v>
      </c>
      <c r="P2712" s="70">
        <v>3.1424119108134</v>
      </c>
    </row>
    <row r="2713" hidden="1">
      <c r="A2713" s="67" t="s">
        <v>3473</v>
      </c>
      <c r="B2713" s="67" t="s">
        <v>17</v>
      </c>
      <c r="C2713" s="68">
        <v>0.25</v>
      </c>
      <c r="D2713" s="68">
        <v>1.0</v>
      </c>
      <c r="E2713" s="68">
        <v>7.0</v>
      </c>
      <c r="F2713" s="68">
        <v>1.0</v>
      </c>
      <c r="G2713" s="68">
        <v>4.4695799596726</v>
      </c>
      <c r="H2713" s="68">
        <v>170.274374725911</v>
      </c>
      <c r="I2713" s="69">
        <v>44350.406701388885</v>
      </c>
      <c r="J2713" s="69">
        <v>44350.40677083333</v>
      </c>
      <c r="K2713">
        <f>AVERAGE(H2712:H2716)</f>
        <v>159.6720953</v>
      </c>
      <c r="L2713">
        <f>STDEV(H2712:H2716)</f>
        <v>29.08269558</v>
      </c>
      <c r="M2713" s="70">
        <v>170.274374725911</v>
      </c>
      <c r="N2713" s="70">
        <v>170.274374725911</v>
      </c>
      <c r="O2713" s="70">
        <v>4.4695799596726</v>
      </c>
      <c r="P2713" s="70">
        <v>4.4695799596726</v>
      </c>
    </row>
    <row r="2714" hidden="1">
      <c r="A2714" s="67" t="s">
        <v>3474</v>
      </c>
      <c r="B2714" s="67" t="s">
        <v>17</v>
      </c>
      <c r="C2714" s="68">
        <v>0.25</v>
      </c>
      <c r="D2714" s="68">
        <v>1.0</v>
      </c>
      <c r="E2714" s="68">
        <v>7.0</v>
      </c>
      <c r="F2714" s="68">
        <v>2.0</v>
      </c>
      <c r="G2714" s="68">
        <v>4.60288444068413</v>
      </c>
      <c r="H2714" s="68">
        <v>192.087998890253</v>
      </c>
      <c r="I2714" s="69">
        <v>44350.40746527778</v>
      </c>
      <c r="J2714" s="69">
        <v>44350.40834490741</v>
      </c>
      <c r="K2714">
        <f>AVERAGE(H2712:H2716)</f>
        <v>159.6720953</v>
      </c>
      <c r="L2714">
        <f>STDEV(H2712:H2716)</f>
        <v>29.08269558</v>
      </c>
      <c r="M2714" s="70">
        <v>192.087998890253</v>
      </c>
      <c r="N2714" s="70">
        <v>192.087998890253</v>
      </c>
      <c r="O2714" s="70">
        <v>4.60288444068413</v>
      </c>
      <c r="P2714" s="70">
        <v>4.60288444068413</v>
      </c>
    </row>
    <row r="2715" hidden="1">
      <c r="A2715" s="67" t="s">
        <v>3475</v>
      </c>
      <c r="B2715" s="67" t="s">
        <v>17</v>
      </c>
      <c r="C2715" s="68">
        <v>0.25</v>
      </c>
      <c r="D2715" s="68">
        <v>1.0</v>
      </c>
      <c r="E2715" s="68">
        <v>7.0</v>
      </c>
      <c r="F2715" s="68">
        <v>3.0</v>
      </c>
      <c r="G2715" s="68">
        <v>3.8779188738216</v>
      </c>
      <c r="H2715" s="68">
        <v>173.708145281853</v>
      </c>
      <c r="I2715" s="69">
        <v>44350.40903935185</v>
      </c>
      <c r="J2715" s="69">
        <v>44350.40949074074</v>
      </c>
      <c r="K2715">
        <f>AVERAGE(H2712:H2716)</f>
        <v>159.6720953</v>
      </c>
      <c r="L2715">
        <f>STDEV(H2712:H2716)</f>
        <v>29.08269558</v>
      </c>
      <c r="M2715" s="70">
        <v>173.708145281853</v>
      </c>
      <c r="N2715" s="70">
        <v>173.708145281853</v>
      </c>
      <c r="O2715" s="70">
        <v>3.8779188738216</v>
      </c>
      <c r="P2715" s="70">
        <v>3.8779188738216</v>
      </c>
    </row>
    <row r="2716" hidden="1">
      <c r="A2716" s="67" t="s">
        <v>3476</v>
      </c>
      <c r="B2716" s="67" t="s">
        <v>17</v>
      </c>
      <c r="C2716" s="68">
        <v>0.25</v>
      </c>
      <c r="D2716" s="68">
        <v>1.0</v>
      </c>
      <c r="E2716" s="68">
        <v>7.0</v>
      </c>
      <c r="F2716" s="68">
        <v>4.0</v>
      </c>
      <c r="G2716" s="68">
        <v>2.14898380971976</v>
      </c>
      <c r="H2716" s="68">
        <v>117.084215257035</v>
      </c>
      <c r="I2716" s="69">
        <v>44350.41018518519</v>
      </c>
      <c r="J2716" s="69">
        <v>44350.41543981482</v>
      </c>
      <c r="K2716">
        <f>AVERAGE(H2712:H2716)</f>
        <v>159.6720953</v>
      </c>
      <c r="L2716">
        <f>STDEV(H2712:H2716)</f>
        <v>29.08269558</v>
      </c>
      <c r="M2716" s="70">
        <v>117.084215257035</v>
      </c>
      <c r="N2716" s="70">
        <v>117.084215257035</v>
      </c>
      <c r="O2716" s="70">
        <v>2.14898380971976</v>
      </c>
      <c r="P2716" s="70">
        <v>2.14898380971976</v>
      </c>
    </row>
    <row r="2717" hidden="1">
      <c r="A2717" s="67" t="s">
        <v>3477</v>
      </c>
      <c r="B2717" s="67" t="s">
        <v>17</v>
      </c>
      <c r="C2717" s="68">
        <v>0.5</v>
      </c>
      <c r="D2717" s="68">
        <v>0.1</v>
      </c>
      <c r="E2717" s="68">
        <v>7.0</v>
      </c>
      <c r="F2717" s="68">
        <v>0.0</v>
      </c>
      <c r="G2717" s="68">
        <v>6.48263329727592</v>
      </c>
      <c r="H2717" s="68">
        <v>205.697712905598</v>
      </c>
      <c r="I2717" s="69">
        <v>44350.416134259256</v>
      </c>
      <c r="J2717" s="69">
        <v>44350.416284722225</v>
      </c>
      <c r="K2717">
        <f>AVERAGE(H2717:H2721)</f>
        <v>117.8654616</v>
      </c>
      <c r="L2717">
        <f>STDEV(H2717:H2721)</f>
        <v>102.3642578</v>
      </c>
      <c r="M2717" s="70">
        <v>205.697712905598</v>
      </c>
      <c r="N2717" s="70">
        <v>205.697712905598</v>
      </c>
      <c r="O2717" s="70">
        <v>6.48263329727592</v>
      </c>
      <c r="P2717" s="70">
        <v>6.48263329727592</v>
      </c>
    </row>
    <row r="2718" hidden="1">
      <c r="A2718" s="67" t="s">
        <v>3478</v>
      </c>
      <c r="B2718" s="67" t="s">
        <v>17</v>
      </c>
      <c r="C2718" s="68">
        <v>0.5</v>
      </c>
      <c r="D2718" s="68">
        <v>0.1</v>
      </c>
      <c r="E2718" s="68">
        <v>7.0</v>
      </c>
      <c r="F2718" s="68">
        <v>1.0</v>
      </c>
      <c r="G2718" s="68">
        <v>7.17535466366705</v>
      </c>
      <c r="H2718" s="68">
        <v>206.349663817906</v>
      </c>
      <c r="I2718" s="69">
        <v>44350.416979166665</v>
      </c>
      <c r="J2718" s="69">
        <v>44350.417037037034</v>
      </c>
      <c r="K2718">
        <f>AVERAGE(H2717:H2721)</f>
        <v>117.8654616</v>
      </c>
      <c r="L2718">
        <f>STDEV(H2717:H2721)</f>
        <v>102.3642578</v>
      </c>
      <c r="M2718" s="70">
        <v>206.349663817906</v>
      </c>
      <c r="N2718" s="70">
        <v>206.349663817906</v>
      </c>
      <c r="O2718" s="70">
        <v>7.17535466366705</v>
      </c>
      <c r="P2718" s="70">
        <v>7.17535466366705</v>
      </c>
    </row>
    <row r="2719" hidden="1">
      <c r="A2719" s="67" t="s">
        <v>3479</v>
      </c>
      <c r="B2719" s="67" t="s">
        <v>17</v>
      </c>
      <c r="C2719" s="68">
        <v>0.5</v>
      </c>
      <c r="D2719" s="68">
        <v>0.1</v>
      </c>
      <c r="E2719" s="68">
        <v>7.0</v>
      </c>
      <c r="F2719" s="68">
        <v>2.0</v>
      </c>
      <c r="G2719" s="68">
        <v>3.44981017009622</v>
      </c>
      <c r="H2719" s="68">
        <v>162.111958411226</v>
      </c>
      <c r="I2719" s="69">
        <v>44350.41774305556</v>
      </c>
      <c r="J2719" s="69">
        <v>44350.553819444445</v>
      </c>
      <c r="K2719">
        <f>AVERAGE(H2717:H2721)</f>
        <v>117.8654616</v>
      </c>
      <c r="L2719">
        <f>STDEV(H2717:H2721)</f>
        <v>102.3642578</v>
      </c>
      <c r="M2719" s="70">
        <v>162.111958411226</v>
      </c>
      <c r="N2719" s="70">
        <v>162.111958411226</v>
      </c>
      <c r="O2719" s="70">
        <v>3.44981017009622</v>
      </c>
      <c r="P2719" s="70">
        <v>3.44981017009622</v>
      </c>
    </row>
    <row r="2720" hidden="1">
      <c r="A2720" s="67" t="s">
        <v>3480</v>
      </c>
      <c r="B2720" s="67" t="s">
        <v>17</v>
      </c>
      <c r="C2720" s="68">
        <v>0.5</v>
      </c>
      <c r="D2720" s="68">
        <v>0.1</v>
      </c>
      <c r="E2720" s="68">
        <v>7.0</v>
      </c>
      <c r="F2720" s="68">
        <v>3.0</v>
      </c>
      <c r="G2720" s="68">
        <v>0.71205655889852</v>
      </c>
      <c r="H2720" s="68">
        <v>0.948977832482219</v>
      </c>
      <c r="I2720" s="69">
        <v>44350.55451388889</v>
      </c>
      <c r="J2720" s="69">
        <v>44350.55474537037</v>
      </c>
      <c r="K2720">
        <f>AVERAGE(H2717:H2721)</f>
        <v>117.8654616</v>
      </c>
      <c r="L2720">
        <f>STDEV(H2717:H2721)</f>
        <v>102.3642578</v>
      </c>
      <c r="M2720" s="70">
        <v>0.948977832482219</v>
      </c>
      <c r="N2720" s="70">
        <v>0.948977832482219</v>
      </c>
      <c r="O2720" s="70">
        <v>0.71205655889852</v>
      </c>
      <c r="P2720" s="70">
        <v>0.71205655889852</v>
      </c>
    </row>
    <row r="2721" hidden="1">
      <c r="A2721" s="67" t="s">
        <v>3481</v>
      </c>
      <c r="B2721" s="67" t="s">
        <v>17</v>
      </c>
      <c r="C2721" s="68">
        <v>0.5</v>
      </c>
      <c r="D2721" s="68">
        <v>0.1</v>
      </c>
      <c r="E2721" s="68">
        <v>7.0</v>
      </c>
      <c r="F2721" s="68">
        <v>4.0</v>
      </c>
      <c r="G2721" s="68">
        <v>0.986112075366586</v>
      </c>
      <c r="H2721" s="68">
        <v>14.2189950103105</v>
      </c>
      <c r="I2721" s="69">
        <v>44350.555451388886</v>
      </c>
      <c r="J2721" s="69">
        <v>44350.55556712963</v>
      </c>
      <c r="K2721">
        <f>AVERAGE(H2717:H2721)</f>
        <v>117.8654616</v>
      </c>
      <c r="L2721">
        <f>STDEV(H2717:H2721)</f>
        <v>102.3642578</v>
      </c>
      <c r="M2721" s="70">
        <v>14.2189950103105</v>
      </c>
      <c r="N2721" s="70">
        <v>14.2189950103105</v>
      </c>
      <c r="O2721" s="70">
        <v>0.986112075366586</v>
      </c>
      <c r="P2721" s="70">
        <v>0.986112075366586</v>
      </c>
    </row>
    <row r="2722" hidden="1">
      <c r="A2722" s="67" t="s">
        <v>3482</v>
      </c>
      <c r="B2722" s="67" t="s">
        <v>17</v>
      </c>
      <c r="C2722" s="68">
        <v>0.5</v>
      </c>
      <c r="D2722" s="68">
        <v>0.25</v>
      </c>
      <c r="E2722" s="68">
        <v>7.0</v>
      </c>
      <c r="F2722" s="68">
        <v>0.0</v>
      </c>
      <c r="G2722" s="68">
        <v>0.531172719476744</v>
      </c>
      <c r="H2722" s="68">
        <v>0.632002355446455</v>
      </c>
      <c r="I2722" s="69">
        <v>44350.55626157407</v>
      </c>
      <c r="J2722" s="69">
        <v>44350.55681712963</v>
      </c>
      <c r="K2722">
        <f>AVERAGE(H2722:H2726)</f>
        <v>115.4956423</v>
      </c>
      <c r="L2722">
        <f>STDEV(H2722:H2726)</f>
        <v>86.65871294</v>
      </c>
      <c r="M2722" s="70">
        <v>0.632002355446455</v>
      </c>
      <c r="N2722" s="70">
        <v>0.632002355446455</v>
      </c>
      <c r="O2722" s="70">
        <v>0.531172719476744</v>
      </c>
      <c r="P2722" s="70">
        <v>0.531172719476744</v>
      </c>
    </row>
    <row r="2723" hidden="1">
      <c r="A2723" s="67" t="s">
        <v>3483</v>
      </c>
      <c r="B2723" s="67" t="s">
        <v>17</v>
      </c>
      <c r="C2723" s="68">
        <v>0.5</v>
      </c>
      <c r="D2723" s="68">
        <v>0.25</v>
      </c>
      <c r="E2723" s="68">
        <v>7.0</v>
      </c>
      <c r="F2723" s="68">
        <v>1.0</v>
      </c>
      <c r="G2723" s="68">
        <v>6.35160759664186</v>
      </c>
      <c r="H2723" s="68">
        <v>234.852591589573</v>
      </c>
      <c r="I2723" s="69">
        <v>44350.55751157407</v>
      </c>
      <c r="J2723" s="69">
        <v>44350.56071759259</v>
      </c>
      <c r="K2723">
        <f>AVERAGE(H2722:H2726)</f>
        <v>115.4956423</v>
      </c>
      <c r="L2723">
        <f>STDEV(H2722:H2726)</f>
        <v>86.65871294</v>
      </c>
      <c r="M2723" s="70">
        <v>234.852591589573</v>
      </c>
      <c r="N2723" s="70">
        <v>234.852591589573</v>
      </c>
      <c r="O2723" s="70">
        <v>6.35160759664186</v>
      </c>
      <c r="P2723" s="70">
        <v>6.35160759664186</v>
      </c>
    </row>
    <row r="2724" hidden="1">
      <c r="A2724" s="67" t="s">
        <v>3484</v>
      </c>
      <c r="B2724" s="67" t="s">
        <v>17</v>
      </c>
      <c r="C2724" s="68">
        <v>0.5</v>
      </c>
      <c r="D2724" s="68">
        <v>0.25</v>
      </c>
      <c r="E2724" s="68">
        <v>7.0</v>
      </c>
      <c r="F2724" s="68">
        <v>2.0</v>
      </c>
      <c r="G2724" s="68">
        <v>3.09409021013475</v>
      </c>
      <c r="H2724" s="68">
        <v>137.549149145084</v>
      </c>
      <c r="I2724" s="69">
        <v>44350.561423611114</v>
      </c>
      <c r="J2724" s="69">
        <v>44350.595347222225</v>
      </c>
      <c r="K2724">
        <f>AVERAGE(H2722:H2726)</f>
        <v>115.4956423</v>
      </c>
      <c r="L2724">
        <f>STDEV(H2722:H2726)</f>
        <v>86.65871294</v>
      </c>
      <c r="M2724" s="70">
        <v>137.549149145084</v>
      </c>
      <c r="N2724" s="70">
        <v>137.549149145084</v>
      </c>
      <c r="O2724" s="70">
        <v>3.09409021013475</v>
      </c>
      <c r="P2724" s="70">
        <v>3.09409021013475</v>
      </c>
    </row>
    <row r="2725" hidden="1">
      <c r="A2725" s="67" t="s">
        <v>3485</v>
      </c>
      <c r="B2725" s="67" t="s">
        <v>17</v>
      </c>
      <c r="C2725" s="68">
        <v>0.5</v>
      </c>
      <c r="D2725" s="68">
        <v>0.25</v>
      </c>
      <c r="E2725" s="68">
        <v>7.0</v>
      </c>
      <c r="F2725" s="68">
        <v>3.0</v>
      </c>
      <c r="G2725" s="68">
        <v>1.4469599582603</v>
      </c>
      <c r="H2725" s="68">
        <v>72.5534871589747</v>
      </c>
      <c r="I2725" s="69">
        <v>44350.596041666664</v>
      </c>
      <c r="J2725" s="69">
        <v>44350.59688657407</v>
      </c>
      <c r="K2725">
        <f>AVERAGE(H2722:H2726)</f>
        <v>115.4956423</v>
      </c>
      <c r="L2725">
        <f>STDEV(H2722:H2726)</f>
        <v>86.65871294</v>
      </c>
      <c r="M2725" s="70">
        <v>72.5534871589747</v>
      </c>
      <c r="N2725" s="70">
        <v>72.5534871589747</v>
      </c>
      <c r="O2725" s="70">
        <v>1.4469599582603</v>
      </c>
      <c r="P2725" s="70">
        <v>1.4469599582603</v>
      </c>
    </row>
    <row r="2726" hidden="1">
      <c r="A2726" s="67" t="s">
        <v>3486</v>
      </c>
      <c r="B2726" s="67" t="s">
        <v>17</v>
      </c>
      <c r="C2726" s="68">
        <v>0.5</v>
      </c>
      <c r="D2726" s="68">
        <v>0.25</v>
      </c>
      <c r="E2726" s="68">
        <v>7.0</v>
      </c>
      <c r="F2726" s="68">
        <v>4.0</v>
      </c>
      <c r="G2726" s="68">
        <v>2.49114450253838</v>
      </c>
      <c r="H2726" s="68">
        <v>131.89098122686</v>
      </c>
      <c r="I2726" s="69">
        <v>44350.597592592596</v>
      </c>
      <c r="J2726" s="69">
        <v>44350.59782407407</v>
      </c>
      <c r="K2726">
        <f>AVERAGE(H2722:H2726)</f>
        <v>115.4956423</v>
      </c>
      <c r="L2726">
        <f>STDEV(H2722:H2726)</f>
        <v>86.65871294</v>
      </c>
      <c r="M2726" s="70">
        <v>131.89098122686</v>
      </c>
      <c r="N2726" s="70">
        <v>131.89098122686</v>
      </c>
      <c r="O2726" s="70">
        <v>2.49114450253838</v>
      </c>
      <c r="P2726" s="70">
        <v>2.49114450253838</v>
      </c>
    </row>
    <row r="2727" hidden="1">
      <c r="A2727" s="67" t="s">
        <v>3487</v>
      </c>
      <c r="B2727" s="67" t="s">
        <v>17</v>
      </c>
      <c r="C2727" s="68">
        <v>0.5</v>
      </c>
      <c r="D2727" s="68">
        <v>0.5</v>
      </c>
      <c r="E2727" s="68">
        <v>7.0</v>
      </c>
      <c r="F2727" s="68">
        <v>0.0</v>
      </c>
      <c r="G2727" s="68">
        <v>1.69852839833109</v>
      </c>
      <c r="H2727" s="68">
        <v>29.1020156551038</v>
      </c>
      <c r="I2727" s="69">
        <v>44350.59853009259</v>
      </c>
      <c r="J2727" s="69">
        <v>44350.59890046297</v>
      </c>
      <c r="K2727">
        <f>AVERAGE(H2727:H2731)</f>
        <v>97.90644208</v>
      </c>
      <c r="L2727">
        <f>STDEV(H2727:H2731)</f>
        <v>129.0463632</v>
      </c>
      <c r="M2727" s="70">
        <v>29.1020156551038</v>
      </c>
      <c r="N2727" s="70">
        <v>29.1020156551038</v>
      </c>
      <c r="O2727" s="70">
        <v>1.69852839833109</v>
      </c>
      <c r="P2727" s="70">
        <v>1.69852839833109</v>
      </c>
    </row>
    <row r="2728" hidden="1">
      <c r="A2728" s="67" t="s">
        <v>3488</v>
      </c>
      <c r="B2728" s="67" t="s">
        <v>17</v>
      </c>
      <c r="C2728" s="68">
        <v>0.5</v>
      </c>
      <c r="D2728" s="68">
        <v>0.5</v>
      </c>
      <c r="E2728" s="68">
        <v>7.0</v>
      </c>
      <c r="F2728" s="68">
        <v>1.0</v>
      </c>
      <c r="G2728" s="68">
        <v>0.529130365428281</v>
      </c>
      <c r="H2728" s="68">
        <v>0.645171213713886</v>
      </c>
      <c r="I2728" s="69">
        <v>44350.59960648148</v>
      </c>
      <c r="J2728" s="69">
        <v>44350.600127314814</v>
      </c>
      <c r="K2728">
        <f>AVERAGE(H2727:H2731)</f>
        <v>97.90644208</v>
      </c>
      <c r="L2728">
        <f>STDEV(H2727:H2731)</f>
        <v>129.0463632</v>
      </c>
      <c r="M2728" s="70">
        <v>0.645171213713886</v>
      </c>
      <c r="N2728" s="70">
        <v>0.645171213713886</v>
      </c>
      <c r="O2728" s="70">
        <v>0.529130365428281</v>
      </c>
      <c r="P2728" s="70">
        <v>0.529130365428281</v>
      </c>
    </row>
    <row r="2729" hidden="1">
      <c r="A2729" s="67" t="s">
        <v>3489</v>
      </c>
      <c r="B2729" s="67" t="s">
        <v>17</v>
      </c>
      <c r="C2729" s="68">
        <v>0.5</v>
      </c>
      <c r="D2729" s="68">
        <v>0.5</v>
      </c>
      <c r="E2729" s="68">
        <v>7.0</v>
      </c>
      <c r="F2729" s="68">
        <v>2.0</v>
      </c>
      <c r="G2729" s="68">
        <v>3.63895409012691</v>
      </c>
      <c r="H2729" s="68">
        <v>165.392123911617</v>
      </c>
      <c r="I2729" s="69">
        <v>44350.60082175926</v>
      </c>
      <c r="J2729" s="69">
        <v>44350.66984953704</v>
      </c>
      <c r="K2729">
        <f>AVERAGE(H2727:H2731)</f>
        <v>97.90644208</v>
      </c>
      <c r="L2729">
        <f>STDEV(H2727:H2731)</f>
        <v>129.0463632</v>
      </c>
      <c r="M2729" s="70">
        <v>165.392123911617</v>
      </c>
      <c r="N2729" s="70">
        <v>165.392123911617</v>
      </c>
      <c r="O2729" s="70">
        <v>3.63895409012691</v>
      </c>
      <c r="P2729" s="70">
        <v>3.63895409012691</v>
      </c>
    </row>
    <row r="2730" hidden="1">
      <c r="A2730" s="67" t="s">
        <v>3490</v>
      </c>
      <c r="B2730" s="67" t="s">
        <v>17</v>
      </c>
      <c r="C2730" s="68">
        <v>0.5</v>
      </c>
      <c r="D2730" s="68">
        <v>0.5</v>
      </c>
      <c r="E2730" s="68">
        <v>7.0</v>
      </c>
      <c r="F2730" s="68">
        <v>3.0</v>
      </c>
      <c r="G2730" s="68">
        <v>0.467489314643222</v>
      </c>
      <c r="H2730" s="68">
        <v>0.559611722484267</v>
      </c>
      <c r="I2730" s="69">
        <v>44350.67055555555</v>
      </c>
      <c r="J2730" s="69">
        <v>44350.67071759259</v>
      </c>
      <c r="K2730">
        <f>AVERAGE(H2727:H2731)</f>
        <v>97.90644208</v>
      </c>
      <c r="L2730">
        <f>STDEV(H2727:H2731)</f>
        <v>129.0463632</v>
      </c>
      <c r="M2730" s="70">
        <v>0.559611722484267</v>
      </c>
      <c r="N2730" s="70">
        <v>0.559611722484267</v>
      </c>
      <c r="O2730" s="70">
        <v>0.467489314643222</v>
      </c>
      <c r="P2730" s="70">
        <v>0.467489314643222</v>
      </c>
    </row>
    <row r="2731" hidden="1">
      <c r="A2731" s="67" t="s">
        <v>3491</v>
      </c>
      <c r="B2731" s="67" t="s">
        <v>17</v>
      </c>
      <c r="C2731" s="68">
        <v>0.5</v>
      </c>
      <c r="D2731" s="68">
        <v>0.5</v>
      </c>
      <c r="E2731" s="68">
        <v>7.0</v>
      </c>
      <c r="F2731" s="68">
        <v>4.0</v>
      </c>
      <c r="G2731" s="68">
        <v>9.37137350438877</v>
      </c>
      <c r="H2731" s="68">
        <v>293.83328788917</v>
      </c>
      <c r="I2731" s="69">
        <v>44350.671423611115</v>
      </c>
      <c r="J2731" s="69">
        <v>44350.67162037037</v>
      </c>
      <c r="K2731">
        <f>AVERAGE(H2727:H2731)</f>
        <v>97.90644208</v>
      </c>
      <c r="L2731">
        <f>STDEV(H2727:H2731)</f>
        <v>129.0463632</v>
      </c>
      <c r="M2731" s="70">
        <v>293.83328788917</v>
      </c>
      <c r="N2731" s="70">
        <v>293.83328788917</v>
      </c>
      <c r="O2731" s="70">
        <v>9.37137350438877</v>
      </c>
      <c r="P2731" s="70">
        <v>9.37137350438877</v>
      </c>
    </row>
    <row r="2732" hidden="1">
      <c r="A2732" s="67" t="s">
        <v>3492</v>
      </c>
      <c r="B2732" s="67" t="s">
        <v>17</v>
      </c>
      <c r="C2732" s="68">
        <v>0.5</v>
      </c>
      <c r="D2732" s="68">
        <v>0.75</v>
      </c>
      <c r="E2732" s="68">
        <v>7.0</v>
      </c>
      <c r="F2732" s="68">
        <v>0.0</v>
      </c>
      <c r="G2732" s="68">
        <v>3.77120935545608</v>
      </c>
      <c r="H2732" s="68">
        <v>170.182043843012</v>
      </c>
      <c r="I2732" s="69">
        <v>44350.672326388885</v>
      </c>
      <c r="J2732" s="69">
        <v>44350.75199074074</v>
      </c>
      <c r="K2732">
        <f>AVERAGE(H2732:H2736)</f>
        <v>98.36590065</v>
      </c>
      <c r="L2732">
        <f>STDEV(H2732:H2736)</f>
        <v>100.1877481</v>
      </c>
      <c r="M2732" s="70">
        <v>170.182043843012</v>
      </c>
      <c r="N2732" s="70">
        <v>170.182043843012</v>
      </c>
      <c r="O2732" s="70">
        <v>3.77120935545608</v>
      </c>
      <c r="P2732" s="70">
        <v>3.77120935545608</v>
      </c>
    </row>
    <row r="2733" hidden="1">
      <c r="A2733" s="67" t="s">
        <v>3493</v>
      </c>
      <c r="B2733" s="67" t="s">
        <v>17</v>
      </c>
      <c r="C2733" s="68">
        <v>0.5</v>
      </c>
      <c r="D2733" s="68">
        <v>0.75</v>
      </c>
      <c r="E2733" s="68">
        <v>7.0</v>
      </c>
      <c r="F2733" s="68">
        <v>1.0</v>
      </c>
      <c r="G2733" s="68">
        <v>0.988760372058673</v>
      </c>
      <c r="H2733" s="68">
        <v>14.3020432071134</v>
      </c>
      <c r="I2733" s="69">
        <v>44350.75269675926</v>
      </c>
      <c r="J2733" s="69">
        <v>44350.7528125</v>
      </c>
      <c r="K2733">
        <f>AVERAGE(H2732:H2736)</f>
        <v>98.36590065</v>
      </c>
      <c r="L2733">
        <f>STDEV(H2732:H2736)</f>
        <v>100.1877481</v>
      </c>
      <c r="M2733" s="70">
        <v>14.3020432071134</v>
      </c>
      <c r="N2733" s="70">
        <v>14.3020432071134</v>
      </c>
      <c r="O2733" s="70">
        <v>0.988760372058673</v>
      </c>
      <c r="P2733" s="70">
        <v>0.988760372058673</v>
      </c>
    </row>
    <row r="2734" hidden="1">
      <c r="A2734" s="67" t="s">
        <v>3494</v>
      </c>
      <c r="B2734" s="67" t="s">
        <v>17</v>
      </c>
      <c r="C2734" s="68">
        <v>0.5</v>
      </c>
      <c r="D2734" s="68">
        <v>0.75</v>
      </c>
      <c r="E2734" s="68">
        <v>7.0</v>
      </c>
      <c r="F2734" s="68">
        <v>2.0</v>
      </c>
      <c r="G2734" s="68">
        <v>0.71205655889852</v>
      </c>
      <c r="H2734" s="68">
        <v>0.948977832482219</v>
      </c>
      <c r="I2734" s="69">
        <v>44350.753530092596</v>
      </c>
      <c r="J2734" s="69">
        <v>44350.75375</v>
      </c>
      <c r="K2734">
        <f>AVERAGE(H2732:H2736)</f>
        <v>98.36590065</v>
      </c>
      <c r="L2734">
        <f>STDEV(H2732:H2736)</f>
        <v>100.1877481</v>
      </c>
      <c r="M2734" s="70">
        <v>0.948977832482219</v>
      </c>
      <c r="N2734" s="70">
        <v>0.948977832482219</v>
      </c>
      <c r="O2734" s="70">
        <v>0.71205655889852</v>
      </c>
      <c r="P2734" s="70">
        <v>0.71205655889852</v>
      </c>
    </row>
    <row r="2735" hidden="1">
      <c r="A2735" s="67" t="s">
        <v>3495</v>
      </c>
      <c r="B2735" s="67" t="s">
        <v>17</v>
      </c>
      <c r="C2735" s="68">
        <v>0.5</v>
      </c>
      <c r="D2735" s="68">
        <v>0.75</v>
      </c>
      <c r="E2735" s="68">
        <v>7.0</v>
      </c>
      <c r="F2735" s="68">
        <v>3.0</v>
      </c>
      <c r="G2735" s="68">
        <v>1.50594407716944</v>
      </c>
      <c r="H2735" s="68">
        <v>74.3857019943464</v>
      </c>
      <c r="I2735" s="69">
        <v>44350.75446759259</v>
      </c>
      <c r="J2735" s="69">
        <v>44350.7553125</v>
      </c>
      <c r="K2735">
        <f>AVERAGE(H2732:H2736)</f>
        <v>98.36590065</v>
      </c>
      <c r="L2735">
        <f>STDEV(H2732:H2736)</f>
        <v>100.1877481</v>
      </c>
      <c r="M2735" s="70">
        <v>74.3857019943464</v>
      </c>
      <c r="N2735" s="70">
        <v>74.3857019943464</v>
      </c>
      <c r="O2735" s="70">
        <v>1.50594407716944</v>
      </c>
      <c r="P2735" s="70">
        <v>1.50594407716944</v>
      </c>
    </row>
    <row r="2736" hidden="1">
      <c r="A2736" s="67" t="s">
        <v>3496</v>
      </c>
      <c r="B2736" s="67" t="s">
        <v>17</v>
      </c>
      <c r="C2736" s="68">
        <v>0.5</v>
      </c>
      <c r="D2736" s="68">
        <v>0.75</v>
      </c>
      <c r="E2736" s="68">
        <v>7.0</v>
      </c>
      <c r="F2736" s="68">
        <v>4.0</v>
      </c>
      <c r="G2736" s="68">
        <v>6.53948792525659</v>
      </c>
      <c r="H2736" s="68">
        <v>232.010736368315</v>
      </c>
      <c r="I2736" s="69">
        <v>44350.75603009259</v>
      </c>
      <c r="J2736" s="69">
        <v>44350.75613425926</v>
      </c>
      <c r="K2736">
        <f>AVERAGE(H2732:H2736)</f>
        <v>98.36590065</v>
      </c>
      <c r="L2736">
        <f>STDEV(H2732:H2736)</f>
        <v>100.1877481</v>
      </c>
      <c r="M2736" s="70">
        <v>232.010736368315</v>
      </c>
      <c r="N2736" s="70">
        <v>232.010736368315</v>
      </c>
      <c r="O2736" s="70">
        <v>6.53948792525659</v>
      </c>
      <c r="P2736" s="70">
        <v>6.53948792525659</v>
      </c>
    </row>
    <row r="2737" hidden="1">
      <c r="A2737" s="67" t="s">
        <v>3497</v>
      </c>
      <c r="B2737" s="67" t="s">
        <v>17</v>
      </c>
      <c r="C2737" s="68">
        <v>0.5</v>
      </c>
      <c r="D2737" s="68">
        <v>1.0</v>
      </c>
      <c r="E2737" s="68">
        <v>7.0</v>
      </c>
      <c r="F2737" s="68">
        <v>0.0</v>
      </c>
      <c r="G2737" s="68">
        <v>1.52193111452911</v>
      </c>
      <c r="H2737" s="68">
        <v>74.938225320742</v>
      </c>
      <c r="I2737" s="69">
        <v>44350.75685185185</v>
      </c>
      <c r="J2737" s="69">
        <v>44350.75767361111</v>
      </c>
      <c r="K2737">
        <f>AVERAGE(H2737:H2741)</f>
        <v>85.80422108</v>
      </c>
      <c r="L2737">
        <f>STDEV(H2737:H2741)</f>
        <v>67.83238044</v>
      </c>
      <c r="M2737" s="70">
        <v>74.938225320742</v>
      </c>
      <c r="N2737" s="70">
        <v>74.938225320742</v>
      </c>
      <c r="O2737" s="70">
        <v>1.52193111452911</v>
      </c>
      <c r="P2737" s="70">
        <v>1.52193111452911</v>
      </c>
    </row>
    <row r="2738" hidden="1">
      <c r="A2738" s="67" t="s">
        <v>3498</v>
      </c>
      <c r="B2738" s="67" t="s">
        <v>17</v>
      </c>
      <c r="C2738" s="68">
        <v>0.5</v>
      </c>
      <c r="D2738" s="68">
        <v>1.0</v>
      </c>
      <c r="E2738" s="68">
        <v>7.0</v>
      </c>
      <c r="F2738" s="68">
        <v>1.0</v>
      </c>
      <c r="G2738" s="68">
        <v>0.990629101419324</v>
      </c>
      <c r="H2738" s="68">
        <v>14.325411077971</v>
      </c>
      <c r="I2738" s="69">
        <v>44350.7583912037</v>
      </c>
      <c r="J2738" s="69">
        <v>44350.75850694445</v>
      </c>
      <c r="K2738">
        <f>AVERAGE(H2737:H2741)</f>
        <v>85.80422108</v>
      </c>
      <c r="L2738">
        <f>STDEV(H2737:H2741)</f>
        <v>67.83238044</v>
      </c>
      <c r="M2738" s="70">
        <v>14.325411077971</v>
      </c>
      <c r="N2738" s="70">
        <v>14.325411077971</v>
      </c>
      <c r="O2738" s="70">
        <v>0.990629101419324</v>
      </c>
      <c r="P2738" s="70">
        <v>0.990629101419324</v>
      </c>
    </row>
    <row r="2739" hidden="1">
      <c r="A2739" s="67" t="s">
        <v>3499</v>
      </c>
      <c r="B2739" s="67" t="s">
        <v>17</v>
      </c>
      <c r="C2739" s="68">
        <v>0.5</v>
      </c>
      <c r="D2739" s="68">
        <v>1.0</v>
      </c>
      <c r="E2739" s="68">
        <v>7.0</v>
      </c>
      <c r="F2739" s="68">
        <v>2.0</v>
      </c>
      <c r="G2739" s="68">
        <v>1.87749589689008</v>
      </c>
      <c r="H2739" s="68">
        <v>31.8621684928767</v>
      </c>
      <c r="I2739" s="69">
        <v>44350.75922453704</v>
      </c>
      <c r="J2739" s="69">
        <v>44350.75951388889</v>
      </c>
      <c r="K2739">
        <f>AVERAGE(H2737:H2741)</f>
        <v>85.80422108</v>
      </c>
      <c r="L2739">
        <f>STDEV(H2737:H2741)</f>
        <v>67.83238044</v>
      </c>
      <c r="M2739" s="70">
        <v>31.8621684928767</v>
      </c>
      <c r="N2739" s="70">
        <v>31.8621684928767</v>
      </c>
      <c r="O2739" s="70">
        <v>1.87749589689008</v>
      </c>
      <c r="P2739" s="70">
        <v>1.87749589689008</v>
      </c>
    </row>
    <row r="2740" hidden="1">
      <c r="A2740" s="67" t="s">
        <v>3500</v>
      </c>
      <c r="B2740" s="67" t="s">
        <v>17</v>
      </c>
      <c r="C2740" s="68">
        <v>0.5</v>
      </c>
      <c r="D2740" s="68">
        <v>1.0</v>
      </c>
      <c r="E2740" s="68">
        <v>7.0</v>
      </c>
      <c r="F2740" s="68">
        <v>3.0</v>
      </c>
      <c r="G2740" s="68">
        <v>2.48906956651208</v>
      </c>
      <c r="H2740" s="68">
        <v>131.80224121552</v>
      </c>
      <c r="I2740" s="69">
        <v>44350.76023148148</v>
      </c>
      <c r="J2740" s="69">
        <v>44350.760462962964</v>
      </c>
      <c r="K2740">
        <f>AVERAGE(H2737:H2741)</f>
        <v>85.80422108</v>
      </c>
      <c r="L2740">
        <f>STDEV(H2737:H2741)</f>
        <v>67.83238044</v>
      </c>
      <c r="M2740" s="70">
        <v>131.80224121552</v>
      </c>
      <c r="N2740" s="70">
        <v>131.80224121552</v>
      </c>
      <c r="O2740" s="70">
        <v>2.48906956651208</v>
      </c>
      <c r="P2740" s="70">
        <v>2.48906956651208</v>
      </c>
    </row>
    <row r="2741" hidden="1">
      <c r="A2741" s="67" t="s">
        <v>3501</v>
      </c>
      <c r="B2741" s="67" t="s">
        <v>17</v>
      </c>
      <c r="C2741" s="68">
        <v>0.5</v>
      </c>
      <c r="D2741" s="68">
        <v>1.0</v>
      </c>
      <c r="E2741" s="68">
        <v>7.0</v>
      </c>
      <c r="F2741" s="68">
        <v>4.0</v>
      </c>
      <c r="G2741" s="68">
        <v>3.89521096426348</v>
      </c>
      <c r="H2741" s="68">
        <v>176.093059290084</v>
      </c>
      <c r="I2741" s="69">
        <v>44350.76116898148</v>
      </c>
      <c r="J2741" s="69">
        <v>44350.83511574074</v>
      </c>
      <c r="K2741">
        <f>AVERAGE(H2737:H2741)</f>
        <v>85.80422108</v>
      </c>
      <c r="L2741">
        <f>STDEV(H2737:H2741)</f>
        <v>67.83238044</v>
      </c>
      <c r="M2741" s="70">
        <v>176.093059290084</v>
      </c>
      <c r="N2741" s="70">
        <v>176.093059290084</v>
      </c>
      <c r="O2741" s="70">
        <v>3.89521096426348</v>
      </c>
      <c r="P2741" s="70">
        <v>3.89521096426348</v>
      </c>
    </row>
    <row r="2742" hidden="1">
      <c r="A2742" s="67" t="s">
        <v>3502</v>
      </c>
      <c r="B2742" s="67" t="s">
        <v>17</v>
      </c>
      <c r="C2742" s="68">
        <v>0.75</v>
      </c>
      <c r="D2742" s="68">
        <v>0.1</v>
      </c>
      <c r="E2742" s="68">
        <v>7.0</v>
      </c>
      <c r="F2742" s="68">
        <v>0.0</v>
      </c>
      <c r="G2742" s="68">
        <v>3.07009978903518</v>
      </c>
      <c r="H2742" s="68">
        <v>137.113339634038</v>
      </c>
      <c r="I2742" s="69">
        <v>44350.835810185185</v>
      </c>
      <c r="J2742" s="69">
        <v>44350.858761574076</v>
      </c>
      <c r="K2742">
        <f>AVERAGE(H2742:H2746)</f>
        <v>137.6436568</v>
      </c>
      <c r="L2742">
        <f>STDEV(H2742:H2746)</f>
        <v>80.44111459</v>
      </c>
      <c r="M2742" s="70">
        <v>137.113339634038</v>
      </c>
      <c r="N2742" s="70">
        <v>137.113339634038</v>
      </c>
      <c r="O2742" s="70">
        <v>3.07009978903518</v>
      </c>
      <c r="P2742" s="70">
        <v>3.07009978903518</v>
      </c>
    </row>
    <row r="2743" hidden="1">
      <c r="A2743" s="67" t="s">
        <v>3503</v>
      </c>
      <c r="B2743" s="67" t="s">
        <v>17</v>
      </c>
      <c r="C2743" s="68">
        <v>0.75</v>
      </c>
      <c r="D2743" s="68">
        <v>0.1</v>
      </c>
      <c r="E2743" s="68">
        <v>7.0</v>
      </c>
      <c r="F2743" s="68">
        <v>1.0</v>
      </c>
      <c r="G2743" s="68">
        <v>0.640745283150981</v>
      </c>
      <c r="H2743" s="68">
        <v>5.62982039475454</v>
      </c>
      <c r="I2743" s="69">
        <v>44350.85946759259</v>
      </c>
      <c r="J2743" s="69">
        <v>44350.86184027778</v>
      </c>
      <c r="K2743">
        <f>AVERAGE(H2742:H2746)</f>
        <v>137.6436568</v>
      </c>
      <c r="L2743">
        <f>STDEV(H2742:H2746)</f>
        <v>80.44111459</v>
      </c>
      <c r="M2743" s="70">
        <v>5.62982039475454</v>
      </c>
      <c r="N2743" s="70">
        <v>5.62982039475454</v>
      </c>
      <c r="O2743" s="70">
        <v>0.640745283150981</v>
      </c>
      <c r="P2743" s="70">
        <v>0.640745283150981</v>
      </c>
    </row>
    <row r="2744" hidden="1">
      <c r="A2744" s="67" t="s">
        <v>3504</v>
      </c>
      <c r="B2744" s="67" t="s">
        <v>17</v>
      </c>
      <c r="C2744" s="68">
        <v>0.75</v>
      </c>
      <c r="D2744" s="68">
        <v>0.1</v>
      </c>
      <c r="E2744" s="68">
        <v>7.0</v>
      </c>
      <c r="F2744" s="68">
        <v>2.0</v>
      </c>
      <c r="G2744" s="68">
        <v>5.71960273686553</v>
      </c>
      <c r="H2744" s="68">
        <v>220.915358565813</v>
      </c>
      <c r="I2744" s="69">
        <v>44350.862546296295</v>
      </c>
      <c r="J2744" s="69">
        <v>44350.86628472222</v>
      </c>
      <c r="K2744">
        <f>AVERAGE(H2742:H2746)</f>
        <v>137.6436568</v>
      </c>
      <c r="L2744">
        <f>STDEV(H2742:H2746)</f>
        <v>80.44111459</v>
      </c>
      <c r="M2744" s="70">
        <v>220.915358565813</v>
      </c>
      <c r="N2744" s="70">
        <v>220.915358565813</v>
      </c>
      <c r="O2744" s="70">
        <v>5.71960273686553</v>
      </c>
      <c r="P2744" s="70">
        <v>5.71960273686553</v>
      </c>
    </row>
    <row r="2745" hidden="1">
      <c r="A2745" s="67" t="s">
        <v>3505</v>
      </c>
      <c r="B2745" s="67" t="s">
        <v>17</v>
      </c>
      <c r="C2745" s="68">
        <v>0.75</v>
      </c>
      <c r="D2745" s="68">
        <v>0.1</v>
      </c>
      <c r="E2745" s="68">
        <v>7.0</v>
      </c>
      <c r="F2745" s="68">
        <v>3.0</v>
      </c>
      <c r="G2745" s="68">
        <v>4.35802253515346</v>
      </c>
      <c r="H2745" s="68">
        <v>149.888477178435</v>
      </c>
      <c r="I2745" s="69">
        <v>44350.86699074074</v>
      </c>
      <c r="J2745" s="69">
        <v>44350.867118055554</v>
      </c>
      <c r="K2745">
        <f>AVERAGE(H2742:H2746)</f>
        <v>137.6436568</v>
      </c>
      <c r="L2745">
        <f>STDEV(H2742:H2746)</f>
        <v>80.44111459</v>
      </c>
      <c r="M2745" s="70">
        <v>149.888477178435</v>
      </c>
      <c r="N2745" s="70">
        <v>149.888477178435</v>
      </c>
      <c r="O2745" s="70">
        <v>4.35802253515346</v>
      </c>
      <c r="P2745" s="70">
        <v>4.35802253515346</v>
      </c>
    </row>
    <row r="2746" hidden="1">
      <c r="A2746" s="67" t="s">
        <v>3506</v>
      </c>
      <c r="B2746" s="67" t="s">
        <v>17</v>
      </c>
      <c r="C2746" s="68">
        <v>0.75</v>
      </c>
      <c r="D2746" s="68">
        <v>0.1</v>
      </c>
      <c r="E2746" s="68">
        <v>7.0</v>
      </c>
      <c r="F2746" s="68">
        <v>4.0</v>
      </c>
      <c r="G2746" s="68">
        <v>4.95810735092661</v>
      </c>
      <c r="H2746" s="68">
        <v>174.671288200752</v>
      </c>
      <c r="I2746" s="69">
        <v>44350.86782407408</v>
      </c>
      <c r="J2746" s="69">
        <v>44350.86788194445</v>
      </c>
      <c r="K2746">
        <f>AVERAGE(H2742:H2746)</f>
        <v>137.6436568</v>
      </c>
      <c r="L2746">
        <f>STDEV(H2742:H2746)</f>
        <v>80.44111459</v>
      </c>
      <c r="M2746" s="70">
        <v>174.671288200752</v>
      </c>
      <c r="N2746" s="70">
        <v>174.671288200752</v>
      </c>
      <c r="O2746" s="70">
        <v>4.95810735092661</v>
      </c>
      <c r="P2746" s="70">
        <v>4.95810735092661</v>
      </c>
    </row>
    <row r="2747" hidden="1">
      <c r="A2747" s="67" t="s">
        <v>3507</v>
      </c>
      <c r="B2747" s="67" t="s">
        <v>17</v>
      </c>
      <c r="C2747" s="68">
        <v>0.75</v>
      </c>
      <c r="D2747" s="68">
        <v>0.25</v>
      </c>
      <c r="E2747" s="68">
        <v>7.0</v>
      </c>
      <c r="F2747" s="68">
        <v>0.0</v>
      </c>
      <c r="G2747" s="68">
        <v>2.54586649359124</v>
      </c>
      <c r="H2747" s="68">
        <v>122.025077674499</v>
      </c>
      <c r="I2747" s="69">
        <v>44350.86858796296</v>
      </c>
      <c r="J2747" s="69">
        <v>44350.935324074075</v>
      </c>
      <c r="K2747">
        <f>AVERAGE(H2747:H2751)</f>
        <v>139.4164835</v>
      </c>
      <c r="L2747">
        <f>STDEV(H2747:H2751)</f>
        <v>88.98658958</v>
      </c>
      <c r="M2747" s="70">
        <v>122.025077674499</v>
      </c>
      <c r="N2747" s="70">
        <v>122.025077674499</v>
      </c>
      <c r="O2747" s="70">
        <v>2.54586649359124</v>
      </c>
      <c r="P2747" s="70">
        <v>2.54586649359124</v>
      </c>
    </row>
    <row r="2748" hidden="1">
      <c r="A2748" s="67" t="s">
        <v>3508</v>
      </c>
      <c r="B2748" s="67" t="s">
        <v>17</v>
      </c>
      <c r="C2748" s="68">
        <v>0.75</v>
      </c>
      <c r="D2748" s="68">
        <v>0.25</v>
      </c>
      <c r="E2748" s="68">
        <v>7.0</v>
      </c>
      <c r="F2748" s="68">
        <v>1.0</v>
      </c>
      <c r="G2748" s="68">
        <v>0.458335966856052</v>
      </c>
      <c r="H2748" s="68">
        <v>0.548419489690292</v>
      </c>
      <c r="I2748" s="69">
        <v>44350.93603009259</v>
      </c>
      <c r="J2748" s="69">
        <v>44350.93619212963</v>
      </c>
      <c r="K2748">
        <f>AVERAGE(H2747:H2751)</f>
        <v>139.4164835</v>
      </c>
      <c r="L2748">
        <f>STDEV(H2747:H2751)</f>
        <v>88.98658958</v>
      </c>
      <c r="M2748" s="70">
        <v>0.548419489690292</v>
      </c>
      <c r="N2748" s="70">
        <v>0.548419489690292</v>
      </c>
      <c r="O2748" s="70">
        <v>0.458335966856052</v>
      </c>
      <c r="P2748" s="70">
        <v>0.458335966856052</v>
      </c>
    </row>
    <row r="2749" hidden="1">
      <c r="A2749" s="67" t="s">
        <v>3509</v>
      </c>
      <c r="B2749" s="67" t="s">
        <v>17</v>
      </c>
      <c r="C2749" s="68">
        <v>0.75</v>
      </c>
      <c r="D2749" s="68">
        <v>0.25</v>
      </c>
      <c r="E2749" s="68">
        <v>7.0</v>
      </c>
      <c r="F2749" s="68">
        <v>2.0</v>
      </c>
      <c r="G2749" s="68">
        <v>6.59312091135343</v>
      </c>
      <c r="H2749" s="68">
        <v>241.89313290063</v>
      </c>
      <c r="I2749" s="69">
        <v>44350.936898148146</v>
      </c>
      <c r="J2749" s="69">
        <v>44350.93949074074</v>
      </c>
      <c r="K2749">
        <f>AVERAGE(H2747:H2751)</f>
        <v>139.4164835</v>
      </c>
      <c r="L2749">
        <f>STDEV(H2747:H2751)</f>
        <v>88.98658958</v>
      </c>
      <c r="M2749" s="70">
        <v>241.89313290063</v>
      </c>
      <c r="N2749" s="70">
        <v>241.89313290063</v>
      </c>
      <c r="O2749" s="70">
        <v>6.59312091135343</v>
      </c>
      <c r="P2749" s="70">
        <v>6.59312091135343</v>
      </c>
    </row>
    <row r="2750" hidden="1">
      <c r="A2750" s="67" t="s">
        <v>3510</v>
      </c>
      <c r="B2750" s="67" t="s">
        <v>17</v>
      </c>
      <c r="C2750" s="68">
        <v>0.75</v>
      </c>
      <c r="D2750" s="68">
        <v>0.25</v>
      </c>
      <c r="E2750" s="68">
        <v>7.0</v>
      </c>
      <c r="F2750" s="68">
        <v>3.0</v>
      </c>
      <c r="G2750" s="68">
        <v>5.155282492612</v>
      </c>
      <c r="H2750" s="68">
        <v>157.944499476066</v>
      </c>
      <c r="I2750" s="69">
        <v>44350.94019675926</v>
      </c>
      <c r="J2750" s="69">
        <v>44350.9402662037</v>
      </c>
      <c r="K2750">
        <f>AVERAGE(H2747:H2751)</f>
        <v>139.4164835</v>
      </c>
      <c r="L2750">
        <f>STDEV(H2747:H2751)</f>
        <v>88.98658958</v>
      </c>
      <c r="M2750" s="70">
        <v>157.944499476066</v>
      </c>
      <c r="N2750" s="70">
        <v>157.944499476066</v>
      </c>
      <c r="O2750" s="70">
        <v>5.155282492612</v>
      </c>
      <c r="P2750" s="70">
        <v>5.155282492612</v>
      </c>
    </row>
    <row r="2751" hidden="1">
      <c r="A2751" s="67" t="s">
        <v>3511</v>
      </c>
      <c r="B2751" s="67" t="s">
        <v>17</v>
      </c>
      <c r="C2751" s="68">
        <v>0.75</v>
      </c>
      <c r="D2751" s="68">
        <v>0.25</v>
      </c>
      <c r="E2751" s="68">
        <v>7.0</v>
      </c>
      <c r="F2751" s="68">
        <v>4.0</v>
      </c>
      <c r="G2751" s="68">
        <v>4.95810735092661</v>
      </c>
      <c r="H2751" s="68">
        <v>174.671288200752</v>
      </c>
      <c r="I2751" s="69">
        <v>44350.94097222222</v>
      </c>
      <c r="J2751" s="69">
        <v>44350.941030092596</v>
      </c>
      <c r="K2751">
        <f>AVERAGE(H2747:H2751)</f>
        <v>139.4164835</v>
      </c>
      <c r="L2751">
        <f>STDEV(H2747:H2751)</f>
        <v>88.98658958</v>
      </c>
      <c r="M2751" s="70">
        <v>174.671288200752</v>
      </c>
      <c r="N2751" s="70">
        <v>174.671288200752</v>
      </c>
      <c r="O2751" s="70">
        <v>4.95810735092661</v>
      </c>
      <c r="P2751" s="70">
        <v>4.95810735092661</v>
      </c>
    </row>
    <row r="2752" hidden="1">
      <c r="A2752" s="67" t="s">
        <v>3512</v>
      </c>
      <c r="B2752" s="67" t="s">
        <v>17</v>
      </c>
      <c r="C2752" s="68">
        <v>0.75</v>
      </c>
      <c r="D2752" s="68">
        <v>0.5</v>
      </c>
      <c r="E2752" s="68">
        <v>7.0</v>
      </c>
      <c r="F2752" s="68">
        <v>0.0</v>
      </c>
      <c r="G2752" s="68">
        <v>5.11389101788531</v>
      </c>
      <c r="H2752" s="68">
        <v>203.117349566723</v>
      </c>
      <c r="I2752" s="69">
        <v>44350.941724537035</v>
      </c>
      <c r="J2752" s="69">
        <v>44350.94467592592</v>
      </c>
      <c r="K2752">
        <f>AVERAGE(H2752:H2756)</f>
        <v>146.3143216</v>
      </c>
      <c r="L2752">
        <f>STDEV(H2752:H2756)</f>
        <v>109.8651124</v>
      </c>
      <c r="M2752" s="70">
        <v>203.117349566723</v>
      </c>
      <c r="N2752" s="70">
        <v>203.117349566723</v>
      </c>
      <c r="O2752" s="70">
        <v>5.11389101788531</v>
      </c>
      <c r="P2752" s="70">
        <v>5.11389101788531</v>
      </c>
    </row>
    <row r="2753" hidden="1">
      <c r="A2753" s="67" t="s">
        <v>3513</v>
      </c>
      <c r="B2753" s="67" t="s">
        <v>17</v>
      </c>
      <c r="C2753" s="68">
        <v>0.75</v>
      </c>
      <c r="D2753" s="68">
        <v>0.5</v>
      </c>
      <c r="E2753" s="68">
        <v>7.0</v>
      </c>
      <c r="F2753" s="68">
        <v>1.0</v>
      </c>
      <c r="G2753" s="68">
        <v>2.63682065867611</v>
      </c>
      <c r="H2753" s="68">
        <v>124.11521207796</v>
      </c>
      <c r="I2753" s="69">
        <v>44350.94537037037</v>
      </c>
      <c r="J2753" s="69">
        <v>44350.9891087963</v>
      </c>
      <c r="K2753">
        <f>AVERAGE(H2752:H2756)</f>
        <v>146.3143216</v>
      </c>
      <c r="L2753">
        <f>STDEV(H2752:H2756)</f>
        <v>109.8651124</v>
      </c>
      <c r="M2753" s="70">
        <v>124.11521207796</v>
      </c>
      <c r="N2753" s="70">
        <v>124.11521207796</v>
      </c>
      <c r="O2753" s="70">
        <v>2.63682065867611</v>
      </c>
      <c r="P2753" s="70">
        <v>2.63682065867611</v>
      </c>
    </row>
    <row r="2754" hidden="1">
      <c r="A2754" s="67" t="s">
        <v>3514</v>
      </c>
      <c r="B2754" s="67" t="s">
        <v>17</v>
      </c>
      <c r="C2754" s="68">
        <v>0.75</v>
      </c>
      <c r="D2754" s="68">
        <v>0.5</v>
      </c>
      <c r="E2754" s="68">
        <v>7.0</v>
      </c>
      <c r="F2754" s="68">
        <v>2.0</v>
      </c>
      <c r="G2754" s="68">
        <v>2.31588102901704</v>
      </c>
      <c r="H2754" s="68">
        <v>108.697214070093</v>
      </c>
      <c r="I2754" s="69">
        <v>44350.98981481481</v>
      </c>
      <c r="J2754" s="69">
        <v>44350.99013888889</v>
      </c>
      <c r="K2754">
        <f>AVERAGE(H2752:H2756)</f>
        <v>146.3143216</v>
      </c>
      <c r="L2754">
        <f>STDEV(H2752:H2756)</f>
        <v>109.8651124</v>
      </c>
      <c r="M2754" s="70">
        <v>108.697214070093</v>
      </c>
      <c r="N2754" s="70">
        <v>108.697214070093</v>
      </c>
      <c r="O2754" s="70">
        <v>2.31588102901704</v>
      </c>
      <c r="P2754" s="70">
        <v>2.31588102901704</v>
      </c>
    </row>
    <row r="2755" hidden="1">
      <c r="A2755" s="67" t="s">
        <v>3515</v>
      </c>
      <c r="B2755" s="67" t="s">
        <v>17</v>
      </c>
      <c r="C2755" s="68">
        <v>0.75</v>
      </c>
      <c r="D2755" s="68">
        <v>0.5</v>
      </c>
      <c r="E2755" s="68">
        <v>7.0</v>
      </c>
      <c r="F2755" s="68">
        <v>3.0</v>
      </c>
      <c r="G2755" s="68">
        <v>0.71296019176118</v>
      </c>
      <c r="H2755" s="68">
        <v>0.949542446385307</v>
      </c>
      <c r="I2755" s="69">
        <v>44350.99084490741</v>
      </c>
      <c r="J2755" s="69">
        <v>44350.99107638889</v>
      </c>
      <c r="K2755">
        <f>AVERAGE(H2752:H2756)</f>
        <v>146.3143216</v>
      </c>
      <c r="L2755">
        <f>STDEV(H2752:H2756)</f>
        <v>109.8651124</v>
      </c>
      <c r="M2755" s="70">
        <v>0.949542446385307</v>
      </c>
      <c r="N2755" s="70">
        <v>0.949542446385307</v>
      </c>
      <c r="O2755" s="70">
        <v>0.71296019176118</v>
      </c>
      <c r="P2755" s="70">
        <v>0.71296019176118</v>
      </c>
    </row>
    <row r="2756" hidden="1">
      <c r="A2756" s="67" t="s">
        <v>3516</v>
      </c>
      <c r="B2756" s="67" t="s">
        <v>17</v>
      </c>
      <c r="C2756" s="68">
        <v>0.75</v>
      </c>
      <c r="D2756" s="68">
        <v>0.5</v>
      </c>
      <c r="E2756" s="68">
        <v>7.0</v>
      </c>
      <c r="F2756" s="68">
        <v>4.0</v>
      </c>
      <c r="G2756" s="68">
        <v>9.42648445901744</v>
      </c>
      <c r="H2756" s="68">
        <v>294.6922898257</v>
      </c>
      <c r="I2756" s="69">
        <v>44350.99178240741</v>
      </c>
      <c r="J2756" s="69">
        <v>44350.99197916667</v>
      </c>
      <c r="K2756">
        <f>AVERAGE(H2752:H2756)</f>
        <v>146.3143216</v>
      </c>
      <c r="L2756">
        <f>STDEV(H2752:H2756)</f>
        <v>109.8651124</v>
      </c>
      <c r="M2756" s="70">
        <v>294.6922898257</v>
      </c>
      <c r="N2756" s="70">
        <v>294.6922898257</v>
      </c>
      <c r="O2756" s="70">
        <v>9.42648445901744</v>
      </c>
      <c r="P2756" s="70">
        <v>9.42648445901744</v>
      </c>
    </row>
    <row r="2757" hidden="1">
      <c r="A2757" s="67" t="s">
        <v>3517</v>
      </c>
      <c r="B2757" s="67" t="s">
        <v>17</v>
      </c>
      <c r="C2757" s="68">
        <v>0.75</v>
      </c>
      <c r="D2757" s="68">
        <v>0.75</v>
      </c>
      <c r="E2757" s="68">
        <v>7.0</v>
      </c>
      <c r="F2757" s="68">
        <v>0.0</v>
      </c>
      <c r="G2757" s="68">
        <v>0.750636531262653</v>
      </c>
      <c r="H2757" s="68">
        <v>2.20937677744893</v>
      </c>
      <c r="I2757" s="69">
        <v>44350.992685185185</v>
      </c>
      <c r="J2757" s="69">
        <v>44350.992685185185</v>
      </c>
      <c r="K2757">
        <f>AVERAGE(H2757:H2761)</f>
        <v>83.56031477</v>
      </c>
      <c r="L2757">
        <f>STDEV(H2757:H2761)</f>
        <v>86.06918508</v>
      </c>
      <c r="M2757" s="70">
        <v>2.20937677744893</v>
      </c>
      <c r="N2757" s="70">
        <v>2.20937677744893</v>
      </c>
      <c r="O2757" s="70">
        <v>0.750636531262653</v>
      </c>
      <c r="P2757" s="70">
        <v>0.750636531262653</v>
      </c>
    </row>
    <row r="2758" hidden="1">
      <c r="A2758" s="67" t="s">
        <v>3518</v>
      </c>
      <c r="B2758" s="67" t="s">
        <v>17</v>
      </c>
      <c r="C2758" s="68">
        <v>0.75</v>
      </c>
      <c r="D2758" s="68">
        <v>0.75</v>
      </c>
      <c r="E2758" s="68">
        <v>7.0</v>
      </c>
      <c r="F2758" s="68">
        <v>1.0</v>
      </c>
      <c r="G2758" s="68">
        <v>1.66312762299351</v>
      </c>
      <c r="H2758" s="68">
        <v>77.9860114076025</v>
      </c>
      <c r="I2758" s="69">
        <v>44350.9933912037</v>
      </c>
      <c r="J2758" s="69">
        <v>44350.994039351855</v>
      </c>
      <c r="K2758">
        <f>AVERAGE(H2757:H2761)</f>
        <v>83.56031477</v>
      </c>
      <c r="L2758">
        <f>STDEV(H2757:H2761)</f>
        <v>86.06918508</v>
      </c>
      <c r="M2758" s="70">
        <v>77.9860114076025</v>
      </c>
      <c r="N2758" s="70">
        <v>77.9860114076025</v>
      </c>
      <c r="O2758" s="70">
        <v>1.66312762299351</v>
      </c>
      <c r="P2758" s="70">
        <v>1.66312762299351</v>
      </c>
    </row>
    <row r="2759" hidden="1">
      <c r="A2759" s="67" t="s">
        <v>3519</v>
      </c>
      <c r="B2759" s="67" t="s">
        <v>17</v>
      </c>
      <c r="C2759" s="68">
        <v>0.75</v>
      </c>
      <c r="D2759" s="68">
        <v>0.75</v>
      </c>
      <c r="E2759" s="68">
        <v>7.0</v>
      </c>
      <c r="F2759" s="68">
        <v>2.0</v>
      </c>
      <c r="G2759" s="68">
        <v>0.498552863353681</v>
      </c>
      <c r="H2759" s="68">
        <v>0.582869494066334</v>
      </c>
      <c r="I2759" s="69">
        <v>44350.994733796295</v>
      </c>
      <c r="J2759" s="69">
        <v>44350.99519675926</v>
      </c>
      <c r="K2759">
        <f>AVERAGE(H2757:H2761)</f>
        <v>83.56031477</v>
      </c>
      <c r="L2759">
        <f>STDEV(H2757:H2761)</f>
        <v>86.06918508</v>
      </c>
      <c r="M2759" s="70">
        <v>0.582869494066334</v>
      </c>
      <c r="N2759" s="70">
        <v>0.582869494066334</v>
      </c>
      <c r="O2759" s="70">
        <v>0.498552863353681</v>
      </c>
      <c r="P2759" s="70">
        <v>0.498552863353681</v>
      </c>
    </row>
    <row r="2760" hidden="1">
      <c r="A2760" s="67" t="s">
        <v>3520</v>
      </c>
      <c r="B2760" s="67" t="s">
        <v>17</v>
      </c>
      <c r="C2760" s="68">
        <v>0.75</v>
      </c>
      <c r="D2760" s="68">
        <v>0.75</v>
      </c>
      <c r="E2760" s="68">
        <v>7.0</v>
      </c>
      <c r="F2760" s="68">
        <v>3.0</v>
      </c>
      <c r="G2760" s="68">
        <v>4.75946758647154</v>
      </c>
      <c r="H2760" s="68">
        <v>197.354790899906</v>
      </c>
      <c r="I2760" s="69">
        <v>44350.995891203704</v>
      </c>
      <c r="J2760" s="69">
        <v>44351.00423611111</v>
      </c>
      <c r="K2760">
        <f>AVERAGE(H2757:H2761)</f>
        <v>83.56031477</v>
      </c>
      <c r="L2760">
        <f>STDEV(H2757:H2761)</f>
        <v>86.06918508</v>
      </c>
      <c r="M2760" s="70">
        <v>197.354790899906</v>
      </c>
      <c r="N2760" s="70">
        <v>197.354790899906</v>
      </c>
      <c r="O2760" s="70">
        <v>4.75946758647154</v>
      </c>
      <c r="P2760" s="70">
        <v>4.75946758647154</v>
      </c>
    </row>
    <row r="2761" hidden="1">
      <c r="A2761" s="67" t="s">
        <v>3521</v>
      </c>
      <c r="B2761" s="67" t="s">
        <v>17</v>
      </c>
      <c r="C2761" s="68">
        <v>0.75</v>
      </c>
      <c r="D2761" s="68">
        <v>0.75</v>
      </c>
      <c r="E2761" s="68">
        <v>7.0</v>
      </c>
      <c r="F2761" s="68">
        <v>4.0</v>
      </c>
      <c r="G2761" s="68">
        <v>3.13470799299502</v>
      </c>
      <c r="H2761" s="68">
        <v>139.668525283508</v>
      </c>
      <c r="I2761" s="69">
        <v>44351.00493055556</v>
      </c>
      <c r="J2761" s="69">
        <v>44351.043900462966</v>
      </c>
      <c r="K2761">
        <f>AVERAGE(H2757:H2761)</f>
        <v>83.56031477</v>
      </c>
      <c r="L2761">
        <f>STDEV(H2757:H2761)</f>
        <v>86.06918508</v>
      </c>
      <c r="M2761" s="70">
        <v>139.668525283508</v>
      </c>
      <c r="N2761" s="70">
        <v>139.668525283508</v>
      </c>
      <c r="O2761" s="70">
        <v>3.13470799299502</v>
      </c>
      <c r="P2761" s="70">
        <v>3.13470799299502</v>
      </c>
    </row>
    <row r="2762" hidden="1">
      <c r="A2762" s="67" t="s">
        <v>3522</v>
      </c>
      <c r="B2762" s="67" t="s">
        <v>17</v>
      </c>
      <c r="C2762" s="68">
        <v>0.75</v>
      </c>
      <c r="D2762" s="68">
        <v>1.0</v>
      </c>
      <c r="E2762" s="68">
        <v>7.0</v>
      </c>
      <c r="F2762" s="68">
        <v>0.0</v>
      </c>
      <c r="G2762" s="68">
        <v>3.09878803742965</v>
      </c>
      <c r="H2762" s="68">
        <v>148.53254029246</v>
      </c>
      <c r="I2762" s="69">
        <v>44351.044594907406</v>
      </c>
      <c r="J2762" s="69">
        <v>44351.181238425925</v>
      </c>
      <c r="K2762">
        <f>AVERAGE(H2762:H2766)</f>
        <v>135.6942706</v>
      </c>
      <c r="L2762">
        <f>STDEV(H2762:H2766)</f>
        <v>133.2332409</v>
      </c>
      <c r="M2762" s="70">
        <v>148.53254029246</v>
      </c>
      <c r="N2762" s="70">
        <v>148.53254029246</v>
      </c>
      <c r="O2762" s="70">
        <v>3.09878803742965</v>
      </c>
      <c r="P2762" s="70">
        <v>3.09878803742965</v>
      </c>
    </row>
    <row r="2763" hidden="1">
      <c r="A2763" s="67" t="s">
        <v>3523</v>
      </c>
      <c r="B2763" s="67" t="s">
        <v>17</v>
      </c>
      <c r="C2763" s="68">
        <v>0.75</v>
      </c>
      <c r="D2763" s="68">
        <v>1.0</v>
      </c>
      <c r="E2763" s="68">
        <v>7.0</v>
      </c>
      <c r="F2763" s="68">
        <v>1.0</v>
      </c>
      <c r="G2763" s="68">
        <v>10.1063161117923</v>
      </c>
      <c r="H2763" s="68">
        <v>305.893250292872</v>
      </c>
      <c r="I2763" s="69">
        <v>44351.18194444444</v>
      </c>
      <c r="J2763" s="69">
        <v>44351.18212962963</v>
      </c>
      <c r="K2763">
        <f>AVERAGE(H2762:H2766)</f>
        <v>135.6942706</v>
      </c>
      <c r="L2763">
        <f>STDEV(H2762:H2766)</f>
        <v>133.2332409</v>
      </c>
      <c r="M2763" s="70">
        <v>305.893250292872</v>
      </c>
      <c r="N2763" s="70">
        <v>305.893250292872</v>
      </c>
      <c r="O2763" s="70">
        <v>10.1063161117923</v>
      </c>
      <c r="P2763" s="70">
        <v>10.1063161117923</v>
      </c>
    </row>
    <row r="2764" hidden="1">
      <c r="A2764" s="67" t="s">
        <v>3524</v>
      </c>
      <c r="B2764" s="67" t="s">
        <v>17</v>
      </c>
      <c r="C2764" s="68">
        <v>0.75</v>
      </c>
      <c r="D2764" s="68">
        <v>1.0</v>
      </c>
      <c r="E2764" s="68">
        <v>7.0</v>
      </c>
      <c r="F2764" s="68">
        <v>2.0</v>
      </c>
      <c r="G2764" s="68">
        <v>8.38948199032622</v>
      </c>
      <c r="H2764" s="68">
        <v>217.730973322204</v>
      </c>
      <c r="I2764" s="69">
        <v>44351.18282407407</v>
      </c>
      <c r="J2764" s="69">
        <v>44351.18287037037</v>
      </c>
      <c r="K2764">
        <f>AVERAGE(H2762:H2766)</f>
        <v>135.6942706</v>
      </c>
      <c r="L2764">
        <f>STDEV(H2762:H2766)</f>
        <v>133.2332409</v>
      </c>
      <c r="M2764" s="70">
        <v>217.730973322204</v>
      </c>
      <c r="N2764" s="70">
        <v>217.730973322204</v>
      </c>
      <c r="O2764" s="70">
        <v>8.38948199032622</v>
      </c>
      <c r="P2764" s="70">
        <v>8.38948199032622</v>
      </c>
    </row>
    <row r="2765" hidden="1">
      <c r="A2765" s="67" t="s">
        <v>3525</v>
      </c>
      <c r="B2765" s="67" t="s">
        <v>17</v>
      </c>
      <c r="C2765" s="68">
        <v>0.75</v>
      </c>
      <c r="D2765" s="68">
        <v>1.0</v>
      </c>
      <c r="E2765" s="68">
        <v>7.0</v>
      </c>
      <c r="F2765" s="68">
        <v>3.0</v>
      </c>
      <c r="G2765" s="68">
        <v>0.738685583661201</v>
      </c>
      <c r="H2765" s="68">
        <v>5.36540783105129</v>
      </c>
      <c r="I2765" s="69">
        <v>44351.18357638889</v>
      </c>
      <c r="J2765" s="69">
        <v>44351.18363425926</v>
      </c>
      <c r="K2765">
        <f>AVERAGE(H2762:H2766)</f>
        <v>135.6942706</v>
      </c>
      <c r="L2765">
        <f>STDEV(H2762:H2766)</f>
        <v>133.2332409</v>
      </c>
      <c r="M2765" s="70">
        <v>5.36540783105129</v>
      </c>
      <c r="N2765" s="70">
        <v>5.36540783105129</v>
      </c>
      <c r="O2765" s="70">
        <v>0.738685583661201</v>
      </c>
      <c r="P2765" s="70">
        <v>0.738685583661201</v>
      </c>
    </row>
    <row r="2766" hidden="1">
      <c r="A2766" s="67" t="s">
        <v>3526</v>
      </c>
      <c r="B2766" s="67" t="s">
        <v>17</v>
      </c>
      <c r="C2766" s="68">
        <v>0.75</v>
      </c>
      <c r="D2766" s="68">
        <v>1.0</v>
      </c>
      <c r="E2766" s="68">
        <v>7.0</v>
      </c>
      <c r="F2766" s="68">
        <v>4.0</v>
      </c>
      <c r="G2766" s="68">
        <v>0.712135447246169</v>
      </c>
      <c r="H2766" s="68">
        <v>0.949181473275599</v>
      </c>
      <c r="I2766" s="69">
        <v>44351.184328703705</v>
      </c>
      <c r="J2766" s="69">
        <v>44351.18456018518</v>
      </c>
      <c r="K2766">
        <f>AVERAGE(H2762:H2766)</f>
        <v>135.6942706</v>
      </c>
      <c r="L2766">
        <f>STDEV(H2762:H2766)</f>
        <v>133.2332409</v>
      </c>
      <c r="M2766" s="70">
        <v>0.949181473275599</v>
      </c>
      <c r="N2766" s="70">
        <v>0.949181473275599</v>
      </c>
      <c r="O2766" s="70">
        <v>0.712135447246169</v>
      </c>
      <c r="P2766" s="70">
        <v>0.712135447246169</v>
      </c>
    </row>
    <row r="2767" hidden="1">
      <c r="A2767" s="67" t="s">
        <v>3527</v>
      </c>
      <c r="B2767" s="67" t="s">
        <v>17</v>
      </c>
      <c r="C2767" s="68">
        <v>1.0</v>
      </c>
      <c r="D2767" s="68">
        <v>0.1</v>
      </c>
      <c r="E2767" s="68">
        <v>7.0</v>
      </c>
      <c r="F2767" s="68">
        <v>0.0</v>
      </c>
      <c r="G2767" s="68">
        <v>5.80043792709487</v>
      </c>
      <c r="H2767" s="68">
        <v>222.538633317563</v>
      </c>
      <c r="I2767" s="69">
        <v>44351.185266203705</v>
      </c>
      <c r="J2767" s="69">
        <v>44351.18966435185</v>
      </c>
      <c r="K2767">
        <f>AVERAGE(H2767:H2771)</f>
        <v>112.1732611</v>
      </c>
      <c r="L2767">
        <f>STDEV(H2767:H2771)</f>
        <v>74.89053858</v>
      </c>
      <c r="M2767" s="70">
        <v>222.538633317563</v>
      </c>
      <c r="N2767" s="70">
        <v>222.538633317563</v>
      </c>
      <c r="O2767" s="70">
        <v>5.80043792709487</v>
      </c>
      <c r="P2767" s="70">
        <v>5.80043792709487</v>
      </c>
    </row>
    <row r="2768" hidden="1">
      <c r="A2768" s="67" t="s">
        <v>3528</v>
      </c>
      <c r="B2768" s="67" t="s">
        <v>17</v>
      </c>
      <c r="C2768" s="68">
        <v>1.0</v>
      </c>
      <c r="D2768" s="68">
        <v>0.1</v>
      </c>
      <c r="E2768" s="68">
        <v>7.0</v>
      </c>
      <c r="F2768" s="68">
        <v>1.0</v>
      </c>
      <c r="G2768" s="68">
        <v>5.06000871214883</v>
      </c>
      <c r="H2768" s="68">
        <v>129.237273925655</v>
      </c>
      <c r="I2768" s="69">
        <v>44351.190358796295</v>
      </c>
      <c r="J2768" s="69">
        <v>44351.190416666665</v>
      </c>
      <c r="K2768">
        <f>AVERAGE(H2767:H2771)</f>
        <v>112.1732611</v>
      </c>
      <c r="L2768">
        <f>STDEV(H2767:H2771)</f>
        <v>74.89053858</v>
      </c>
      <c r="M2768" s="70">
        <v>129.237273925655</v>
      </c>
      <c r="N2768" s="70">
        <v>129.237273925655</v>
      </c>
      <c r="O2768" s="70">
        <v>5.06000871214883</v>
      </c>
      <c r="P2768" s="70">
        <v>5.06000871214883</v>
      </c>
    </row>
    <row r="2769" hidden="1">
      <c r="A2769" s="67" t="s">
        <v>3529</v>
      </c>
      <c r="B2769" s="67" t="s">
        <v>17</v>
      </c>
      <c r="C2769" s="68">
        <v>1.0</v>
      </c>
      <c r="D2769" s="68">
        <v>0.1</v>
      </c>
      <c r="E2769" s="68">
        <v>7.0</v>
      </c>
      <c r="F2769" s="68">
        <v>2.0</v>
      </c>
      <c r="G2769" s="68">
        <v>2.58275754555646</v>
      </c>
      <c r="H2769" s="68">
        <v>59.4423682961977</v>
      </c>
      <c r="I2769" s="69">
        <v>44351.19112268519</v>
      </c>
      <c r="J2769" s="69">
        <v>44351.19119212963</v>
      </c>
      <c r="K2769">
        <f>AVERAGE(H2767:H2771)</f>
        <v>112.1732611</v>
      </c>
      <c r="L2769">
        <f>STDEV(H2767:H2771)</f>
        <v>74.89053858</v>
      </c>
      <c r="M2769" s="70">
        <v>59.4423682961977</v>
      </c>
      <c r="N2769" s="70">
        <v>59.4423682961977</v>
      </c>
      <c r="O2769" s="70">
        <v>2.58275754555646</v>
      </c>
      <c r="P2769" s="70">
        <v>2.58275754555646</v>
      </c>
    </row>
    <row r="2770" hidden="1">
      <c r="A2770" s="67" t="s">
        <v>3530</v>
      </c>
      <c r="B2770" s="67" t="s">
        <v>17</v>
      </c>
      <c r="C2770" s="68">
        <v>1.0</v>
      </c>
      <c r="D2770" s="68">
        <v>0.1</v>
      </c>
      <c r="E2770" s="68">
        <v>7.0</v>
      </c>
      <c r="F2770" s="68">
        <v>3.0</v>
      </c>
      <c r="G2770" s="68">
        <v>2.30993820617616</v>
      </c>
      <c r="H2770" s="68">
        <v>121.686557289417</v>
      </c>
      <c r="I2770" s="69">
        <v>44351.19189814815</v>
      </c>
      <c r="J2770" s="69">
        <v>44351.24030092593</v>
      </c>
      <c r="K2770">
        <f>AVERAGE(H2767:H2771)</f>
        <v>112.1732611</v>
      </c>
      <c r="L2770">
        <f>STDEV(H2767:H2771)</f>
        <v>74.89053858</v>
      </c>
      <c r="M2770" s="70">
        <v>121.686557289417</v>
      </c>
      <c r="N2770" s="70">
        <v>121.686557289417</v>
      </c>
      <c r="O2770" s="70">
        <v>2.30993820617616</v>
      </c>
      <c r="P2770" s="70">
        <v>2.30993820617616</v>
      </c>
    </row>
    <row r="2771" hidden="1">
      <c r="A2771" s="67" t="s">
        <v>3531</v>
      </c>
      <c r="B2771" s="67" t="s">
        <v>17</v>
      </c>
      <c r="C2771" s="68">
        <v>1.0</v>
      </c>
      <c r="D2771" s="68">
        <v>0.1</v>
      </c>
      <c r="E2771" s="68">
        <v>7.0</v>
      </c>
      <c r="F2771" s="68">
        <v>4.0</v>
      </c>
      <c r="G2771" s="68">
        <v>1.68837125732535</v>
      </c>
      <c r="H2771" s="68">
        <v>27.9614727664803</v>
      </c>
      <c r="I2771" s="69">
        <v>44351.24099537037</v>
      </c>
      <c r="J2771" s="69">
        <v>44351.241435185184</v>
      </c>
      <c r="K2771">
        <f>AVERAGE(H2767:H2771)</f>
        <v>112.1732611</v>
      </c>
      <c r="L2771">
        <f>STDEV(H2767:H2771)</f>
        <v>74.89053858</v>
      </c>
      <c r="M2771" s="70">
        <v>27.9614727664803</v>
      </c>
      <c r="N2771" s="70">
        <v>27.9614727664803</v>
      </c>
      <c r="O2771" s="70">
        <v>1.68837125732535</v>
      </c>
      <c r="P2771" s="70">
        <v>1.68837125732535</v>
      </c>
    </row>
    <row r="2772" hidden="1">
      <c r="A2772" s="67" t="s">
        <v>3532</v>
      </c>
      <c r="B2772" s="67" t="s">
        <v>17</v>
      </c>
      <c r="C2772" s="68">
        <v>1.0</v>
      </c>
      <c r="D2772" s="68">
        <v>0.25</v>
      </c>
      <c r="E2772" s="68">
        <v>7.0</v>
      </c>
      <c r="F2772" s="68">
        <v>0.0</v>
      </c>
      <c r="G2772" s="68">
        <v>3.50681860557668</v>
      </c>
      <c r="H2772" s="68">
        <v>160.004683114325</v>
      </c>
      <c r="I2772" s="69">
        <v>44351.2421412037</v>
      </c>
      <c r="J2772" s="69">
        <v>44351.26550925926</v>
      </c>
      <c r="K2772">
        <f>AVERAGE(H2772:H2776)</f>
        <v>100.8050654</v>
      </c>
      <c r="L2772">
        <f>STDEV(H2772:H2776)</f>
        <v>60.75319008</v>
      </c>
      <c r="M2772" s="70">
        <v>160.004683114325</v>
      </c>
      <c r="N2772" s="70">
        <v>160.004683114325</v>
      </c>
      <c r="O2772" s="70">
        <v>3.50681860557668</v>
      </c>
      <c r="P2772" s="70">
        <v>3.50681860557668</v>
      </c>
    </row>
    <row r="2773" hidden="1">
      <c r="A2773" s="67" t="s">
        <v>3533</v>
      </c>
      <c r="B2773" s="67" t="s">
        <v>17</v>
      </c>
      <c r="C2773" s="68">
        <v>1.0</v>
      </c>
      <c r="D2773" s="68">
        <v>0.25</v>
      </c>
      <c r="E2773" s="68">
        <v>7.0</v>
      </c>
      <c r="F2773" s="68">
        <v>1.0</v>
      </c>
      <c r="G2773" s="68">
        <v>3.60465922283109</v>
      </c>
      <c r="H2773" s="68">
        <v>166.274121540194</v>
      </c>
      <c r="I2773" s="69">
        <v>44351.2662037037</v>
      </c>
      <c r="J2773" s="69">
        <v>44351.27140046296</v>
      </c>
      <c r="K2773">
        <f>AVERAGE(H2772:H2776)</f>
        <v>100.8050654</v>
      </c>
      <c r="L2773">
        <f>STDEV(H2772:H2776)</f>
        <v>60.75319008</v>
      </c>
      <c r="M2773" s="70">
        <v>166.274121540194</v>
      </c>
      <c r="N2773" s="70">
        <v>166.274121540194</v>
      </c>
      <c r="O2773" s="70">
        <v>3.60465922283109</v>
      </c>
      <c r="P2773" s="70">
        <v>3.60465922283109</v>
      </c>
    </row>
    <row r="2774" hidden="1">
      <c r="A2774" s="67" t="s">
        <v>3534</v>
      </c>
      <c r="B2774" s="67" t="s">
        <v>17</v>
      </c>
      <c r="C2774" s="68">
        <v>1.0</v>
      </c>
      <c r="D2774" s="68">
        <v>0.25</v>
      </c>
      <c r="E2774" s="68">
        <v>7.0</v>
      </c>
      <c r="F2774" s="68">
        <v>2.0</v>
      </c>
      <c r="G2774" s="68">
        <v>1.61947077603834</v>
      </c>
      <c r="H2774" s="68">
        <v>25.48498005122</v>
      </c>
      <c r="I2774" s="69">
        <v>44351.27210648148</v>
      </c>
      <c r="J2774" s="69">
        <v>44351.272523148145</v>
      </c>
      <c r="K2774">
        <f>AVERAGE(H2772:H2776)</f>
        <v>100.8050654</v>
      </c>
      <c r="L2774">
        <f>STDEV(H2772:H2776)</f>
        <v>60.75319008</v>
      </c>
      <c r="M2774" s="70">
        <v>25.48498005122</v>
      </c>
      <c r="N2774" s="70">
        <v>25.48498005122</v>
      </c>
      <c r="O2774" s="70">
        <v>1.61947077603834</v>
      </c>
      <c r="P2774" s="70">
        <v>1.61947077603834</v>
      </c>
    </row>
    <row r="2775" hidden="1">
      <c r="A2775" s="67" t="s">
        <v>3535</v>
      </c>
      <c r="B2775" s="67" t="s">
        <v>17</v>
      </c>
      <c r="C2775" s="68">
        <v>1.0</v>
      </c>
      <c r="D2775" s="68">
        <v>0.25</v>
      </c>
      <c r="E2775" s="68">
        <v>7.0</v>
      </c>
      <c r="F2775" s="68">
        <v>3.0</v>
      </c>
      <c r="G2775" s="68">
        <v>1.34194342775562</v>
      </c>
      <c r="H2775" s="68">
        <v>69.7178344067526</v>
      </c>
      <c r="I2775" s="69">
        <v>44351.27321759259</v>
      </c>
      <c r="J2775" s="69">
        <v>44351.27429398148</v>
      </c>
      <c r="K2775">
        <f>AVERAGE(H2772:H2776)</f>
        <v>100.8050654</v>
      </c>
      <c r="L2775">
        <f>STDEV(H2772:H2776)</f>
        <v>60.75319008</v>
      </c>
      <c r="M2775" s="70">
        <v>69.7178344067526</v>
      </c>
      <c r="N2775" s="70">
        <v>69.7178344067526</v>
      </c>
      <c r="O2775" s="70">
        <v>1.34194342775562</v>
      </c>
      <c r="P2775" s="70">
        <v>1.34194342775562</v>
      </c>
    </row>
    <row r="2776" hidden="1">
      <c r="A2776" s="67" t="s">
        <v>3536</v>
      </c>
      <c r="B2776" s="67" t="s">
        <v>17</v>
      </c>
      <c r="C2776" s="68">
        <v>1.0</v>
      </c>
      <c r="D2776" s="68">
        <v>0.25</v>
      </c>
      <c r="E2776" s="68">
        <v>7.0</v>
      </c>
      <c r="F2776" s="68">
        <v>4.0</v>
      </c>
      <c r="G2776" s="68">
        <v>5.71858473210127</v>
      </c>
      <c r="H2776" s="68">
        <v>82.5437077213069</v>
      </c>
      <c r="I2776" s="69">
        <v>44351.274988425925</v>
      </c>
      <c r="J2776" s="69">
        <v>44351.27502314815</v>
      </c>
      <c r="K2776">
        <f>AVERAGE(H2772:H2776)</f>
        <v>100.8050654</v>
      </c>
      <c r="L2776">
        <f>STDEV(H2772:H2776)</f>
        <v>60.75319008</v>
      </c>
      <c r="M2776" s="70">
        <v>82.5437077213069</v>
      </c>
      <c r="N2776" s="70">
        <v>82.5437077213069</v>
      </c>
      <c r="O2776" s="70">
        <v>5.71858473210127</v>
      </c>
      <c r="P2776" s="70">
        <v>5.71858473210127</v>
      </c>
    </row>
    <row r="2777" hidden="1">
      <c r="A2777" s="67" t="s">
        <v>3537</v>
      </c>
      <c r="B2777" s="67" t="s">
        <v>17</v>
      </c>
      <c r="C2777" s="68">
        <v>1.0</v>
      </c>
      <c r="D2777" s="68">
        <v>0.5</v>
      </c>
      <c r="E2777" s="68">
        <v>7.0</v>
      </c>
      <c r="F2777" s="68">
        <v>0.0</v>
      </c>
      <c r="G2777" s="68">
        <v>0.353714936555036</v>
      </c>
      <c r="H2777" s="68">
        <v>0.409563429483267</v>
      </c>
      <c r="I2777" s="69">
        <v>44351.275729166664</v>
      </c>
      <c r="J2777" s="69">
        <v>44351.27585648148</v>
      </c>
      <c r="K2777">
        <f>AVERAGE(H2777:H2781)</f>
        <v>141.5877139</v>
      </c>
      <c r="L2777">
        <f>STDEV(H2777:H2781)</f>
        <v>114.4357913</v>
      </c>
      <c r="M2777" s="70">
        <v>0.409563429483267</v>
      </c>
      <c r="N2777" s="70">
        <v>0.409563429483267</v>
      </c>
      <c r="O2777" s="70">
        <v>0.353714936555036</v>
      </c>
      <c r="P2777" s="70">
        <v>0.353714936555036</v>
      </c>
    </row>
    <row r="2778" hidden="1">
      <c r="A2778" s="67" t="s">
        <v>3538</v>
      </c>
      <c r="B2778" s="67" t="s">
        <v>17</v>
      </c>
      <c r="C2778" s="68">
        <v>1.0</v>
      </c>
      <c r="D2778" s="68">
        <v>0.5</v>
      </c>
      <c r="E2778" s="68">
        <v>7.0</v>
      </c>
      <c r="F2778" s="68">
        <v>1.0</v>
      </c>
      <c r="G2778" s="68">
        <v>9.44574402396135</v>
      </c>
      <c r="H2778" s="68">
        <v>294.986449034156</v>
      </c>
      <c r="I2778" s="69">
        <v>44351.2765625</v>
      </c>
      <c r="J2778" s="69">
        <v>44351.27675925926</v>
      </c>
      <c r="K2778">
        <f>AVERAGE(H2777:H2781)</f>
        <v>141.5877139</v>
      </c>
      <c r="L2778">
        <f>STDEV(H2777:H2781)</f>
        <v>114.4357913</v>
      </c>
      <c r="M2778" s="70">
        <v>294.986449034156</v>
      </c>
      <c r="N2778" s="70">
        <v>294.986449034156</v>
      </c>
      <c r="O2778" s="70">
        <v>9.44574402396135</v>
      </c>
      <c r="P2778" s="70">
        <v>9.44574402396135</v>
      </c>
    </row>
    <row r="2779" hidden="1">
      <c r="A2779" s="67" t="s">
        <v>3539</v>
      </c>
      <c r="B2779" s="67" t="s">
        <v>17</v>
      </c>
      <c r="C2779" s="68">
        <v>1.0</v>
      </c>
      <c r="D2779" s="68">
        <v>0.5</v>
      </c>
      <c r="E2779" s="68">
        <v>7.0</v>
      </c>
      <c r="F2779" s="68">
        <v>2.0</v>
      </c>
      <c r="G2779" s="68">
        <v>1.55314998722197</v>
      </c>
      <c r="H2779" s="68">
        <v>74.8696202675257</v>
      </c>
      <c r="I2779" s="69">
        <v>44351.27746527778</v>
      </c>
      <c r="J2779" s="69">
        <v>44351.278229166666</v>
      </c>
      <c r="K2779">
        <f>AVERAGE(H2777:H2781)</f>
        <v>141.5877139</v>
      </c>
      <c r="L2779">
        <f>STDEV(H2777:H2781)</f>
        <v>114.4357913</v>
      </c>
      <c r="M2779" s="70">
        <v>74.8696202675257</v>
      </c>
      <c r="N2779" s="70">
        <v>74.8696202675257</v>
      </c>
      <c r="O2779" s="70">
        <v>1.55314998722197</v>
      </c>
      <c r="P2779" s="70">
        <v>1.55314998722197</v>
      </c>
    </row>
    <row r="2780" hidden="1">
      <c r="A2780" s="67" t="s">
        <v>3540</v>
      </c>
      <c r="B2780" s="67" t="s">
        <v>17</v>
      </c>
      <c r="C2780" s="68">
        <v>1.0</v>
      </c>
      <c r="D2780" s="68">
        <v>0.5</v>
      </c>
      <c r="E2780" s="68">
        <v>7.0</v>
      </c>
      <c r="F2780" s="68">
        <v>3.0</v>
      </c>
      <c r="G2780" s="68">
        <v>2.84633294607205</v>
      </c>
      <c r="H2780" s="68">
        <v>130.21350917194</v>
      </c>
      <c r="I2780" s="69">
        <v>44351.27892361111</v>
      </c>
      <c r="J2780" s="69">
        <v>44351.32625</v>
      </c>
      <c r="K2780">
        <f>AVERAGE(H2777:H2781)</f>
        <v>141.5877139</v>
      </c>
      <c r="L2780">
        <f>STDEV(H2777:H2781)</f>
        <v>114.4357913</v>
      </c>
      <c r="M2780" s="70">
        <v>130.21350917194</v>
      </c>
      <c r="N2780" s="70">
        <v>130.21350917194</v>
      </c>
      <c r="O2780" s="70">
        <v>2.84633294607205</v>
      </c>
      <c r="P2780" s="70">
        <v>2.84633294607205</v>
      </c>
    </row>
    <row r="2781" hidden="1">
      <c r="A2781" s="67" t="s">
        <v>3541</v>
      </c>
      <c r="B2781" s="67" t="s">
        <v>17</v>
      </c>
      <c r="C2781" s="68">
        <v>1.0</v>
      </c>
      <c r="D2781" s="68">
        <v>0.5</v>
      </c>
      <c r="E2781" s="68">
        <v>7.0</v>
      </c>
      <c r="F2781" s="68">
        <v>4.0</v>
      </c>
      <c r="G2781" s="68">
        <v>5.06069700202175</v>
      </c>
      <c r="H2781" s="68">
        <v>207.459427687308</v>
      </c>
      <c r="I2781" s="69">
        <v>44351.326944444445</v>
      </c>
      <c r="J2781" s="69">
        <v>44351.32900462963</v>
      </c>
      <c r="K2781">
        <f>AVERAGE(H2777:H2781)</f>
        <v>141.5877139</v>
      </c>
      <c r="L2781">
        <f>STDEV(H2777:H2781)</f>
        <v>114.4357913</v>
      </c>
      <c r="M2781" s="70">
        <v>207.459427687308</v>
      </c>
      <c r="N2781" s="70">
        <v>207.459427687308</v>
      </c>
      <c r="O2781" s="70">
        <v>5.06069700202175</v>
      </c>
      <c r="P2781" s="70">
        <v>5.06069700202175</v>
      </c>
    </row>
    <row r="2782" hidden="1">
      <c r="A2782" s="67" t="s">
        <v>3542</v>
      </c>
      <c r="B2782" s="67" t="s">
        <v>17</v>
      </c>
      <c r="C2782" s="68">
        <v>1.0</v>
      </c>
      <c r="D2782" s="68">
        <v>0.75</v>
      </c>
      <c r="E2782" s="68">
        <v>7.0</v>
      </c>
      <c r="F2782" s="68">
        <v>0.0</v>
      </c>
      <c r="G2782" s="68">
        <v>1.71415935160243</v>
      </c>
      <c r="H2782" s="68">
        <v>27.638984243913</v>
      </c>
      <c r="I2782" s="69">
        <v>44351.32969907407</v>
      </c>
      <c r="J2782" s="69">
        <v>44351.330034722225</v>
      </c>
      <c r="K2782">
        <f>AVERAGE(H2782:H2786)</f>
        <v>131.0586346</v>
      </c>
      <c r="L2782">
        <f>STDEV(H2782:H2786)</f>
        <v>60.54318594</v>
      </c>
      <c r="M2782" s="70">
        <v>27.638984243913</v>
      </c>
      <c r="N2782" s="70">
        <v>27.638984243913</v>
      </c>
      <c r="O2782" s="70">
        <v>1.71415935160243</v>
      </c>
      <c r="P2782" s="70">
        <v>1.71415935160243</v>
      </c>
    </row>
    <row r="2783" hidden="1">
      <c r="A2783" s="67" t="s">
        <v>3543</v>
      </c>
      <c r="B2783" s="67" t="s">
        <v>17</v>
      </c>
      <c r="C2783" s="68">
        <v>1.0</v>
      </c>
      <c r="D2783" s="68">
        <v>0.75</v>
      </c>
      <c r="E2783" s="68">
        <v>7.0</v>
      </c>
      <c r="F2783" s="68">
        <v>1.0</v>
      </c>
      <c r="G2783" s="68">
        <v>3.14598060872944</v>
      </c>
      <c r="H2783" s="68">
        <v>157.710131127996</v>
      </c>
      <c r="I2783" s="69">
        <v>44351.330729166664</v>
      </c>
      <c r="J2783" s="69">
        <v>44351.35548611111</v>
      </c>
      <c r="K2783">
        <f>AVERAGE(H2782:H2786)</f>
        <v>131.0586346</v>
      </c>
      <c r="L2783">
        <f>STDEV(H2782:H2786)</f>
        <v>60.54318594</v>
      </c>
      <c r="M2783" s="70">
        <v>157.710131127996</v>
      </c>
      <c r="N2783" s="70">
        <v>157.710131127996</v>
      </c>
      <c r="O2783" s="70">
        <v>3.14598060872944</v>
      </c>
      <c r="P2783" s="70">
        <v>3.14598060872944</v>
      </c>
    </row>
    <row r="2784" hidden="1">
      <c r="A2784" s="67" t="s">
        <v>3544</v>
      </c>
      <c r="B2784" s="67" t="s">
        <v>17</v>
      </c>
      <c r="C2784" s="68">
        <v>1.0</v>
      </c>
      <c r="D2784" s="68">
        <v>0.75</v>
      </c>
      <c r="E2784" s="68">
        <v>7.0</v>
      </c>
      <c r="F2784" s="68">
        <v>2.0</v>
      </c>
      <c r="G2784" s="68">
        <v>4.73215500943992</v>
      </c>
      <c r="H2784" s="68">
        <v>171.971458311498</v>
      </c>
      <c r="I2784" s="69">
        <v>44351.35619212963</v>
      </c>
      <c r="J2784" s="69">
        <v>44351.357083333336</v>
      </c>
      <c r="K2784">
        <f>AVERAGE(H2782:H2786)</f>
        <v>131.0586346</v>
      </c>
      <c r="L2784">
        <f>STDEV(H2782:H2786)</f>
        <v>60.54318594</v>
      </c>
      <c r="M2784" s="70">
        <v>171.971458311498</v>
      </c>
      <c r="N2784" s="70">
        <v>171.971458311498</v>
      </c>
      <c r="O2784" s="70">
        <v>4.73215500943992</v>
      </c>
      <c r="P2784" s="70">
        <v>4.73215500943992</v>
      </c>
    </row>
    <row r="2785" hidden="1">
      <c r="A2785" s="67" t="s">
        <v>3545</v>
      </c>
      <c r="B2785" s="67" t="s">
        <v>17</v>
      </c>
      <c r="C2785" s="68">
        <v>1.0</v>
      </c>
      <c r="D2785" s="68">
        <v>0.75</v>
      </c>
      <c r="E2785" s="68">
        <v>7.0</v>
      </c>
      <c r="F2785" s="68">
        <v>3.0</v>
      </c>
      <c r="G2785" s="68">
        <v>2.39711270014509</v>
      </c>
      <c r="H2785" s="68">
        <v>127.314640764522</v>
      </c>
      <c r="I2785" s="69">
        <v>44351.35778935185</v>
      </c>
      <c r="J2785" s="69">
        <v>44351.363969907405</v>
      </c>
      <c r="K2785">
        <f>AVERAGE(H2782:H2786)</f>
        <v>131.0586346</v>
      </c>
      <c r="L2785">
        <f>STDEV(H2782:H2786)</f>
        <v>60.54318594</v>
      </c>
      <c r="M2785" s="70">
        <v>127.314640764522</v>
      </c>
      <c r="N2785" s="70">
        <v>127.314640764522</v>
      </c>
      <c r="O2785" s="70">
        <v>2.39711270014509</v>
      </c>
      <c r="P2785" s="70">
        <v>2.39711270014509</v>
      </c>
    </row>
    <row r="2786" hidden="1">
      <c r="A2786" s="67" t="s">
        <v>3546</v>
      </c>
      <c r="B2786" s="67" t="s">
        <v>17</v>
      </c>
      <c r="C2786" s="68">
        <v>1.0</v>
      </c>
      <c r="D2786" s="68">
        <v>0.75</v>
      </c>
      <c r="E2786" s="68">
        <v>7.0</v>
      </c>
      <c r="F2786" s="68">
        <v>4.0</v>
      </c>
      <c r="G2786" s="68">
        <v>3.34041348558552</v>
      </c>
      <c r="H2786" s="68">
        <v>170.657958765412</v>
      </c>
      <c r="I2786" s="69">
        <v>44351.36467592593</v>
      </c>
      <c r="J2786" s="69">
        <v>44351.36481481481</v>
      </c>
      <c r="K2786">
        <f>AVERAGE(H2782:H2786)</f>
        <v>131.0586346</v>
      </c>
      <c r="L2786">
        <f>STDEV(H2782:H2786)</f>
        <v>60.54318594</v>
      </c>
      <c r="M2786" s="70">
        <v>170.657958765412</v>
      </c>
      <c r="N2786" s="70">
        <v>170.657958765412</v>
      </c>
      <c r="O2786" s="70">
        <v>3.34041348558552</v>
      </c>
      <c r="P2786" s="70">
        <v>3.34041348558552</v>
      </c>
    </row>
    <row r="2787" hidden="1">
      <c r="A2787" s="67" t="s">
        <v>3547</v>
      </c>
      <c r="B2787" s="67" t="s">
        <v>17</v>
      </c>
      <c r="C2787" s="68">
        <v>1.0</v>
      </c>
      <c r="D2787" s="68">
        <v>1.0</v>
      </c>
      <c r="E2787" s="68">
        <v>7.0</v>
      </c>
      <c r="F2787" s="68">
        <v>0.0</v>
      </c>
      <c r="G2787" s="68">
        <v>2.53460478785142</v>
      </c>
      <c r="H2787" s="68">
        <v>123.269473766132</v>
      </c>
      <c r="I2787" s="69">
        <v>44351.36552083334</v>
      </c>
      <c r="J2787" s="69">
        <v>44351.41431712963</v>
      </c>
      <c r="K2787">
        <f>AVERAGE(H2787:H2791)</f>
        <v>167.2974466</v>
      </c>
      <c r="L2787">
        <f>STDEV(H2787:H2791)</f>
        <v>100.8289006</v>
      </c>
      <c r="M2787" s="70">
        <v>123.269473766132</v>
      </c>
      <c r="N2787" s="70">
        <v>123.269473766132</v>
      </c>
      <c r="O2787" s="70">
        <v>2.53460478785142</v>
      </c>
      <c r="P2787" s="70">
        <v>2.53460478785142</v>
      </c>
    </row>
    <row r="2788" hidden="1">
      <c r="A2788" s="67" t="s">
        <v>3548</v>
      </c>
      <c r="B2788" s="67" t="s">
        <v>17</v>
      </c>
      <c r="C2788" s="68">
        <v>1.0</v>
      </c>
      <c r="D2788" s="68">
        <v>1.0</v>
      </c>
      <c r="E2788" s="68">
        <v>7.0</v>
      </c>
      <c r="F2788" s="68">
        <v>1.0</v>
      </c>
      <c r="G2788" s="68">
        <v>10.0771693115473</v>
      </c>
      <c r="H2788" s="68">
        <v>305.565295257475</v>
      </c>
      <c r="I2788" s="69">
        <v>44351.41502314815</v>
      </c>
      <c r="J2788" s="69">
        <v>44351.41520833333</v>
      </c>
      <c r="K2788">
        <f>AVERAGE(H2787:H2791)</f>
        <v>167.2974466</v>
      </c>
      <c r="L2788">
        <f>STDEV(H2787:H2791)</f>
        <v>100.8289006</v>
      </c>
      <c r="M2788" s="70">
        <v>305.565295257475</v>
      </c>
      <c r="N2788" s="70">
        <v>305.565295257475</v>
      </c>
      <c r="O2788" s="70">
        <v>10.0771693115473</v>
      </c>
      <c r="P2788" s="70">
        <v>10.0771693115473</v>
      </c>
    </row>
    <row r="2789" hidden="1">
      <c r="A2789" s="67" t="s">
        <v>3549</v>
      </c>
      <c r="B2789" s="67" t="s">
        <v>17</v>
      </c>
      <c r="C2789" s="68">
        <v>1.0</v>
      </c>
      <c r="D2789" s="68">
        <v>1.0</v>
      </c>
      <c r="E2789" s="68">
        <v>7.0</v>
      </c>
      <c r="F2789" s="68">
        <v>2.0</v>
      </c>
      <c r="G2789" s="68">
        <v>5.16410059304084</v>
      </c>
      <c r="H2789" s="68">
        <v>202.784775456904</v>
      </c>
      <c r="I2789" s="69">
        <v>44351.415914351855</v>
      </c>
      <c r="J2789" s="69">
        <v>44351.418287037035</v>
      </c>
      <c r="K2789">
        <f>AVERAGE(H2787:H2791)</f>
        <v>167.2974466</v>
      </c>
      <c r="L2789">
        <f>STDEV(H2787:H2791)</f>
        <v>100.8289006</v>
      </c>
      <c r="M2789" s="70">
        <v>202.784775456904</v>
      </c>
      <c r="N2789" s="70">
        <v>202.784775456904</v>
      </c>
      <c r="O2789" s="70">
        <v>5.16410059304084</v>
      </c>
      <c r="P2789" s="70">
        <v>5.16410059304084</v>
      </c>
    </row>
    <row r="2790" hidden="1">
      <c r="A2790" s="67" t="s">
        <v>3550</v>
      </c>
      <c r="B2790" s="67" t="s">
        <v>17</v>
      </c>
      <c r="C2790" s="68">
        <v>1.0</v>
      </c>
      <c r="D2790" s="68">
        <v>1.0</v>
      </c>
      <c r="E2790" s="68">
        <v>7.0</v>
      </c>
      <c r="F2790" s="68">
        <v>3.0</v>
      </c>
      <c r="G2790" s="68">
        <v>3.96249146450945</v>
      </c>
      <c r="H2790" s="68">
        <v>172.916055030225</v>
      </c>
      <c r="I2790" s="69">
        <v>44351.41899305556</v>
      </c>
      <c r="J2790" s="69">
        <v>44351.41908564815</v>
      </c>
      <c r="K2790">
        <f>AVERAGE(H2787:H2791)</f>
        <v>167.2974466</v>
      </c>
      <c r="L2790">
        <f>STDEV(H2787:H2791)</f>
        <v>100.8289006</v>
      </c>
      <c r="M2790" s="70">
        <v>172.916055030225</v>
      </c>
      <c r="N2790" s="70">
        <v>172.916055030225</v>
      </c>
      <c r="O2790" s="70">
        <v>3.96249146450945</v>
      </c>
      <c r="P2790" s="70">
        <v>3.96249146450945</v>
      </c>
    </row>
    <row r="2791" hidden="1">
      <c r="A2791" s="67" t="s">
        <v>3551</v>
      </c>
      <c r="B2791" s="67" t="s">
        <v>17</v>
      </c>
      <c r="C2791" s="68">
        <v>1.0</v>
      </c>
      <c r="D2791" s="68">
        <v>1.0</v>
      </c>
      <c r="E2791" s="68">
        <v>7.0</v>
      </c>
      <c r="F2791" s="68">
        <v>4.0</v>
      </c>
      <c r="G2791" s="68">
        <v>1.88474147950951</v>
      </c>
      <c r="H2791" s="68">
        <v>31.9516334914618</v>
      </c>
      <c r="I2791" s="69">
        <v>44351.41979166667</v>
      </c>
      <c r="J2791" s="69">
        <v>44351.420115740744</v>
      </c>
      <c r="K2791">
        <f>AVERAGE(H2787:H2791)</f>
        <v>167.2974466</v>
      </c>
      <c r="L2791">
        <f>STDEV(H2787:H2791)</f>
        <v>100.8289006</v>
      </c>
      <c r="M2791" s="70">
        <v>31.9516334914618</v>
      </c>
      <c r="N2791" s="70">
        <v>31.9516334914618</v>
      </c>
      <c r="O2791" s="70">
        <v>1.88474147950951</v>
      </c>
      <c r="P2791" s="70">
        <v>1.88474147950951</v>
      </c>
    </row>
    <row r="2792" hidden="1">
      <c r="A2792" s="67" t="s">
        <v>3552</v>
      </c>
      <c r="B2792" s="67" t="s">
        <v>268</v>
      </c>
      <c r="C2792" s="68">
        <v>0.1</v>
      </c>
      <c r="D2792" s="68">
        <v>0.1</v>
      </c>
      <c r="E2792" s="68">
        <v>7.0</v>
      </c>
      <c r="F2792" s="68">
        <v>0.0</v>
      </c>
      <c r="G2792" s="68">
        <v>1.20187905649363</v>
      </c>
      <c r="H2792" s="68">
        <v>15.7681182897697</v>
      </c>
      <c r="I2792" s="69">
        <v>44351.42082175926</v>
      </c>
      <c r="J2792" s="69">
        <v>44351.420960648145</v>
      </c>
      <c r="K2792">
        <f>AVERAGE(H2792:H2796)</f>
        <v>130.5828528</v>
      </c>
      <c r="L2792">
        <f>STDEV(H2792:H2796)</f>
        <v>121.7987444</v>
      </c>
      <c r="M2792" s="70">
        <v>15.7681182897697</v>
      </c>
      <c r="N2792" s="70">
        <v>15.7681182897697</v>
      </c>
      <c r="O2792" s="70">
        <v>1.20187905649363</v>
      </c>
      <c r="P2792" s="70">
        <v>1.20187905649363</v>
      </c>
    </row>
    <row r="2793" hidden="1">
      <c r="A2793" s="67" t="s">
        <v>3553</v>
      </c>
      <c r="B2793" s="67" t="s">
        <v>268</v>
      </c>
      <c r="C2793" s="68">
        <v>0.1</v>
      </c>
      <c r="D2793" s="68">
        <v>0.1</v>
      </c>
      <c r="E2793" s="68">
        <v>7.0</v>
      </c>
      <c r="F2793" s="68">
        <v>1.0</v>
      </c>
      <c r="G2793" s="68">
        <v>3.1390161461542</v>
      </c>
      <c r="H2793" s="68">
        <v>142.618611214116</v>
      </c>
      <c r="I2793" s="69">
        <v>44351.42166666667</v>
      </c>
      <c r="J2793" s="69">
        <v>44351.468668981484</v>
      </c>
      <c r="K2793">
        <f>AVERAGE(H2792:H2796)</f>
        <v>130.5828528</v>
      </c>
      <c r="L2793">
        <f>STDEV(H2792:H2796)</f>
        <v>121.7987444</v>
      </c>
      <c r="M2793" s="70">
        <v>142.618611214116</v>
      </c>
      <c r="N2793" s="70">
        <v>142.618611214116</v>
      </c>
      <c r="O2793" s="70">
        <v>3.1390161461542</v>
      </c>
      <c r="P2793" s="70">
        <v>3.1390161461542</v>
      </c>
    </row>
    <row r="2794" hidden="1">
      <c r="A2794" s="67" t="s">
        <v>3554</v>
      </c>
      <c r="B2794" s="67" t="s">
        <v>268</v>
      </c>
      <c r="C2794" s="68">
        <v>0.1</v>
      </c>
      <c r="D2794" s="68">
        <v>0.1</v>
      </c>
      <c r="E2794" s="68">
        <v>7.0</v>
      </c>
      <c r="F2794" s="68">
        <v>2.0</v>
      </c>
      <c r="G2794" s="68">
        <v>7.86958944831933</v>
      </c>
      <c r="H2794" s="68">
        <v>280.789083266307</v>
      </c>
      <c r="I2794" s="69">
        <v>44351.46938657408</v>
      </c>
      <c r="J2794" s="69">
        <v>44351.4696412037</v>
      </c>
      <c r="K2794">
        <f>AVERAGE(H2792:H2796)</f>
        <v>130.5828528</v>
      </c>
      <c r="L2794">
        <f>STDEV(H2792:H2796)</f>
        <v>121.7987444</v>
      </c>
      <c r="M2794" s="70">
        <v>280.789083266307</v>
      </c>
      <c r="N2794" s="70">
        <v>280.789083266307</v>
      </c>
      <c r="O2794" s="70">
        <v>7.86958944831933</v>
      </c>
      <c r="P2794" s="70">
        <v>7.86958944831933</v>
      </c>
    </row>
    <row r="2795" hidden="1">
      <c r="A2795" s="67" t="s">
        <v>3555</v>
      </c>
      <c r="B2795" s="67" t="s">
        <v>268</v>
      </c>
      <c r="C2795" s="68">
        <v>0.1</v>
      </c>
      <c r="D2795" s="68">
        <v>0.1</v>
      </c>
      <c r="E2795" s="68">
        <v>7.0</v>
      </c>
      <c r="F2795" s="68">
        <v>3.0</v>
      </c>
      <c r="G2795" s="68">
        <v>5.09003105513757</v>
      </c>
      <c r="H2795" s="68">
        <v>212.524016993405</v>
      </c>
      <c r="I2795" s="69">
        <v>44351.470347222225</v>
      </c>
      <c r="J2795" s="69">
        <v>44351.47393518518</v>
      </c>
      <c r="K2795">
        <f>AVERAGE(H2792:H2796)</f>
        <v>130.5828528</v>
      </c>
      <c r="L2795">
        <f>STDEV(H2792:H2796)</f>
        <v>121.7987444</v>
      </c>
      <c r="M2795" s="70">
        <v>212.524016993405</v>
      </c>
      <c r="N2795" s="70">
        <v>212.524016993405</v>
      </c>
      <c r="O2795" s="70">
        <v>5.09003105513757</v>
      </c>
      <c r="P2795" s="70">
        <v>5.09003105513757</v>
      </c>
    </row>
    <row r="2796" hidden="1">
      <c r="A2796" s="67" t="s">
        <v>3556</v>
      </c>
      <c r="B2796" s="67" t="s">
        <v>268</v>
      </c>
      <c r="C2796" s="68">
        <v>0.1</v>
      </c>
      <c r="D2796" s="68">
        <v>0.1</v>
      </c>
      <c r="E2796" s="68">
        <v>7.0</v>
      </c>
      <c r="F2796" s="68">
        <v>4.0</v>
      </c>
      <c r="G2796" s="68">
        <v>0.655214590252504</v>
      </c>
      <c r="H2796" s="68">
        <v>1.2144341676444</v>
      </c>
      <c r="I2796" s="69">
        <v>44351.474652777775</v>
      </c>
      <c r="J2796" s="69">
        <v>44351.47546296296</v>
      </c>
      <c r="K2796">
        <f>AVERAGE(H2792:H2796)</f>
        <v>130.5828528</v>
      </c>
      <c r="L2796">
        <f>STDEV(H2792:H2796)</f>
        <v>121.7987444</v>
      </c>
      <c r="M2796" s="70">
        <v>1.2144341676444</v>
      </c>
      <c r="N2796" s="70">
        <v>1.2144341676444</v>
      </c>
      <c r="O2796" s="70">
        <v>0.655214590252504</v>
      </c>
      <c r="P2796" s="70">
        <v>0.655214590252504</v>
      </c>
    </row>
    <row r="2797" hidden="1">
      <c r="A2797" s="67" t="s">
        <v>3557</v>
      </c>
      <c r="B2797" s="67" t="s">
        <v>268</v>
      </c>
      <c r="C2797" s="68">
        <v>0.1</v>
      </c>
      <c r="D2797" s="68">
        <v>0.25</v>
      </c>
      <c r="E2797" s="68">
        <v>7.0</v>
      </c>
      <c r="F2797" s="68">
        <v>0.0</v>
      </c>
      <c r="G2797" s="68">
        <v>1.35169134501324</v>
      </c>
      <c r="H2797" s="68">
        <v>69.4871999436822</v>
      </c>
      <c r="I2797" s="69">
        <v>44351.47618055555</v>
      </c>
      <c r="J2797" s="69">
        <v>44351.477326388886</v>
      </c>
      <c r="K2797">
        <f>AVERAGE(H2797:H2801)</f>
        <v>89.58894805</v>
      </c>
      <c r="L2797">
        <f>STDEV(H2797:H2801)</f>
        <v>94.01136182</v>
      </c>
      <c r="M2797" s="70">
        <v>69.4871999436822</v>
      </c>
      <c r="N2797" s="70">
        <v>69.4871999436822</v>
      </c>
      <c r="O2797" s="70">
        <v>1.35169134501324</v>
      </c>
      <c r="P2797" s="70">
        <v>1.35169134501324</v>
      </c>
    </row>
    <row r="2798" hidden="1">
      <c r="A2798" s="67" t="s">
        <v>3558</v>
      </c>
      <c r="B2798" s="67" t="s">
        <v>268</v>
      </c>
      <c r="C2798" s="68">
        <v>0.1</v>
      </c>
      <c r="D2798" s="68">
        <v>0.25</v>
      </c>
      <c r="E2798" s="68">
        <v>7.0</v>
      </c>
      <c r="F2798" s="68">
        <v>1.0</v>
      </c>
      <c r="G2798" s="68">
        <v>4.23258901090985</v>
      </c>
      <c r="H2798" s="68">
        <v>183.35528236659</v>
      </c>
      <c r="I2798" s="69">
        <v>44351.47804398148</v>
      </c>
      <c r="J2798" s="69">
        <v>44351.54421296297</v>
      </c>
      <c r="K2798">
        <f>AVERAGE(H2797:H2801)</f>
        <v>89.58894805</v>
      </c>
      <c r="L2798">
        <f>STDEV(H2797:H2801)</f>
        <v>94.01136182</v>
      </c>
      <c r="M2798" s="70">
        <v>183.35528236659</v>
      </c>
      <c r="N2798" s="70">
        <v>183.35528236659</v>
      </c>
      <c r="O2798" s="70">
        <v>4.23258901090985</v>
      </c>
      <c r="P2798" s="70">
        <v>4.23258901090985</v>
      </c>
    </row>
    <row r="2799" hidden="1">
      <c r="A2799" s="67" t="s">
        <v>3559</v>
      </c>
      <c r="B2799" s="67" t="s">
        <v>268</v>
      </c>
      <c r="C2799" s="68">
        <v>0.1</v>
      </c>
      <c r="D2799" s="68">
        <v>0.25</v>
      </c>
      <c r="E2799" s="68">
        <v>7.0</v>
      </c>
      <c r="F2799" s="68">
        <v>2.0</v>
      </c>
      <c r="G2799" s="68">
        <v>0.654488214859344</v>
      </c>
      <c r="H2799" s="68">
        <v>1.21422282006593</v>
      </c>
      <c r="I2799" s="69">
        <v>44351.54491898148</v>
      </c>
      <c r="J2799" s="69">
        <v>44351.54570601852</v>
      </c>
      <c r="K2799">
        <f>AVERAGE(H2797:H2801)</f>
        <v>89.58894805</v>
      </c>
      <c r="L2799">
        <f>STDEV(H2797:H2801)</f>
        <v>94.01136182</v>
      </c>
      <c r="M2799" s="70">
        <v>1.21422282006593</v>
      </c>
      <c r="N2799" s="70">
        <v>1.21422282006593</v>
      </c>
      <c r="O2799" s="70">
        <v>0.654488214859344</v>
      </c>
      <c r="P2799" s="70">
        <v>0.654488214859344</v>
      </c>
    </row>
    <row r="2800" hidden="1">
      <c r="A2800" s="67" t="s">
        <v>3560</v>
      </c>
      <c r="B2800" s="67" t="s">
        <v>268</v>
      </c>
      <c r="C2800" s="68">
        <v>0.1</v>
      </c>
      <c r="D2800" s="68">
        <v>0.25</v>
      </c>
      <c r="E2800" s="68">
        <v>7.0</v>
      </c>
      <c r="F2800" s="68">
        <v>3.0</v>
      </c>
      <c r="G2800" s="68">
        <v>7.94112888342062</v>
      </c>
      <c r="H2800" s="68">
        <v>192.437610855651</v>
      </c>
      <c r="I2800" s="69">
        <v>44351.54641203704</v>
      </c>
      <c r="J2800" s="69">
        <v>44351.54645833333</v>
      </c>
      <c r="K2800">
        <f>AVERAGE(H2797:H2801)</f>
        <v>89.58894805</v>
      </c>
      <c r="L2800">
        <f>STDEV(H2797:H2801)</f>
        <v>94.01136182</v>
      </c>
      <c r="M2800" s="70">
        <v>192.437610855651</v>
      </c>
      <c r="N2800" s="70">
        <v>192.437610855651</v>
      </c>
      <c r="O2800" s="70">
        <v>7.94112888342062</v>
      </c>
      <c r="P2800" s="70">
        <v>7.94112888342062</v>
      </c>
    </row>
    <row r="2801" hidden="1">
      <c r="A2801" s="67" t="s">
        <v>3561</v>
      </c>
      <c r="B2801" s="67" t="s">
        <v>268</v>
      </c>
      <c r="C2801" s="68">
        <v>0.1</v>
      </c>
      <c r="D2801" s="68">
        <v>0.25</v>
      </c>
      <c r="E2801" s="68">
        <v>7.0</v>
      </c>
      <c r="F2801" s="68">
        <v>4.0</v>
      </c>
      <c r="G2801" s="68">
        <v>1.07991001504809</v>
      </c>
      <c r="H2801" s="68">
        <v>1.4504242499467</v>
      </c>
      <c r="I2801" s="69">
        <v>44351.54717592592</v>
      </c>
      <c r="J2801" s="69">
        <v>44351.54728009259</v>
      </c>
      <c r="K2801">
        <f>AVERAGE(H2797:H2801)</f>
        <v>89.58894805</v>
      </c>
      <c r="L2801">
        <f>STDEV(H2797:H2801)</f>
        <v>94.01136182</v>
      </c>
      <c r="M2801" s="70">
        <v>1.4504242499467</v>
      </c>
      <c r="N2801" s="70">
        <v>1.4504242499467</v>
      </c>
      <c r="O2801" s="70">
        <v>1.07991001504809</v>
      </c>
      <c r="P2801" s="70">
        <v>1.07991001504809</v>
      </c>
    </row>
    <row r="2802" hidden="1">
      <c r="A2802" s="67" t="s">
        <v>3562</v>
      </c>
      <c r="B2802" s="67" t="s">
        <v>268</v>
      </c>
      <c r="C2802" s="68">
        <v>0.1</v>
      </c>
      <c r="D2802" s="68">
        <v>0.5</v>
      </c>
      <c r="E2802" s="68">
        <v>7.0</v>
      </c>
      <c r="F2802" s="68">
        <v>0.0</v>
      </c>
      <c r="G2802" s="68">
        <v>1.72755892233266</v>
      </c>
      <c r="H2802" s="68">
        <v>27.8584061170078</v>
      </c>
      <c r="I2802" s="69">
        <v>44351.547997685186</v>
      </c>
      <c r="J2802" s="69">
        <v>44351.548622685186</v>
      </c>
      <c r="K2802">
        <f>AVERAGE(H2802:H2806)</f>
        <v>75.54264791</v>
      </c>
      <c r="L2802">
        <f>STDEV(H2802:H2806)</f>
        <v>83.48274003</v>
      </c>
      <c r="M2802" s="70">
        <v>27.8584061170078</v>
      </c>
      <c r="N2802" s="70">
        <v>27.8584061170078</v>
      </c>
      <c r="O2802" s="70">
        <v>1.72755892233266</v>
      </c>
      <c r="P2802" s="70">
        <v>1.72755892233266</v>
      </c>
    </row>
    <row r="2803" hidden="1">
      <c r="A2803" s="67" t="s">
        <v>3563</v>
      </c>
      <c r="B2803" s="67" t="s">
        <v>268</v>
      </c>
      <c r="C2803" s="68">
        <v>0.1</v>
      </c>
      <c r="D2803" s="68">
        <v>0.5</v>
      </c>
      <c r="E2803" s="68">
        <v>7.0</v>
      </c>
      <c r="F2803" s="68">
        <v>1.0</v>
      </c>
      <c r="G2803" s="68">
        <v>1.07991001504809</v>
      </c>
      <c r="H2803" s="68">
        <v>1.4504242499467</v>
      </c>
      <c r="I2803" s="69">
        <v>44351.5493287037</v>
      </c>
      <c r="J2803" s="69">
        <v>44351.54944444444</v>
      </c>
      <c r="K2803">
        <f>AVERAGE(H2802:H2806)</f>
        <v>75.54264791</v>
      </c>
      <c r="L2803">
        <f>STDEV(H2802:H2806)</f>
        <v>83.48274003</v>
      </c>
      <c r="M2803" s="70">
        <v>1.4504242499467</v>
      </c>
      <c r="N2803" s="70">
        <v>1.4504242499467</v>
      </c>
      <c r="O2803" s="70">
        <v>1.07991001504809</v>
      </c>
      <c r="P2803" s="70">
        <v>1.07991001504809</v>
      </c>
    </row>
    <row r="2804" hidden="1">
      <c r="A2804" s="67" t="s">
        <v>3564</v>
      </c>
      <c r="B2804" s="67" t="s">
        <v>268</v>
      </c>
      <c r="C2804" s="68">
        <v>0.1</v>
      </c>
      <c r="D2804" s="68">
        <v>0.5</v>
      </c>
      <c r="E2804" s="68">
        <v>7.0</v>
      </c>
      <c r="F2804" s="68">
        <v>2.0</v>
      </c>
      <c r="G2804" s="68">
        <v>4.76512864525855</v>
      </c>
      <c r="H2804" s="68">
        <v>160.874830842131</v>
      </c>
      <c r="I2804" s="69">
        <v>44351.550162037034</v>
      </c>
      <c r="J2804" s="69">
        <v>44351.55038194444</v>
      </c>
      <c r="K2804">
        <f>AVERAGE(H2802:H2806)</f>
        <v>75.54264791</v>
      </c>
      <c r="L2804">
        <f>STDEV(H2802:H2806)</f>
        <v>83.48274003</v>
      </c>
      <c r="M2804" s="70">
        <v>160.874830842131</v>
      </c>
      <c r="N2804" s="70">
        <v>160.874830842131</v>
      </c>
      <c r="O2804" s="70">
        <v>4.76512864525855</v>
      </c>
      <c r="P2804" s="70">
        <v>4.76512864525855</v>
      </c>
    </row>
    <row r="2805" hidden="1">
      <c r="A2805" s="67" t="s">
        <v>3565</v>
      </c>
      <c r="B2805" s="67" t="s">
        <v>268</v>
      </c>
      <c r="C2805" s="68">
        <v>0.1</v>
      </c>
      <c r="D2805" s="68">
        <v>0.5</v>
      </c>
      <c r="E2805" s="68">
        <v>7.0</v>
      </c>
      <c r="F2805" s="68">
        <v>3.0</v>
      </c>
      <c r="G2805" s="68">
        <v>1.20107682946137</v>
      </c>
      <c r="H2805" s="68">
        <v>15.7636587304111</v>
      </c>
      <c r="I2805" s="69">
        <v>44351.551087962966</v>
      </c>
      <c r="J2805" s="69">
        <v>44351.55122685185</v>
      </c>
      <c r="K2805">
        <f>AVERAGE(H2802:H2806)</f>
        <v>75.54264791</v>
      </c>
      <c r="L2805">
        <f>STDEV(H2802:H2806)</f>
        <v>83.48274003</v>
      </c>
      <c r="M2805" s="70">
        <v>15.7636587304111</v>
      </c>
      <c r="N2805" s="70">
        <v>15.7636587304111</v>
      </c>
      <c r="O2805" s="70">
        <v>1.20107682946137</v>
      </c>
      <c r="P2805" s="70">
        <v>1.20107682946137</v>
      </c>
    </row>
    <row r="2806" hidden="1">
      <c r="A2806" s="67" t="s">
        <v>3566</v>
      </c>
      <c r="B2806" s="67" t="s">
        <v>268</v>
      </c>
      <c r="C2806" s="68">
        <v>0.1</v>
      </c>
      <c r="D2806" s="68">
        <v>0.5</v>
      </c>
      <c r="E2806" s="68">
        <v>7.0</v>
      </c>
      <c r="F2806" s="68">
        <v>4.0</v>
      </c>
      <c r="G2806" s="68">
        <v>3.67998800555702</v>
      </c>
      <c r="H2806" s="68">
        <v>171.765919633265</v>
      </c>
      <c r="I2806" s="69">
        <v>44351.55194444444</v>
      </c>
      <c r="J2806" s="69">
        <v>44351.63178240741</v>
      </c>
      <c r="K2806">
        <f>AVERAGE(H2802:H2806)</f>
        <v>75.54264791</v>
      </c>
      <c r="L2806">
        <f>STDEV(H2802:H2806)</f>
        <v>83.48274003</v>
      </c>
      <c r="M2806" s="70">
        <v>171.765919633265</v>
      </c>
      <c r="N2806" s="70">
        <v>171.765919633265</v>
      </c>
      <c r="O2806" s="70">
        <v>3.67998800555702</v>
      </c>
      <c r="P2806" s="70">
        <v>3.67998800555702</v>
      </c>
    </row>
    <row r="2807" hidden="1">
      <c r="A2807" s="67" t="s">
        <v>3567</v>
      </c>
      <c r="B2807" s="67" t="s">
        <v>268</v>
      </c>
      <c r="C2807" s="68">
        <v>0.1</v>
      </c>
      <c r="D2807" s="68">
        <v>0.75</v>
      </c>
      <c r="E2807" s="68">
        <v>7.0</v>
      </c>
      <c r="F2807" s="68">
        <v>0.0</v>
      </c>
      <c r="G2807" s="68">
        <v>4.77003735532766</v>
      </c>
      <c r="H2807" s="68">
        <v>161.005943137983</v>
      </c>
      <c r="I2807" s="69">
        <v>44351.63248842592</v>
      </c>
      <c r="J2807" s="69">
        <v>44351.63269675926</v>
      </c>
      <c r="K2807">
        <f>AVERAGE(H2807:H2811)</f>
        <v>67.57359941</v>
      </c>
      <c r="L2807">
        <f>STDEV(H2807:H2811)</f>
        <v>91.11197721</v>
      </c>
      <c r="M2807" s="70">
        <v>161.005943137983</v>
      </c>
      <c r="N2807" s="70">
        <v>161.005943137983</v>
      </c>
      <c r="O2807" s="70">
        <v>4.77003735532766</v>
      </c>
      <c r="P2807" s="70">
        <v>4.77003735532766</v>
      </c>
    </row>
    <row r="2808" hidden="1">
      <c r="A2808" s="67" t="s">
        <v>3568</v>
      </c>
      <c r="B2808" s="67" t="s">
        <v>268</v>
      </c>
      <c r="C2808" s="68">
        <v>0.1</v>
      </c>
      <c r="D2808" s="68">
        <v>0.75</v>
      </c>
      <c r="E2808" s="68">
        <v>7.0</v>
      </c>
      <c r="F2808" s="68">
        <v>1.0</v>
      </c>
      <c r="G2808" s="68">
        <v>3.84998070296306</v>
      </c>
      <c r="H2808" s="68">
        <v>173.521910463325</v>
      </c>
      <c r="I2808" s="69">
        <v>44351.63340277778</v>
      </c>
      <c r="J2808" s="69">
        <v>44351.72325231481</v>
      </c>
      <c r="K2808">
        <f>AVERAGE(H2807:H2811)</f>
        <v>67.57359941</v>
      </c>
      <c r="L2808">
        <f>STDEV(H2807:H2811)</f>
        <v>91.11197721</v>
      </c>
      <c r="M2808" s="70">
        <v>173.521910463325</v>
      </c>
      <c r="N2808" s="70">
        <v>173.521910463325</v>
      </c>
      <c r="O2808" s="70">
        <v>3.84998070296306</v>
      </c>
      <c r="P2808" s="70">
        <v>3.84998070296306</v>
      </c>
    </row>
    <row r="2809" hidden="1">
      <c r="A2809" s="67" t="s">
        <v>3569</v>
      </c>
      <c r="B2809" s="67" t="s">
        <v>268</v>
      </c>
      <c r="C2809" s="68">
        <v>0.1</v>
      </c>
      <c r="D2809" s="68">
        <v>0.75</v>
      </c>
      <c r="E2809" s="68">
        <v>7.0</v>
      </c>
      <c r="F2809" s="68">
        <v>2.0</v>
      </c>
      <c r="G2809" s="68">
        <v>0.73722706430504</v>
      </c>
      <c r="H2809" s="68">
        <v>0.951560817488761</v>
      </c>
      <c r="I2809" s="69">
        <v>44351.723958333336</v>
      </c>
      <c r="J2809" s="69">
        <v>44351.72415509259</v>
      </c>
      <c r="K2809">
        <f>AVERAGE(H2807:H2811)</f>
        <v>67.57359941</v>
      </c>
      <c r="L2809">
        <f>STDEV(H2807:H2811)</f>
        <v>91.11197721</v>
      </c>
      <c r="M2809" s="70">
        <v>0.951560817488761</v>
      </c>
      <c r="N2809" s="70">
        <v>0.951560817488761</v>
      </c>
      <c r="O2809" s="70">
        <v>0.73722706430504</v>
      </c>
      <c r="P2809" s="70">
        <v>0.73722706430504</v>
      </c>
    </row>
    <row r="2810" hidden="1">
      <c r="A2810" s="67" t="s">
        <v>3570</v>
      </c>
      <c r="B2810" s="67" t="s">
        <v>268</v>
      </c>
      <c r="C2810" s="68">
        <v>0.1</v>
      </c>
      <c r="D2810" s="68">
        <v>0.75</v>
      </c>
      <c r="E2810" s="68">
        <v>7.0</v>
      </c>
      <c r="F2810" s="68">
        <v>3.0</v>
      </c>
      <c r="G2810" s="68">
        <v>0.65510350674936</v>
      </c>
      <c r="H2810" s="68">
        <v>1.21640173300164</v>
      </c>
      <c r="I2810" s="69">
        <v>44351.72486111111</v>
      </c>
      <c r="J2810" s="69">
        <v>44351.72568287037</v>
      </c>
      <c r="K2810">
        <f>AVERAGE(H2807:H2811)</f>
        <v>67.57359941</v>
      </c>
      <c r="L2810">
        <f>STDEV(H2807:H2811)</f>
        <v>91.11197721</v>
      </c>
      <c r="M2810" s="70">
        <v>1.21640173300164</v>
      </c>
      <c r="N2810" s="70">
        <v>1.21640173300164</v>
      </c>
      <c r="O2810" s="70">
        <v>0.65510350674936</v>
      </c>
      <c r="P2810" s="70">
        <v>0.65510350674936</v>
      </c>
    </row>
    <row r="2811" hidden="1">
      <c r="A2811" s="67" t="s">
        <v>3571</v>
      </c>
      <c r="B2811" s="67" t="s">
        <v>268</v>
      </c>
      <c r="C2811" s="68">
        <v>0.1</v>
      </c>
      <c r="D2811" s="68">
        <v>0.75</v>
      </c>
      <c r="E2811" s="68">
        <v>7.0</v>
      </c>
      <c r="F2811" s="68">
        <v>4.0</v>
      </c>
      <c r="G2811" s="68">
        <v>0.824793516087228</v>
      </c>
      <c r="H2811" s="68">
        <v>1.17218087826263</v>
      </c>
      <c r="I2811" s="69">
        <v>44351.72638888889</v>
      </c>
      <c r="J2811" s="69">
        <v>44351.72640046296</v>
      </c>
      <c r="K2811">
        <f>AVERAGE(H2807:H2811)</f>
        <v>67.57359941</v>
      </c>
      <c r="L2811">
        <f>STDEV(H2807:H2811)</f>
        <v>91.11197721</v>
      </c>
      <c r="M2811" s="70">
        <v>1.17218087826263</v>
      </c>
      <c r="N2811" s="70">
        <v>1.17218087826263</v>
      </c>
      <c r="O2811" s="70">
        <v>0.824793516087228</v>
      </c>
      <c r="P2811" s="70">
        <v>0.824793516087228</v>
      </c>
    </row>
    <row r="2812" hidden="1">
      <c r="A2812" s="67" t="s">
        <v>3572</v>
      </c>
      <c r="B2812" s="67" t="s">
        <v>268</v>
      </c>
      <c r="C2812" s="68">
        <v>0.1</v>
      </c>
      <c r="D2812" s="68">
        <v>1.0</v>
      </c>
      <c r="E2812" s="68">
        <v>7.0</v>
      </c>
      <c r="F2812" s="68">
        <v>0.0</v>
      </c>
      <c r="G2812" s="68">
        <v>1.71788976693246</v>
      </c>
      <c r="H2812" s="68">
        <v>27.8777055802853</v>
      </c>
      <c r="I2812" s="69">
        <v>44351.727106481485</v>
      </c>
      <c r="J2812" s="69">
        <v>44351.7277662037</v>
      </c>
      <c r="K2812">
        <f>AVERAGE(H2812:H2816)</f>
        <v>127.8512318</v>
      </c>
      <c r="L2812">
        <f>STDEV(H2812:H2816)</f>
        <v>114.2484151</v>
      </c>
      <c r="M2812" s="70">
        <v>27.8777055802853</v>
      </c>
      <c r="N2812" s="70">
        <v>27.8777055802853</v>
      </c>
      <c r="O2812" s="70">
        <v>1.71788976693246</v>
      </c>
      <c r="P2812" s="70">
        <v>1.71788976693246</v>
      </c>
    </row>
    <row r="2813" hidden="1">
      <c r="A2813" s="67" t="s">
        <v>3573</v>
      </c>
      <c r="B2813" s="67" t="s">
        <v>268</v>
      </c>
      <c r="C2813" s="68">
        <v>0.1</v>
      </c>
      <c r="D2813" s="68">
        <v>1.0</v>
      </c>
      <c r="E2813" s="68">
        <v>7.0</v>
      </c>
      <c r="F2813" s="68">
        <v>1.0</v>
      </c>
      <c r="G2813" s="68">
        <v>2.98150444053156</v>
      </c>
      <c r="H2813" s="68">
        <v>144.352724146366</v>
      </c>
      <c r="I2813" s="69">
        <v>44351.728472222225</v>
      </c>
      <c r="J2813" s="69">
        <v>44351.75690972222</v>
      </c>
      <c r="K2813">
        <f>AVERAGE(H2812:H2816)</f>
        <v>127.8512318</v>
      </c>
      <c r="L2813">
        <f>STDEV(H2812:H2816)</f>
        <v>114.2484151</v>
      </c>
      <c r="M2813" s="70">
        <v>144.352724146366</v>
      </c>
      <c r="N2813" s="70">
        <v>144.352724146366</v>
      </c>
      <c r="O2813" s="70">
        <v>2.98150444053156</v>
      </c>
      <c r="P2813" s="70">
        <v>2.98150444053156</v>
      </c>
    </row>
    <row r="2814" hidden="1">
      <c r="A2814" s="67" t="s">
        <v>3574</v>
      </c>
      <c r="B2814" s="67" t="s">
        <v>268</v>
      </c>
      <c r="C2814" s="68">
        <v>0.1</v>
      </c>
      <c r="D2814" s="68">
        <v>1.0</v>
      </c>
      <c r="E2814" s="68">
        <v>7.0</v>
      </c>
      <c r="F2814" s="68">
        <v>2.0</v>
      </c>
      <c r="G2814" s="68">
        <v>2.65066504174383</v>
      </c>
      <c r="H2814" s="68">
        <v>4.15203700319512</v>
      </c>
      <c r="I2814" s="69">
        <v>44351.75761574074</v>
      </c>
      <c r="J2814" s="69">
        <v>44351.75769675926</v>
      </c>
      <c r="K2814">
        <f>AVERAGE(H2812:H2816)</f>
        <v>127.8512318</v>
      </c>
      <c r="L2814">
        <f>STDEV(H2812:H2816)</f>
        <v>114.2484151</v>
      </c>
      <c r="M2814" s="70">
        <v>4.15203700319512</v>
      </c>
      <c r="N2814" s="70">
        <v>4.15203700319512</v>
      </c>
      <c r="O2814" s="70">
        <v>2.65066504174383</v>
      </c>
      <c r="P2814" s="70">
        <v>2.65066504174383</v>
      </c>
    </row>
    <row r="2815" hidden="1">
      <c r="A2815" s="67" t="s">
        <v>3575</v>
      </c>
      <c r="B2815" s="67" t="s">
        <v>268</v>
      </c>
      <c r="C2815" s="68">
        <v>0.1</v>
      </c>
      <c r="D2815" s="68">
        <v>1.0</v>
      </c>
      <c r="E2815" s="68">
        <v>7.0</v>
      </c>
      <c r="F2815" s="68">
        <v>3.0</v>
      </c>
      <c r="G2815" s="68">
        <v>7.95372730125129</v>
      </c>
      <c r="H2815" s="68">
        <v>282.340413795423</v>
      </c>
      <c r="I2815" s="69">
        <v>44351.75840277778</v>
      </c>
      <c r="J2815" s="69">
        <v>44351.75864583333</v>
      </c>
      <c r="K2815">
        <f>AVERAGE(H2812:H2816)</f>
        <v>127.8512318</v>
      </c>
      <c r="L2815">
        <f>STDEV(H2812:H2816)</f>
        <v>114.2484151</v>
      </c>
      <c r="M2815" s="70">
        <v>282.340413795423</v>
      </c>
      <c r="N2815" s="70">
        <v>282.340413795423</v>
      </c>
      <c r="O2815" s="70">
        <v>7.95372730125129</v>
      </c>
      <c r="P2815" s="70">
        <v>7.95372730125129</v>
      </c>
    </row>
    <row r="2816" hidden="1">
      <c r="A2816" s="67" t="s">
        <v>3576</v>
      </c>
      <c r="B2816" s="67" t="s">
        <v>268</v>
      </c>
      <c r="C2816" s="68">
        <v>0.1</v>
      </c>
      <c r="D2816" s="68">
        <v>1.0</v>
      </c>
      <c r="E2816" s="68">
        <v>7.0</v>
      </c>
      <c r="F2816" s="68">
        <v>4.0</v>
      </c>
      <c r="G2816" s="68">
        <v>3.9389268035303</v>
      </c>
      <c r="H2816" s="68">
        <v>180.533278564458</v>
      </c>
      <c r="I2816" s="69">
        <v>44351.759351851855</v>
      </c>
      <c r="J2816" s="69">
        <v>44351.76888888889</v>
      </c>
      <c r="K2816">
        <f>AVERAGE(H2812:H2816)</f>
        <v>127.8512318</v>
      </c>
      <c r="L2816">
        <f>STDEV(H2812:H2816)</f>
        <v>114.2484151</v>
      </c>
      <c r="M2816" s="70">
        <v>180.533278564458</v>
      </c>
      <c r="N2816" s="70">
        <v>180.533278564458</v>
      </c>
      <c r="O2816" s="70">
        <v>3.9389268035303</v>
      </c>
      <c r="P2816" s="70">
        <v>3.9389268035303</v>
      </c>
    </row>
    <row r="2817" hidden="1">
      <c r="A2817" s="67" t="s">
        <v>3577</v>
      </c>
      <c r="B2817" s="67" t="s">
        <v>268</v>
      </c>
      <c r="C2817" s="68">
        <v>0.25</v>
      </c>
      <c r="D2817" s="68">
        <v>0.1</v>
      </c>
      <c r="E2817" s="68">
        <v>7.0</v>
      </c>
      <c r="F2817" s="68">
        <v>0.0</v>
      </c>
      <c r="G2817" s="68">
        <v>3.93247139306917</v>
      </c>
      <c r="H2817" s="68">
        <v>170.632138880392</v>
      </c>
      <c r="I2817" s="69">
        <v>44351.769594907404</v>
      </c>
      <c r="J2817" s="69">
        <v>44351.80783564815</v>
      </c>
      <c r="K2817">
        <f>AVERAGE(H2817:H2821)</f>
        <v>69.59496528</v>
      </c>
      <c r="L2817">
        <f>STDEV(H2817:H2821)</f>
        <v>92.48758632</v>
      </c>
      <c r="M2817" s="70">
        <v>170.632138880392</v>
      </c>
      <c r="N2817" s="70">
        <v>170.632138880392</v>
      </c>
      <c r="O2817" s="70">
        <v>3.93247139306917</v>
      </c>
      <c r="P2817" s="70">
        <v>3.93247139306917</v>
      </c>
    </row>
    <row r="2818" hidden="1">
      <c r="A2818" s="67" t="s">
        <v>3578</v>
      </c>
      <c r="B2818" s="67" t="s">
        <v>268</v>
      </c>
      <c r="C2818" s="68">
        <v>0.25</v>
      </c>
      <c r="D2818" s="68">
        <v>0.1</v>
      </c>
      <c r="E2818" s="68">
        <v>7.0</v>
      </c>
      <c r="F2818" s="68">
        <v>1.0</v>
      </c>
      <c r="G2818" s="68">
        <v>0.655214590252504</v>
      </c>
      <c r="H2818" s="68">
        <v>1.2144341676444</v>
      </c>
      <c r="I2818" s="69">
        <v>44351.808541666665</v>
      </c>
      <c r="J2818" s="69">
        <v>44351.80931712963</v>
      </c>
      <c r="K2818">
        <f>AVERAGE(H2817:H2821)</f>
        <v>69.59496528</v>
      </c>
      <c r="L2818">
        <f>STDEV(H2817:H2821)</f>
        <v>92.48758632</v>
      </c>
      <c r="M2818" s="70">
        <v>1.2144341676444</v>
      </c>
      <c r="N2818" s="70">
        <v>1.2144341676444</v>
      </c>
      <c r="O2818" s="70">
        <v>0.655214590252504</v>
      </c>
      <c r="P2818" s="70">
        <v>0.655214590252504</v>
      </c>
    </row>
    <row r="2819" hidden="1">
      <c r="A2819" s="67" t="s">
        <v>3579</v>
      </c>
      <c r="B2819" s="67" t="s">
        <v>268</v>
      </c>
      <c r="C2819" s="68">
        <v>0.25</v>
      </c>
      <c r="D2819" s="68">
        <v>0.1</v>
      </c>
      <c r="E2819" s="68">
        <v>7.0</v>
      </c>
      <c r="F2819" s="68">
        <v>2.0</v>
      </c>
      <c r="G2819" s="68">
        <v>0.591005414130622</v>
      </c>
      <c r="H2819" s="68">
        <v>0.822168776326228</v>
      </c>
      <c r="I2819" s="69">
        <v>44351.81002314815</v>
      </c>
      <c r="J2819" s="69">
        <v>44351.81003472222</v>
      </c>
      <c r="K2819">
        <f>AVERAGE(H2817:H2821)</f>
        <v>69.59496528</v>
      </c>
      <c r="L2819">
        <f>STDEV(H2817:H2821)</f>
        <v>92.48758632</v>
      </c>
      <c r="M2819" s="70">
        <v>0.822168776326228</v>
      </c>
      <c r="N2819" s="70">
        <v>0.822168776326228</v>
      </c>
      <c r="O2819" s="70">
        <v>0.591005414130622</v>
      </c>
      <c r="P2819" s="70">
        <v>0.591005414130622</v>
      </c>
    </row>
    <row r="2820" hidden="1">
      <c r="A2820" s="67" t="s">
        <v>3580</v>
      </c>
      <c r="B2820" s="67" t="s">
        <v>268</v>
      </c>
      <c r="C2820" s="68">
        <v>0.25</v>
      </c>
      <c r="D2820" s="68">
        <v>0.1</v>
      </c>
      <c r="E2820" s="68">
        <v>7.0</v>
      </c>
      <c r="F2820" s="68">
        <v>3.0</v>
      </c>
      <c r="G2820" s="68">
        <v>3.52949713463902</v>
      </c>
      <c r="H2820" s="68">
        <v>171.168074395847</v>
      </c>
      <c r="I2820" s="69">
        <v>44351.810740740744</v>
      </c>
      <c r="J2820" s="69">
        <v>44351.82402777778</v>
      </c>
      <c r="K2820">
        <f>AVERAGE(H2817:H2821)</f>
        <v>69.59496528</v>
      </c>
      <c r="L2820">
        <f>STDEV(H2817:H2821)</f>
        <v>92.48758632</v>
      </c>
      <c r="M2820" s="70">
        <v>171.168074395847</v>
      </c>
      <c r="N2820" s="70">
        <v>171.168074395847</v>
      </c>
      <c r="O2820" s="70">
        <v>3.52949713463902</v>
      </c>
      <c r="P2820" s="70">
        <v>3.52949713463902</v>
      </c>
    </row>
    <row r="2821" hidden="1">
      <c r="A2821" s="67" t="s">
        <v>3581</v>
      </c>
      <c r="B2821" s="67" t="s">
        <v>268</v>
      </c>
      <c r="C2821" s="68">
        <v>0.25</v>
      </c>
      <c r="D2821" s="68">
        <v>0.1</v>
      </c>
      <c r="E2821" s="68">
        <v>7.0</v>
      </c>
      <c r="F2821" s="68">
        <v>4.0</v>
      </c>
      <c r="G2821" s="68">
        <v>2.64145420487137</v>
      </c>
      <c r="H2821" s="68">
        <v>4.1380101737941</v>
      </c>
      <c r="I2821" s="69">
        <v>44351.8247337963</v>
      </c>
      <c r="J2821" s="69">
        <v>44351.82482638889</v>
      </c>
      <c r="K2821">
        <f>AVERAGE(H2817:H2821)</f>
        <v>69.59496528</v>
      </c>
      <c r="L2821">
        <f>STDEV(H2817:H2821)</f>
        <v>92.48758632</v>
      </c>
      <c r="M2821" s="70">
        <v>4.1380101737941</v>
      </c>
      <c r="N2821" s="70">
        <v>4.1380101737941</v>
      </c>
      <c r="O2821" s="70">
        <v>2.64145420487137</v>
      </c>
      <c r="P2821" s="70">
        <v>2.64145420487137</v>
      </c>
    </row>
    <row r="2822" hidden="1">
      <c r="A2822" s="67" t="s">
        <v>3582</v>
      </c>
      <c r="B2822" s="67" t="s">
        <v>268</v>
      </c>
      <c r="C2822" s="68">
        <v>0.25</v>
      </c>
      <c r="D2822" s="68">
        <v>0.25</v>
      </c>
      <c r="E2822" s="68">
        <v>7.0</v>
      </c>
      <c r="F2822" s="68">
        <v>0.0</v>
      </c>
      <c r="G2822" s="68">
        <v>4.95630131802665</v>
      </c>
      <c r="H2822" s="68">
        <v>155.175286144932</v>
      </c>
      <c r="I2822" s="69">
        <v>44351.825532407405</v>
      </c>
      <c r="J2822" s="69">
        <v>44351.825625</v>
      </c>
      <c r="K2822">
        <f>AVERAGE(H2822:H2826)</f>
        <v>143.6773098</v>
      </c>
      <c r="L2822">
        <f>STDEV(H2822:H2826)</f>
        <v>110.5722797</v>
      </c>
      <c r="M2822" s="70">
        <v>155.175286144932</v>
      </c>
      <c r="N2822" s="70">
        <v>155.175286144932</v>
      </c>
      <c r="O2822" s="70">
        <v>4.95630131802665</v>
      </c>
      <c r="P2822" s="70">
        <v>4.95630131802665</v>
      </c>
    </row>
    <row r="2823" hidden="1">
      <c r="A2823" s="67" t="s">
        <v>3583</v>
      </c>
      <c r="B2823" s="67" t="s">
        <v>268</v>
      </c>
      <c r="C2823" s="68">
        <v>0.25</v>
      </c>
      <c r="D2823" s="68">
        <v>0.25</v>
      </c>
      <c r="E2823" s="68">
        <v>7.0</v>
      </c>
      <c r="F2823" s="68">
        <v>1.0</v>
      </c>
      <c r="G2823" s="68">
        <v>2.32970280470379</v>
      </c>
      <c r="H2823" s="68">
        <v>107.713630668553</v>
      </c>
      <c r="I2823" s="69">
        <v>44351.82633101852</v>
      </c>
      <c r="J2823" s="69">
        <v>44351.828622685185</v>
      </c>
      <c r="K2823">
        <f>AVERAGE(H2822:H2826)</f>
        <v>143.6773098</v>
      </c>
      <c r="L2823">
        <f>STDEV(H2822:H2826)</f>
        <v>110.5722797</v>
      </c>
      <c r="M2823" s="70">
        <v>107.713630668553</v>
      </c>
      <c r="N2823" s="70">
        <v>107.713630668553</v>
      </c>
      <c r="O2823" s="70">
        <v>2.32970280470379</v>
      </c>
      <c r="P2823" s="70">
        <v>2.32970280470379</v>
      </c>
    </row>
    <row r="2824" hidden="1">
      <c r="A2824" s="67" t="s">
        <v>3584</v>
      </c>
      <c r="B2824" s="67" t="s">
        <v>268</v>
      </c>
      <c r="C2824" s="68">
        <v>0.25</v>
      </c>
      <c r="D2824" s="68">
        <v>0.25</v>
      </c>
      <c r="E2824" s="68">
        <v>7.0</v>
      </c>
      <c r="F2824" s="68">
        <v>2.0</v>
      </c>
      <c r="G2824" s="68">
        <v>3.0957998883781</v>
      </c>
      <c r="H2824" s="68">
        <v>146.988943600865</v>
      </c>
      <c r="I2824" s="69">
        <v>44351.8293287037</v>
      </c>
      <c r="J2824" s="69">
        <v>44351.87878472222</v>
      </c>
      <c r="K2824">
        <f>AVERAGE(H2822:H2826)</f>
        <v>143.6773098</v>
      </c>
      <c r="L2824">
        <f>STDEV(H2822:H2826)</f>
        <v>110.5722797</v>
      </c>
      <c r="M2824" s="70">
        <v>146.988943600865</v>
      </c>
      <c r="N2824" s="70">
        <v>146.988943600865</v>
      </c>
      <c r="O2824" s="70">
        <v>3.0957998883781</v>
      </c>
      <c r="P2824" s="70">
        <v>3.0957998883781</v>
      </c>
    </row>
    <row r="2825" hidden="1">
      <c r="A2825" s="67" t="s">
        <v>3585</v>
      </c>
      <c r="B2825" s="67" t="s">
        <v>268</v>
      </c>
      <c r="C2825" s="68">
        <v>0.25</v>
      </c>
      <c r="D2825" s="68">
        <v>0.25</v>
      </c>
      <c r="E2825" s="68">
        <v>7.0</v>
      </c>
      <c r="F2825" s="68">
        <v>3.0</v>
      </c>
      <c r="G2825" s="68">
        <v>0.466491018990041</v>
      </c>
      <c r="H2825" s="68">
        <v>0.558846337991739</v>
      </c>
      <c r="I2825" s="69">
        <v>44351.87949074074</v>
      </c>
      <c r="J2825" s="69">
        <v>44351.87966435185</v>
      </c>
      <c r="K2825">
        <f>AVERAGE(H2822:H2826)</f>
        <v>143.6773098</v>
      </c>
      <c r="L2825">
        <f>STDEV(H2822:H2826)</f>
        <v>110.5722797</v>
      </c>
      <c r="M2825" s="70">
        <v>0.558846337991739</v>
      </c>
      <c r="N2825" s="70">
        <v>0.558846337991739</v>
      </c>
      <c r="O2825" s="70">
        <v>0.466491018990041</v>
      </c>
      <c r="P2825" s="70">
        <v>0.466491018990041</v>
      </c>
    </row>
    <row r="2826" hidden="1">
      <c r="A2826" s="67" t="s">
        <v>3586</v>
      </c>
      <c r="B2826" s="67" t="s">
        <v>268</v>
      </c>
      <c r="C2826" s="68">
        <v>0.25</v>
      </c>
      <c r="D2826" s="68">
        <v>0.25</v>
      </c>
      <c r="E2826" s="68">
        <v>7.0</v>
      </c>
      <c r="F2826" s="68">
        <v>4.0</v>
      </c>
      <c r="G2826" s="68">
        <v>9.23620741626161</v>
      </c>
      <c r="H2826" s="68">
        <v>307.949842452617</v>
      </c>
      <c r="I2826" s="69">
        <v>44351.880381944444</v>
      </c>
      <c r="J2826" s="69">
        <v>44351.880833333336</v>
      </c>
      <c r="K2826">
        <f>AVERAGE(H2822:H2826)</f>
        <v>143.6773098</v>
      </c>
      <c r="L2826">
        <f>STDEV(H2822:H2826)</f>
        <v>110.5722797</v>
      </c>
      <c r="M2826" s="70">
        <v>307.949842452617</v>
      </c>
      <c r="N2826" s="70">
        <v>307.949842452617</v>
      </c>
      <c r="O2826" s="70">
        <v>9.23620741626161</v>
      </c>
      <c r="P2826" s="70">
        <v>9.23620741626161</v>
      </c>
    </row>
    <row r="2827" hidden="1">
      <c r="A2827" s="67" t="s">
        <v>3587</v>
      </c>
      <c r="B2827" s="67" t="s">
        <v>268</v>
      </c>
      <c r="C2827" s="68">
        <v>0.25</v>
      </c>
      <c r="D2827" s="68">
        <v>0.5</v>
      </c>
      <c r="E2827" s="68">
        <v>7.0</v>
      </c>
      <c r="F2827" s="68">
        <v>0.0</v>
      </c>
      <c r="G2827" s="68">
        <v>0.655032883300107</v>
      </c>
      <c r="H2827" s="68">
        <v>1.21466776228886</v>
      </c>
      <c r="I2827" s="69">
        <v>44351.88153935185</v>
      </c>
      <c r="J2827" s="69">
        <v>44351.882361111115</v>
      </c>
      <c r="K2827">
        <f>AVERAGE(H2827:H2831)</f>
        <v>75.29227058</v>
      </c>
      <c r="L2827">
        <f>STDEV(H2827:H2831)</f>
        <v>96.30050071</v>
      </c>
      <c r="M2827" s="70">
        <v>1.21466776228886</v>
      </c>
      <c r="N2827" s="70">
        <v>1.21466776228886</v>
      </c>
      <c r="O2827" s="70">
        <v>0.655032883300107</v>
      </c>
      <c r="P2827" s="70">
        <v>0.655032883300107</v>
      </c>
    </row>
    <row r="2828" hidden="1">
      <c r="A2828" s="67" t="s">
        <v>3588</v>
      </c>
      <c r="B2828" s="67" t="s">
        <v>268</v>
      </c>
      <c r="C2828" s="68">
        <v>0.25</v>
      </c>
      <c r="D2828" s="68">
        <v>0.5</v>
      </c>
      <c r="E2828" s="68">
        <v>7.0</v>
      </c>
      <c r="F2828" s="68">
        <v>1.0</v>
      </c>
      <c r="G2828" s="68">
        <v>4.4152114337787</v>
      </c>
      <c r="H2828" s="68">
        <v>198.542375234885</v>
      </c>
      <c r="I2828" s="69">
        <v>44351.88306712963</v>
      </c>
      <c r="J2828" s="69">
        <v>44351.88888888889</v>
      </c>
      <c r="K2828">
        <f>AVERAGE(H2827:H2831)</f>
        <v>75.29227058</v>
      </c>
      <c r="L2828">
        <f>STDEV(H2827:H2831)</f>
        <v>96.30050071</v>
      </c>
      <c r="M2828" s="70">
        <v>198.542375234885</v>
      </c>
      <c r="N2828" s="70">
        <v>198.542375234885</v>
      </c>
      <c r="O2828" s="70">
        <v>4.4152114337787</v>
      </c>
      <c r="P2828" s="70">
        <v>4.4152114337787</v>
      </c>
    </row>
    <row r="2829" hidden="1">
      <c r="A2829" s="67" t="s">
        <v>3589</v>
      </c>
      <c r="B2829" s="67" t="s">
        <v>268</v>
      </c>
      <c r="C2829" s="68">
        <v>0.25</v>
      </c>
      <c r="D2829" s="68">
        <v>0.5</v>
      </c>
      <c r="E2829" s="68">
        <v>7.0</v>
      </c>
      <c r="F2829" s="68">
        <v>2.0</v>
      </c>
      <c r="G2829" s="68">
        <v>1.20107682946137</v>
      </c>
      <c r="H2829" s="68">
        <v>15.7636587304111</v>
      </c>
      <c r="I2829" s="69">
        <v>44351.88960648148</v>
      </c>
      <c r="J2829" s="69">
        <v>44351.8897337963</v>
      </c>
      <c r="K2829">
        <f>AVERAGE(H2827:H2831)</f>
        <v>75.29227058</v>
      </c>
      <c r="L2829">
        <f>STDEV(H2827:H2831)</f>
        <v>96.30050071</v>
      </c>
      <c r="M2829" s="70">
        <v>15.7636587304111</v>
      </c>
      <c r="N2829" s="70">
        <v>15.7636587304111</v>
      </c>
      <c r="O2829" s="70">
        <v>1.20107682946137</v>
      </c>
      <c r="P2829" s="70">
        <v>1.20107682946137</v>
      </c>
    </row>
    <row r="2830" hidden="1">
      <c r="A2830" s="67" t="s">
        <v>3590</v>
      </c>
      <c r="B2830" s="67" t="s">
        <v>268</v>
      </c>
      <c r="C2830" s="68">
        <v>0.25</v>
      </c>
      <c r="D2830" s="68">
        <v>0.5</v>
      </c>
      <c r="E2830" s="68">
        <v>7.0</v>
      </c>
      <c r="F2830" s="68">
        <v>3.0</v>
      </c>
      <c r="G2830" s="68">
        <v>0.319096105615425</v>
      </c>
      <c r="H2830" s="68">
        <v>0.408517979006142</v>
      </c>
      <c r="I2830" s="69">
        <v>44351.89045138889</v>
      </c>
      <c r="J2830" s="69">
        <v>44351.890497685185</v>
      </c>
      <c r="K2830">
        <f>AVERAGE(H2827:H2831)</f>
        <v>75.29227058</v>
      </c>
      <c r="L2830">
        <f>STDEV(H2827:H2831)</f>
        <v>96.30050071</v>
      </c>
      <c r="M2830" s="70">
        <v>0.408517979006142</v>
      </c>
      <c r="N2830" s="70">
        <v>0.408517979006142</v>
      </c>
      <c r="O2830" s="70">
        <v>0.319096105615425</v>
      </c>
      <c r="P2830" s="70">
        <v>0.319096105615425</v>
      </c>
    </row>
    <row r="2831" hidden="1">
      <c r="A2831" s="67" t="s">
        <v>3591</v>
      </c>
      <c r="B2831" s="67" t="s">
        <v>268</v>
      </c>
      <c r="C2831" s="68">
        <v>0.25</v>
      </c>
      <c r="D2831" s="68">
        <v>0.5</v>
      </c>
      <c r="E2831" s="68">
        <v>7.0</v>
      </c>
      <c r="F2831" s="68">
        <v>4.0</v>
      </c>
      <c r="G2831" s="68">
        <v>3.69431068591772</v>
      </c>
      <c r="H2831" s="68">
        <v>160.532133212637</v>
      </c>
      <c r="I2831" s="69">
        <v>44351.89121527778</v>
      </c>
      <c r="J2831" s="69">
        <v>44351.930601851855</v>
      </c>
      <c r="K2831">
        <f>AVERAGE(H2827:H2831)</f>
        <v>75.29227058</v>
      </c>
      <c r="L2831">
        <f>STDEV(H2827:H2831)</f>
        <v>96.30050071</v>
      </c>
      <c r="M2831" s="70">
        <v>160.532133212637</v>
      </c>
      <c r="N2831" s="70">
        <v>160.532133212637</v>
      </c>
      <c r="O2831" s="70">
        <v>3.69431068591772</v>
      </c>
      <c r="P2831" s="70">
        <v>3.69431068591772</v>
      </c>
    </row>
    <row r="2832" hidden="1">
      <c r="A2832" s="67" t="s">
        <v>3592</v>
      </c>
      <c r="B2832" s="67" t="s">
        <v>268</v>
      </c>
      <c r="C2832" s="68">
        <v>0.25</v>
      </c>
      <c r="D2832" s="68">
        <v>0.75</v>
      </c>
      <c r="E2832" s="68">
        <v>7.0</v>
      </c>
      <c r="F2832" s="68">
        <v>0.0</v>
      </c>
      <c r="G2832" s="68">
        <v>1.20204868480187</v>
      </c>
      <c r="H2832" s="68">
        <v>15.7718770093698</v>
      </c>
      <c r="I2832" s="69">
        <v>44351.93131944445</v>
      </c>
      <c r="J2832" s="69">
        <v>44351.93145833333</v>
      </c>
      <c r="K2832">
        <f>AVERAGE(H2832:H2836)</f>
        <v>84.25051603</v>
      </c>
      <c r="L2832">
        <f>STDEV(H2832:H2836)</f>
        <v>87.05679401</v>
      </c>
      <c r="M2832" s="70">
        <v>15.7718770093698</v>
      </c>
      <c r="N2832" s="70">
        <v>15.7718770093698</v>
      </c>
      <c r="O2832" s="70">
        <v>1.20204868480187</v>
      </c>
      <c r="P2832" s="70">
        <v>1.20204868480187</v>
      </c>
    </row>
    <row r="2833" hidden="1">
      <c r="A2833" s="67" t="s">
        <v>3593</v>
      </c>
      <c r="B2833" s="67" t="s">
        <v>268</v>
      </c>
      <c r="C2833" s="68">
        <v>0.25</v>
      </c>
      <c r="D2833" s="68">
        <v>0.75</v>
      </c>
      <c r="E2833" s="68">
        <v>7.0</v>
      </c>
      <c r="F2833" s="68">
        <v>1.0</v>
      </c>
      <c r="G2833" s="68">
        <v>1.02934443131523</v>
      </c>
      <c r="H2833" s="68">
        <v>51.161678378586</v>
      </c>
      <c r="I2833" s="69">
        <v>44351.932175925926</v>
      </c>
      <c r="J2833" s="69">
        <v>44351.93913194445</v>
      </c>
      <c r="K2833">
        <f>AVERAGE(H2832:H2836)</f>
        <v>84.25051603</v>
      </c>
      <c r="L2833">
        <f>STDEV(H2832:H2836)</f>
        <v>87.05679401</v>
      </c>
      <c r="M2833" s="70">
        <v>51.161678378586</v>
      </c>
      <c r="N2833" s="70">
        <v>51.161678378586</v>
      </c>
      <c r="O2833" s="70">
        <v>1.02934443131523</v>
      </c>
      <c r="P2833" s="70">
        <v>1.02934443131523</v>
      </c>
    </row>
    <row r="2834" hidden="1">
      <c r="A2834" s="67" t="s">
        <v>3594</v>
      </c>
      <c r="B2834" s="67" t="s">
        <v>268</v>
      </c>
      <c r="C2834" s="68">
        <v>0.25</v>
      </c>
      <c r="D2834" s="68">
        <v>0.75</v>
      </c>
      <c r="E2834" s="68">
        <v>7.0</v>
      </c>
      <c r="F2834" s="68">
        <v>2.0</v>
      </c>
      <c r="G2834" s="68">
        <v>4.7661643453789</v>
      </c>
      <c r="H2834" s="68">
        <v>160.796133027437</v>
      </c>
      <c r="I2834" s="69">
        <v>44351.939837962964</v>
      </c>
      <c r="J2834" s="69">
        <v>44351.94006944444</v>
      </c>
      <c r="K2834">
        <f>AVERAGE(H2832:H2836)</f>
        <v>84.25051603</v>
      </c>
      <c r="L2834">
        <f>STDEV(H2832:H2836)</f>
        <v>87.05679401</v>
      </c>
      <c r="M2834" s="70">
        <v>160.796133027437</v>
      </c>
      <c r="N2834" s="70">
        <v>160.796133027437</v>
      </c>
      <c r="O2834" s="70">
        <v>4.7661643453789</v>
      </c>
      <c r="P2834" s="70">
        <v>4.7661643453789</v>
      </c>
    </row>
    <row r="2835" hidden="1">
      <c r="A2835" s="67" t="s">
        <v>3595</v>
      </c>
      <c r="B2835" s="67" t="s">
        <v>268</v>
      </c>
      <c r="C2835" s="68">
        <v>0.25</v>
      </c>
      <c r="D2835" s="68">
        <v>0.75</v>
      </c>
      <c r="E2835" s="68">
        <v>7.0</v>
      </c>
      <c r="F2835" s="68">
        <v>3.0</v>
      </c>
      <c r="G2835" s="68">
        <v>4.52057679387009</v>
      </c>
      <c r="H2835" s="68">
        <v>192.571330902086</v>
      </c>
      <c r="I2835" s="69">
        <v>44351.940775462965</v>
      </c>
      <c r="J2835" s="69">
        <v>44351.987175925926</v>
      </c>
      <c r="K2835">
        <f>AVERAGE(H2832:H2836)</f>
        <v>84.25051603</v>
      </c>
      <c r="L2835">
        <f>STDEV(H2832:H2836)</f>
        <v>87.05679401</v>
      </c>
      <c r="M2835" s="70">
        <v>192.571330902086</v>
      </c>
      <c r="N2835" s="70">
        <v>192.571330902086</v>
      </c>
      <c r="O2835" s="70">
        <v>4.52057679387009</v>
      </c>
      <c r="P2835" s="70">
        <v>4.52057679387009</v>
      </c>
    </row>
    <row r="2836" hidden="1">
      <c r="A2836" s="67" t="s">
        <v>3596</v>
      </c>
      <c r="B2836" s="67" t="s">
        <v>268</v>
      </c>
      <c r="C2836" s="68">
        <v>0.25</v>
      </c>
      <c r="D2836" s="68">
        <v>0.75</v>
      </c>
      <c r="E2836" s="68">
        <v>7.0</v>
      </c>
      <c r="F2836" s="68">
        <v>4.0</v>
      </c>
      <c r="G2836" s="68">
        <v>0.73722706430504</v>
      </c>
      <c r="H2836" s="68">
        <v>0.951560817488761</v>
      </c>
      <c r="I2836" s="69">
        <v>44351.98788194444</v>
      </c>
      <c r="J2836" s="69">
        <v>44351.988078703704</v>
      </c>
      <c r="K2836">
        <f>AVERAGE(H2832:H2836)</f>
        <v>84.25051603</v>
      </c>
      <c r="L2836">
        <f>STDEV(H2832:H2836)</f>
        <v>87.05679401</v>
      </c>
      <c r="M2836" s="70">
        <v>0.951560817488761</v>
      </c>
      <c r="N2836" s="70">
        <v>0.951560817488761</v>
      </c>
      <c r="O2836" s="70">
        <v>0.73722706430504</v>
      </c>
      <c r="P2836" s="70">
        <v>0.73722706430504</v>
      </c>
    </row>
    <row r="2837" hidden="1">
      <c r="A2837" s="67" t="s">
        <v>3597</v>
      </c>
      <c r="B2837" s="67" t="s">
        <v>268</v>
      </c>
      <c r="C2837" s="68">
        <v>0.25</v>
      </c>
      <c r="D2837" s="68">
        <v>1.0</v>
      </c>
      <c r="E2837" s="68">
        <v>7.0</v>
      </c>
      <c r="F2837" s="68">
        <v>0.0</v>
      </c>
      <c r="G2837" s="68">
        <v>4.77447941072672</v>
      </c>
      <c r="H2837" s="68">
        <v>161.026524322024</v>
      </c>
      <c r="I2837" s="69">
        <v>44351.98878472222</v>
      </c>
      <c r="J2837" s="69">
        <v>44351.98900462963</v>
      </c>
      <c r="K2837">
        <f>AVERAGE(H2837:H2841)</f>
        <v>85.41069688</v>
      </c>
      <c r="L2837">
        <f>STDEV(H2837:H2841)</f>
        <v>87.86299193</v>
      </c>
      <c r="M2837" s="70">
        <v>161.026524322024</v>
      </c>
      <c r="N2837" s="70">
        <v>161.026524322024</v>
      </c>
      <c r="O2837" s="70">
        <v>4.77447941072672</v>
      </c>
      <c r="P2837" s="70">
        <v>4.77447941072672</v>
      </c>
    </row>
    <row r="2838" hidden="1">
      <c r="A2838" s="67" t="s">
        <v>3598</v>
      </c>
      <c r="B2838" s="67" t="s">
        <v>268</v>
      </c>
      <c r="C2838" s="68">
        <v>0.25</v>
      </c>
      <c r="D2838" s="68">
        <v>1.0</v>
      </c>
      <c r="E2838" s="68">
        <v>7.0</v>
      </c>
      <c r="F2838" s="68">
        <v>1.0</v>
      </c>
      <c r="G2838" s="68">
        <v>4.40113949199428</v>
      </c>
      <c r="H2838" s="68">
        <v>191.263242170574</v>
      </c>
      <c r="I2838" s="69">
        <v>44351.98971064815</v>
      </c>
      <c r="J2838" s="69">
        <v>44352.03612268518</v>
      </c>
      <c r="K2838">
        <f>AVERAGE(H2837:H2841)</f>
        <v>85.41069688</v>
      </c>
      <c r="L2838">
        <f>STDEV(H2837:H2841)</f>
        <v>87.86299193</v>
      </c>
      <c r="M2838" s="70">
        <v>191.263242170574</v>
      </c>
      <c r="N2838" s="70">
        <v>191.263242170574</v>
      </c>
      <c r="O2838" s="70">
        <v>4.40113949199428</v>
      </c>
      <c r="P2838" s="70">
        <v>4.40113949199428</v>
      </c>
    </row>
    <row r="2839" hidden="1">
      <c r="A2839" s="67" t="s">
        <v>3599</v>
      </c>
      <c r="B2839" s="67" t="s">
        <v>268</v>
      </c>
      <c r="C2839" s="68">
        <v>0.25</v>
      </c>
      <c r="D2839" s="68">
        <v>1.0</v>
      </c>
      <c r="E2839" s="68">
        <v>7.0</v>
      </c>
      <c r="F2839" s="68">
        <v>2.0</v>
      </c>
      <c r="G2839" s="68">
        <v>0.680954663859602</v>
      </c>
      <c r="H2839" s="68">
        <v>1.15072650609862</v>
      </c>
      <c r="I2839" s="69">
        <v>44352.036828703705</v>
      </c>
      <c r="J2839" s="69">
        <v>44352.03820601852</v>
      </c>
      <c r="K2839">
        <f>AVERAGE(H2837:H2841)</f>
        <v>85.41069688</v>
      </c>
      <c r="L2839">
        <f>STDEV(H2837:H2841)</f>
        <v>87.86299193</v>
      </c>
      <c r="M2839" s="70">
        <v>1.15072650609862</v>
      </c>
      <c r="N2839" s="70">
        <v>1.15072650609862</v>
      </c>
      <c r="O2839" s="70">
        <v>0.680954663859602</v>
      </c>
      <c r="P2839" s="70">
        <v>0.680954663859602</v>
      </c>
    </row>
    <row r="2840" hidden="1">
      <c r="A2840" s="67" t="s">
        <v>3600</v>
      </c>
      <c r="B2840" s="67" t="s">
        <v>268</v>
      </c>
      <c r="C2840" s="68">
        <v>0.25</v>
      </c>
      <c r="D2840" s="68">
        <v>1.0</v>
      </c>
      <c r="E2840" s="68">
        <v>7.0</v>
      </c>
      <c r="F2840" s="68">
        <v>3.0</v>
      </c>
      <c r="G2840" s="68">
        <v>1.35140666837742</v>
      </c>
      <c r="H2840" s="68">
        <v>69.4609543879282</v>
      </c>
      <c r="I2840" s="69">
        <v>44352.03891203704</v>
      </c>
      <c r="J2840" s="69">
        <v>44352.03996527778</v>
      </c>
      <c r="K2840">
        <f>AVERAGE(H2837:H2841)</f>
        <v>85.41069688</v>
      </c>
      <c r="L2840">
        <f>STDEV(H2837:H2841)</f>
        <v>87.86299193</v>
      </c>
      <c r="M2840" s="70">
        <v>69.4609543879282</v>
      </c>
      <c r="N2840" s="70">
        <v>69.4609543879282</v>
      </c>
      <c r="O2840" s="70">
        <v>1.35140666837742</v>
      </c>
      <c r="P2840" s="70">
        <v>1.35140666837742</v>
      </c>
    </row>
    <row r="2841" hidden="1">
      <c r="A2841" s="67" t="s">
        <v>3601</v>
      </c>
      <c r="B2841" s="67" t="s">
        <v>268</v>
      </c>
      <c r="C2841" s="68">
        <v>0.25</v>
      </c>
      <c r="D2841" s="68">
        <v>1.0</v>
      </c>
      <c r="E2841" s="68">
        <v>7.0</v>
      </c>
      <c r="F2841" s="68">
        <v>4.0</v>
      </c>
      <c r="G2841" s="68">
        <v>2.65066504174383</v>
      </c>
      <c r="H2841" s="68">
        <v>4.15203700319512</v>
      </c>
      <c r="I2841" s="69">
        <v>44352.040671296294</v>
      </c>
      <c r="J2841" s="69">
        <v>44352.04076388889</v>
      </c>
      <c r="K2841">
        <f>AVERAGE(H2837:H2841)</f>
        <v>85.41069688</v>
      </c>
      <c r="L2841">
        <f>STDEV(H2837:H2841)</f>
        <v>87.86299193</v>
      </c>
      <c r="M2841" s="70">
        <v>4.15203700319512</v>
      </c>
      <c r="N2841" s="70">
        <v>4.15203700319512</v>
      </c>
      <c r="O2841" s="70">
        <v>2.65066504174383</v>
      </c>
      <c r="P2841" s="70">
        <v>2.65066504174383</v>
      </c>
    </row>
    <row r="2842" hidden="1">
      <c r="A2842" s="67" t="s">
        <v>3602</v>
      </c>
      <c r="B2842" s="67" t="s">
        <v>268</v>
      </c>
      <c r="C2842" s="68">
        <v>0.5</v>
      </c>
      <c r="D2842" s="68">
        <v>0.1</v>
      </c>
      <c r="E2842" s="68">
        <v>7.0</v>
      </c>
      <c r="F2842" s="68">
        <v>0.0</v>
      </c>
      <c r="G2842" s="68">
        <v>0.319096105615425</v>
      </c>
      <c r="H2842" s="68">
        <v>0.408517979006142</v>
      </c>
      <c r="I2842" s="69">
        <v>44352.04146990741</v>
      </c>
      <c r="J2842" s="69">
        <v>44352.0415162037</v>
      </c>
      <c r="K2842">
        <f>AVERAGE(H2842:H2846)</f>
        <v>100.9303839</v>
      </c>
      <c r="L2842">
        <f>STDEV(H2842:H2846)</f>
        <v>66.06804895</v>
      </c>
      <c r="M2842" s="70">
        <v>0.408517979006142</v>
      </c>
      <c r="N2842" s="70">
        <v>0.408517979006142</v>
      </c>
      <c r="O2842" s="70">
        <v>0.319096105615425</v>
      </c>
      <c r="P2842" s="70">
        <v>0.319096105615425</v>
      </c>
    </row>
    <row r="2843" hidden="1">
      <c r="A2843" s="67" t="s">
        <v>3603</v>
      </c>
      <c r="B2843" s="67" t="s">
        <v>268</v>
      </c>
      <c r="C2843" s="68">
        <v>0.5</v>
      </c>
      <c r="D2843" s="68">
        <v>0.1</v>
      </c>
      <c r="E2843" s="68">
        <v>7.0</v>
      </c>
      <c r="F2843" s="68">
        <v>1.0</v>
      </c>
      <c r="G2843" s="68">
        <v>4.10273560734637</v>
      </c>
      <c r="H2843" s="68">
        <v>139.674451126607</v>
      </c>
      <c r="I2843" s="69">
        <v>44352.04222222222</v>
      </c>
      <c r="J2843" s="69">
        <v>44352.04232638889</v>
      </c>
      <c r="K2843">
        <f>AVERAGE(H2842:H2846)</f>
        <v>100.9303839</v>
      </c>
      <c r="L2843">
        <f>STDEV(H2842:H2846)</f>
        <v>66.06804895</v>
      </c>
      <c r="M2843" s="70">
        <v>139.674451126607</v>
      </c>
      <c r="N2843" s="70">
        <v>139.674451126607</v>
      </c>
      <c r="O2843" s="70">
        <v>4.10273560734637</v>
      </c>
      <c r="P2843" s="70">
        <v>4.10273560734637</v>
      </c>
    </row>
    <row r="2844" hidden="1">
      <c r="A2844" s="67" t="s">
        <v>3604</v>
      </c>
      <c r="B2844" s="67" t="s">
        <v>268</v>
      </c>
      <c r="C2844" s="68">
        <v>0.5</v>
      </c>
      <c r="D2844" s="68">
        <v>0.1</v>
      </c>
      <c r="E2844" s="68">
        <v>7.0</v>
      </c>
      <c r="F2844" s="68">
        <v>2.0</v>
      </c>
      <c r="G2844" s="68">
        <v>3.75718761822717</v>
      </c>
      <c r="H2844" s="68">
        <v>171.994530510741</v>
      </c>
      <c r="I2844" s="69">
        <v>44352.043032407404</v>
      </c>
      <c r="J2844" s="69">
        <v>44352.11351851852</v>
      </c>
      <c r="K2844">
        <f>AVERAGE(H2842:H2846)</f>
        <v>100.9303839</v>
      </c>
      <c r="L2844">
        <f>STDEV(H2842:H2846)</f>
        <v>66.06804895</v>
      </c>
      <c r="M2844" s="70">
        <v>171.994530510741</v>
      </c>
      <c r="N2844" s="70">
        <v>171.994530510741</v>
      </c>
      <c r="O2844" s="70">
        <v>3.75718761822717</v>
      </c>
      <c r="P2844" s="70">
        <v>3.75718761822717</v>
      </c>
    </row>
    <row r="2845" hidden="1">
      <c r="A2845" s="67" t="s">
        <v>3605</v>
      </c>
      <c r="B2845" s="67" t="s">
        <v>268</v>
      </c>
      <c r="C2845" s="68">
        <v>0.5</v>
      </c>
      <c r="D2845" s="68">
        <v>0.1</v>
      </c>
      <c r="E2845" s="68">
        <v>7.0</v>
      </c>
      <c r="F2845" s="68">
        <v>3.0</v>
      </c>
      <c r="G2845" s="68">
        <v>4.19513815267797</v>
      </c>
      <c r="H2845" s="68">
        <v>115.793222145536</v>
      </c>
      <c r="I2845" s="69">
        <v>44352.114224537036</v>
      </c>
      <c r="J2845" s="69">
        <v>44352.11429398148</v>
      </c>
      <c r="K2845">
        <f>AVERAGE(H2842:H2846)</f>
        <v>100.9303839</v>
      </c>
      <c r="L2845">
        <f>STDEV(H2842:H2846)</f>
        <v>66.06804895</v>
      </c>
      <c r="M2845" s="70">
        <v>115.793222145536</v>
      </c>
      <c r="N2845" s="70">
        <v>115.793222145536</v>
      </c>
      <c r="O2845" s="70">
        <v>4.19513815267797</v>
      </c>
      <c r="P2845" s="70">
        <v>4.19513815267797</v>
      </c>
    </row>
    <row r="2846" hidden="1">
      <c r="A2846" s="67" t="s">
        <v>3606</v>
      </c>
      <c r="B2846" s="67" t="s">
        <v>268</v>
      </c>
      <c r="C2846" s="68">
        <v>0.5</v>
      </c>
      <c r="D2846" s="68">
        <v>0.1</v>
      </c>
      <c r="E2846" s="68">
        <v>7.0</v>
      </c>
      <c r="F2846" s="68">
        <v>4.0</v>
      </c>
      <c r="G2846" s="68">
        <v>1.50025850964709</v>
      </c>
      <c r="H2846" s="68">
        <v>76.7811975429383</v>
      </c>
      <c r="I2846" s="69">
        <v>44352.11498842593</v>
      </c>
      <c r="J2846" s="69">
        <v>44352.116435185184</v>
      </c>
      <c r="K2846">
        <f>AVERAGE(H2842:H2846)</f>
        <v>100.9303839</v>
      </c>
      <c r="L2846">
        <f>STDEV(H2842:H2846)</f>
        <v>66.06804895</v>
      </c>
      <c r="M2846" s="70">
        <v>76.7811975429383</v>
      </c>
      <c r="N2846" s="70">
        <v>76.7811975429383</v>
      </c>
      <c r="O2846" s="70">
        <v>1.50025850964709</v>
      </c>
      <c r="P2846" s="70">
        <v>1.50025850964709</v>
      </c>
    </row>
    <row r="2847" hidden="1">
      <c r="A2847" s="67" t="s">
        <v>3607</v>
      </c>
      <c r="B2847" s="67" t="s">
        <v>268</v>
      </c>
      <c r="C2847" s="68">
        <v>0.5</v>
      </c>
      <c r="D2847" s="68">
        <v>0.25</v>
      </c>
      <c r="E2847" s="68">
        <v>7.0</v>
      </c>
      <c r="F2847" s="68">
        <v>0.0</v>
      </c>
      <c r="G2847" s="68">
        <v>3.34267232356095</v>
      </c>
      <c r="H2847" s="68">
        <v>158.12146787358</v>
      </c>
      <c r="I2847" s="69">
        <v>44352.1171412037</v>
      </c>
      <c r="J2847" s="69">
        <v>44352.13607638889</v>
      </c>
      <c r="K2847">
        <f>AVERAGE(H2847:H2851)</f>
        <v>166.3613055</v>
      </c>
      <c r="L2847">
        <f>STDEV(H2847:H2851)</f>
        <v>61.46169014</v>
      </c>
      <c r="M2847" s="70">
        <v>158.12146787358</v>
      </c>
      <c r="N2847" s="70">
        <v>158.12146787358</v>
      </c>
      <c r="O2847" s="70">
        <v>3.34267232356095</v>
      </c>
      <c r="P2847" s="70">
        <v>3.34267232356095</v>
      </c>
    </row>
    <row r="2848" hidden="1">
      <c r="A2848" s="67" t="s">
        <v>3608</v>
      </c>
      <c r="B2848" s="67" t="s">
        <v>268</v>
      </c>
      <c r="C2848" s="68">
        <v>0.5</v>
      </c>
      <c r="D2848" s="68">
        <v>0.25</v>
      </c>
      <c r="E2848" s="68">
        <v>7.0</v>
      </c>
      <c r="F2848" s="68">
        <v>1.0</v>
      </c>
      <c r="G2848" s="68">
        <v>4.94140383941752</v>
      </c>
      <c r="H2848" s="68">
        <v>154.924430741317</v>
      </c>
      <c r="I2848" s="69">
        <v>44352.136782407404</v>
      </c>
      <c r="J2848" s="69">
        <v>44352.136875</v>
      </c>
      <c r="K2848">
        <f>AVERAGE(H2847:H2851)</f>
        <v>166.3613055</v>
      </c>
      <c r="L2848">
        <f>STDEV(H2847:H2851)</f>
        <v>61.46169014</v>
      </c>
      <c r="M2848" s="70">
        <v>154.924430741317</v>
      </c>
      <c r="N2848" s="70">
        <v>154.924430741317</v>
      </c>
      <c r="O2848" s="70">
        <v>4.94140383941752</v>
      </c>
      <c r="P2848" s="70">
        <v>4.94140383941752</v>
      </c>
    </row>
    <row r="2849" hidden="1">
      <c r="A2849" s="67" t="s">
        <v>3609</v>
      </c>
      <c r="B2849" s="67" t="s">
        <v>268</v>
      </c>
      <c r="C2849" s="68">
        <v>0.5</v>
      </c>
      <c r="D2849" s="68">
        <v>0.25</v>
      </c>
      <c r="E2849" s="68">
        <v>7.0</v>
      </c>
      <c r="F2849" s="68">
        <v>2.0</v>
      </c>
      <c r="G2849" s="68">
        <v>7.30230166167735</v>
      </c>
      <c r="H2849" s="68">
        <v>271.763735056475</v>
      </c>
      <c r="I2849" s="69">
        <v>44352.13758101852</v>
      </c>
      <c r="J2849" s="69">
        <v>44352.138194444444</v>
      </c>
      <c r="K2849">
        <f>AVERAGE(H2847:H2851)</f>
        <v>166.3613055</v>
      </c>
      <c r="L2849">
        <f>STDEV(H2847:H2851)</f>
        <v>61.46169014</v>
      </c>
      <c r="M2849" s="70">
        <v>271.763735056475</v>
      </c>
      <c r="N2849" s="70">
        <v>271.763735056475</v>
      </c>
      <c r="O2849" s="70">
        <v>7.30230166167735</v>
      </c>
      <c r="P2849" s="70">
        <v>7.30230166167735</v>
      </c>
    </row>
    <row r="2850" hidden="1">
      <c r="A2850" s="67" t="s">
        <v>3610</v>
      </c>
      <c r="B2850" s="67" t="s">
        <v>268</v>
      </c>
      <c r="C2850" s="68">
        <v>0.5</v>
      </c>
      <c r="D2850" s="68">
        <v>0.25</v>
      </c>
      <c r="E2850" s="68">
        <v>7.0</v>
      </c>
      <c r="F2850" s="68">
        <v>3.0</v>
      </c>
      <c r="G2850" s="68">
        <v>2.47872686139537</v>
      </c>
      <c r="H2850" s="68">
        <v>131.477761625673</v>
      </c>
      <c r="I2850" s="69">
        <v>44352.13890046296</v>
      </c>
      <c r="J2850" s="69">
        <v>44352.13912037037</v>
      </c>
      <c r="K2850">
        <f>AVERAGE(H2847:H2851)</f>
        <v>166.3613055</v>
      </c>
      <c r="L2850">
        <f>STDEV(H2847:H2851)</f>
        <v>61.46169014</v>
      </c>
      <c r="M2850" s="70">
        <v>131.477761625673</v>
      </c>
      <c r="N2850" s="70">
        <v>131.477761625673</v>
      </c>
      <c r="O2850" s="70">
        <v>2.47872686139537</v>
      </c>
      <c r="P2850" s="70">
        <v>2.47872686139537</v>
      </c>
    </row>
    <row r="2851" hidden="1">
      <c r="A2851" s="67" t="s">
        <v>3611</v>
      </c>
      <c r="B2851" s="67" t="s">
        <v>268</v>
      </c>
      <c r="C2851" s="68">
        <v>0.5</v>
      </c>
      <c r="D2851" s="68">
        <v>0.25</v>
      </c>
      <c r="E2851" s="68">
        <v>7.0</v>
      </c>
      <c r="F2851" s="68">
        <v>4.0</v>
      </c>
      <c r="G2851" s="68">
        <v>2.45000060539381</v>
      </c>
      <c r="H2851" s="68">
        <v>115.519132028139</v>
      </c>
      <c r="I2851" s="69">
        <v>44352.13982638889</v>
      </c>
      <c r="J2851" s="69">
        <v>44352.15883101852</v>
      </c>
      <c r="K2851">
        <f>AVERAGE(H2847:H2851)</f>
        <v>166.3613055</v>
      </c>
      <c r="L2851">
        <f>STDEV(H2847:H2851)</f>
        <v>61.46169014</v>
      </c>
      <c r="M2851" s="70">
        <v>115.519132028139</v>
      </c>
      <c r="N2851" s="70">
        <v>115.519132028139</v>
      </c>
      <c r="O2851" s="70">
        <v>2.45000060539381</v>
      </c>
      <c r="P2851" s="70">
        <v>2.45000060539381</v>
      </c>
    </row>
    <row r="2852" hidden="1">
      <c r="A2852" s="67" t="s">
        <v>3612</v>
      </c>
      <c r="B2852" s="67" t="s">
        <v>268</v>
      </c>
      <c r="C2852" s="68">
        <v>0.5</v>
      </c>
      <c r="D2852" s="68">
        <v>0.5</v>
      </c>
      <c r="E2852" s="68">
        <v>7.0</v>
      </c>
      <c r="F2852" s="68">
        <v>0.0</v>
      </c>
      <c r="G2852" s="68">
        <v>1.21492982122998</v>
      </c>
      <c r="H2852" s="68">
        <v>15.9138292822944</v>
      </c>
      <c r="I2852" s="69">
        <v>44352.159537037034</v>
      </c>
      <c r="J2852" s="69">
        <v>44352.15966435185</v>
      </c>
      <c r="K2852">
        <f>AVERAGE(H2852:H2856)</f>
        <v>93.92419776</v>
      </c>
      <c r="L2852">
        <f>STDEV(H2852:H2856)</f>
        <v>124.0121488</v>
      </c>
      <c r="M2852" s="70">
        <v>15.9138292822944</v>
      </c>
      <c r="N2852" s="70">
        <v>15.9138292822944</v>
      </c>
      <c r="O2852" s="70">
        <v>1.21492982122998</v>
      </c>
      <c r="P2852" s="70">
        <v>1.21492982122998</v>
      </c>
    </row>
    <row r="2853" hidden="1">
      <c r="A2853" s="67" t="s">
        <v>3613</v>
      </c>
      <c r="B2853" s="67" t="s">
        <v>268</v>
      </c>
      <c r="C2853" s="68">
        <v>0.5</v>
      </c>
      <c r="D2853" s="68">
        <v>0.5</v>
      </c>
      <c r="E2853" s="68">
        <v>7.0</v>
      </c>
      <c r="F2853" s="68">
        <v>1.0</v>
      </c>
      <c r="G2853" s="68">
        <v>1.84228150706425</v>
      </c>
      <c r="H2853" s="68">
        <v>16.1116603306307</v>
      </c>
      <c r="I2853" s="69">
        <v>44352.16037037037</v>
      </c>
      <c r="J2853" s="69">
        <v>44352.16039351852</v>
      </c>
      <c r="K2853">
        <f>AVERAGE(H2852:H2856)</f>
        <v>93.92419776</v>
      </c>
      <c r="L2853">
        <f>STDEV(H2852:H2856)</f>
        <v>124.0121488</v>
      </c>
      <c r="M2853" s="70">
        <v>16.1116603306307</v>
      </c>
      <c r="N2853" s="70">
        <v>16.1116603306307</v>
      </c>
      <c r="O2853" s="70">
        <v>1.84228150706425</v>
      </c>
      <c r="P2853" s="70">
        <v>1.84228150706425</v>
      </c>
    </row>
    <row r="2854" hidden="1">
      <c r="A2854" s="67" t="s">
        <v>3614</v>
      </c>
      <c r="B2854" s="67" t="s">
        <v>268</v>
      </c>
      <c r="C2854" s="68">
        <v>0.5</v>
      </c>
      <c r="D2854" s="68">
        <v>0.5</v>
      </c>
      <c r="E2854" s="68">
        <v>7.0</v>
      </c>
      <c r="F2854" s="68">
        <v>2.0</v>
      </c>
      <c r="G2854" s="68">
        <v>8.28031762116383</v>
      </c>
      <c r="H2854" s="68">
        <v>288.535171670801</v>
      </c>
      <c r="I2854" s="69">
        <v>44352.161099537036</v>
      </c>
      <c r="J2854" s="69">
        <v>44352.16210648148</v>
      </c>
      <c r="K2854">
        <f>AVERAGE(H2852:H2856)</f>
        <v>93.92419776</v>
      </c>
      <c r="L2854">
        <f>STDEV(H2852:H2856)</f>
        <v>124.0121488</v>
      </c>
      <c r="M2854" s="70">
        <v>288.535171670801</v>
      </c>
      <c r="N2854" s="70">
        <v>288.535171670801</v>
      </c>
      <c r="O2854" s="70">
        <v>8.28031762116383</v>
      </c>
      <c r="P2854" s="70">
        <v>8.28031762116383</v>
      </c>
    </row>
    <row r="2855" hidden="1">
      <c r="A2855" s="67" t="s">
        <v>3615</v>
      </c>
      <c r="B2855" s="67" t="s">
        <v>268</v>
      </c>
      <c r="C2855" s="68">
        <v>0.5</v>
      </c>
      <c r="D2855" s="68">
        <v>0.5</v>
      </c>
      <c r="E2855" s="68">
        <v>7.0</v>
      </c>
      <c r="F2855" s="68">
        <v>3.0</v>
      </c>
      <c r="G2855" s="68">
        <v>3.23818765090015</v>
      </c>
      <c r="H2855" s="68">
        <v>147.844403125101</v>
      </c>
      <c r="I2855" s="69">
        <v>44352.16280092593</v>
      </c>
      <c r="J2855" s="69">
        <v>44352.23163194444</v>
      </c>
      <c r="K2855">
        <f>AVERAGE(H2852:H2856)</f>
        <v>93.92419776</v>
      </c>
      <c r="L2855">
        <f>STDEV(H2852:H2856)</f>
        <v>124.0121488</v>
      </c>
      <c r="M2855" s="70">
        <v>147.844403125101</v>
      </c>
      <c r="N2855" s="70">
        <v>147.844403125101</v>
      </c>
      <c r="O2855" s="70">
        <v>3.23818765090015</v>
      </c>
      <c r="P2855" s="70">
        <v>3.23818765090015</v>
      </c>
    </row>
    <row r="2856" hidden="1">
      <c r="A2856" s="67" t="s">
        <v>3616</v>
      </c>
      <c r="B2856" s="67" t="s">
        <v>268</v>
      </c>
      <c r="C2856" s="68">
        <v>0.5</v>
      </c>
      <c r="D2856" s="68">
        <v>0.5</v>
      </c>
      <c r="E2856" s="68">
        <v>7.0</v>
      </c>
      <c r="F2856" s="68">
        <v>4.0</v>
      </c>
      <c r="G2856" s="68">
        <v>0.655681282024199</v>
      </c>
      <c r="H2856" s="68">
        <v>1.21592440700757</v>
      </c>
      <c r="I2856" s="69">
        <v>44352.23233796296</v>
      </c>
      <c r="J2856" s="69">
        <v>44352.23311342593</v>
      </c>
      <c r="K2856">
        <f>AVERAGE(H2852:H2856)</f>
        <v>93.92419776</v>
      </c>
      <c r="L2856">
        <f>STDEV(H2852:H2856)</f>
        <v>124.0121488</v>
      </c>
      <c r="M2856" s="70">
        <v>1.21592440700757</v>
      </c>
      <c r="N2856" s="70">
        <v>1.21592440700757</v>
      </c>
      <c r="O2856" s="70">
        <v>0.655681282024199</v>
      </c>
      <c r="P2856" s="70">
        <v>0.655681282024199</v>
      </c>
    </row>
    <row r="2857" hidden="1">
      <c r="A2857" s="67" t="s">
        <v>3617</v>
      </c>
      <c r="B2857" s="67" t="s">
        <v>268</v>
      </c>
      <c r="C2857" s="68">
        <v>0.5</v>
      </c>
      <c r="D2857" s="68">
        <v>0.75</v>
      </c>
      <c r="E2857" s="68">
        <v>7.0</v>
      </c>
      <c r="F2857" s="68">
        <v>0.0</v>
      </c>
      <c r="G2857" s="68">
        <v>0.466840794858009</v>
      </c>
      <c r="H2857" s="68">
        <v>0.558911256639735</v>
      </c>
      <c r="I2857" s="69">
        <v>44352.233819444446</v>
      </c>
      <c r="J2857" s="69">
        <v>44352.233981481484</v>
      </c>
      <c r="K2857">
        <f>AVERAGE(H2857:H2861)</f>
        <v>140.4209835</v>
      </c>
      <c r="L2857">
        <f>STDEV(H2857:H2861)</f>
        <v>96.27806026</v>
      </c>
      <c r="M2857" s="70">
        <v>0.558911256639735</v>
      </c>
      <c r="N2857" s="70">
        <v>0.558911256639735</v>
      </c>
      <c r="O2857" s="70">
        <v>0.466840794858009</v>
      </c>
      <c r="P2857" s="70">
        <v>0.466840794858009</v>
      </c>
    </row>
    <row r="2858" hidden="1">
      <c r="A2858" s="67" t="s">
        <v>3618</v>
      </c>
      <c r="B2858" s="67" t="s">
        <v>268</v>
      </c>
      <c r="C2858" s="68">
        <v>0.5</v>
      </c>
      <c r="D2858" s="68">
        <v>0.75</v>
      </c>
      <c r="E2858" s="68">
        <v>7.0</v>
      </c>
      <c r="F2858" s="68">
        <v>1.0</v>
      </c>
      <c r="G2858" s="68">
        <v>6.31299528963051</v>
      </c>
      <c r="H2858" s="68">
        <v>248.41966547702</v>
      </c>
      <c r="I2858" s="69">
        <v>44352.2346875</v>
      </c>
      <c r="J2858" s="69">
        <v>44352.235439814816</v>
      </c>
      <c r="K2858">
        <f>AVERAGE(H2857:H2861)</f>
        <v>140.4209835</v>
      </c>
      <c r="L2858">
        <f>STDEV(H2857:H2861)</f>
        <v>96.27806026</v>
      </c>
      <c r="M2858" s="70">
        <v>248.41966547702</v>
      </c>
      <c r="N2858" s="70">
        <v>248.41966547702</v>
      </c>
      <c r="O2858" s="70">
        <v>6.31299528963051</v>
      </c>
      <c r="P2858" s="70">
        <v>6.31299528963051</v>
      </c>
    </row>
    <row r="2859" hidden="1">
      <c r="A2859" s="67" t="s">
        <v>3619</v>
      </c>
      <c r="B2859" s="67" t="s">
        <v>268</v>
      </c>
      <c r="C2859" s="68">
        <v>0.5</v>
      </c>
      <c r="D2859" s="68">
        <v>0.75</v>
      </c>
      <c r="E2859" s="68">
        <v>7.0</v>
      </c>
      <c r="F2859" s="68">
        <v>2.0</v>
      </c>
      <c r="G2859" s="68">
        <v>2.5164346329164</v>
      </c>
      <c r="H2859" s="68">
        <v>110.885188519053</v>
      </c>
      <c r="I2859" s="69">
        <v>44352.23614583333</v>
      </c>
      <c r="J2859" s="69">
        <v>44352.27690972222</v>
      </c>
      <c r="K2859">
        <f>AVERAGE(H2857:H2861)</f>
        <v>140.4209835</v>
      </c>
      <c r="L2859">
        <f>STDEV(H2857:H2861)</f>
        <v>96.27806026</v>
      </c>
      <c r="M2859" s="70">
        <v>110.885188519053</v>
      </c>
      <c r="N2859" s="70">
        <v>110.885188519053</v>
      </c>
      <c r="O2859" s="70">
        <v>2.5164346329164</v>
      </c>
      <c r="P2859" s="70">
        <v>2.5164346329164</v>
      </c>
    </row>
    <row r="2860" hidden="1">
      <c r="A2860" s="67" t="s">
        <v>3620</v>
      </c>
      <c r="B2860" s="67" t="s">
        <v>268</v>
      </c>
      <c r="C2860" s="68">
        <v>0.5</v>
      </c>
      <c r="D2860" s="68">
        <v>0.75</v>
      </c>
      <c r="E2860" s="68">
        <v>7.0</v>
      </c>
      <c r="F2860" s="68">
        <v>3.0</v>
      </c>
      <c r="G2860" s="68">
        <v>4.87529352064062</v>
      </c>
      <c r="H2860" s="68">
        <v>210.461723997689</v>
      </c>
      <c r="I2860" s="69">
        <v>44352.27761574074</v>
      </c>
      <c r="J2860" s="69">
        <v>44352.28084490741</v>
      </c>
      <c r="K2860">
        <f>AVERAGE(H2857:H2861)</f>
        <v>140.4209835</v>
      </c>
      <c r="L2860">
        <f>STDEV(H2857:H2861)</f>
        <v>96.27806026</v>
      </c>
      <c r="M2860" s="70">
        <v>210.461723997689</v>
      </c>
      <c r="N2860" s="70">
        <v>210.461723997689</v>
      </c>
      <c r="O2860" s="70">
        <v>4.87529352064062</v>
      </c>
      <c r="P2860" s="70">
        <v>4.87529352064062</v>
      </c>
    </row>
    <row r="2861" hidden="1">
      <c r="A2861" s="67" t="s">
        <v>3621</v>
      </c>
      <c r="B2861" s="67" t="s">
        <v>268</v>
      </c>
      <c r="C2861" s="68">
        <v>0.5</v>
      </c>
      <c r="D2861" s="68">
        <v>0.75</v>
      </c>
      <c r="E2861" s="68">
        <v>7.0</v>
      </c>
      <c r="F2861" s="68">
        <v>4.0</v>
      </c>
      <c r="G2861" s="68">
        <v>2.48808650494595</v>
      </c>
      <c r="H2861" s="68">
        <v>131.779428321631</v>
      </c>
      <c r="I2861" s="69">
        <v>44352.28155092592</v>
      </c>
      <c r="J2861" s="69">
        <v>44352.28177083333</v>
      </c>
      <c r="K2861">
        <f>AVERAGE(H2857:H2861)</f>
        <v>140.4209835</v>
      </c>
      <c r="L2861">
        <f>STDEV(H2857:H2861)</f>
        <v>96.27806026</v>
      </c>
      <c r="M2861" s="70">
        <v>131.779428321631</v>
      </c>
      <c r="N2861" s="70">
        <v>131.779428321631</v>
      </c>
      <c r="O2861" s="70">
        <v>2.48808650494595</v>
      </c>
      <c r="P2861" s="70">
        <v>2.48808650494595</v>
      </c>
    </row>
    <row r="2862" hidden="1">
      <c r="A2862" s="67" t="s">
        <v>3622</v>
      </c>
      <c r="B2862" s="67" t="s">
        <v>268</v>
      </c>
      <c r="C2862" s="68">
        <v>0.5</v>
      </c>
      <c r="D2862" s="68">
        <v>1.0</v>
      </c>
      <c r="E2862" s="68">
        <v>7.0</v>
      </c>
      <c r="F2862" s="68">
        <v>0.0</v>
      </c>
      <c r="G2862" s="68">
        <v>8.35586332093883</v>
      </c>
      <c r="H2862" s="68">
        <v>289.966801549012</v>
      </c>
      <c r="I2862" s="69">
        <v>44352.282476851855</v>
      </c>
      <c r="J2862" s="69">
        <v>44352.28344907407</v>
      </c>
      <c r="K2862">
        <f>AVERAGE(H2862:H2866)</f>
        <v>124.6780757</v>
      </c>
      <c r="L2862">
        <f>STDEV(H2862:H2866)</f>
        <v>115.8396114</v>
      </c>
      <c r="M2862" s="70">
        <v>289.966801549012</v>
      </c>
      <c r="N2862" s="70">
        <v>289.966801549012</v>
      </c>
      <c r="O2862" s="70">
        <v>8.35586332093883</v>
      </c>
      <c r="P2862" s="70">
        <v>8.35586332093883</v>
      </c>
    </row>
    <row r="2863" hidden="1">
      <c r="A2863" s="67" t="s">
        <v>3623</v>
      </c>
      <c r="B2863" s="67" t="s">
        <v>268</v>
      </c>
      <c r="C2863" s="68">
        <v>0.5</v>
      </c>
      <c r="D2863" s="68">
        <v>1.0</v>
      </c>
      <c r="E2863" s="68">
        <v>7.0</v>
      </c>
      <c r="F2863" s="68">
        <v>1.0</v>
      </c>
      <c r="G2863" s="68">
        <v>2.92659224827379</v>
      </c>
      <c r="H2863" s="68">
        <v>143.176273539461</v>
      </c>
      <c r="I2863" s="69">
        <v>44352.284155092595</v>
      </c>
      <c r="J2863" s="69">
        <v>44352.32947916666</v>
      </c>
      <c r="K2863">
        <f>AVERAGE(H2862:H2866)</f>
        <v>124.6780757</v>
      </c>
      <c r="L2863">
        <f>STDEV(H2862:H2866)</f>
        <v>115.8396114</v>
      </c>
      <c r="M2863" s="70">
        <v>143.176273539461</v>
      </c>
      <c r="N2863" s="70">
        <v>143.176273539461</v>
      </c>
      <c r="O2863" s="70">
        <v>2.92659224827379</v>
      </c>
      <c r="P2863" s="70">
        <v>2.92659224827379</v>
      </c>
    </row>
    <row r="2864" hidden="1">
      <c r="A2864" s="67" t="s">
        <v>3624</v>
      </c>
      <c r="B2864" s="67" t="s">
        <v>268</v>
      </c>
      <c r="C2864" s="68">
        <v>0.5</v>
      </c>
      <c r="D2864" s="68">
        <v>1.0</v>
      </c>
      <c r="E2864" s="68">
        <v>7.0</v>
      </c>
      <c r="F2864" s="68">
        <v>2.0</v>
      </c>
      <c r="G2864" s="68">
        <v>0.73722706430504</v>
      </c>
      <c r="H2864" s="68">
        <v>0.951560817488761</v>
      </c>
      <c r="I2864" s="69">
        <v>44352.33018518519</v>
      </c>
      <c r="J2864" s="69">
        <v>44352.33038194444</v>
      </c>
      <c r="K2864">
        <f>AVERAGE(H2862:H2866)</f>
        <v>124.6780757</v>
      </c>
      <c r="L2864">
        <f>STDEV(H2862:H2866)</f>
        <v>115.8396114</v>
      </c>
      <c r="M2864" s="70">
        <v>0.951560817488761</v>
      </c>
      <c r="N2864" s="70">
        <v>0.951560817488761</v>
      </c>
      <c r="O2864" s="70">
        <v>0.73722706430504</v>
      </c>
      <c r="P2864" s="70">
        <v>0.73722706430504</v>
      </c>
    </row>
    <row r="2865" hidden="1">
      <c r="A2865" s="67" t="s">
        <v>3625</v>
      </c>
      <c r="B2865" s="67" t="s">
        <v>268</v>
      </c>
      <c r="C2865" s="68">
        <v>0.5</v>
      </c>
      <c r="D2865" s="68">
        <v>1.0</v>
      </c>
      <c r="E2865" s="68">
        <v>7.0</v>
      </c>
      <c r="F2865" s="68">
        <v>3.0</v>
      </c>
      <c r="G2865" s="68">
        <v>4.79104401524193</v>
      </c>
      <c r="H2865" s="68">
        <v>161.35933674981</v>
      </c>
      <c r="I2865" s="69">
        <v>44352.33107638889</v>
      </c>
      <c r="J2865" s="69">
        <v>44352.331296296295</v>
      </c>
      <c r="K2865">
        <f>AVERAGE(H2862:H2866)</f>
        <v>124.6780757</v>
      </c>
      <c r="L2865">
        <f>STDEV(H2862:H2866)</f>
        <v>115.8396114</v>
      </c>
      <c r="M2865" s="70">
        <v>161.35933674981</v>
      </c>
      <c r="N2865" s="70">
        <v>161.35933674981</v>
      </c>
      <c r="O2865" s="70">
        <v>4.79104401524193</v>
      </c>
      <c r="P2865" s="70">
        <v>4.79104401524193</v>
      </c>
    </row>
    <row r="2866" hidden="1">
      <c r="A2866" s="67" t="s">
        <v>3626</v>
      </c>
      <c r="B2866" s="67" t="s">
        <v>268</v>
      </c>
      <c r="C2866" s="68">
        <v>0.5</v>
      </c>
      <c r="D2866" s="68">
        <v>1.0</v>
      </c>
      <c r="E2866" s="68">
        <v>7.0</v>
      </c>
      <c r="F2866" s="68">
        <v>4.0</v>
      </c>
      <c r="G2866" s="68">
        <v>1.72089123884186</v>
      </c>
      <c r="H2866" s="68">
        <v>27.9364058293306</v>
      </c>
      <c r="I2866" s="69">
        <v>44352.33200231481</v>
      </c>
      <c r="J2866" s="69">
        <v>44352.332604166666</v>
      </c>
      <c r="K2866">
        <f>AVERAGE(H2862:H2866)</f>
        <v>124.6780757</v>
      </c>
      <c r="L2866">
        <f>STDEV(H2862:H2866)</f>
        <v>115.8396114</v>
      </c>
      <c r="M2866" s="70">
        <v>27.9364058293306</v>
      </c>
      <c r="N2866" s="70">
        <v>27.9364058293306</v>
      </c>
      <c r="O2866" s="70">
        <v>1.72089123884186</v>
      </c>
      <c r="P2866" s="70">
        <v>1.72089123884186</v>
      </c>
    </row>
    <row r="2867" hidden="1">
      <c r="A2867" s="67" t="s">
        <v>3627</v>
      </c>
      <c r="B2867" s="67" t="s">
        <v>268</v>
      </c>
      <c r="C2867" s="68">
        <v>0.75</v>
      </c>
      <c r="D2867" s="68">
        <v>0.1</v>
      </c>
      <c r="E2867" s="68">
        <v>7.0</v>
      </c>
      <c r="F2867" s="68">
        <v>0.0</v>
      </c>
      <c r="G2867" s="68">
        <v>2.48906956651208</v>
      </c>
      <c r="H2867" s="68">
        <v>131.80224121552</v>
      </c>
      <c r="I2867" s="69">
        <v>44295.40201388889</v>
      </c>
      <c r="J2867" s="69">
        <v>44295.40244212963</v>
      </c>
      <c r="K2867">
        <f>AVERAGE(H2867:H2871)</f>
        <v>97.78944574</v>
      </c>
      <c r="L2867">
        <f>STDEV(H2867:H2871)</f>
        <v>83.5034853</v>
      </c>
      <c r="M2867" s="70">
        <v>131.80224121552</v>
      </c>
      <c r="N2867" s="70">
        <v>131.80224121552</v>
      </c>
      <c r="O2867" s="70">
        <v>2.48906956651208</v>
      </c>
      <c r="P2867" s="70">
        <v>2.48906956651208</v>
      </c>
    </row>
    <row r="2868" hidden="1">
      <c r="A2868" s="67" t="s">
        <v>3628</v>
      </c>
      <c r="B2868" s="67" t="s">
        <v>268</v>
      </c>
      <c r="C2868" s="68">
        <v>0.75</v>
      </c>
      <c r="D2868" s="68">
        <v>0.1</v>
      </c>
      <c r="E2868" s="68">
        <v>7.0</v>
      </c>
      <c r="F2868" s="68">
        <v>1.0</v>
      </c>
      <c r="G2868" s="68">
        <v>1.21546693384922</v>
      </c>
      <c r="H2868" s="68">
        <v>15.9182118408278</v>
      </c>
      <c r="I2868" s="69">
        <v>44295.403136574074</v>
      </c>
      <c r="J2868" s="69">
        <v>44295.403391203705</v>
      </c>
      <c r="K2868">
        <f>AVERAGE(H2867:H2871)</f>
        <v>97.78944574</v>
      </c>
      <c r="L2868">
        <f>STDEV(H2867:H2871)</f>
        <v>83.5034853</v>
      </c>
      <c r="M2868" s="70">
        <v>15.9182118408278</v>
      </c>
      <c r="N2868" s="70">
        <v>15.9182118408278</v>
      </c>
      <c r="O2868" s="70">
        <v>1.21546693384922</v>
      </c>
      <c r="P2868" s="70">
        <v>1.21546693384922</v>
      </c>
    </row>
    <row r="2869" hidden="1">
      <c r="A2869" s="67" t="s">
        <v>3629</v>
      </c>
      <c r="B2869" s="67" t="s">
        <v>268</v>
      </c>
      <c r="C2869" s="68">
        <v>0.75</v>
      </c>
      <c r="D2869" s="68">
        <v>0.1</v>
      </c>
      <c r="E2869" s="68">
        <v>7.0</v>
      </c>
      <c r="F2869" s="68">
        <v>2.0</v>
      </c>
      <c r="G2869" s="68">
        <v>0.319096105615425</v>
      </c>
      <c r="H2869" s="68">
        <v>0.408517979006142</v>
      </c>
      <c r="I2869" s="69">
        <v>44295.40408564815</v>
      </c>
      <c r="J2869" s="69">
        <v>44295.40415509259</v>
      </c>
      <c r="K2869">
        <f>AVERAGE(H2867:H2871)</f>
        <v>97.78944574</v>
      </c>
      <c r="L2869">
        <f>STDEV(H2867:H2871)</f>
        <v>83.5034853</v>
      </c>
      <c r="M2869" s="70">
        <v>0.408517979006142</v>
      </c>
      <c r="N2869" s="70">
        <v>0.408517979006142</v>
      </c>
      <c r="O2869" s="70">
        <v>0.319096105615425</v>
      </c>
      <c r="P2869" s="70">
        <v>0.319096105615425</v>
      </c>
    </row>
    <row r="2870" hidden="1">
      <c r="A2870" s="67" t="s">
        <v>3630</v>
      </c>
      <c r="B2870" s="67" t="s">
        <v>268</v>
      </c>
      <c r="C2870" s="68">
        <v>0.75</v>
      </c>
      <c r="D2870" s="68">
        <v>0.1</v>
      </c>
      <c r="E2870" s="68">
        <v>7.0</v>
      </c>
      <c r="F2870" s="68">
        <v>3.0</v>
      </c>
      <c r="G2870" s="68">
        <v>3.60677094254502</v>
      </c>
      <c r="H2870" s="68">
        <v>169.610005626907</v>
      </c>
      <c r="I2870" s="69">
        <v>44295.40484953704</v>
      </c>
      <c r="J2870" s="69">
        <v>44295.67524305556</v>
      </c>
      <c r="K2870">
        <f>AVERAGE(H2867:H2871)</f>
        <v>97.78944574</v>
      </c>
      <c r="L2870">
        <f>STDEV(H2867:H2871)</f>
        <v>83.5034853</v>
      </c>
      <c r="M2870" s="70">
        <v>169.610005626907</v>
      </c>
      <c r="N2870" s="70">
        <v>169.610005626907</v>
      </c>
      <c r="O2870" s="70">
        <v>3.60677094254502</v>
      </c>
      <c r="P2870" s="70">
        <v>3.60677094254502</v>
      </c>
    </row>
    <row r="2871" hidden="1">
      <c r="A2871" s="67" t="s">
        <v>3631</v>
      </c>
      <c r="B2871" s="67" t="s">
        <v>268</v>
      </c>
      <c r="C2871" s="68">
        <v>0.75</v>
      </c>
      <c r="D2871" s="68">
        <v>0.1</v>
      </c>
      <c r="E2871" s="68">
        <v>7.0</v>
      </c>
      <c r="F2871" s="68">
        <v>4.0</v>
      </c>
      <c r="G2871" s="68">
        <v>4.67745427962042</v>
      </c>
      <c r="H2871" s="68">
        <v>171.208252032811</v>
      </c>
      <c r="I2871" s="69">
        <v>44295.6759375</v>
      </c>
      <c r="J2871" s="69">
        <v>44295.67633101852</v>
      </c>
      <c r="K2871">
        <f>AVERAGE(H2867:H2871)</f>
        <v>97.78944574</v>
      </c>
      <c r="L2871">
        <f>STDEV(H2867:H2871)</f>
        <v>83.5034853</v>
      </c>
      <c r="M2871" s="70">
        <v>171.208252032811</v>
      </c>
      <c r="N2871" s="70">
        <v>171.208252032811</v>
      </c>
      <c r="O2871" s="70">
        <v>4.67745427962042</v>
      </c>
      <c r="P2871" s="70">
        <v>4.67745427962042</v>
      </c>
    </row>
    <row r="2872" hidden="1">
      <c r="A2872" s="67" t="s">
        <v>3632</v>
      </c>
      <c r="B2872" s="67" t="s">
        <v>268</v>
      </c>
      <c r="C2872" s="68">
        <v>0.75</v>
      </c>
      <c r="D2872" s="68">
        <v>0.25</v>
      </c>
      <c r="E2872" s="68">
        <v>7.0</v>
      </c>
      <c r="F2872" s="68">
        <v>0.0</v>
      </c>
      <c r="G2872" s="68">
        <v>3.39108770396781</v>
      </c>
      <c r="H2872" s="68">
        <v>154.30641019538</v>
      </c>
      <c r="I2872" s="69">
        <v>44352.33331018518</v>
      </c>
      <c r="J2872" s="69">
        <v>44352.391493055555</v>
      </c>
      <c r="K2872">
        <f>AVERAGE(H2872:H2876)</f>
        <v>118.2459419</v>
      </c>
      <c r="L2872">
        <f>STDEV(H2872:H2876)</f>
        <v>107.6211244</v>
      </c>
      <c r="M2872" s="70">
        <v>154.30641019538</v>
      </c>
      <c r="N2872" s="70">
        <v>154.30641019538</v>
      </c>
      <c r="O2872" s="70">
        <v>3.39108770396781</v>
      </c>
      <c r="P2872" s="70">
        <v>3.39108770396781</v>
      </c>
    </row>
    <row r="2873" hidden="1">
      <c r="A2873" s="67" t="s">
        <v>3633</v>
      </c>
      <c r="B2873" s="67" t="s">
        <v>268</v>
      </c>
      <c r="C2873" s="68">
        <v>0.75</v>
      </c>
      <c r="D2873" s="68">
        <v>0.25</v>
      </c>
      <c r="E2873" s="68">
        <v>7.0</v>
      </c>
      <c r="F2873" s="68">
        <v>1.0</v>
      </c>
      <c r="G2873" s="68">
        <v>0.649813966357428</v>
      </c>
      <c r="H2873" s="68">
        <v>8.8793218604217</v>
      </c>
      <c r="I2873" s="69">
        <v>44352.39219907407</v>
      </c>
      <c r="J2873" s="69">
        <v>44352.3934375</v>
      </c>
      <c r="K2873">
        <f>AVERAGE(H2872:H2876)</f>
        <v>118.2459419</v>
      </c>
      <c r="L2873">
        <f>STDEV(H2872:H2876)</f>
        <v>107.6211244</v>
      </c>
      <c r="M2873" s="70">
        <v>8.8793218604217</v>
      </c>
      <c r="N2873" s="70">
        <v>8.8793218604217</v>
      </c>
      <c r="O2873" s="70">
        <v>0.649813966357428</v>
      </c>
      <c r="P2873" s="70">
        <v>0.649813966357428</v>
      </c>
    </row>
    <row r="2874" hidden="1">
      <c r="A2874" s="67" t="s">
        <v>3634</v>
      </c>
      <c r="B2874" s="67" t="s">
        <v>268</v>
      </c>
      <c r="C2874" s="68">
        <v>0.75</v>
      </c>
      <c r="D2874" s="68">
        <v>0.25</v>
      </c>
      <c r="E2874" s="68">
        <v>7.0</v>
      </c>
      <c r="F2874" s="68">
        <v>2.0</v>
      </c>
      <c r="G2874" s="68">
        <v>5.74249124786861</v>
      </c>
      <c r="H2874" s="68">
        <v>235.197848509375</v>
      </c>
      <c r="I2874" s="69">
        <v>44352.39414351852</v>
      </c>
      <c r="J2874" s="69">
        <v>44352.39534722222</v>
      </c>
      <c r="K2874">
        <f>AVERAGE(H2872:H2876)</f>
        <v>118.2459419</v>
      </c>
      <c r="L2874">
        <f>STDEV(H2872:H2876)</f>
        <v>107.6211244</v>
      </c>
      <c r="M2874" s="70">
        <v>235.197848509375</v>
      </c>
      <c r="N2874" s="70">
        <v>235.197848509375</v>
      </c>
      <c r="O2874" s="70">
        <v>5.74249124786861</v>
      </c>
      <c r="P2874" s="70">
        <v>5.74249124786861</v>
      </c>
    </row>
    <row r="2875" hidden="1">
      <c r="A2875" s="67" t="s">
        <v>3635</v>
      </c>
      <c r="B2875" s="67" t="s">
        <v>268</v>
      </c>
      <c r="C2875" s="68">
        <v>0.75</v>
      </c>
      <c r="D2875" s="68">
        <v>0.25</v>
      </c>
      <c r="E2875" s="68">
        <v>7.0</v>
      </c>
      <c r="F2875" s="68">
        <v>3.0</v>
      </c>
      <c r="G2875" s="68">
        <v>0.319096105615425</v>
      </c>
      <c r="H2875" s="68">
        <v>0.408517979006142</v>
      </c>
      <c r="I2875" s="69">
        <v>44352.396053240744</v>
      </c>
      <c r="J2875" s="69">
        <v>44352.39611111111</v>
      </c>
      <c r="K2875">
        <f>AVERAGE(H2872:H2876)</f>
        <v>118.2459419</v>
      </c>
      <c r="L2875">
        <f>STDEV(H2872:H2876)</f>
        <v>107.6211244</v>
      </c>
      <c r="M2875" s="70">
        <v>0.408517979006142</v>
      </c>
      <c r="N2875" s="70">
        <v>0.408517979006142</v>
      </c>
      <c r="O2875" s="70">
        <v>0.319096105615425</v>
      </c>
      <c r="P2875" s="70">
        <v>0.319096105615425</v>
      </c>
    </row>
    <row r="2876" hidden="1">
      <c r="A2876" s="67" t="s">
        <v>3636</v>
      </c>
      <c r="B2876" s="67" t="s">
        <v>268</v>
      </c>
      <c r="C2876" s="68">
        <v>0.75</v>
      </c>
      <c r="D2876" s="68">
        <v>0.25</v>
      </c>
      <c r="E2876" s="68">
        <v>7.0</v>
      </c>
      <c r="F2876" s="68">
        <v>4.0</v>
      </c>
      <c r="G2876" s="68">
        <v>7.94112888342062</v>
      </c>
      <c r="H2876" s="68">
        <v>192.437610855651</v>
      </c>
      <c r="I2876" s="69">
        <v>44352.39681712963</v>
      </c>
      <c r="J2876" s="69">
        <v>44352.39685185185</v>
      </c>
      <c r="K2876">
        <f>AVERAGE(H2872:H2876)</f>
        <v>118.2459419</v>
      </c>
      <c r="L2876">
        <f>STDEV(H2872:H2876)</f>
        <v>107.6211244</v>
      </c>
      <c r="M2876" s="70">
        <v>192.437610855651</v>
      </c>
      <c r="N2876" s="70">
        <v>192.437610855651</v>
      </c>
      <c r="O2876" s="70">
        <v>7.94112888342062</v>
      </c>
      <c r="P2876" s="70">
        <v>7.94112888342062</v>
      </c>
    </row>
    <row r="2877" hidden="1">
      <c r="A2877" s="67" t="s">
        <v>3637</v>
      </c>
      <c r="B2877" s="67" t="s">
        <v>268</v>
      </c>
      <c r="C2877" s="68">
        <v>0.75</v>
      </c>
      <c r="D2877" s="68">
        <v>0.5</v>
      </c>
      <c r="E2877" s="68">
        <v>7.0</v>
      </c>
      <c r="F2877" s="68">
        <v>0.0</v>
      </c>
      <c r="G2877" s="68">
        <v>4.78213110317799</v>
      </c>
      <c r="H2877" s="68">
        <v>161.108702600871</v>
      </c>
      <c r="I2877" s="69">
        <v>44352.39755787037</v>
      </c>
      <c r="J2877" s="69">
        <v>44352.397777777776</v>
      </c>
      <c r="K2877">
        <f>AVERAGE(H2877:H2881)</f>
        <v>117.3114209</v>
      </c>
      <c r="L2877">
        <f>STDEV(H2877:H2881)</f>
        <v>121.233577</v>
      </c>
      <c r="M2877" s="70">
        <v>161.108702600871</v>
      </c>
      <c r="N2877" s="70">
        <v>161.108702600871</v>
      </c>
      <c r="O2877" s="70">
        <v>4.78213110317799</v>
      </c>
      <c r="P2877" s="70">
        <v>4.78213110317799</v>
      </c>
    </row>
    <row r="2878" hidden="1">
      <c r="A2878" s="67" t="s">
        <v>3638</v>
      </c>
      <c r="B2878" s="67" t="s">
        <v>268</v>
      </c>
      <c r="C2878" s="68">
        <v>0.75</v>
      </c>
      <c r="D2878" s="68">
        <v>0.5</v>
      </c>
      <c r="E2878" s="68">
        <v>7.0</v>
      </c>
      <c r="F2878" s="68">
        <v>1.0</v>
      </c>
      <c r="G2878" s="68">
        <v>0.319096105615425</v>
      </c>
      <c r="H2878" s="68">
        <v>0.408517979006142</v>
      </c>
      <c r="I2878" s="69">
        <v>44352.3984837963</v>
      </c>
      <c r="J2878" s="69">
        <v>44352.39853009259</v>
      </c>
      <c r="K2878">
        <f>AVERAGE(H2877:H2881)</f>
        <v>117.3114209</v>
      </c>
      <c r="L2878">
        <f>STDEV(H2877:H2881)</f>
        <v>121.233577</v>
      </c>
      <c r="M2878" s="70">
        <v>0.408517979006142</v>
      </c>
      <c r="N2878" s="70">
        <v>0.408517979006142</v>
      </c>
      <c r="O2878" s="70">
        <v>0.319096105615425</v>
      </c>
      <c r="P2878" s="70">
        <v>0.319096105615425</v>
      </c>
    </row>
    <row r="2879" hidden="1">
      <c r="A2879" s="67" t="s">
        <v>3639</v>
      </c>
      <c r="B2879" s="67" t="s">
        <v>268</v>
      </c>
      <c r="C2879" s="68">
        <v>0.75</v>
      </c>
      <c r="D2879" s="68">
        <v>0.5</v>
      </c>
      <c r="E2879" s="68">
        <v>7.0</v>
      </c>
      <c r="F2879" s="68">
        <v>2.0</v>
      </c>
      <c r="G2879" s="68">
        <v>0.71205655889852</v>
      </c>
      <c r="H2879" s="68">
        <v>0.948977832482219</v>
      </c>
      <c r="I2879" s="69">
        <v>44352.39923611111</v>
      </c>
      <c r="J2879" s="69">
        <v>44352.39945601852</v>
      </c>
      <c r="K2879">
        <f>AVERAGE(H2877:H2881)</f>
        <v>117.3114209</v>
      </c>
      <c r="L2879">
        <f>STDEV(H2877:H2881)</f>
        <v>121.233577</v>
      </c>
      <c r="M2879" s="70">
        <v>0.948977832482219</v>
      </c>
      <c r="N2879" s="70">
        <v>0.948977832482219</v>
      </c>
      <c r="O2879" s="70">
        <v>0.71205655889852</v>
      </c>
      <c r="P2879" s="70">
        <v>0.71205655889852</v>
      </c>
    </row>
    <row r="2880" hidden="1">
      <c r="A2880" s="67" t="s">
        <v>3640</v>
      </c>
      <c r="B2880" s="67" t="s">
        <v>268</v>
      </c>
      <c r="C2880" s="68">
        <v>0.75</v>
      </c>
      <c r="D2880" s="68">
        <v>0.5</v>
      </c>
      <c r="E2880" s="68">
        <v>7.0</v>
      </c>
      <c r="F2880" s="68">
        <v>3.0</v>
      </c>
      <c r="G2880" s="68">
        <v>8.27599029213627</v>
      </c>
      <c r="H2880" s="68">
        <v>288.584783915438</v>
      </c>
      <c r="I2880" s="69">
        <v>44352.40016203704</v>
      </c>
      <c r="J2880" s="69">
        <v>44352.40113425926</v>
      </c>
      <c r="K2880">
        <f>AVERAGE(H2877:H2881)</f>
        <v>117.3114209</v>
      </c>
      <c r="L2880">
        <f>STDEV(H2877:H2881)</f>
        <v>121.233577</v>
      </c>
      <c r="M2880" s="70">
        <v>288.584783915438</v>
      </c>
      <c r="N2880" s="70">
        <v>288.584783915438</v>
      </c>
      <c r="O2880" s="70">
        <v>8.27599029213627</v>
      </c>
      <c r="P2880" s="70">
        <v>8.27599029213627</v>
      </c>
    </row>
    <row r="2881" hidden="1">
      <c r="A2881" s="67" t="s">
        <v>3641</v>
      </c>
      <c r="B2881" s="67" t="s">
        <v>268</v>
      </c>
      <c r="C2881" s="68">
        <v>0.75</v>
      </c>
      <c r="D2881" s="68">
        <v>0.5</v>
      </c>
      <c r="E2881" s="68">
        <v>7.0</v>
      </c>
      <c r="F2881" s="68">
        <v>4.0</v>
      </c>
      <c r="G2881" s="68">
        <v>2.83548723250625</v>
      </c>
      <c r="H2881" s="68">
        <v>135.506121977313</v>
      </c>
      <c r="I2881" s="69">
        <v>44352.4018287037</v>
      </c>
      <c r="J2881" s="69">
        <v>44352.470555555556</v>
      </c>
      <c r="K2881">
        <f>AVERAGE(H2877:H2881)</f>
        <v>117.3114209</v>
      </c>
      <c r="L2881">
        <f>STDEV(H2877:H2881)</f>
        <v>121.233577</v>
      </c>
      <c r="M2881" s="70">
        <v>135.506121977313</v>
      </c>
      <c r="N2881" s="70">
        <v>135.506121977313</v>
      </c>
      <c r="O2881" s="70">
        <v>2.83548723250625</v>
      </c>
      <c r="P2881" s="70">
        <v>2.83548723250625</v>
      </c>
    </row>
    <row r="2882" hidden="1">
      <c r="A2882" s="67" t="s">
        <v>3642</v>
      </c>
      <c r="B2882" s="67" t="s">
        <v>268</v>
      </c>
      <c r="C2882" s="68">
        <v>0.75</v>
      </c>
      <c r="D2882" s="68">
        <v>0.75</v>
      </c>
      <c r="E2882" s="68">
        <v>7.0</v>
      </c>
      <c r="F2882" s="68">
        <v>0.0</v>
      </c>
      <c r="G2882" s="68">
        <v>2.64804552822738</v>
      </c>
      <c r="H2882" s="68">
        <v>4.14886586724848</v>
      </c>
      <c r="I2882" s="69">
        <v>44352.47126157407</v>
      </c>
      <c r="J2882" s="69">
        <v>44352.471342592595</v>
      </c>
      <c r="K2882">
        <f>AVERAGE(H2882:H2886)</f>
        <v>88.3153883</v>
      </c>
      <c r="L2882">
        <f>STDEV(H2882:H2886)</f>
        <v>91.46695124</v>
      </c>
      <c r="M2882" s="70">
        <v>4.14886586724848</v>
      </c>
      <c r="N2882" s="70">
        <v>4.14886586724848</v>
      </c>
      <c r="O2882" s="70">
        <v>2.64804552822738</v>
      </c>
      <c r="P2882" s="70">
        <v>2.64804552822738</v>
      </c>
    </row>
    <row r="2883" hidden="1">
      <c r="A2883" s="67" t="s">
        <v>3643</v>
      </c>
      <c r="B2883" s="67" t="s">
        <v>268</v>
      </c>
      <c r="C2883" s="68">
        <v>0.75</v>
      </c>
      <c r="D2883" s="68">
        <v>0.75</v>
      </c>
      <c r="E2883" s="68">
        <v>7.0</v>
      </c>
      <c r="F2883" s="68">
        <v>1.0</v>
      </c>
      <c r="G2883" s="68">
        <v>0.712997756536142</v>
      </c>
      <c r="H2883" s="68">
        <v>0.950093966860787</v>
      </c>
      <c r="I2883" s="69">
        <v>44352.47204861111</v>
      </c>
      <c r="J2883" s="69">
        <v>44352.47226851852</v>
      </c>
      <c r="K2883">
        <f>AVERAGE(H2882:H2886)</f>
        <v>88.3153883</v>
      </c>
      <c r="L2883">
        <f>STDEV(H2882:H2886)</f>
        <v>91.46695124</v>
      </c>
      <c r="M2883" s="70">
        <v>0.950093966860787</v>
      </c>
      <c r="N2883" s="70">
        <v>0.950093966860787</v>
      </c>
      <c r="O2883" s="70">
        <v>0.712997756536142</v>
      </c>
      <c r="P2883" s="70">
        <v>0.712997756536142</v>
      </c>
    </row>
    <row r="2884" hidden="1">
      <c r="A2884" s="67" t="s">
        <v>3644</v>
      </c>
      <c r="B2884" s="67" t="s">
        <v>268</v>
      </c>
      <c r="C2884" s="68">
        <v>0.75</v>
      </c>
      <c r="D2884" s="68">
        <v>0.75</v>
      </c>
      <c r="E2884" s="68">
        <v>7.0</v>
      </c>
      <c r="F2884" s="68">
        <v>2.0</v>
      </c>
      <c r="G2884" s="68">
        <v>4.10879859754197</v>
      </c>
      <c r="H2884" s="68">
        <v>189.443990610772</v>
      </c>
      <c r="I2884" s="69">
        <v>44352.472974537035</v>
      </c>
      <c r="J2884" s="69">
        <v>44352.47689814815</v>
      </c>
      <c r="K2884">
        <f>AVERAGE(H2882:H2886)</f>
        <v>88.3153883</v>
      </c>
      <c r="L2884">
        <f>STDEV(H2882:H2886)</f>
        <v>91.46695124</v>
      </c>
      <c r="M2884" s="70">
        <v>189.443990610772</v>
      </c>
      <c r="N2884" s="70">
        <v>189.443990610772</v>
      </c>
      <c r="O2884" s="70">
        <v>4.10879859754197</v>
      </c>
      <c r="P2884" s="70">
        <v>4.10879859754197</v>
      </c>
    </row>
    <row r="2885" hidden="1">
      <c r="A2885" s="67" t="s">
        <v>3645</v>
      </c>
      <c r="B2885" s="67" t="s">
        <v>268</v>
      </c>
      <c r="C2885" s="68">
        <v>0.75</v>
      </c>
      <c r="D2885" s="68">
        <v>0.75</v>
      </c>
      <c r="E2885" s="68">
        <v>7.0</v>
      </c>
      <c r="F2885" s="68">
        <v>3.0</v>
      </c>
      <c r="G2885" s="68">
        <v>1.17504802320937</v>
      </c>
      <c r="H2885" s="68">
        <v>68.5496687757208</v>
      </c>
      <c r="I2885" s="69">
        <v>44352.47760416667</v>
      </c>
      <c r="J2885" s="69">
        <v>44352.4809837963</v>
      </c>
      <c r="K2885">
        <f>AVERAGE(H2882:H2886)</f>
        <v>88.3153883</v>
      </c>
      <c r="L2885">
        <f>STDEV(H2882:H2886)</f>
        <v>91.46695124</v>
      </c>
      <c r="M2885" s="70">
        <v>68.5496687757208</v>
      </c>
      <c r="N2885" s="70">
        <v>68.5496687757208</v>
      </c>
      <c r="O2885" s="70">
        <v>1.17504802320937</v>
      </c>
      <c r="P2885" s="70">
        <v>1.17504802320937</v>
      </c>
    </row>
    <row r="2886" hidden="1">
      <c r="A2886" s="67" t="s">
        <v>3646</v>
      </c>
      <c r="B2886" s="67" t="s">
        <v>268</v>
      </c>
      <c r="C2886" s="68">
        <v>0.75</v>
      </c>
      <c r="D2886" s="68">
        <v>0.75</v>
      </c>
      <c r="E2886" s="68">
        <v>7.0</v>
      </c>
      <c r="F2886" s="68">
        <v>4.0</v>
      </c>
      <c r="G2886" s="68">
        <v>4.28833206122639</v>
      </c>
      <c r="H2886" s="68">
        <v>178.484322254999</v>
      </c>
      <c r="I2886" s="69">
        <v>44352.48168981481</v>
      </c>
      <c r="J2886" s="69">
        <v>44352.506203703706</v>
      </c>
      <c r="K2886">
        <f>AVERAGE(H2882:H2886)</f>
        <v>88.3153883</v>
      </c>
      <c r="L2886">
        <f>STDEV(H2882:H2886)</f>
        <v>91.46695124</v>
      </c>
      <c r="M2886" s="70">
        <v>178.484322254999</v>
      </c>
      <c r="N2886" s="70">
        <v>178.484322254999</v>
      </c>
      <c r="O2886" s="70">
        <v>4.28833206122639</v>
      </c>
      <c r="P2886" s="70">
        <v>4.28833206122639</v>
      </c>
    </row>
    <row r="2887" hidden="1">
      <c r="A2887" s="67" t="s">
        <v>3647</v>
      </c>
      <c r="B2887" s="67" t="s">
        <v>268</v>
      </c>
      <c r="C2887" s="68">
        <v>0.75</v>
      </c>
      <c r="D2887" s="68">
        <v>1.0</v>
      </c>
      <c r="E2887" s="68">
        <v>7.0</v>
      </c>
      <c r="F2887" s="68">
        <v>0.0</v>
      </c>
      <c r="G2887" s="68">
        <v>6.85174405151816</v>
      </c>
      <c r="H2887" s="68">
        <v>212.997466442758</v>
      </c>
      <c r="I2887" s="69">
        <v>44352.50690972222</v>
      </c>
      <c r="J2887" s="69">
        <v>44352.50707175926</v>
      </c>
      <c r="K2887">
        <f>AVERAGE(H2887:H2891)</f>
        <v>118.9581929</v>
      </c>
      <c r="L2887">
        <f>STDEV(H2887:H2891)</f>
        <v>97.19982781</v>
      </c>
      <c r="M2887" s="70">
        <v>212.997466442758</v>
      </c>
      <c r="N2887" s="70">
        <v>212.997466442758</v>
      </c>
      <c r="O2887" s="70">
        <v>6.85174405151816</v>
      </c>
      <c r="P2887" s="70">
        <v>6.85174405151816</v>
      </c>
    </row>
    <row r="2888" hidden="1">
      <c r="A2888" s="67" t="s">
        <v>3648</v>
      </c>
      <c r="B2888" s="67" t="s">
        <v>268</v>
      </c>
      <c r="C2888" s="68">
        <v>0.75</v>
      </c>
      <c r="D2888" s="68">
        <v>1.0</v>
      </c>
      <c r="E2888" s="68">
        <v>7.0</v>
      </c>
      <c r="F2888" s="68">
        <v>1.0</v>
      </c>
      <c r="G2888" s="68">
        <v>1.73138879118081</v>
      </c>
      <c r="H2888" s="68">
        <v>28.0686682384719</v>
      </c>
      <c r="I2888" s="69">
        <v>44352.50777777778</v>
      </c>
      <c r="J2888" s="69">
        <v>44352.50837962963</v>
      </c>
      <c r="K2888">
        <f>AVERAGE(H2887:H2891)</f>
        <v>118.9581929</v>
      </c>
      <c r="L2888">
        <f>STDEV(H2887:H2891)</f>
        <v>97.19982781</v>
      </c>
      <c r="M2888" s="70">
        <v>28.0686682384719</v>
      </c>
      <c r="N2888" s="70">
        <v>28.0686682384719</v>
      </c>
      <c r="O2888" s="70">
        <v>1.73138879118081</v>
      </c>
      <c r="P2888" s="70">
        <v>1.73138879118081</v>
      </c>
    </row>
    <row r="2889" hidden="1">
      <c r="A2889" s="67" t="s">
        <v>3649</v>
      </c>
      <c r="B2889" s="67" t="s">
        <v>268</v>
      </c>
      <c r="C2889" s="68">
        <v>0.75</v>
      </c>
      <c r="D2889" s="68">
        <v>1.0</v>
      </c>
      <c r="E2889" s="68">
        <v>7.0</v>
      </c>
      <c r="F2889" s="68">
        <v>2.0</v>
      </c>
      <c r="G2889" s="68">
        <v>0.656069802826589</v>
      </c>
      <c r="H2889" s="68">
        <v>1.22923403089984</v>
      </c>
      <c r="I2889" s="69">
        <v>44352.50907407407</v>
      </c>
      <c r="J2889" s="69">
        <v>44352.50981481482</v>
      </c>
      <c r="K2889">
        <f>AVERAGE(H2887:H2891)</f>
        <v>118.9581929</v>
      </c>
      <c r="L2889">
        <f>STDEV(H2887:H2891)</f>
        <v>97.19982781</v>
      </c>
      <c r="M2889" s="70">
        <v>1.22923403089984</v>
      </c>
      <c r="N2889" s="70">
        <v>1.22923403089984</v>
      </c>
      <c r="O2889" s="70">
        <v>0.656069802826589</v>
      </c>
      <c r="P2889" s="70">
        <v>0.656069802826589</v>
      </c>
    </row>
    <row r="2890" hidden="1">
      <c r="A2890" s="67" t="s">
        <v>3650</v>
      </c>
      <c r="B2890" s="67" t="s">
        <v>268</v>
      </c>
      <c r="C2890" s="68">
        <v>0.75</v>
      </c>
      <c r="D2890" s="68">
        <v>1.0</v>
      </c>
      <c r="E2890" s="68">
        <v>7.0</v>
      </c>
      <c r="F2890" s="68">
        <v>3.0</v>
      </c>
      <c r="G2890" s="68">
        <v>4.06428796851582</v>
      </c>
      <c r="H2890" s="68">
        <v>187.707073472999</v>
      </c>
      <c r="I2890" s="69">
        <v>44352.51050925926</v>
      </c>
      <c r="J2890" s="69">
        <v>44352.51385416667</v>
      </c>
      <c r="K2890">
        <f>AVERAGE(H2887:H2891)</f>
        <v>118.9581929</v>
      </c>
      <c r="L2890">
        <f>STDEV(H2887:H2891)</f>
        <v>97.19982781</v>
      </c>
      <c r="M2890" s="70">
        <v>187.707073472999</v>
      </c>
      <c r="N2890" s="70">
        <v>187.707073472999</v>
      </c>
      <c r="O2890" s="70">
        <v>4.06428796851582</v>
      </c>
      <c r="P2890" s="70">
        <v>4.06428796851582</v>
      </c>
    </row>
    <row r="2891" hidden="1">
      <c r="A2891" s="67" t="s">
        <v>3651</v>
      </c>
      <c r="B2891" s="67" t="s">
        <v>268</v>
      </c>
      <c r="C2891" s="68">
        <v>0.75</v>
      </c>
      <c r="D2891" s="68">
        <v>1.0</v>
      </c>
      <c r="E2891" s="68">
        <v>7.0</v>
      </c>
      <c r="F2891" s="68">
        <v>4.0</v>
      </c>
      <c r="G2891" s="68">
        <v>3.61853512185481</v>
      </c>
      <c r="H2891" s="68">
        <v>164.788522464631</v>
      </c>
      <c r="I2891" s="69">
        <v>44352.514548611114</v>
      </c>
      <c r="J2891" s="69">
        <v>44352.550046296295</v>
      </c>
      <c r="K2891">
        <f>AVERAGE(H2887:H2891)</f>
        <v>118.9581929</v>
      </c>
      <c r="L2891">
        <f>STDEV(H2887:H2891)</f>
        <v>97.19982781</v>
      </c>
      <c r="M2891" s="70">
        <v>164.788522464631</v>
      </c>
      <c r="N2891" s="70">
        <v>164.788522464631</v>
      </c>
      <c r="O2891" s="70">
        <v>3.61853512185481</v>
      </c>
      <c r="P2891" s="70">
        <v>3.61853512185481</v>
      </c>
    </row>
    <row r="2892" hidden="1">
      <c r="A2892" s="67" t="s">
        <v>3652</v>
      </c>
      <c r="B2892" s="67" t="s">
        <v>268</v>
      </c>
      <c r="C2892" s="68">
        <v>1.0</v>
      </c>
      <c r="D2892" s="68">
        <v>0.1</v>
      </c>
      <c r="E2892" s="68">
        <v>7.0</v>
      </c>
      <c r="F2892" s="68">
        <v>0.0</v>
      </c>
      <c r="G2892" s="68">
        <v>3.25547196978672</v>
      </c>
      <c r="H2892" s="68">
        <v>153.154926974621</v>
      </c>
      <c r="I2892" s="69">
        <v>44352.55074074074</v>
      </c>
      <c r="J2892" s="69">
        <v>44352.599652777775</v>
      </c>
      <c r="K2892">
        <f>AVERAGE(H2892:H2896)</f>
        <v>123.1968654</v>
      </c>
      <c r="L2892">
        <f>STDEV(H2892:H2896)</f>
        <v>123.1414481</v>
      </c>
      <c r="M2892" s="70">
        <v>153.154926974621</v>
      </c>
      <c r="N2892" s="70">
        <v>153.154926974621</v>
      </c>
      <c r="O2892" s="70">
        <v>3.25547196978672</v>
      </c>
      <c r="P2892" s="70">
        <v>3.25547196978672</v>
      </c>
    </row>
    <row r="2893" hidden="1">
      <c r="A2893" s="67" t="s">
        <v>3653</v>
      </c>
      <c r="B2893" s="67" t="s">
        <v>268</v>
      </c>
      <c r="C2893" s="68">
        <v>1.0</v>
      </c>
      <c r="D2893" s="68">
        <v>0.1</v>
      </c>
      <c r="E2893" s="68">
        <v>7.0</v>
      </c>
      <c r="F2893" s="68">
        <v>1.0</v>
      </c>
      <c r="G2893" s="68">
        <v>4.74082010853713</v>
      </c>
      <c r="H2893" s="68">
        <v>172.218180819367</v>
      </c>
      <c r="I2893" s="69">
        <v>44352.60037037037</v>
      </c>
      <c r="J2893" s="69">
        <v>44352.60050925926</v>
      </c>
      <c r="K2893">
        <f>AVERAGE(H2892:H2896)</f>
        <v>123.1968654</v>
      </c>
      <c r="L2893">
        <f>STDEV(H2892:H2896)</f>
        <v>123.1414481</v>
      </c>
      <c r="M2893" s="70">
        <v>172.218180819367</v>
      </c>
      <c r="N2893" s="70">
        <v>172.218180819367</v>
      </c>
      <c r="O2893" s="70">
        <v>4.74082010853713</v>
      </c>
      <c r="P2893" s="70">
        <v>4.74082010853713</v>
      </c>
    </row>
    <row r="2894" hidden="1">
      <c r="A2894" s="67" t="s">
        <v>3654</v>
      </c>
      <c r="B2894" s="67" t="s">
        <v>268</v>
      </c>
      <c r="C2894" s="68">
        <v>1.0</v>
      </c>
      <c r="D2894" s="68">
        <v>0.1</v>
      </c>
      <c r="E2894" s="68">
        <v>7.0</v>
      </c>
      <c r="F2894" s="68">
        <v>2.0</v>
      </c>
      <c r="G2894" s="68">
        <v>8.28953275833256</v>
      </c>
      <c r="H2894" s="68">
        <v>288.834332760052</v>
      </c>
      <c r="I2894" s="69">
        <v>44352.60121527778</v>
      </c>
      <c r="J2894" s="69">
        <v>44352.60212962963</v>
      </c>
      <c r="K2894">
        <f>AVERAGE(H2892:H2896)</f>
        <v>123.1968654</v>
      </c>
      <c r="L2894">
        <f>STDEV(H2892:H2896)</f>
        <v>123.1414481</v>
      </c>
      <c r="M2894" s="70">
        <v>288.834332760052</v>
      </c>
      <c r="N2894" s="70">
        <v>288.834332760052</v>
      </c>
      <c r="O2894" s="70">
        <v>8.28953275833256</v>
      </c>
      <c r="P2894" s="70">
        <v>8.28953275833256</v>
      </c>
    </row>
    <row r="2895" hidden="1">
      <c r="A2895" s="67" t="s">
        <v>3655</v>
      </c>
      <c r="B2895" s="67" t="s">
        <v>268</v>
      </c>
      <c r="C2895" s="68">
        <v>1.0</v>
      </c>
      <c r="D2895" s="68">
        <v>0.1</v>
      </c>
      <c r="E2895" s="68">
        <v>7.0</v>
      </c>
      <c r="F2895" s="68">
        <v>3.0</v>
      </c>
      <c r="G2895" s="68">
        <v>0.658279944645895</v>
      </c>
      <c r="H2895" s="68">
        <v>1.2195809132323</v>
      </c>
      <c r="I2895" s="69">
        <v>44352.602847222224</v>
      </c>
      <c r="J2895" s="69">
        <v>44352.60356481482</v>
      </c>
      <c r="K2895">
        <f>AVERAGE(H2892:H2896)</f>
        <v>123.1968654</v>
      </c>
      <c r="L2895">
        <f>STDEV(H2892:H2896)</f>
        <v>123.1414481</v>
      </c>
      <c r="M2895" s="70">
        <v>1.2195809132323</v>
      </c>
      <c r="N2895" s="70">
        <v>1.2195809132323</v>
      </c>
      <c r="O2895" s="70">
        <v>0.658279944645895</v>
      </c>
      <c r="P2895" s="70">
        <v>0.658279944645895</v>
      </c>
    </row>
    <row r="2896" hidden="1">
      <c r="A2896" s="67" t="s">
        <v>3656</v>
      </c>
      <c r="B2896" s="67" t="s">
        <v>268</v>
      </c>
      <c r="C2896" s="68">
        <v>1.0</v>
      </c>
      <c r="D2896" s="68">
        <v>0.1</v>
      </c>
      <c r="E2896" s="68">
        <v>7.0</v>
      </c>
      <c r="F2896" s="68">
        <v>4.0</v>
      </c>
      <c r="G2896" s="68">
        <v>0.465167413703647</v>
      </c>
      <c r="H2896" s="68">
        <v>0.557305517684364</v>
      </c>
      <c r="I2896" s="69">
        <v>44352.60428240741</v>
      </c>
      <c r="J2896" s="69">
        <v>44352.60444444444</v>
      </c>
      <c r="K2896">
        <f>AVERAGE(H2892:H2896)</f>
        <v>123.1968654</v>
      </c>
      <c r="L2896">
        <f>STDEV(H2892:H2896)</f>
        <v>123.1414481</v>
      </c>
      <c r="M2896" s="70">
        <v>0.557305517684364</v>
      </c>
      <c r="N2896" s="70">
        <v>0.557305517684364</v>
      </c>
      <c r="O2896" s="70">
        <v>0.465167413703647</v>
      </c>
      <c r="P2896" s="70">
        <v>0.465167413703647</v>
      </c>
    </row>
    <row r="2897" hidden="1">
      <c r="A2897" s="67" t="s">
        <v>3657</v>
      </c>
      <c r="B2897" s="67" t="s">
        <v>268</v>
      </c>
      <c r="C2897" s="68">
        <v>1.0</v>
      </c>
      <c r="D2897" s="68">
        <v>0.25</v>
      </c>
      <c r="E2897" s="68">
        <v>7.0</v>
      </c>
      <c r="F2897" s="68">
        <v>0.0</v>
      </c>
      <c r="G2897" s="68">
        <v>0.656736784704811</v>
      </c>
      <c r="H2897" s="68">
        <v>1.21690404053296</v>
      </c>
      <c r="I2897" s="69">
        <v>44352.605162037034</v>
      </c>
      <c r="J2897" s="69">
        <v>44352.60596064815</v>
      </c>
      <c r="K2897">
        <f>AVERAGE(H2897:H2901)</f>
        <v>43.50966979</v>
      </c>
      <c r="L2897">
        <f>STDEV(H2897:H2901)</f>
        <v>80.50238602</v>
      </c>
      <c r="M2897" s="70">
        <v>1.21690404053296</v>
      </c>
      <c r="N2897" s="70">
        <v>1.21690404053296</v>
      </c>
      <c r="O2897" s="70">
        <v>0.656736784704811</v>
      </c>
      <c r="P2897" s="70">
        <v>0.656736784704811</v>
      </c>
    </row>
    <row r="2898" hidden="1">
      <c r="A2898" s="67" t="s">
        <v>3658</v>
      </c>
      <c r="B2898" s="67" t="s">
        <v>268</v>
      </c>
      <c r="C2898" s="68">
        <v>1.0</v>
      </c>
      <c r="D2898" s="68">
        <v>0.25</v>
      </c>
      <c r="E2898" s="68">
        <v>7.0</v>
      </c>
      <c r="F2898" s="68">
        <v>1.0</v>
      </c>
      <c r="G2898" s="68">
        <v>1.7312432092875</v>
      </c>
      <c r="H2898" s="68">
        <v>27.8969271806591</v>
      </c>
      <c r="I2898" s="69">
        <v>44352.60667824074</v>
      </c>
      <c r="J2898" s="69">
        <v>44352.60732638889</v>
      </c>
      <c r="K2898">
        <f>AVERAGE(H2897:H2901)</f>
        <v>43.50966979</v>
      </c>
      <c r="L2898">
        <f>STDEV(H2897:H2901)</f>
        <v>80.50238602</v>
      </c>
      <c r="M2898" s="70">
        <v>27.8969271806591</v>
      </c>
      <c r="N2898" s="70">
        <v>27.8969271806591</v>
      </c>
      <c r="O2898" s="70">
        <v>1.7312432092875</v>
      </c>
      <c r="P2898" s="70">
        <v>1.7312432092875</v>
      </c>
    </row>
    <row r="2899" hidden="1">
      <c r="A2899" s="67" t="s">
        <v>3659</v>
      </c>
      <c r="B2899" s="67" t="s">
        <v>268</v>
      </c>
      <c r="C2899" s="68">
        <v>1.0</v>
      </c>
      <c r="D2899" s="68">
        <v>0.25</v>
      </c>
      <c r="E2899" s="68">
        <v>7.0</v>
      </c>
      <c r="F2899" s="68">
        <v>2.0</v>
      </c>
      <c r="G2899" s="68">
        <v>1.08481939748021</v>
      </c>
      <c r="H2899" s="68">
        <v>1.45526223330832</v>
      </c>
      <c r="I2899" s="69">
        <v>44352.60804398148</v>
      </c>
      <c r="J2899" s="69">
        <v>44352.608148148145</v>
      </c>
      <c r="K2899">
        <f>AVERAGE(H2897:H2901)</f>
        <v>43.50966979</v>
      </c>
      <c r="L2899">
        <f>STDEV(H2897:H2901)</f>
        <v>80.50238602</v>
      </c>
      <c r="M2899" s="70">
        <v>1.45526223330832</v>
      </c>
      <c r="N2899" s="70">
        <v>1.45526223330832</v>
      </c>
      <c r="O2899" s="70">
        <v>1.08481939748021</v>
      </c>
      <c r="P2899" s="70">
        <v>1.08481939748021</v>
      </c>
    </row>
    <row r="2900" hidden="1">
      <c r="A2900" s="67" t="s">
        <v>3660</v>
      </c>
      <c r="B2900" s="67" t="s">
        <v>268</v>
      </c>
      <c r="C2900" s="68">
        <v>1.0</v>
      </c>
      <c r="D2900" s="68">
        <v>0.25</v>
      </c>
      <c r="E2900" s="68">
        <v>7.0</v>
      </c>
      <c r="F2900" s="68">
        <v>3.0</v>
      </c>
      <c r="G2900" s="68">
        <v>0.738388919616822</v>
      </c>
      <c r="H2900" s="68">
        <v>0.954404004182583</v>
      </c>
      <c r="I2900" s="69">
        <v>44352.60886574074</v>
      </c>
      <c r="J2900" s="69">
        <v>44352.6090625</v>
      </c>
      <c r="K2900">
        <f>AVERAGE(H2897:H2901)</f>
        <v>43.50966979</v>
      </c>
      <c r="L2900">
        <f>STDEV(H2897:H2901)</f>
        <v>80.50238602</v>
      </c>
      <c r="M2900" s="70">
        <v>0.954404004182583</v>
      </c>
      <c r="N2900" s="70">
        <v>0.954404004182583</v>
      </c>
      <c r="O2900" s="70">
        <v>0.738388919616822</v>
      </c>
      <c r="P2900" s="70">
        <v>0.738388919616822</v>
      </c>
    </row>
    <row r="2901" hidden="1">
      <c r="A2901" s="67" t="s">
        <v>3661</v>
      </c>
      <c r="B2901" s="67" t="s">
        <v>268</v>
      </c>
      <c r="C2901" s="68">
        <v>1.0</v>
      </c>
      <c r="D2901" s="68">
        <v>0.25</v>
      </c>
      <c r="E2901" s="68">
        <v>7.0</v>
      </c>
      <c r="F2901" s="68">
        <v>4.0</v>
      </c>
      <c r="G2901" s="68">
        <v>4.30793809971063</v>
      </c>
      <c r="H2901" s="68">
        <v>186.024851481356</v>
      </c>
      <c r="I2901" s="69">
        <v>44352.60978009259</v>
      </c>
      <c r="J2901" s="69">
        <v>44352.67159722222</v>
      </c>
      <c r="K2901">
        <f>AVERAGE(H2897:H2901)</f>
        <v>43.50966979</v>
      </c>
      <c r="L2901">
        <f>STDEV(H2897:H2901)</f>
        <v>80.50238602</v>
      </c>
      <c r="M2901" s="70">
        <v>186.024851481356</v>
      </c>
      <c r="N2901" s="70">
        <v>186.024851481356</v>
      </c>
      <c r="O2901" s="70">
        <v>4.30793809971063</v>
      </c>
      <c r="P2901" s="70">
        <v>4.30793809971063</v>
      </c>
    </row>
    <row r="2902" hidden="1">
      <c r="A2902" s="67" t="s">
        <v>3662</v>
      </c>
      <c r="B2902" s="67" t="s">
        <v>268</v>
      </c>
      <c r="C2902" s="68">
        <v>1.0</v>
      </c>
      <c r="D2902" s="68">
        <v>0.5</v>
      </c>
      <c r="E2902" s="68">
        <v>7.0</v>
      </c>
      <c r="F2902" s="68">
        <v>0.0</v>
      </c>
      <c r="G2902" s="68">
        <v>4.95630131802665</v>
      </c>
      <c r="H2902" s="68">
        <v>155.175286144932</v>
      </c>
      <c r="I2902" s="69">
        <v>44352.67230324074</v>
      </c>
      <c r="J2902" s="69">
        <v>44352.67239583333</v>
      </c>
      <c r="K2902">
        <f>AVERAGE(H2902:H2906)</f>
        <v>94.99162107</v>
      </c>
      <c r="L2902">
        <f>STDEV(H2902:H2906)</f>
        <v>86.62921495</v>
      </c>
      <c r="M2902" s="70">
        <v>155.175286144932</v>
      </c>
      <c r="N2902" s="70">
        <v>155.175286144932</v>
      </c>
      <c r="O2902" s="70">
        <v>4.95630131802665</v>
      </c>
      <c r="P2902" s="70">
        <v>4.95630131802665</v>
      </c>
    </row>
    <row r="2903" hidden="1">
      <c r="A2903" s="67" t="s">
        <v>3663</v>
      </c>
      <c r="B2903" s="67" t="s">
        <v>268</v>
      </c>
      <c r="C2903" s="68">
        <v>1.0</v>
      </c>
      <c r="D2903" s="68">
        <v>0.5</v>
      </c>
      <c r="E2903" s="68">
        <v>7.0</v>
      </c>
      <c r="F2903" s="68">
        <v>1.0</v>
      </c>
      <c r="G2903" s="68">
        <v>0.464316051100371</v>
      </c>
      <c r="H2903" s="68">
        <v>0.556351663008357</v>
      </c>
      <c r="I2903" s="69">
        <v>44352.673101851855</v>
      </c>
      <c r="J2903" s="69">
        <v>44352.67327546296</v>
      </c>
      <c r="K2903">
        <f>AVERAGE(H2902:H2906)</f>
        <v>94.99162107</v>
      </c>
      <c r="L2903">
        <f>STDEV(H2902:H2906)</f>
        <v>86.62921495</v>
      </c>
      <c r="M2903" s="70">
        <v>0.556351663008357</v>
      </c>
      <c r="N2903" s="70">
        <v>0.556351663008357</v>
      </c>
      <c r="O2903" s="70">
        <v>0.464316051100371</v>
      </c>
      <c r="P2903" s="70">
        <v>0.464316051100371</v>
      </c>
    </row>
    <row r="2904" hidden="1">
      <c r="A2904" s="67" t="s">
        <v>3664</v>
      </c>
      <c r="B2904" s="67" t="s">
        <v>268</v>
      </c>
      <c r="C2904" s="68">
        <v>1.0</v>
      </c>
      <c r="D2904" s="68">
        <v>0.5</v>
      </c>
      <c r="E2904" s="68">
        <v>7.0</v>
      </c>
      <c r="F2904" s="68">
        <v>2.0</v>
      </c>
      <c r="G2904" s="68">
        <v>0.319096105615425</v>
      </c>
      <c r="H2904" s="68">
        <v>0.408517979006142</v>
      </c>
      <c r="I2904" s="69">
        <v>44352.67398148148</v>
      </c>
      <c r="J2904" s="69">
        <v>44352.67403935185</v>
      </c>
      <c r="K2904">
        <f>AVERAGE(H2902:H2906)</f>
        <v>94.99162107</v>
      </c>
      <c r="L2904">
        <f>STDEV(H2902:H2906)</f>
        <v>86.62921495</v>
      </c>
      <c r="M2904" s="70">
        <v>0.408517979006142</v>
      </c>
      <c r="N2904" s="70">
        <v>0.408517979006142</v>
      </c>
      <c r="O2904" s="70">
        <v>0.319096105615425</v>
      </c>
      <c r="P2904" s="70">
        <v>0.319096105615425</v>
      </c>
    </row>
    <row r="2905" hidden="1">
      <c r="A2905" s="67" t="s">
        <v>3665</v>
      </c>
      <c r="B2905" s="67" t="s">
        <v>268</v>
      </c>
      <c r="C2905" s="68">
        <v>1.0</v>
      </c>
      <c r="D2905" s="68">
        <v>0.5</v>
      </c>
      <c r="E2905" s="68">
        <v>7.0</v>
      </c>
      <c r="F2905" s="68">
        <v>3.0</v>
      </c>
      <c r="G2905" s="68">
        <v>2.73630906659263</v>
      </c>
      <c r="H2905" s="68">
        <v>148.610003188994</v>
      </c>
      <c r="I2905" s="69">
        <v>44352.67474537037</v>
      </c>
      <c r="J2905" s="69">
        <v>44352.69054398148</v>
      </c>
      <c r="K2905">
        <f>AVERAGE(H2902:H2906)</f>
        <v>94.99162107</v>
      </c>
      <c r="L2905">
        <f>STDEV(H2902:H2906)</f>
        <v>86.62921495</v>
      </c>
      <c r="M2905" s="70">
        <v>148.610003188994</v>
      </c>
      <c r="N2905" s="70">
        <v>148.610003188994</v>
      </c>
      <c r="O2905" s="70">
        <v>2.73630906659263</v>
      </c>
      <c r="P2905" s="70">
        <v>2.73630906659263</v>
      </c>
    </row>
    <row r="2906" hidden="1">
      <c r="A2906" s="67" t="s">
        <v>3666</v>
      </c>
      <c r="B2906" s="67" t="s">
        <v>268</v>
      </c>
      <c r="C2906" s="68">
        <v>1.0</v>
      </c>
      <c r="D2906" s="68">
        <v>0.5</v>
      </c>
      <c r="E2906" s="68">
        <v>7.0</v>
      </c>
      <c r="F2906" s="68">
        <v>4.0</v>
      </c>
      <c r="G2906" s="68">
        <v>4.02796112624862</v>
      </c>
      <c r="H2906" s="68">
        <v>170.207946358955</v>
      </c>
      <c r="I2906" s="69">
        <v>44352.69125</v>
      </c>
      <c r="J2906" s="69">
        <v>44352.72733796296</v>
      </c>
      <c r="K2906">
        <f>AVERAGE(H2902:H2906)</f>
        <v>94.99162107</v>
      </c>
      <c r="L2906">
        <f>STDEV(H2902:H2906)</f>
        <v>86.62921495</v>
      </c>
      <c r="M2906" s="70">
        <v>170.207946358955</v>
      </c>
      <c r="N2906" s="70">
        <v>170.207946358955</v>
      </c>
      <c r="O2906" s="70">
        <v>4.02796112624862</v>
      </c>
      <c r="P2906" s="70">
        <v>4.02796112624862</v>
      </c>
    </row>
    <row r="2907" hidden="1">
      <c r="A2907" s="67" t="s">
        <v>3667</v>
      </c>
      <c r="B2907" s="67" t="s">
        <v>268</v>
      </c>
      <c r="C2907" s="68">
        <v>1.0</v>
      </c>
      <c r="D2907" s="68">
        <v>0.75</v>
      </c>
      <c r="E2907" s="68">
        <v>7.0</v>
      </c>
      <c r="F2907" s="68">
        <v>0.0</v>
      </c>
      <c r="G2907" s="68">
        <v>2.89235066322242</v>
      </c>
      <c r="H2907" s="68">
        <v>142.72843949738</v>
      </c>
      <c r="I2907" s="69">
        <v>44352.72804398148</v>
      </c>
      <c r="J2907" s="69">
        <v>44352.777453703704</v>
      </c>
      <c r="K2907">
        <f>AVERAGE(H2907:H2911)</f>
        <v>120.9923761</v>
      </c>
      <c r="L2907">
        <f>STDEV(H2907:H2911)</f>
        <v>72.31810646</v>
      </c>
      <c r="M2907" s="70">
        <v>142.72843949738</v>
      </c>
      <c r="N2907" s="70">
        <v>142.72843949738</v>
      </c>
      <c r="O2907" s="70">
        <v>2.89235066322242</v>
      </c>
      <c r="P2907" s="70">
        <v>2.89235066322242</v>
      </c>
    </row>
    <row r="2908" hidden="1">
      <c r="A2908" s="67" t="s">
        <v>3668</v>
      </c>
      <c r="B2908" s="67" t="s">
        <v>268</v>
      </c>
      <c r="C2908" s="68">
        <v>1.0</v>
      </c>
      <c r="D2908" s="68">
        <v>0.75</v>
      </c>
      <c r="E2908" s="68">
        <v>7.0</v>
      </c>
      <c r="F2908" s="68">
        <v>1.0</v>
      </c>
      <c r="G2908" s="68">
        <v>4.22836863640158</v>
      </c>
      <c r="H2908" s="68">
        <v>190.533221002132</v>
      </c>
      <c r="I2908" s="69">
        <v>44352.77815972222</v>
      </c>
      <c r="J2908" s="69">
        <v>44352.78178240741</v>
      </c>
      <c r="K2908">
        <f>AVERAGE(H2907:H2911)</f>
        <v>120.9923761</v>
      </c>
      <c r="L2908">
        <f>STDEV(H2907:H2911)</f>
        <v>72.31810646</v>
      </c>
      <c r="M2908" s="70">
        <v>190.533221002132</v>
      </c>
      <c r="N2908" s="70">
        <v>190.533221002132</v>
      </c>
      <c r="O2908" s="70">
        <v>4.22836863640158</v>
      </c>
      <c r="P2908" s="70">
        <v>4.22836863640158</v>
      </c>
    </row>
    <row r="2909" hidden="1">
      <c r="A2909" s="67" t="s">
        <v>3669</v>
      </c>
      <c r="B2909" s="67" t="s">
        <v>268</v>
      </c>
      <c r="C2909" s="68">
        <v>1.0</v>
      </c>
      <c r="D2909" s="68">
        <v>0.75</v>
      </c>
      <c r="E2909" s="68">
        <v>7.0</v>
      </c>
      <c r="F2909" s="68">
        <v>2.0</v>
      </c>
      <c r="G2909" s="68">
        <v>4.19513815267797</v>
      </c>
      <c r="H2909" s="68">
        <v>115.793222145536</v>
      </c>
      <c r="I2909" s="69">
        <v>44352.782488425924</v>
      </c>
      <c r="J2909" s="69">
        <v>44352.78255787037</v>
      </c>
      <c r="K2909">
        <f>AVERAGE(H2907:H2911)</f>
        <v>120.9923761</v>
      </c>
      <c r="L2909">
        <f>STDEV(H2907:H2911)</f>
        <v>72.31810646</v>
      </c>
      <c r="M2909" s="70">
        <v>115.793222145536</v>
      </c>
      <c r="N2909" s="70">
        <v>115.793222145536</v>
      </c>
      <c r="O2909" s="70">
        <v>4.19513815267797</v>
      </c>
      <c r="P2909" s="70">
        <v>4.19513815267797</v>
      </c>
    </row>
    <row r="2910" hidden="1">
      <c r="A2910" s="67" t="s">
        <v>3670</v>
      </c>
      <c r="B2910" s="67" t="s">
        <v>268</v>
      </c>
      <c r="C2910" s="68">
        <v>1.0</v>
      </c>
      <c r="D2910" s="68">
        <v>0.75</v>
      </c>
      <c r="E2910" s="68">
        <v>7.0</v>
      </c>
      <c r="F2910" s="68">
        <v>3.0</v>
      </c>
      <c r="G2910" s="68">
        <v>4.91015462094691</v>
      </c>
      <c r="H2910" s="68">
        <v>155.02336139205</v>
      </c>
      <c r="I2910" s="69">
        <v>44352.78325231482</v>
      </c>
      <c r="J2910" s="69">
        <v>44352.78346064815</v>
      </c>
      <c r="K2910">
        <f>AVERAGE(H2907:H2911)</f>
        <v>120.9923761</v>
      </c>
      <c r="L2910">
        <f>STDEV(H2907:H2911)</f>
        <v>72.31810646</v>
      </c>
      <c r="M2910" s="70">
        <v>155.02336139205</v>
      </c>
      <c r="N2910" s="70">
        <v>155.02336139205</v>
      </c>
      <c r="O2910" s="70">
        <v>4.91015462094691</v>
      </c>
      <c r="P2910" s="70">
        <v>4.91015462094691</v>
      </c>
    </row>
    <row r="2911" hidden="1">
      <c r="A2911" s="67" t="s">
        <v>3671</v>
      </c>
      <c r="B2911" s="67" t="s">
        <v>268</v>
      </c>
      <c r="C2911" s="68">
        <v>1.0</v>
      </c>
      <c r="D2911" s="68">
        <v>0.75</v>
      </c>
      <c r="E2911" s="68">
        <v>7.0</v>
      </c>
      <c r="F2911" s="68">
        <v>4.0</v>
      </c>
      <c r="G2911" s="68">
        <v>0.644508742919531</v>
      </c>
      <c r="H2911" s="68">
        <v>0.883636341900202</v>
      </c>
      <c r="I2911" s="69">
        <v>44352.784166666665</v>
      </c>
      <c r="J2911" s="69">
        <v>44352.784166666665</v>
      </c>
      <c r="K2911">
        <f>AVERAGE(H2907:H2911)</f>
        <v>120.9923761</v>
      </c>
      <c r="L2911">
        <f>STDEV(H2907:H2911)</f>
        <v>72.31810646</v>
      </c>
      <c r="M2911" s="70">
        <v>0.883636341900202</v>
      </c>
      <c r="N2911" s="70">
        <v>0.883636341900202</v>
      </c>
      <c r="O2911" s="70">
        <v>0.644508742919531</v>
      </c>
      <c r="P2911" s="70">
        <v>0.644508742919531</v>
      </c>
    </row>
    <row r="2912" hidden="1">
      <c r="A2912" s="67" t="s">
        <v>3672</v>
      </c>
      <c r="B2912" s="67" t="s">
        <v>268</v>
      </c>
      <c r="C2912" s="68">
        <v>1.0</v>
      </c>
      <c r="D2912" s="68">
        <v>1.0</v>
      </c>
      <c r="E2912" s="68">
        <v>7.0</v>
      </c>
      <c r="F2912" s="68">
        <v>0.0</v>
      </c>
      <c r="G2912" s="68">
        <v>0.656337409753558</v>
      </c>
      <c r="H2912" s="68">
        <v>1.21872212457015</v>
      </c>
      <c r="I2912" s="69">
        <v>44352.78487268519</v>
      </c>
      <c r="J2912" s="69">
        <v>44352.7856712963</v>
      </c>
      <c r="K2912">
        <f>AVERAGE(H2912:H2916)</f>
        <v>101.2820305</v>
      </c>
      <c r="L2912">
        <f>STDEV(H2912:H2916)</f>
        <v>98.71180363</v>
      </c>
      <c r="M2912" s="70">
        <v>1.21872212457015</v>
      </c>
      <c r="N2912" s="70">
        <v>1.21872212457015</v>
      </c>
      <c r="O2912" s="70">
        <v>0.656337409753558</v>
      </c>
      <c r="P2912" s="70">
        <v>0.656337409753558</v>
      </c>
    </row>
    <row r="2913" hidden="1">
      <c r="A2913" s="67" t="s">
        <v>3673</v>
      </c>
      <c r="B2913" s="67" t="s">
        <v>268</v>
      </c>
      <c r="C2913" s="68">
        <v>1.0</v>
      </c>
      <c r="D2913" s="68">
        <v>1.0</v>
      </c>
      <c r="E2913" s="68">
        <v>7.0</v>
      </c>
      <c r="F2913" s="68">
        <v>1.0</v>
      </c>
      <c r="G2913" s="68">
        <v>2.45668706190117</v>
      </c>
      <c r="H2913" s="68">
        <v>112.76875426429</v>
      </c>
      <c r="I2913" s="69">
        <v>44352.78637731481</v>
      </c>
      <c r="J2913" s="69">
        <v>44352.815092592595</v>
      </c>
      <c r="K2913">
        <f>AVERAGE(H2912:H2916)</f>
        <v>101.2820305</v>
      </c>
      <c r="L2913">
        <f>STDEV(H2912:H2916)</f>
        <v>98.71180363</v>
      </c>
      <c r="M2913" s="70">
        <v>112.76875426429</v>
      </c>
      <c r="N2913" s="70">
        <v>112.76875426429</v>
      </c>
      <c r="O2913" s="70">
        <v>2.45668706190117</v>
      </c>
      <c r="P2913" s="70">
        <v>2.45668706190117</v>
      </c>
    </row>
    <row r="2914" hidden="1">
      <c r="A2914" s="67" t="s">
        <v>3674</v>
      </c>
      <c r="B2914" s="67" t="s">
        <v>268</v>
      </c>
      <c r="C2914" s="68">
        <v>1.0</v>
      </c>
      <c r="D2914" s="68">
        <v>1.0</v>
      </c>
      <c r="E2914" s="68">
        <v>7.0</v>
      </c>
      <c r="F2914" s="68">
        <v>2.0</v>
      </c>
      <c r="G2914" s="68">
        <v>2.65066504174383</v>
      </c>
      <c r="H2914" s="68">
        <v>4.15203700319512</v>
      </c>
      <c r="I2914" s="69">
        <v>44352.81579861111</v>
      </c>
      <c r="J2914" s="69">
        <v>44352.81587962963</v>
      </c>
      <c r="K2914">
        <f>AVERAGE(H2912:H2916)</f>
        <v>101.2820305</v>
      </c>
      <c r="L2914">
        <f>STDEV(H2912:H2916)</f>
        <v>98.71180363</v>
      </c>
      <c r="M2914" s="70">
        <v>4.15203700319512</v>
      </c>
      <c r="N2914" s="70">
        <v>4.15203700319512</v>
      </c>
      <c r="O2914" s="70">
        <v>2.65066504174383</v>
      </c>
      <c r="P2914" s="70">
        <v>2.65066504174383</v>
      </c>
    </row>
    <row r="2915" hidden="1">
      <c r="A2915" s="67" t="s">
        <v>3675</v>
      </c>
      <c r="B2915" s="67" t="s">
        <v>268</v>
      </c>
      <c r="C2915" s="68">
        <v>1.0</v>
      </c>
      <c r="D2915" s="68">
        <v>1.0</v>
      </c>
      <c r="E2915" s="68">
        <v>7.0</v>
      </c>
      <c r="F2915" s="68">
        <v>3.0</v>
      </c>
      <c r="G2915" s="68">
        <v>5.40541737044138</v>
      </c>
      <c r="H2915" s="68">
        <v>226.951229971479</v>
      </c>
      <c r="I2915" s="69">
        <v>44352.81658564815</v>
      </c>
      <c r="J2915" s="69">
        <v>44352.82753472222</v>
      </c>
      <c r="K2915">
        <f>AVERAGE(H2912:H2916)</f>
        <v>101.2820305</v>
      </c>
      <c r="L2915">
        <f>STDEV(H2912:H2916)</f>
        <v>98.71180363</v>
      </c>
      <c r="M2915" s="70">
        <v>226.951229971479</v>
      </c>
      <c r="N2915" s="70">
        <v>226.951229971479</v>
      </c>
      <c r="O2915" s="70">
        <v>5.40541737044138</v>
      </c>
      <c r="P2915" s="70">
        <v>5.40541737044138</v>
      </c>
    </row>
    <row r="2916" hidden="1">
      <c r="A2916" s="67" t="s">
        <v>3676</v>
      </c>
      <c r="B2916" s="67" t="s">
        <v>268</v>
      </c>
      <c r="C2916" s="68">
        <v>1.0</v>
      </c>
      <c r="D2916" s="68">
        <v>1.0</v>
      </c>
      <c r="E2916" s="68">
        <v>7.0</v>
      </c>
      <c r="F2916" s="68">
        <v>4.0</v>
      </c>
      <c r="G2916" s="68">
        <v>4.78603931869797</v>
      </c>
      <c r="H2916" s="68">
        <v>161.319409386054</v>
      </c>
      <c r="I2916" s="69">
        <v>44352.82822916667</v>
      </c>
      <c r="J2916" s="69">
        <v>44352.82844907408</v>
      </c>
      <c r="K2916">
        <f>AVERAGE(H2912:H2916)</f>
        <v>101.2820305</v>
      </c>
      <c r="L2916">
        <f>STDEV(H2912:H2916)</f>
        <v>98.71180363</v>
      </c>
      <c r="M2916" s="70">
        <v>161.319409386054</v>
      </c>
      <c r="N2916" s="70">
        <v>161.319409386054</v>
      </c>
      <c r="O2916" s="70">
        <v>4.78603931869797</v>
      </c>
      <c r="P2916" s="70">
        <v>4.78603931869797</v>
      </c>
    </row>
    <row r="2917" hidden="1">
      <c r="A2917" s="67" t="s">
        <v>3677</v>
      </c>
      <c r="B2917" s="67" t="s">
        <v>519</v>
      </c>
      <c r="C2917" s="68">
        <v>0.1</v>
      </c>
      <c r="D2917" s="68">
        <v>0.1</v>
      </c>
      <c r="E2917" s="68">
        <v>7.0</v>
      </c>
      <c r="F2917" s="68">
        <v>0.0</v>
      </c>
      <c r="G2917" s="68">
        <v>0.617021738380341</v>
      </c>
      <c r="H2917" s="68">
        <v>1.43077770270033</v>
      </c>
      <c r="I2917" s="69">
        <v>44352.82915509259</v>
      </c>
      <c r="J2917" s="69">
        <v>44352.82923611111</v>
      </c>
      <c r="K2917">
        <f>AVERAGE(H2917:H2921)</f>
        <v>106.7458508</v>
      </c>
      <c r="L2917">
        <f>STDEV(H2917:H2921)</f>
        <v>111.504505</v>
      </c>
      <c r="M2917" s="70">
        <v>1.43077770270033</v>
      </c>
      <c r="N2917" s="70">
        <v>1.43077770270033</v>
      </c>
      <c r="O2917" s="70">
        <v>0.617021738380341</v>
      </c>
      <c r="P2917" s="70">
        <v>0.617021738380341</v>
      </c>
    </row>
    <row r="2918" hidden="1">
      <c r="A2918" s="67" t="s">
        <v>3678</v>
      </c>
      <c r="B2918" s="67" t="s">
        <v>519</v>
      </c>
      <c r="C2918" s="68">
        <v>0.1</v>
      </c>
      <c r="D2918" s="68">
        <v>0.1</v>
      </c>
      <c r="E2918" s="68">
        <v>7.0</v>
      </c>
      <c r="F2918" s="68">
        <v>1.0</v>
      </c>
      <c r="G2918" s="68">
        <v>1.35103303377422</v>
      </c>
      <c r="H2918" s="68">
        <v>69.4298756973422</v>
      </c>
      <c r="I2918" s="69">
        <v>44352.82994212963</v>
      </c>
      <c r="J2918" s="69">
        <v>44352.831145833334</v>
      </c>
      <c r="K2918">
        <f>AVERAGE(H2917:H2921)</f>
        <v>106.7458508</v>
      </c>
      <c r="L2918">
        <f>STDEV(H2917:H2921)</f>
        <v>111.504505</v>
      </c>
      <c r="M2918" s="70">
        <v>69.4298756973422</v>
      </c>
      <c r="N2918" s="70">
        <v>69.4298756973422</v>
      </c>
      <c r="O2918" s="70">
        <v>1.35103303377422</v>
      </c>
      <c r="P2918" s="70">
        <v>1.35103303377422</v>
      </c>
    </row>
    <row r="2919" hidden="1">
      <c r="A2919" s="67" t="s">
        <v>3679</v>
      </c>
      <c r="B2919" s="67" t="s">
        <v>519</v>
      </c>
      <c r="C2919" s="68">
        <v>0.1</v>
      </c>
      <c r="D2919" s="68">
        <v>0.1</v>
      </c>
      <c r="E2919" s="68">
        <v>7.0</v>
      </c>
      <c r="F2919" s="68">
        <v>2.0</v>
      </c>
      <c r="G2919" s="68">
        <v>7.35517505635339</v>
      </c>
      <c r="H2919" s="68">
        <v>271.168412708723</v>
      </c>
      <c r="I2919" s="69">
        <v>44352.83185185185</v>
      </c>
      <c r="J2919" s="69">
        <v>44352.83212962963</v>
      </c>
      <c r="K2919">
        <f>AVERAGE(H2917:H2921)</f>
        <v>106.7458508</v>
      </c>
      <c r="L2919">
        <f>STDEV(H2917:H2921)</f>
        <v>111.504505</v>
      </c>
      <c r="M2919" s="70">
        <v>271.168412708723</v>
      </c>
      <c r="N2919" s="70">
        <v>271.168412708723</v>
      </c>
      <c r="O2919" s="70">
        <v>7.35517505635339</v>
      </c>
      <c r="P2919" s="70">
        <v>7.35517505635339</v>
      </c>
    </row>
    <row r="2920" hidden="1">
      <c r="A2920" s="67" t="s">
        <v>3680</v>
      </c>
      <c r="B2920" s="67" t="s">
        <v>519</v>
      </c>
      <c r="C2920" s="68">
        <v>0.1</v>
      </c>
      <c r="D2920" s="68">
        <v>0.1</v>
      </c>
      <c r="E2920" s="68">
        <v>7.0</v>
      </c>
      <c r="F2920" s="68">
        <v>3.0</v>
      </c>
      <c r="G2920" s="68">
        <v>3.70601122547203</v>
      </c>
      <c r="H2920" s="68">
        <v>166.479613363338</v>
      </c>
      <c r="I2920" s="69">
        <v>44352.83283564815</v>
      </c>
      <c r="J2920" s="69">
        <v>44352.88945601852</v>
      </c>
      <c r="K2920">
        <f>AVERAGE(H2917:H2921)</f>
        <v>106.7458508</v>
      </c>
      <c r="L2920">
        <f>STDEV(H2917:H2921)</f>
        <v>111.504505</v>
      </c>
      <c r="M2920" s="70">
        <v>166.479613363338</v>
      </c>
      <c r="N2920" s="70">
        <v>166.479613363338</v>
      </c>
      <c r="O2920" s="70">
        <v>3.70601122547203</v>
      </c>
      <c r="P2920" s="70">
        <v>3.70601122547203</v>
      </c>
    </row>
    <row r="2921" hidden="1">
      <c r="A2921" s="67" t="s">
        <v>3681</v>
      </c>
      <c r="B2921" s="67" t="s">
        <v>519</v>
      </c>
      <c r="C2921" s="68">
        <v>0.1</v>
      </c>
      <c r="D2921" s="68">
        <v>0.1</v>
      </c>
      <c r="E2921" s="68">
        <v>7.0</v>
      </c>
      <c r="F2921" s="68">
        <v>4.0</v>
      </c>
      <c r="G2921" s="68">
        <v>1.21587229815264</v>
      </c>
      <c r="H2921" s="68">
        <v>25.2205744582736</v>
      </c>
      <c r="I2921" s="69">
        <v>44352.89016203704</v>
      </c>
      <c r="J2921" s="69">
        <v>44352.8903587963</v>
      </c>
      <c r="K2921">
        <f>AVERAGE(H2917:H2921)</f>
        <v>106.7458508</v>
      </c>
      <c r="L2921">
        <f>STDEV(H2917:H2921)</f>
        <v>111.504505</v>
      </c>
      <c r="M2921" s="70">
        <v>25.2205744582736</v>
      </c>
      <c r="N2921" s="70">
        <v>25.2205744582736</v>
      </c>
      <c r="O2921" s="70">
        <v>1.21587229815264</v>
      </c>
      <c r="P2921" s="70">
        <v>1.21587229815264</v>
      </c>
    </row>
    <row r="2922" hidden="1">
      <c r="A2922" s="67" t="s">
        <v>3682</v>
      </c>
      <c r="B2922" s="67" t="s">
        <v>519</v>
      </c>
      <c r="C2922" s="68">
        <v>0.1</v>
      </c>
      <c r="D2922" s="68">
        <v>0.25</v>
      </c>
      <c r="E2922" s="68">
        <v>7.0</v>
      </c>
      <c r="F2922" s="68">
        <v>0.0</v>
      </c>
      <c r="G2922" s="68">
        <v>1.13017831089771</v>
      </c>
      <c r="H2922" s="68">
        <v>68.5867471860789</v>
      </c>
      <c r="I2922" s="69">
        <v>44352.891064814816</v>
      </c>
      <c r="J2922" s="69">
        <v>44352.89376157407</v>
      </c>
      <c r="K2922">
        <f>AVERAGE(H2922:H2926)</f>
        <v>169.0378049</v>
      </c>
      <c r="L2922">
        <f>STDEV(H2922:H2926)</f>
        <v>105.9972923</v>
      </c>
      <c r="M2922" s="70">
        <v>68.5867471860789</v>
      </c>
      <c r="N2922" s="70">
        <v>68.5867471860789</v>
      </c>
      <c r="O2922" s="70">
        <v>1.13017831089771</v>
      </c>
      <c r="P2922" s="70">
        <v>1.13017831089771</v>
      </c>
    </row>
    <row r="2923" hidden="1">
      <c r="A2923" s="67" t="s">
        <v>3683</v>
      </c>
      <c r="B2923" s="67" t="s">
        <v>519</v>
      </c>
      <c r="C2923" s="68">
        <v>0.1</v>
      </c>
      <c r="D2923" s="68">
        <v>0.25</v>
      </c>
      <c r="E2923" s="68">
        <v>7.0</v>
      </c>
      <c r="F2923" s="68">
        <v>1.0</v>
      </c>
      <c r="G2923" s="68">
        <v>7.38849602320518</v>
      </c>
      <c r="H2923" s="68">
        <v>271.790016136692</v>
      </c>
      <c r="I2923" s="69">
        <v>44352.894467592596</v>
      </c>
      <c r="J2923" s="69">
        <v>44352.894733796296</v>
      </c>
      <c r="K2923">
        <f>AVERAGE(H2922:H2926)</f>
        <v>169.0378049</v>
      </c>
      <c r="L2923">
        <f>STDEV(H2922:H2926)</f>
        <v>105.9972923</v>
      </c>
      <c r="M2923" s="70">
        <v>271.790016136692</v>
      </c>
      <c r="N2923" s="70">
        <v>271.790016136692</v>
      </c>
      <c r="O2923" s="70">
        <v>7.38849602320518</v>
      </c>
      <c r="P2923" s="70">
        <v>7.38849602320518</v>
      </c>
    </row>
    <row r="2924" hidden="1">
      <c r="A2924" s="67" t="s">
        <v>3684</v>
      </c>
      <c r="B2924" s="67" t="s">
        <v>519</v>
      </c>
      <c r="C2924" s="68">
        <v>0.1</v>
      </c>
      <c r="D2924" s="68">
        <v>0.25</v>
      </c>
      <c r="E2924" s="68">
        <v>7.0</v>
      </c>
      <c r="F2924" s="68">
        <v>2.0</v>
      </c>
      <c r="G2924" s="68">
        <v>8.15378191343975</v>
      </c>
      <c r="H2924" s="68">
        <v>287.005614488029</v>
      </c>
      <c r="I2924" s="69">
        <v>44352.89543981481</v>
      </c>
      <c r="J2924" s="69">
        <v>44352.89648148148</v>
      </c>
      <c r="K2924">
        <f>AVERAGE(H2922:H2926)</f>
        <v>169.0378049</v>
      </c>
      <c r="L2924">
        <f>STDEV(H2922:H2926)</f>
        <v>105.9972923</v>
      </c>
      <c r="M2924" s="70">
        <v>287.005614488029</v>
      </c>
      <c r="N2924" s="70">
        <v>287.005614488029</v>
      </c>
      <c r="O2924" s="70">
        <v>8.15378191343975</v>
      </c>
      <c r="P2924" s="70">
        <v>8.15378191343975</v>
      </c>
    </row>
    <row r="2925" hidden="1">
      <c r="A2925" s="67" t="s">
        <v>3685</v>
      </c>
      <c r="B2925" s="67" t="s">
        <v>519</v>
      </c>
      <c r="C2925" s="68">
        <v>0.1</v>
      </c>
      <c r="D2925" s="68">
        <v>0.25</v>
      </c>
      <c r="E2925" s="68">
        <v>7.0</v>
      </c>
      <c r="F2925" s="68">
        <v>3.0</v>
      </c>
      <c r="G2925" s="68">
        <v>1.55666043829435</v>
      </c>
      <c r="H2925" s="68">
        <v>69.2513617351094</v>
      </c>
      <c r="I2925" s="69">
        <v>44352.8971875</v>
      </c>
      <c r="J2925" s="69">
        <v>44352.89847222222</v>
      </c>
      <c r="K2925">
        <f>AVERAGE(H2922:H2926)</f>
        <v>169.0378049</v>
      </c>
      <c r="L2925">
        <f>STDEV(H2922:H2926)</f>
        <v>105.9972923</v>
      </c>
      <c r="M2925" s="70">
        <v>69.2513617351094</v>
      </c>
      <c r="N2925" s="70">
        <v>69.2513617351094</v>
      </c>
      <c r="O2925" s="70">
        <v>1.55666043829435</v>
      </c>
      <c r="P2925" s="70">
        <v>1.55666043829435</v>
      </c>
    </row>
    <row r="2926" hidden="1">
      <c r="A2926" s="67" t="s">
        <v>3686</v>
      </c>
      <c r="B2926" s="67" t="s">
        <v>519</v>
      </c>
      <c r="C2926" s="68">
        <v>0.1</v>
      </c>
      <c r="D2926" s="68">
        <v>0.25</v>
      </c>
      <c r="E2926" s="68">
        <v>7.0</v>
      </c>
      <c r="F2926" s="68">
        <v>4.0</v>
      </c>
      <c r="G2926" s="68">
        <v>3.44717948525114</v>
      </c>
      <c r="H2926" s="68">
        <v>148.555285125905</v>
      </c>
      <c r="I2926" s="69">
        <v>44352.89917824074</v>
      </c>
      <c r="J2926" s="69">
        <v>44352.924733796295</v>
      </c>
      <c r="K2926">
        <f>AVERAGE(H2922:H2926)</f>
        <v>169.0378049</v>
      </c>
      <c r="L2926">
        <f>STDEV(H2922:H2926)</f>
        <v>105.9972923</v>
      </c>
      <c r="M2926" s="70">
        <v>148.555285125905</v>
      </c>
      <c r="N2926" s="70">
        <v>148.555285125905</v>
      </c>
      <c r="O2926" s="70">
        <v>3.44717948525114</v>
      </c>
      <c r="P2926" s="70">
        <v>3.44717948525114</v>
      </c>
    </row>
    <row r="2927" hidden="1">
      <c r="A2927" s="67" t="s">
        <v>3687</v>
      </c>
      <c r="B2927" s="67" t="s">
        <v>519</v>
      </c>
      <c r="C2927" s="68">
        <v>0.1</v>
      </c>
      <c r="D2927" s="68">
        <v>0.5</v>
      </c>
      <c r="E2927" s="68">
        <v>7.0</v>
      </c>
      <c r="F2927" s="68">
        <v>0.0</v>
      </c>
      <c r="G2927" s="68">
        <v>0.846631095416191</v>
      </c>
      <c r="H2927" s="68">
        <v>1.14638438566061</v>
      </c>
      <c r="I2927" s="69">
        <v>44352.92542824074</v>
      </c>
      <c r="J2927" s="69">
        <v>44352.92563657407</v>
      </c>
      <c r="K2927">
        <f>AVERAGE(H2927:H2931)</f>
        <v>119.1855189</v>
      </c>
      <c r="L2927">
        <f>STDEV(H2927:H2931)</f>
        <v>86.67584583</v>
      </c>
      <c r="M2927" s="70">
        <v>1.14638438566061</v>
      </c>
      <c r="N2927" s="70">
        <v>1.14638438566061</v>
      </c>
      <c r="O2927" s="70">
        <v>0.846631095416191</v>
      </c>
      <c r="P2927" s="70">
        <v>0.846631095416191</v>
      </c>
    </row>
    <row r="2928" hidden="1">
      <c r="A2928" s="67" t="s">
        <v>3688</v>
      </c>
      <c r="B2928" s="67" t="s">
        <v>519</v>
      </c>
      <c r="C2928" s="68">
        <v>0.1</v>
      </c>
      <c r="D2928" s="68">
        <v>0.5</v>
      </c>
      <c r="E2928" s="68">
        <v>7.0</v>
      </c>
      <c r="F2928" s="68">
        <v>1.0</v>
      </c>
      <c r="G2928" s="68">
        <v>3.96717753656572</v>
      </c>
      <c r="H2928" s="68">
        <v>184.9226907216</v>
      </c>
      <c r="I2928" s="69">
        <v>44352.92633101852</v>
      </c>
      <c r="J2928" s="69">
        <v>44352.94232638889</v>
      </c>
      <c r="K2928">
        <f>AVERAGE(H2927:H2931)</f>
        <v>119.1855189</v>
      </c>
      <c r="L2928">
        <f>STDEV(H2927:H2931)</f>
        <v>86.67584583</v>
      </c>
      <c r="M2928" s="70">
        <v>184.9226907216</v>
      </c>
      <c r="N2928" s="70">
        <v>184.9226907216</v>
      </c>
      <c r="O2928" s="70">
        <v>3.96717753656572</v>
      </c>
      <c r="P2928" s="70">
        <v>3.96717753656572</v>
      </c>
    </row>
    <row r="2929" hidden="1">
      <c r="A2929" s="67" t="s">
        <v>3689</v>
      </c>
      <c r="B2929" s="67" t="s">
        <v>519</v>
      </c>
      <c r="C2929" s="68">
        <v>0.1</v>
      </c>
      <c r="D2929" s="68">
        <v>0.5</v>
      </c>
      <c r="E2929" s="68">
        <v>7.0</v>
      </c>
      <c r="F2929" s="68">
        <v>2.0</v>
      </c>
      <c r="G2929" s="68">
        <v>5.00082540524323</v>
      </c>
      <c r="H2929" s="68">
        <v>195.080753603516</v>
      </c>
      <c r="I2929" s="69">
        <v>44352.943032407406</v>
      </c>
      <c r="J2929" s="69">
        <v>44352.9474537037</v>
      </c>
      <c r="K2929">
        <f>AVERAGE(H2927:H2931)</f>
        <v>119.1855189</v>
      </c>
      <c r="L2929">
        <f>STDEV(H2927:H2931)</f>
        <v>86.67584583</v>
      </c>
      <c r="M2929" s="70">
        <v>195.080753603516</v>
      </c>
      <c r="N2929" s="70">
        <v>195.080753603516</v>
      </c>
      <c r="O2929" s="70">
        <v>5.00082540524323</v>
      </c>
      <c r="P2929" s="70">
        <v>5.00082540524323</v>
      </c>
    </row>
    <row r="2930" hidden="1">
      <c r="A2930" s="67" t="s">
        <v>3690</v>
      </c>
      <c r="B2930" s="67" t="s">
        <v>519</v>
      </c>
      <c r="C2930" s="68">
        <v>0.1</v>
      </c>
      <c r="D2930" s="68">
        <v>0.5</v>
      </c>
      <c r="E2930" s="68">
        <v>7.0</v>
      </c>
      <c r="F2930" s="68">
        <v>3.0</v>
      </c>
      <c r="G2930" s="68">
        <v>4.46139217804788</v>
      </c>
      <c r="H2930" s="68">
        <v>161.044209189325</v>
      </c>
      <c r="I2930" s="69">
        <v>44352.948159722226</v>
      </c>
      <c r="J2930" s="69">
        <v>44352.94824074074</v>
      </c>
      <c r="K2930">
        <f>AVERAGE(H2927:H2931)</f>
        <v>119.1855189</v>
      </c>
      <c r="L2930">
        <f>STDEV(H2927:H2931)</f>
        <v>86.67584583</v>
      </c>
      <c r="M2930" s="70">
        <v>161.044209189325</v>
      </c>
      <c r="N2930" s="70">
        <v>161.044209189325</v>
      </c>
      <c r="O2930" s="70">
        <v>4.46139217804788</v>
      </c>
      <c r="P2930" s="70">
        <v>4.46139217804788</v>
      </c>
    </row>
    <row r="2931" hidden="1">
      <c r="A2931" s="67" t="s">
        <v>3691</v>
      </c>
      <c r="B2931" s="67" t="s">
        <v>519</v>
      </c>
      <c r="C2931" s="68">
        <v>0.1</v>
      </c>
      <c r="D2931" s="68">
        <v>0.5</v>
      </c>
      <c r="E2931" s="68">
        <v>7.0</v>
      </c>
      <c r="F2931" s="68">
        <v>4.0</v>
      </c>
      <c r="G2931" s="68">
        <v>1.41645519500541</v>
      </c>
      <c r="H2931" s="68">
        <v>53.7335566488002</v>
      </c>
      <c r="I2931" s="69">
        <v>44352.94894675926</v>
      </c>
      <c r="J2931" s="69">
        <v>44352.95737268519</v>
      </c>
      <c r="K2931">
        <f>AVERAGE(H2927:H2931)</f>
        <v>119.1855189</v>
      </c>
      <c r="L2931">
        <f>STDEV(H2927:H2931)</f>
        <v>86.67584583</v>
      </c>
      <c r="M2931" s="70">
        <v>53.7335566488002</v>
      </c>
      <c r="N2931" s="70">
        <v>53.7335566488002</v>
      </c>
      <c r="O2931" s="70">
        <v>1.41645519500541</v>
      </c>
      <c r="P2931" s="70">
        <v>1.41645519500541</v>
      </c>
    </row>
    <row r="2932" hidden="1">
      <c r="A2932" s="67" t="s">
        <v>3692</v>
      </c>
      <c r="B2932" s="67" t="s">
        <v>519</v>
      </c>
      <c r="C2932" s="68">
        <v>0.1</v>
      </c>
      <c r="D2932" s="68">
        <v>0.75</v>
      </c>
      <c r="E2932" s="68">
        <v>7.0</v>
      </c>
      <c r="F2932" s="68">
        <v>0.0</v>
      </c>
      <c r="G2932" s="68">
        <v>3.00728379160347</v>
      </c>
      <c r="H2932" s="68">
        <v>141.709510698307</v>
      </c>
      <c r="I2932" s="69">
        <v>44352.958078703705</v>
      </c>
      <c r="J2932" s="69">
        <v>44352.981469907405</v>
      </c>
      <c r="K2932">
        <f>AVERAGE(H2932:H2936)</f>
        <v>139.1095663</v>
      </c>
      <c r="L2932">
        <f>STDEV(H2932:H2936)</f>
        <v>101.7495578</v>
      </c>
      <c r="M2932" s="70">
        <v>141.709510698307</v>
      </c>
      <c r="N2932" s="70">
        <v>141.709510698307</v>
      </c>
      <c r="O2932" s="70">
        <v>3.00728379160347</v>
      </c>
      <c r="P2932" s="70">
        <v>3.00728379160347</v>
      </c>
    </row>
    <row r="2933" hidden="1">
      <c r="A2933" s="67" t="s">
        <v>3693</v>
      </c>
      <c r="B2933" s="67" t="s">
        <v>519</v>
      </c>
      <c r="C2933" s="68">
        <v>0.1</v>
      </c>
      <c r="D2933" s="68">
        <v>0.75</v>
      </c>
      <c r="E2933" s="68">
        <v>7.0</v>
      </c>
      <c r="F2933" s="68">
        <v>1.0</v>
      </c>
      <c r="G2933" s="68">
        <v>8.14864808447611</v>
      </c>
      <c r="H2933" s="68">
        <v>286.912596703432</v>
      </c>
      <c r="I2933" s="69">
        <v>44352.98216435185</v>
      </c>
      <c r="J2933" s="69">
        <v>44352.983194444445</v>
      </c>
      <c r="K2933">
        <f>AVERAGE(H2932:H2936)</f>
        <v>139.1095663</v>
      </c>
      <c r="L2933">
        <f>STDEV(H2932:H2936)</f>
        <v>101.7495578</v>
      </c>
      <c r="M2933" s="70">
        <v>286.912596703432</v>
      </c>
      <c r="N2933" s="70">
        <v>286.912596703432</v>
      </c>
      <c r="O2933" s="70">
        <v>8.14864808447611</v>
      </c>
      <c r="P2933" s="70">
        <v>8.14864808447611</v>
      </c>
    </row>
    <row r="2934" hidden="1">
      <c r="A2934" s="67" t="s">
        <v>3694</v>
      </c>
      <c r="B2934" s="67" t="s">
        <v>519</v>
      </c>
      <c r="C2934" s="68">
        <v>0.1</v>
      </c>
      <c r="D2934" s="68">
        <v>0.75</v>
      </c>
      <c r="E2934" s="68">
        <v>7.0</v>
      </c>
      <c r="F2934" s="68">
        <v>2.0</v>
      </c>
      <c r="G2934" s="68">
        <v>0.317145370870006</v>
      </c>
      <c r="H2934" s="68">
        <v>0.406115963760371</v>
      </c>
      <c r="I2934" s="69">
        <v>44352.98388888889</v>
      </c>
      <c r="J2934" s="69">
        <v>44352.98394675926</v>
      </c>
      <c r="K2934">
        <f>AVERAGE(H2932:H2936)</f>
        <v>139.1095663</v>
      </c>
      <c r="L2934">
        <f>STDEV(H2932:H2936)</f>
        <v>101.7495578</v>
      </c>
      <c r="M2934" s="70">
        <v>0.406115963760371</v>
      </c>
      <c r="N2934" s="70">
        <v>0.406115963760371</v>
      </c>
      <c r="O2934" s="70">
        <v>0.317145370870006</v>
      </c>
      <c r="P2934" s="70">
        <v>0.317145370870006</v>
      </c>
    </row>
    <row r="2935" hidden="1">
      <c r="A2935" s="67" t="s">
        <v>3695</v>
      </c>
      <c r="B2935" s="67" t="s">
        <v>519</v>
      </c>
      <c r="C2935" s="68">
        <v>0.1</v>
      </c>
      <c r="D2935" s="68">
        <v>0.75</v>
      </c>
      <c r="E2935" s="68">
        <v>7.0</v>
      </c>
      <c r="F2935" s="68">
        <v>3.0</v>
      </c>
      <c r="G2935" s="68">
        <v>4.66365387220964</v>
      </c>
      <c r="H2935" s="68">
        <v>144.491633808556</v>
      </c>
      <c r="I2935" s="69">
        <v>44352.98465277778</v>
      </c>
      <c r="J2935" s="69">
        <v>44352.98474537037</v>
      </c>
      <c r="K2935">
        <f>AVERAGE(H2932:H2936)</f>
        <v>139.1095663</v>
      </c>
      <c r="L2935">
        <f>STDEV(H2932:H2936)</f>
        <v>101.7495578</v>
      </c>
      <c r="M2935" s="70">
        <v>144.491633808556</v>
      </c>
      <c r="N2935" s="70">
        <v>144.491633808556</v>
      </c>
      <c r="O2935" s="70">
        <v>4.66365387220964</v>
      </c>
      <c r="P2935" s="70">
        <v>4.66365387220964</v>
      </c>
    </row>
    <row r="2936" hidden="1">
      <c r="A2936" s="67" t="s">
        <v>3696</v>
      </c>
      <c r="B2936" s="67" t="s">
        <v>519</v>
      </c>
      <c r="C2936" s="68">
        <v>0.1</v>
      </c>
      <c r="D2936" s="68">
        <v>0.75</v>
      </c>
      <c r="E2936" s="68">
        <v>7.0</v>
      </c>
      <c r="F2936" s="68">
        <v>4.0</v>
      </c>
      <c r="G2936" s="68">
        <v>2.46424611794788</v>
      </c>
      <c r="H2936" s="68">
        <v>122.027974214324</v>
      </c>
      <c r="I2936" s="69">
        <v>44352.985439814816</v>
      </c>
      <c r="J2936" s="69">
        <v>44353.00232638889</v>
      </c>
      <c r="K2936">
        <f>AVERAGE(H2932:H2936)</f>
        <v>139.1095663</v>
      </c>
      <c r="L2936">
        <f>STDEV(H2932:H2936)</f>
        <v>101.7495578</v>
      </c>
      <c r="M2936" s="70">
        <v>122.027974214324</v>
      </c>
      <c r="N2936" s="70">
        <v>122.027974214324</v>
      </c>
      <c r="O2936" s="70">
        <v>2.46424611794788</v>
      </c>
      <c r="P2936" s="70">
        <v>2.46424611794788</v>
      </c>
    </row>
    <row r="2937" hidden="1">
      <c r="A2937" s="67" t="s">
        <v>3697</v>
      </c>
      <c r="B2937" s="67" t="s">
        <v>519</v>
      </c>
      <c r="C2937" s="68">
        <v>0.1</v>
      </c>
      <c r="D2937" s="68">
        <v>1.0</v>
      </c>
      <c r="E2937" s="68">
        <v>7.0</v>
      </c>
      <c r="F2937" s="68">
        <v>0.0</v>
      </c>
      <c r="G2937" s="68">
        <v>0.851892825755109</v>
      </c>
      <c r="H2937" s="68">
        <v>1.15242271276196</v>
      </c>
      <c r="I2937" s="69">
        <v>44353.00303240741</v>
      </c>
      <c r="J2937" s="69">
        <v>44353.003229166665</v>
      </c>
      <c r="K2937">
        <f>AVERAGE(H2937:H2941)</f>
        <v>139.162636</v>
      </c>
      <c r="L2937">
        <f>STDEV(H2937:H2941)</f>
        <v>111.7162374</v>
      </c>
      <c r="M2937" s="70">
        <v>1.15242271276196</v>
      </c>
      <c r="N2937" s="70">
        <v>1.15242271276196</v>
      </c>
      <c r="O2937" s="70">
        <v>0.851892825755109</v>
      </c>
      <c r="P2937" s="70">
        <v>0.851892825755109</v>
      </c>
    </row>
    <row r="2938" hidden="1">
      <c r="A2938" s="67" t="s">
        <v>3698</v>
      </c>
      <c r="B2938" s="67" t="s">
        <v>519</v>
      </c>
      <c r="C2938" s="68">
        <v>0.1</v>
      </c>
      <c r="D2938" s="68">
        <v>1.0</v>
      </c>
      <c r="E2938" s="68">
        <v>7.0</v>
      </c>
      <c r="F2938" s="68">
        <v>1.0</v>
      </c>
      <c r="G2938" s="68">
        <v>2.5243906962432</v>
      </c>
      <c r="H2938" s="68">
        <v>126.894513717079</v>
      </c>
      <c r="I2938" s="69">
        <v>44353.00393518519</v>
      </c>
      <c r="J2938" s="69">
        <v>44353.04728009259</v>
      </c>
      <c r="K2938">
        <f>AVERAGE(H2937:H2941)</f>
        <v>139.162636</v>
      </c>
      <c r="L2938">
        <f>STDEV(H2937:H2941)</f>
        <v>111.7162374</v>
      </c>
      <c r="M2938" s="70">
        <v>126.894513717079</v>
      </c>
      <c r="N2938" s="70">
        <v>126.894513717079</v>
      </c>
      <c r="O2938" s="70">
        <v>2.5243906962432</v>
      </c>
      <c r="P2938" s="70">
        <v>2.5243906962432</v>
      </c>
    </row>
    <row r="2939" hidden="1">
      <c r="A2939" s="67" t="s">
        <v>3699</v>
      </c>
      <c r="B2939" s="67" t="s">
        <v>519</v>
      </c>
      <c r="C2939" s="68">
        <v>0.1</v>
      </c>
      <c r="D2939" s="68">
        <v>1.0</v>
      </c>
      <c r="E2939" s="68">
        <v>7.0</v>
      </c>
      <c r="F2939" s="68">
        <v>2.0</v>
      </c>
      <c r="G2939" s="68">
        <v>8.03965955545645</v>
      </c>
      <c r="H2939" s="68">
        <v>279.648565692467</v>
      </c>
      <c r="I2939" s="69">
        <v>44353.04798611111</v>
      </c>
      <c r="J2939" s="69">
        <v>44353.04997685185</v>
      </c>
      <c r="K2939">
        <f>AVERAGE(H2937:H2941)</f>
        <v>139.162636</v>
      </c>
      <c r="L2939">
        <f>STDEV(H2937:H2941)</f>
        <v>111.7162374</v>
      </c>
      <c r="M2939" s="70">
        <v>279.648565692467</v>
      </c>
      <c r="N2939" s="70">
        <v>279.648565692467</v>
      </c>
      <c r="O2939" s="70">
        <v>8.03965955545645</v>
      </c>
      <c r="P2939" s="70">
        <v>8.03965955545645</v>
      </c>
    </row>
    <row r="2940" hidden="1">
      <c r="A2940" s="67" t="s">
        <v>3700</v>
      </c>
      <c r="B2940" s="67" t="s">
        <v>519</v>
      </c>
      <c r="C2940" s="68">
        <v>0.1</v>
      </c>
      <c r="D2940" s="68">
        <v>1.0</v>
      </c>
      <c r="E2940" s="68">
        <v>7.0</v>
      </c>
      <c r="F2940" s="68">
        <v>3.0</v>
      </c>
      <c r="G2940" s="68">
        <v>9.12906778636894</v>
      </c>
      <c r="H2940" s="68">
        <v>218.01998730305</v>
      </c>
      <c r="I2940" s="69">
        <v>44353.05068287037</v>
      </c>
      <c r="J2940" s="69">
        <v>44353.05079861111</v>
      </c>
      <c r="K2940">
        <f>AVERAGE(H2937:H2941)</f>
        <v>139.162636</v>
      </c>
      <c r="L2940">
        <f>STDEV(H2937:H2941)</f>
        <v>111.7162374</v>
      </c>
      <c r="M2940" s="70">
        <v>218.01998730305</v>
      </c>
      <c r="N2940" s="70">
        <v>218.01998730305</v>
      </c>
      <c r="O2940" s="70">
        <v>9.12906778636894</v>
      </c>
      <c r="P2940" s="70">
        <v>9.12906778636894</v>
      </c>
    </row>
    <row r="2941" hidden="1">
      <c r="A2941" s="67" t="s">
        <v>3701</v>
      </c>
      <c r="B2941" s="67" t="s">
        <v>519</v>
      </c>
      <c r="C2941" s="68">
        <v>0.1</v>
      </c>
      <c r="D2941" s="68">
        <v>1.0</v>
      </c>
      <c r="E2941" s="68">
        <v>7.0</v>
      </c>
      <c r="F2941" s="68">
        <v>4.0</v>
      </c>
      <c r="G2941" s="68">
        <v>1.368038583475</v>
      </c>
      <c r="H2941" s="68">
        <v>70.0976907196092</v>
      </c>
      <c r="I2941" s="69">
        <v>44353.05150462963</v>
      </c>
      <c r="J2941" s="69">
        <v>44353.05267361111</v>
      </c>
      <c r="K2941">
        <f>AVERAGE(H2937:H2941)</f>
        <v>139.162636</v>
      </c>
      <c r="L2941">
        <f>STDEV(H2937:H2941)</f>
        <v>111.7162374</v>
      </c>
      <c r="M2941" s="70">
        <v>70.0976907196092</v>
      </c>
      <c r="N2941" s="70">
        <v>70.0976907196092</v>
      </c>
      <c r="O2941" s="70">
        <v>1.368038583475</v>
      </c>
      <c r="P2941" s="70">
        <v>1.368038583475</v>
      </c>
    </row>
    <row r="2942" hidden="1">
      <c r="A2942" s="67" t="s">
        <v>3702</v>
      </c>
      <c r="B2942" s="67" t="s">
        <v>519</v>
      </c>
      <c r="C2942" s="68">
        <v>0.25</v>
      </c>
      <c r="D2942" s="68">
        <v>0.1</v>
      </c>
      <c r="E2942" s="68">
        <v>7.0</v>
      </c>
      <c r="F2942" s="68">
        <v>0.0</v>
      </c>
      <c r="G2942" s="68">
        <v>7.35517505635339</v>
      </c>
      <c r="H2942" s="68">
        <v>271.168412708723</v>
      </c>
      <c r="I2942" s="69">
        <v>44353.05336805555</v>
      </c>
      <c r="J2942" s="69">
        <v>44353.05365740741</v>
      </c>
      <c r="K2942">
        <f>AVERAGE(H2942:H2946)</f>
        <v>130.3694412</v>
      </c>
      <c r="L2942">
        <f>STDEV(H2942:H2946)</f>
        <v>97.67321536</v>
      </c>
      <c r="M2942" s="70">
        <v>271.168412708723</v>
      </c>
      <c r="N2942" s="70">
        <v>271.168412708723</v>
      </c>
      <c r="O2942" s="70">
        <v>7.35517505635339</v>
      </c>
      <c r="P2942" s="70">
        <v>7.35517505635339</v>
      </c>
    </row>
    <row r="2943" hidden="1">
      <c r="A2943" s="67" t="s">
        <v>3703</v>
      </c>
      <c r="B2943" s="67" t="s">
        <v>519</v>
      </c>
      <c r="C2943" s="68">
        <v>0.25</v>
      </c>
      <c r="D2943" s="68">
        <v>0.1</v>
      </c>
      <c r="E2943" s="68">
        <v>7.0</v>
      </c>
      <c r="F2943" s="68">
        <v>1.0</v>
      </c>
      <c r="G2943" s="68">
        <v>2.12875014873419</v>
      </c>
      <c r="H2943" s="68">
        <v>99.3335799056953</v>
      </c>
      <c r="I2943" s="69">
        <v>44353.05435185185</v>
      </c>
      <c r="J2943" s="69">
        <v>44353.05578703704</v>
      </c>
      <c r="K2943">
        <f>AVERAGE(H2942:H2946)</f>
        <v>130.3694412</v>
      </c>
      <c r="L2943">
        <f>STDEV(H2942:H2946)</f>
        <v>97.67321536</v>
      </c>
      <c r="M2943" s="70">
        <v>99.3335799056953</v>
      </c>
      <c r="N2943" s="70">
        <v>99.3335799056953</v>
      </c>
      <c r="O2943" s="70">
        <v>2.12875014873419</v>
      </c>
      <c r="P2943" s="70">
        <v>2.12875014873419</v>
      </c>
    </row>
    <row r="2944" hidden="1">
      <c r="A2944" s="67" t="s">
        <v>3704</v>
      </c>
      <c r="B2944" s="67" t="s">
        <v>519</v>
      </c>
      <c r="C2944" s="68">
        <v>0.25</v>
      </c>
      <c r="D2944" s="68">
        <v>0.1</v>
      </c>
      <c r="E2944" s="68">
        <v>7.0</v>
      </c>
      <c r="F2944" s="68">
        <v>2.0</v>
      </c>
      <c r="G2944" s="68">
        <v>1.07991001504809</v>
      </c>
      <c r="H2944" s="68">
        <v>1.4504242499467</v>
      </c>
      <c r="I2944" s="69">
        <v>44353.056493055556</v>
      </c>
      <c r="J2944" s="69">
        <v>44353.056597222225</v>
      </c>
      <c r="K2944">
        <f>AVERAGE(H2942:H2946)</f>
        <v>130.3694412</v>
      </c>
      <c r="L2944">
        <f>STDEV(H2942:H2946)</f>
        <v>97.67321536</v>
      </c>
      <c r="M2944" s="70">
        <v>1.4504242499467</v>
      </c>
      <c r="N2944" s="70">
        <v>1.4504242499467</v>
      </c>
      <c r="O2944" s="70">
        <v>1.07991001504809</v>
      </c>
      <c r="P2944" s="70">
        <v>1.07991001504809</v>
      </c>
    </row>
    <row r="2945" hidden="1">
      <c r="A2945" s="67" t="s">
        <v>3705</v>
      </c>
      <c r="B2945" s="67" t="s">
        <v>519</v>
      </c>
      <c r="C2945" s="68">
        <v>0.25</v>
      </c>
      <c r="D2945" s="68">
        <v>0.1</v>
      </c>
      <c r="E2945" s="68">
        <v>7.0</v>
      </c>
      <c r="F2945" s="68">
        <v>3.0</v>
      </c>
      <c r="G2945" s="68">
        <v>3.70711025470241</v>
      </c>
      <c r="H2945" s="68">
        <v>156.815494858679</v>
      </c>
      <c r="I2945" s="69">
        <v>44353.05730324074</v>
      </c>
      <c r="J2945" s="69">
        <v>44353.085185185184</v>
      </c>
      <c r="K2945">
        <f>AVERAGE(H2942:H2946)</f>
        <v>130.3694412</v>
      </c>
      <c r="L2945">
        <f>STDEV(H2942:H2946)</f>
        <v>97.67321536</v>
      </c>
      <c r="M2945" s="70">
        <v>156.815494858679</v>
      </c>
      <c r="N2945" s="70">
        <v>156.815494858679</v>
      </c>
      <c r="O2945" s="70">
        <v>3.70711025470241</v>
      </c>
      <c r="P2945" s="70">
        <v>3.70711025470241</v>
      </c>
    </row>
    <row r="2946" hidden="1">
      <c r="A2946" s="67" t="s">
        <v>3706</v>
      </c>
      <c r="B2946" s="67" t="s">
        <v>519</v>
      </c>
      <c r="C2946" s="68">
        <v>0.25</v>
      </c>
      <c r="D2946" s="68">
        <v>0.1</v>
      </c>
      <c r="E2946" s="68">
        <v>7.0</v>
      </c>
      <c r="F2946" s="68">
        <v>4.0</v>
      </c>
      <c r="G2946" s="68">
        <v>2.51779595014348</v>
      </c>
      <c r="H2946" s="68">
        <v>123.079294264255</v>
      </c>
      <c r="I2946" s="69">
        <v>44353.0858912037</v>
      </c>
      <c r="J2946" s="69">
        <v>44353.09180555555</v>
      </c>
      <c r="K2946">
        <f>AVERAGE(H2942:H2946)</f>
        <v>130.3694412</v>
      </c>
      <c r="L2946">
        <f>STDEV(H2942:H2946)</f>
        <v>97.67321536</v>
      </c>
      <c r="M2946" s="70">
        <v>123.079294264255</v>
      </c>
      <c r="N2946" s="70">
        <v>123.079294264255</v>
      </c>
      <c r="O2946" s="70">
        <v>2.51779595014348</v>
      </c>
      <c r="P2946" s="70">
        <v>2.51779595014348</v>
      </c>
    </row>
    <row r="2947" hidden="1">
      <c r="A2947" s="67" t="s">
        <v>3707</v>
      </c>
      <c r="B2947" s="67" t="s">
        <v>519</v>
      </c>
      <c r="C2947" s="68">
        <v>0.25</v>
      </c>
      <c r="D2947" s="68">
        <v>0.25</v>
      </c>
      <c r="E2947" s="68">
        <v>7.0</v>
      </c>
      <c r="F2947" s="68">
        <v>0.0</v>
      </c>
      <c r="G2947" s="68">
        <v>8.10060780864022</v>
      </c>
      <c r="H2947" s="68">
        <v>286.005554348455</v>
      </c>
      <c r="I2947" s="69">
        <v>44353.092511574076</v>
      </c>
      <c r="J2947" s="69">
        <v>44353.092835648145</v>
      </c>
      <c r="K2947">
        <f>AVERAGE(H2947:H2951)</f>
        <v>166.0042673</v>
      </c>
      <c r="L2947">
        <f>STDEV(H2947:H2951)</f>
        <v>68.90706768</v>
      </c>
      <c r="M2947" s="70">
        <v>286.005554348455</v>
      </c>
      <c r="N2947" s="70">
        <v>286.005554348455</v>
      </c>
      <c r="O2947" s="70">
        <v>8.10060780864022</v>
      </c>
      <c r="P2947" s="70">
        <v>8.10060780864022</v>
      </c>
    </row>
    <row r="2948" hidden="1">
      <c r="A2948" s="67" t="s">
        <v>3708</v>
      </c>
      <c r="B2948" s="67" t="s">
        <v>519</v>
      </c>
      <c r="C2948" s="68">
        <v>0.25</v>
      </c>
      <c r="D2948" s="68">
        <v>0.25</v>
      </c>
      <c r="E2948" s="68">
        <v>7.0</v>
      </c>
      <c r="F2948" s="68">
        <v>1.0</v>
      </c>
      <c r="G2948" s="68">
        <v>3.1667232017163</v>
      </c>
      <c r="H2948" s="68">
        <v>153.017558510373</v>
      </c>
      <c r="I2948" s="69">
        <v>44353.09354166667</v>
      </c>
      <c r="J2948" s="69">
        <v>44353.18181712963</v>
      </c>
      <c r="K2948">
        <f>AVERAGE(H2947:H2951)</f>
        <v>166.0042673</v>
      </c>
      <c r="L2948">
        <f>STDEV(H2947:H2951)</f>
        <v>68.90706768</v>
      </c>
      <c r="M2948" s="70">
        <v>153.017558510373</v>
      </c>
      <c r="N2948" s="70">
        <v>153.017558510373</v>
      </c>
      <c r="O2948" s="70">
        <v>3.1667232017163</v>
      </c>
      <c r="P2948" s="70">
        <v>3.1667232017163</v>
      </c>
    </row>
    <row r="2949" hidden="1">
      <c r="A2949" s="67" t="s">
        <v>3709</v>
      </c>
      <c r="B2949" s="67" t="s">
        <v>519</v>
      </c>
      <c r="C2949" s="68">
        <v>0.25</v>
      </c>
      <c r="D2949" s="68">
        <v>0.25</v>
      </c>
      <c r="E2949" s="68">
        <v>7.0</v>
      </c>
      <c r="F2949" s="68">
        <v>2.0</v>
      </c>
      <c r="G2949" s="68">
        <v>4.33222812343788</v>
      </c>
      <c r="H2949" s="68">
        <v>146.93050462445</v>
      </c>
      <c r="I2949" s="69">
        <v>44353.18251157407</v>
      </c>
      <c r="J2949" s="69">
        <v>44353.18261574074</v>
      </c>
      <c r="K2949">
        <f>AVERAGE(H2947:H2951)</f>
        <v>166.0042673</v>
      </c>
      <c r="L2949">
        <f>STDEV(H2947:H2951)</f>
        <v>68.90706768</v>
      </c>
      <c r="M2949" s="70">
        <v>146.93050462445</v>
      </c>
      <c r="N2949" s="70">
        <v>146.93050462445</v>
      </c>
      <c r="O2949" s="70">
        <v>4.33222812343788</v>
      </c>
      <c r="P2949" s="70">
        <v>4.33222812343788</v>
      </c>
    </row>
    <row r="2950" hidden="1">
      <c r="A2950" s="67" t="s">
        <v>3710</v>
      </c>
      <c r="B2950" s="67" t="s">
        <v>519</v>
      </c>
      <c r="C2950" s="68">
        <v>0.25</v>
      </c>
      <c r="D2950" s="68">
        <v>0.25</v>
      </c>
      <c r="E2950" s="68">
        <v>7.0</v>
      </c>
      <c r="F2950" s="68">
        <v>3.0</v>
      </c>
      <c r="G2950" s="68">
        <v>2.85907403977808</v>
      </c>
      <c r="H2950" s="68">
        <v>112.206081229449</v>
      </c>
      <c r="I2950" s="69">
        <v>44353.18331018519</v>
      </c>
      <c r="J2950" s="69">
        <v>44353.183657407404</v>
      </c>
      <c r="K2950">
        <f>AVERAGE(H2947:H2951)</f>
        <v>166.0042673</v>
      </c>
      <c r="L2950">
        <f>STDEV(H2947:H2951)</f>
        <v>68.90706768</v>
      </c>
      <c r="M2950" s="70">
        <v>112.206081229449</v>
      </c>
      <c r="N2950" s="70">
        <v>112.206081229449</v>
      </c>
      <c r="O2950" s="70">
        <v>2.85907403977808</v>
      </c>
      <c r="P2950" s="70">
        <v>2.85907403977808</v>
      </c>
    </row>
    <row r="2951" hidden="1">
      <c r="A2951" s="67" t="s">
        <v>3711</v>
      </c>
      <c r="B2951" s="67" t="s">
        <v>519</v>
      </c>
      <c r="C2951" s="68">
        <v>0.25</v>
      </c>
      <c r="D2951" s="68">
        <v>0.25</v>
      </c>
      <c r="E2951" s="68">
        <v>7.0</v>
      </c>
      <c r="F2951" s="68">
        <v>4.0</v>
      </c>
      <c r="G2951" s="68">
        <v>2.49024255419838</v>
      </c>
      <c r="H2951" s="68">
        <v>131.86163765886</v>
      </c>
      <c r="I2951" s="69">
        <v>44353.18436342593</v>
      </c>
      <c r="J2951" s="69">
        <v>44353.184583333335</v>
      </c>
      <c r="K2951">
        <f>AVERAGE(H2947:H2951)</f>
        <v>166.0042673</v>
      </c>
      <c r="L2951">
        <f>STDEV(H2947:H2951)</f>
        <v>68.90706768</v>
      </c>
      <c r="M2951" s="70">
        <v>131.86163765886</v>
      </c>
      <c r="N2951" s="70">
        <v>131.86163765886</v>
      </c>
      <c r="O2951" s="70">
        <v>2.49024255419838</v>
      </c>
      <c r="P2951" s="70">
        <v>2.49024255419838</v>
      </c>
    </row>
    <row r="2952" hidden="1">
      <c r="A2952" s="67" t="s">
        <v>3712</v>
      </c>
      <c r="B2952" s="67" t="s">
        <v>519</v>
      </c>
      <c r="C2952" s="68">
        <v>0.25</v>
      </c>
      <c r="D2952" s="68">
        <v>0.5</v>
      </c>
      <c r="E2952" s="68">
        <v>7.0</v>
      </c>
      <c r="F2952" s="68">
        <v>0.0</v>
      </c>
      <c r="G2952" s="68">
        <v>5.61838474658263</v>
      </c>
      <c r="H2952" s="68">
        <v>191.657056459073</v>
      </c>
      <c r="I2952" s="69">
        <v>44353.18528935185</v>
      </c>
      <c r="J2952" s="69">
        <v>44353.186527777776</v>
      </c>
      <c r="K2952">
        <f>AVERAGE(H2952:H2956)</f>
        <v>125.0690113</v>
      </c>
      <c r="L2952">
        <f>STDEV(H2952:H2956)</f>
        <v>85.16356976</v>
      </c>
      <c r="M2952" s="70">
        <v>191.657056459073</v>
      </c>
      <c r="N2952" s="70">
        <v>191.657056459073</v>
      </c>
      <c r="O2952" s="70">
        <v>5.61838474658263</v>
      </c>
      <c r="P2952" s="70">
        <v>5.61838474658263</v>
      </c>
    </row>
    <row r="2953" hidden="1">
      <c r="A2953" s="67" t="s">
        <v>3713</v>
      </c>
      <c r="B2953" s="67" t="s">
        <v>519</v>
      </c>
      <c r="C2953" s="68">
        <v>0.25</v>
      </c>
      <c r="D2953" s="68">
        <v>0.5</v>
      </c>
      <c r="E2953" s="68">
        <v>7.0</v>
      </c>
      <c r="F2953" s="68">
        <v>1.0</v>
      </c>
      <c r="G2953" s="68">
        <v>3.10302866896042</v>
      </c>
      <c r="H2953" s="68">
        <v>155.973471106752</v>
      </c>
      <c r="I2953" s="69">
        <v>44353.18722222222</v>
      </c>
      <c r="J2953" s="69">
        <v>44353.215578703705</v>
      </c>
      <c r="K2953">
        <f>AVERAGE(H2952:H2956)</f>
        <v>125.0690113</v>
      </c>
      <c r="L2953">
        <f>STDEV(H2952:H2956)</f>
        <v>85.16356976</v>
      </c>
      <c r="M2953" s="70">
        <v>155.973471106752</v>
      </c>
      <c r="N2953" s="70">
        <v>155.973471106752</v>
      </c>
      <c r="O2953" s="70">
        <v>3.10302866896042</v>
      </c>
      <c r="P2953" s="70">
        <v>3.10302866896042</v>
      </c>
    </row>
    <row r="2954" hidden="1">
      <c r="A2954" s="67" t="s">
        <v>3714</v>
      </c>
      <c r="B2954" s="67" t="s">
        <v>519</v>
      </c>
      <c r="C2954" s="68">
        <v>0.25</v>
      </c>
      <c r="D2954" s="68">
        <v>0.5</v>
      </c>
      <c r="E2954" s="68">
        <v>7.0</v>
      </c>
      <c r="F2954" s="68">
        <v>2.0</v>
      </c>
      <c r="G2954" s="68">
        <v>5.6357366504913</v>
      </c>
      <c r="H2954" s="68">
        <v>207.294495350223</v>
      </c>
      <c r="I2954" s="69">
        <v>44353.21628472222</v>
      </c>
      <c r="J2954" s="69">
        <v>44353.21724537037</v>
      </c>
      <c r="K2954">
        <f>AVERAGE(H2952:H2956)</f>
        <v>125.0690113</v>
      </c>
      <c r="L2954">
        <f>STDEV(H2952:H2956)</f>
        <v>85.16356976</v>
      </c>
      <c r="M2954" s="70">
        <v>207.294495350223</v>
      </c>
      <c r="N2954" s="70">
        <v>207.294495350223</v>
      </c>
      <c r="O2954" s="70">
        <v>5.6357366504913</v>
      </c>
      <c r="P2954" s="70">
        <v>5.6357366504913</v>
      </c>
    </row>
    <row r="2955" hidden="1">
      <c r="A2955" s="67" t="s">
        <v>3715</v>
      </c>
      <c r="B2955" s="67" t="s">
        <v>519</v>
      </c>
      <c r="C2955" s="68">
        <v>0.25</v>
      </c>
      <c r="D2955" s="68">
        <v>0.5</v>
      </c>
      <c r="E2955" s="68">
        <v>7.0</v>
      </c>
      <c r="F2955" s="68">
        <v>3.0</v>
      </c>
      <c r="G2955" s="68">
        <v>1.08905358159789</v>
      </c>
      <c r="H2955" s="68">
        <v>16.3424118544826</v>
      </c>
      <c r="I2955" s="69">
        <v>44353.21795138889</v>
      </c>
      <c r="J2955" s="69">
        <v>44353.217997685184</v>
      </c>
      <c r="K2955">
        <f>AVERAGE(H2952:H2956)</f>
        <v>125.0690113</v>
      </c>
      <c r="L2955">
        <f>STDEV(H2952:H2956)</f>
        <v>85.16356976</v>
      </c>
      <c r="M2955" s="70">
        <v>16.3424118544826</v>
      </c>
      <c r="N2955" s="70">
        <v>16.3424118544826</v>
      </c>
      <c r="O2955" s="70">
        <v>1.08905358159789</v>
      </c>
      <c r="P2955" s="70">
        <v>1.08905358159789</v>
      </c>
    </row>
    <row r="2956" hidden="1">
      <c r="A2956" s="67" t="s">
        <v>3716</v>
      </c>
      <c r="B2956" s="67" t="s">
        <v>519</v>
      </c>
      <c r="C2956" s="68">
        <v>0.25</v>
      </c>
      <c r="D2956" s="68">
        <v>0.5</v>
      </c>
      <c r="E2956" s="68">
        <v>7.0</v>
      </c>
      <c r="F2956" s="68">
        <v>4.0</v>
      </c>
      <c r="G2956" s="68">
        <v>1.05892232718388</v>
      </c>
      <c r="H2956" s="68">
        <v>54.0776216281731</v>
      </c>
      <c r="I2956" s="69">
        <v>44353.2187037037</v>
      </c>
      <c r="J2956" s="69">
        <v>44353.22280092593</v>
      </c>
      <c r="K2956">
        <f>AVERAGE(H2952:H2956)</f>
        <v>125.0690113</v>
      </c>
      <c r="L2956">
        <f>STDEV(H2952:H2956)</f>
        <v>85.16356976</v>
      </c>
      <c r="M2956" s="70">
        <v>54.0776216281731</v>
      </c>
      <c r="N2956" s="70">
        <v>54.0776216281731</v>
      </c>
      <c r="O2956" s="70">
        <v>1.05892232718388</v>
      </c>
      <c r="P2956" s="70">
        <v>1.05892232718388</v>
      </c>
    </row>
    <row r="2957" hidden="1">
      <c r="A2957" s="67" t="s">
        <v>3717</v>
      </c>
      <c r="B2957" s="67" t="s">
        <v>519</v>
      </c>
      <c r="C2957" s="68">
        <v>0.25</v>
      </c>
      <c r="D2957" s="68">
        <v>0.75</v>
      </c>
      <c r="E2957" s="68">
        <v>7.0</v>
      </c>
      <c r="F2957" s="68">
        <v>0.0</v>
      </c>
      <c r="G2957" s="68">
        <v>3.8711878408222</v>
      </c>
      <c r="H2957" s="68">
        <v>177.685815860634</v>
      </c>
      <c r="I2957" s="69">
        <v>44353.22350694444</v>
      </c>
      <c r="J2957" s="69">
        <v>44353.252916666665</v>
      </c>
      <c r="K2957">
        <f>AVERAGE(H2957:H2961)</f>
        <v>110.7493092</v>
      </c>
      <c r="L2957">
        <f>STDEV(H2957:H2961)</f>
        <v>66.67553251</v>
      </c>
      <c r="M2957" s="70">
        <v>177.685815860634</v>
      </c>
      <c r="N2957" s="70">
        <v>177.685815860634</v>
      </c>
      <c r="O2957" s="70">
        <v>3.8711878408222</v>
      </c>
      <c r="P2957" s="70">
        <v>3.8711878408222</v>
      </c>
    </row>
    <row r="2958" hidden="1">
      <c r="A2958" s="67" t="s">
        <v>3718</v>
      </c>
      <c r="B2958" s="67" t="s">
        <v>519</v>
      </c>
      <c r="C2958" s="68">
        <v>0.25</v>
      </c>
      <c r="D2958" s="68">
        <v>0.75</v>
      </c>
      <c r="E2958" s="68">
        <v>7.0</v>
      </c>
      <c r="F2958" s="68">
        <v>1.0</v>
      </c>
      <c r="G2958" s="68">
        <v>2.58987693210779</v>
      </c>
      <c r="H2958" s="68">
        <v>108.706969107794</v>
      </c>
      <c r="I2958" s="69">
        <v>44353.25362268519</v>
      </c>
      <c r="J2958" s="69">
        <v>44353.253912037035</v>
      </c>
      <c r="K2958">
        <f>AVERAGE(H2957:H2961)</f>
        <v>110.7493092</v>
      </c>
      <c r="L2958">
        <f>STDEV(H2957:H2961)</f>
        <v>66.67553251</v>
      </c>
      <c r="M2958" s="70">
        <v>108.706969107794</v>
      </c>
      <c r="N2958" s="70">
        <v>108.706969107794</v>
      </c>
      <c r="O2958" s="70">
        <v>2.58987693210779</v>
      </c>
      <c r="P2958" s="70">
        <v>2.58987693210779</v>
      </c>
    </row>
    <row r="2959" hidden="1">
      <c r="A2959" s="67" t="s">
        <v>3719</v>
      </c>
      <c r="B2959" s="67" t="s">
        <v>519</v>
      </c>
      <c r="C2959" s="68">
        <v>0.25</v>
      </c>
      <c r="D2959" s="68">
        <v>0.75</v>
      </c>
      <c r="E2959" s="68">
        <v>7.0</v>
      </c>
      <c r="F2959" s="68">
        <v>2.0</v>
      </c>
      <c r="G2959" s="68">
        <v>0.466302059947925</v>
      </c>
      <c r="H2959" s="68">
        <v>0.558605536113522</v>
      </c>
      <c r="I2959" s="69">
        <v>44353.25461805556</v>
      </c>
      <c r="J2959" s="69">
        <v>44353.25480324074</v>
      </c>
      <c r="K2959">
        <f>AVERAGE(H2957:H2961)</f>
        <v>110.7493092</v>
      </c>
      <c r="L2959">
        <f>STDEV(H2957:H2961)</f>
        <v>66.67553251</v>
      </c>
      <c r="M2959" s="70">
        <v>0.558605536113522</v>
      </c>
      <c r="N2959" s="70">
        <v>0.558605536113522</v>
      </c>
      <c r="O2959" s="70">
        <v>0.466302059947925</v>
      </c>
      <c r="P2959" s="70">
        <v>0.466302059947925</v>
      </c>
    </row>
    <row r="2960" hidden="1">
      <c r="A2960" s="67" t="s">
        <v>3720</v>
      </c>
      <c r="B2960" s="67" t="s">
        <v>519</v>
      </c>
      <c r="C2960" s="68">
        <v>0.25</v>
      </c>
      <c r="D2960" s="68">
        <v>0.75</v>
      </c>
      <c r="E2960" s="68">
        <v>7.0</v>
      </c>
      <c r="F2960" s="68">
        <v>3.0</v>
      </c>
      <c r="G2960" s="68">
        <v>6.06693514884022</v>
      </c>
      <c r="H2960" s="68">
        <v>125.336555181303</v>
      </c>
      <c r="I2960" s="69">
        <v>44353.25549768518</v>
      </c>
      <c r="J2960" s="69">
        <v>44353.255520833336</v>
      </c>
      <c r="K2960">
        <f>AVERAGE(H2957:H2961)</f>
        <v>110.7493092</v>
      </c>
      <c r="L2960">
        <f>STDEV(H2957:H2961)</f>
        <v>66.67553251</v>
      </c>
      <c r="M2960" s="70">
        <v>125.336555181303</v>
      </c>
      <c r="N2960" s="70">
        <v>125.336555181303</v>
      </c>
      <c r="O2960" s="70">
        <v>6.06693514884022</v>
      </c>
      <c r="P2960" s="70">
        <v>6.06693514884022</v>
      </c>
    </row>
    <row r="2961" hidden="1">
      <c r="A2961" s="67" t="s">
        <v>3721</v>
      </c>
      <c r="B2961" s="67" t="s">
        <v>519</v>
      </c>
      <c r="C2961" s="68">
        <v>0.25</v>
      </c>
      <c r="D2961" s="68">
        <v>0.75</v>
      </c>
      <c r="E2961" s="68">
        <v>7.0</v>
      </c>
      <c r="F2961" s="68">
        <v>4.0</v>
      </c>
      <c r="G2961" s="68">
        <v>2.99712341097826</v>
      </c>
      <c r="H2961" s="68">
        <v>141.458600093529</v>
      </c>
      <c r="I2961" s="69">
        <v>44353.256215277775</v>
      </c>
      <c r="J2961" s="69">
        <v>44353.26996527778</v>
      </c>
      <c r="K2961">
        <f>AVERAGE(H2957:H2961)</f>
        <v>110.7493092</v>
      </c>
      <c r="L2961">
        <f>STDEV(H2957:H2961)</f>
        <v>66.67553251</v>
      </c>
      <c r="M2961" s="70">
        <v>141.458600093529</v>
      </c>
      <c r="N2961" s="70">
        <v>141.458600093529</v>
      </c>
      <c r="O2961" s="70">
        <v>2.99712341097826</v>
      </c>
      <c r="P2961" s="70">
        <v>2.99712341097826</v>
      </c>
    </row>
    <row r="2962" hidden="1">
      <c r="A2962" s="67" t="s">
        <v>3722</v>
      </c>
      <c r="B2962" s="67" t="s">
        <v>519</v>
      </c>
      <c r="C2962" s="68">
        <v>0.25</v>
      </c>
      <c r="D2962" s="68">
        <v>1.0</v>
      </c>
      <c r="E2962" s="68">
        <v>7.0</v>
      </c>
      <c r="F2962" s="68">
        <v>0.0</v>
      </c>
      <c r="G2962" s="68">
        <v>2.50299862541906</v>
      </c>
      <c r="H2962" s="68">
        <v>132.552004856919</v>
      </c>
      <c r="I2962" s="69">
        <v>44353.27065972222</v>
      </c>
      <c r="J2962" s="69">
        <v>44353.270891203705</v>
      </c>
      <c r="K2962">
        <f>AVERAGE(H2962:H2966)</f>
        <v>123.6980219</v>
      </c>
      <c r="L2962">
        <f>STDEV(H2962:H2966)</f>
        <v>83.42557214</v>
      </c>
      <c r="M2962" s="70">
        <v>132.552004856919</v>
      </c>
      <c r="N2962" s="70">
        <v>132.552004856919</v>
      </c>
      <c r="O2962" s="70">
        <v>2.50299862541906</v>
      </c>
      <c r="P2962" s="70">
        <v>2.50299862541906</v>
      </c>
    </row>
    <row r="2963" hidden="1">
      <c r="A2963" s="67" t="s">
        <v>3723</v>
      </c>
      <c r="B2963" s="67" t="s">
        <v>519</v>
      </c>
      <c r="C2963" s="68">
        <v>0.25</v>
      </c>
      <c r="D2963" s="68">
        <v>1.0</v>
      </c>
      <c r="E2963" s="68">
        <v>7.0</v>
      </c>
      <c r="F2963" s="68">
        <v>1.0</v>
      </c>
      <c r="G2963" s="68">
        <v>3.69899336095749</v>
      </c>
      <c r="H2963" s="68">
        <v>176.388438392641</v>
      </c>
      <c r="I2963" s="69">
        <v>44353.27159722222</v>
      </c>
      <c r="J2963" s="69">
        <v>44353.33641203704</v>
      </c>
      <c r="K2963">
        <f>AVERAGE(H2962:H2966)</f>
        <v>123.6980219</v>
      </c>
      <c r="L2963">
        <f>STDEV(H2962:H2966)</f>
        <v>83.42557214</v>
      </c>
      <c r="M2963" s="70">
        <v>176.388438392641</v>
      </c>
      <c r="N2963" s="70">
        <v>176.388438392641</v>
      </c>
      <c r="O2963" s="70">
        <v>3.69899336095749</v>
      </c>
      <c r="P2963" s="70">
        <v>3.69899336095749</v>
      </c>
    </row>
    <row r="2964" hidden="1">
      <c r="A2964" s="67" t="s">
        <v>3724</v>
      </c>
      <c r="B2964" s="67" t="s">
        <v>519</v>
      </c>
      <c r="C2964" s="68">
        <v>0.25</v>
      </c>
      <c r="D2964" s="68">
        <v>1.0</v>
      </c>
      <c r="E2964" s="68">
        <v>7.0</v>
      </c>
      <c r="F2964" s="68">
        <v>2.0</v>
      </c>
      <c r="G2964" s="68">
        <v>9.2557263800223</v>
      </c>
      <c r="H2964" s="68">
        <v>219.811076032939</v>
      </c>
      <c r="I2964" s="69">
        <v>44353.337118055555</v>
      </c>
      <c r="J2964" s="69">
        <v>44353.337222222224</v>
      </c>
      <c r="K2964">
        <f>AVERAGE(H2962:H2966)</f>
        <v>123.6980219</v>
      </c>
      <c r="L2964">
        <f>STDEV(H2962:H2966)</f>
        <v>83.42557214</v>
      </c>
      <c r="M2964" s="70">
        <v>219.811076032939</v>
      </c>
      <c r="N2964" s="70">
        <v>219.811076032939</v>
      </c>
      <c r="O2964" s="70">
        <v>9.2557263800223</v>
      </c>
      <c r="P2964" s="70">
        <v>9.2557263800223</v>
      </c>
    </row>
    <row r="2965" hidden="1">
      <c r="A2965" s="67" t="s">
        <v>3725</v>
      </c>
      <c r="B2965" s="67" t="s">
        <v>519</v>
      </c>
      <c r="C2965" s="68">
        <v>0.25</v>
      </c>
      <c r="D2965" s="68">
        <v>1.0</v>
      </c>
      <c r="E2965" s="68">
        <v>7.0</v>
      </c>
      <c r="F2965" s="68">
        <v>3.0</v>
      </c>
      <c r="G2965" s="68">
        <v>2.63713536997668</v>
      </c>
      <c r="H2965" s="68">
        <v>4.13248228283149</v>
      </c>
      <c r="I2965" s="69">
        <v>44353.33792824074</v>
      </c>
      <c r="J2965" s="69">
        <v>44353.33802083333</v>
      </c>
      <c r="K2965">
        <f>AVERAGE(H2962:H2966)</f>
        <v>123.6980219</v>
      </c>
      <c r="L2965">
        <f>STDEV(H2962:H2966)</f>
        <v>83.42557214</v>
      </c>
      <c r="M2965" s="70">
        <v>4.13248228283149</v>
      </c>
      <c r="N2965" s="70">
        <v>4.13248228283149</v>
      </c>
      <c r="O2965" s="70">
        <v>2.63713536997668</v>
      </c>
      <c r="P2965" s="70">
        <v>2.63713536997668</v>
      </c>
    </row>
    <row r="2966" hidden="1">
      <c r="A2966" s="67" t="s">
        <v>3726</v>
      </c>
      <c r="B2966" s="67" t="s">
        <v>519</v>
      </c>
      <c r="C2966" s="68">
        <v>0.25</v>
      </c>
      <c r="D2966" s="68">
        <v>1.0</v>
      </c>
      <c r="E2966" s="68">
        <v>7.0</v>
      </c>
      <c r="F2966" s="68">
        <v>4.0</v>
      </c>
      <c r="G2966" s="68">
        <v>1.78660431008909</v>
      </c>
      <c r="H2966" s="68">
        <v>85.6061079621354</v>
      </c>
      <c r="I2966" s="69">
        <v>44353.33872685185</v>
      </c>
      <c r="J2966" s="69">
        <v>44353.340636574074</v>
      </c>
      <c r="K2966">
        <f>AVERAGE(H2962:H2966)</f>
        <v>123.6980219</v>
      </c>
      <c r="L2966">
        <f>STDEV(H2962:H2966)</f>
        <v>83.42557214</v>
      </c>
      <c r="M2966" s="70">
        <v>85.6061079621354</v>
      </c>
      <c r="N2966" s="70">
        <v>85.6061079621354</v>
      </c>
      <c r="O2966" s="70">
        <v>1.78660431008909</v>
      </c>
      <c r="P2966" s="70">
        <v>1.78660431008909</v>
      </c>
    </row>
    <row r="2967" hidden="1">
      <c r="A2967" s="67" t="s">
        <v>3727</v>
      </c>
      <c r="B2967" s="67" t="s">
        <v>519</v>
      </c>
      <c r="C2967" s="68">
        <v>0.5</v>
      </c>
      <c r="D2967" s="68">
        <v>0.1</v>
      </c>
      <c r="E2967" s="68">
        <v>7.0</v>
      </c>
      <c r="F2967" s="68">
        <v>0.0</v>
      </c>
      <c r="G2967" s="68">
        <v>6.12978678809986</v>
      </c>
      <c r="H2967" s="68">
        <v>194.539408881003</v>
      </c>
      <c r="I2967" s="69">
        <v>44353.34134259259</v>
      </c>
      <c r="J2967" s="69">
        <v>44353.3415625</v>
      </c>
      <c r="K2967">
        <f>AVERAGE(H2967:H2971)</f>
        <v>147.2201835</v>
      </c>
      <c r="L2967">
        <f>STDEV(H2967:H2971)</f>
        <v>78.18016792</v>
      </c>
      <c r="M2967" s="70">
        <v>194.539408881003</v>
      </c>
      <c r="N2967" s="70">
        <v>194.539408881003</v>
      </c>
      <c r="O2967" s="70">
        <v>6.12978678809986</v>
      </c>
      <c r="P2967" s="70">
        <v>6.12978678809986</v>
      </c>
    </row>
    <row r="2968" hidden="1">
      <c r="A2968" s="67" t="s">
        <v>3728</v>
      </c>
      <c r="B2968" s="67" t="s">
        <v>519</v>
      </c>
      <c r="C2968" s="68">
        <v>0.5</v>
      </c>
      <c r="D2968" s="68">
        <v>0.1</v>
      </c>
      <c r="E2968" s="68">
        <v>7.0</v>
      </c>
      <c r="F2968" s="68">
        <v>1.0</v>
      </c>
      <c r="G2968" s="68">
        <v>5.66503915017751</v>
      </c>
      <c r="H2968" s="68">
        <v>195.59696742855</v>
      </c>
      <c r="I2968" s="69">
        <v>44353.34226851852</v>
      </c>
      <c r="J2968" s="69">
        <v>44353.34409722222</v>
      </c>
      <c r="K2968">
        <f>AVERAGE(H2967:H2971)</f>
        <v>147.2201835</v>
      </c>
      <c r="L2968">
        <f>STDEV(H2967:H2971)</f>
        <v>78.18016792</v>
      </c>
      <c r="M2968" s="70">
        <v>195.59696742855</v>
      </c>
      <c r="N2968" s="70">
        <v>195.59696742855</v>
      </c>
      <c r="O2968" s="70">
        <v>5.66503915017751</v>
      </c>
      <c r="P2968" s="70">
        <v>5.66503915017751</v>
      </c>
    </row>
    <row r="2969" hidden="1">
      <c r="A2969" s="67" t="s">
        <v>3729</v>
      </c>
      <c r="B2969" s="67" t="s">
        <v>519</v>
      </c>
      <c r="C2969" s="68">
        <v>0.5</v>
      </c>
      <c r="D2969" s="68">
        <v>0.1</v>
      </c>
      <c r="E2969" s="68">
        <v>7.0</v>
      </c>
      <c r="F2969" s="68">
        <v>2.0</v>
      </c>
      <c r="G2969" s="68">
        <v>4.84952817259668</v>
      </c>
      <c r="H2969" s="68">
        <v>220.794105744128</v>
      </c>
      <c r="I2969" s="69">
        <v>44353.34479166667</v>
      </c>
      <c r="J2969" s="69">
        <v>44353.35726851852</v>
      </c>
      <c r="K2969">
        <f>AVERAGE(H2967:H2971)</f>
        <v>147.2201835</v>
      </c>
      <c r="L2969">
        <f>STDEV(H2967:H2971)</f>
        <v>78.18016792</v>
      </c>
      <c r="M2969" s="70">
        <v>220.794105744128</v>
      </c>
      <c r="N2969" s="70">
        <v>220.794105744128</v>
      </c>
      <c r="O2969" s="70">
        <v>4.84952817259668</v>
      </c>
      <c r="P2969" s="70">
        <v>4.84952817259668</v>
      </c>
    </row>
    <row r="2970" hidden="1">
      <c r="A2970" s="67" t="s">
        <v>3730</v>
      </c>
      <c r="B2970" s="67" t="s">
        <v>519</v>
      </c>
      <c r="C2970" s="68">
        <v>0.5</v>
      </c>
      <c r="D2970" s="68">
        <v>0.1</v>
      </c>
      <c r="E2970" s="68">
        <v>7.0</v>
      </c>
      <c r="F2970" s="68">
        <v>3.0</v>
      </c>
      <c r="G2970" s="68">
        <v>1.43559173156676</v>
      </c>
      <c r="H2970" s="68">
        <v>70.642990198295</v>
      </c>
      <c r="I2970" s="69">
        <v>44353.35797453704</v>
      </c>
      <c r="J2970" s="69">
        <v>44353.358715277776</v>
      </c>
      <c r="K2970">
        <f>AVERAGE(H2967:H2971)</f>
        <v>147.2201835</v>
      </c>
      <c r="L2970">
        <f>STDEV(H2967:H2971)</f>
        <v>78.18016792</v>
      </c>
      <c r="M2970" s="70">
        <v>70.642990198295</v>
      </c>
      <c r="N2970" s="70">
        <v>70.642990198295</v>
      </c>
      <c r="O2970" s="70">
        <v>1.43559173156676</v>
      </c>
      <c r="P2970" s="70">
        <v>1.43559173156676</v>
      </c>
    </row>
    <row r="2971" hidden="1">
      <c r="A2971" s="67" t="s">
        <v>3731</v>
      </c>
      <c r="B2971" s="67" t="s">
        <v>519</v>
      </c>
      <c r="C2971" s="68">
        <v>0.5</v>
      </c>
      <c r="D2971" s="68">
        <v>0.1</v>
      </c>
      <c r="E2971" s="68">
        <v>7.0</v>
      </c>
      <c r="F2971" s="68">
        <v>4.0</v>
      </c>
      <c r="G2971" s="68">
        <v>1.00093372073941</v>
      </c>
      <c r="H2971" s="68">
        <v>54.527445157768</v>
      </c>
      <c r="I2971" s="69">
        <v>44353.35940972222</v>
      </c>
      <c r="J2971" s="69">
        <v>44353.371041666665</v>
      </c>
      <c r="K2971">
        <f>AVERAGE(H2967:H2971)</f>
        <v>147.2201835</v>
      </c>
      <c r="L2971">
        <f>STDEV(H2967:H2971)</f>
        <v>78.18016792</v>
      </c>
      <c r="M2971" s="70">
        <v>54.527445157768</v>
      </c>
      <c r="N2971" s="70">
        <v>54.527445157768</v>
      </c>
      <c r="O2971" s="70">
        <v>1.00093372073941</v>
      </c>
      <c r="P2971" s="70">
        <v>1.00093372073941</v>
      </c>
    </row>
    <row r="2972" hidden="1">
      <c r="A2972" s="67" t="s">
        <v>3732</v>
      </c>
      <c r="B2972" s="67" t="s">
        <v>519</v>
      </c>
      <c r="C2972" s="68">
        <v>0.5</v>
      </c>
      <c r="D2972" s="68">
        <v>0.25</v>
      </c>
      <c r="E2972" s="68">
        <v>7.0</v>
      </c>
      <c r="F2972" s="68">
        <v>0.0</v>
      </c>
      <c r="G2972" s="68">
        <v>0.317145370870006</v>
      </c>
      <c r="H2972" s="68">
        <v>0.406115963760371</v>
      </c>
      <c r="I2972" s="69">
        <v>44353.37174768518</v>
      </c>
      <c r="J2972" s="69">
        <v>44353.37179398148</v>
      </c>
      <c r="K2972">
        <f>AVERAGE(H2972:H2976)</f>
        <v>95.27287515</v>
      </c>
      <c r="L2972">
        <f>STDEV(H2972:H2976)</f>
        <v>86.59889444</v>
      </c>
      <c r="M2972" s="70">
        <v>0.406115963760371</v>
      </c>
      <c r="N2972" s="70">
        <v>0.406115963760371</v>
      </c>
      <c r="O2972" s="70">
        <v>0.317145370870006</v>
      </c>
      <c r="P2972" s="70">
        <v>0.317145370870006</v>
      </c>
    </row>
    <row r="2973" hidden="1">
      <c r="A2973" s="67" t="s">
        <v>3733</v>
      </c>
      <c r="B2973" s="67" t="s">
        <v>519</v>
      </c>
      <c r="C2973" s="68">
        <v>0.5</v>
      </c>
      <c r="D2973" s="68">
        <v>0.25</v>
      </c>
      <c r="E2973" s="68">
        <v>7.0</v>
      </c>
      <c r="F2973" s="68">
        <v>1.0</v>
      </c>
      <c r="G2973" s="68">
        <v>4.09108572796377</v>
      </c>
      <c r="H2973" s="68">
        <v>162.259305822746</v>
      </c>
      <c r="I2973" s="69">
        <v>44353.3725</v>
      </c>
      <c r="J2973" s="69">
        <v>44353.37642361111</v>
      </c>
      <c r="K2973">
        <f>AVERAGE(H2972:H2976)</f>
        <v>95.27287515</v>
      </c>
      <c r="L2973">
        <f>STDEV(H2972:H2976)</f>
        <v>86.59889444</v>
      </c>
      <c r="M2973" s="70">
        <v>162.259305822746</v>
      </c>
      <c r="N2973" s="70">
        <v>162.259305822746</v>
      </c>
      <c r="O2973" s="70">
        <v>4.09108572796377</v>
      </c>
      <c r="P2973" s="70">
        <v>4.09108572796377</v>
      </c>
    </row>
    <row r="2974" hidden="1">
      <c r="A2974" s="67" t="s">
        <v>3734</v>
      </c>
      <c r="B2974" s="67" t="s">
        <v>519</v>
      </c>
      <c r="C2974" s="68">
        <v>0.5</v>
      </c>
      <c r="D2974" s="68">
        <v>0.25</v>
      </c>
      <c r="E2974" s="68">
        <v>7.0</v>
      </c>
      <c r="F2974" s="68">
        <v>2.0</v>
      </c>
      <c r="G2974" s="68">
        <v>0.377529980522562</v>
      </c>
      <c r="H2974" s="68">
        <v>0.485240991428228</v>
      </c>
      <c r="I2974" s="69">
        <v>44353.37712962963</v>
      </c>
      <c r="J2974" s="69">
        <v>44353.377222222225</v>
      </c>
      <c r="K2974">
        <f>AVERAGE(H2972:H2976)</f>
        <v>95.27287515</v>
      </c>
      <c r="L2974">
        <f>STDEV(H2972:H2976)</f>
        <v>86.59889444</v>
      </c>
      <c r="M2974" s="70">
        <v>0.485240991428228</v>
      </c>
      <c r="N2974" s="70">
        <v>0.485240991428228</v>
      </c>
      <c r="O2974" s="70">
        <v>0.377529980522562</v>
      </c>
      <c r="P2974" s="70">
        <v>0.377529980522562</v>
      </c>
    </row>
    <row r="2975" hidden="1">
      <c r="A2975" s="67" t="s">
        <v>3735</v>
      </c>
      <c r="B2975" s="67" t="s">
        <v>519</v>
      </c>
      <c r="C2975" s="68">
        <v>0.5</v>
      </c>
      <c r="D2975" s="68">
        <v>0.25</v>
      </c>
      <c r="E2975" s="68">
        <v>7.0</v>
      </c>
      <c r="F2975" s="68">
        <v>3.0</v>
      </c>
      <c r="G2975" s="68">
        <v>3.14524688922871</v>
      </c>
      <c r="H2975" s="68">
        <v>157.650900795694</v>
      </c>
      <c r="I2975" s="69">
        <v>44353.37792824074</v>
      </c>
      <c r="J2975" s="69">
        <v>44353.437893518516</v>
      </c>
      <c r="K2975">
        <f>AVERAGE(H2972:H2976)</f>
        <v>95.27287515</v>
      </c>
      <c r="L2975">
        <f>STDEV(H2972:H2976)</f>
        <v>86.59889444</v>
      </c>
      <c r="M2975" s="70">
        <v>157.650900795694</v>
      </c>
      <c r="N2975" s="70">
        <v>157.650900795694</v>
      </c>
      <c r="O2975" s="70">
        <v>3.14524688922871</v>
      </c>
      <c r="P2975" s="70">
        <v>3.14524688922871</v>
      </c>
    </row>
    <row r="2976" hidden="1">
      <c r="A2976" s="67" t="s">
        <v>3736</v>
      </c>
      <c r="B2976" s="67" t="s">
        <v>519</v>
      </c>
      <c r="C2976" s="68">
        <v>0.5</v>
      </c>
      <c r="D2976" s="68">
        <v>0.25</v>
      </c>
      <c r="E2976" s="68">
        <v>7.0</v>
      </c>
      <c r="F2976" s="68">
        <v>4.0</v>
      </c>
      <c r="G2976" s="68">
        <v>3.69522536016045</v>
      </c>
      <c r="H2976" s="68">
        <v>155.562812193595</v>
      </c>
      <c r="I2976" s="69">
        <v>44353.43859953704</v>
      </c>
      <c r="J2976" s="69">
        <v>44353.43892361111</v>
      </c>
      <c r="K2976">
        <f>AVERAGE(H2972:H2976)</f>
        <v>95.27287515</v>
      </c>
      <c r="L2976">
        <f>STDEV(H2972:H2976)</f>
        <v>86.59889444</v>
      </c>
      <c r="M2976" s="70">
        <v>155.562812193595</v>
      </c>
      <c r="N2976" s="70">
        <v>155.562812193595</v>
      </c>
      <c r="O2976" s="70">
        <v>3.69522536016045</v>
      </c>
      <c r="P2976" s="70">
        <v>3.69522536016045</v>
      </c>
    </row>
    <row r="2977" hidden="1">
      <c r="A2977" s="67" t="s">
        <v>3737</v>
      </c>
      <c r="B2977" s="67" t="s">
        <v>519</v>
      </c>
      <c r="C2977" s="68">
        <v>0.5</v>
      </c>
      <c r="D2977" s="68">
        <v>0.5</v>
      </c>
      <c r="E2977" s="68">
        <v>7.0</v>
      </c>
      <c r="F2977" s="68">
        <v>0.0</v>
      </c>
      <c r="G2977" s="68">
        <v>0.470275114529804</v>
      </c>
      <c r="H2977" s="68">
        <v>0.561714902354158</v>
      </c>
      <c r="I2977" s="69">
        <v>44353.439618055556</v>
      </c>
      <c r="J2977" s="69">
        <v>44353.439791666664</v>
      </c>
      <c r="K2977">
        <f>AVERAGE(H2977:H2981)</f>
        <v>96.52409175</v>
      </c>
      <c r="L2977">
        <f>STDEV(H2977:H2981)</f>
        <v>92.39529818</v>
      </c>
      <c r="M2977" s="70">
        <v>0.561714902354158</v>
      </c>
      <c r="N2977" s="70">
        <v>0.561714902354158</v>
      </c>
      <c r="O2977" s="70">
        <v>0.470275114529804</v>
      </c>
      <c r="P2977" s="70">
        <v>0.470275114529804</v>
      </c>
    </row>
    <row r="2978" hidden="1">
      <c r="A2978" s="67" t="s">
        <v>3738</v>
      </c>
      <c r="B2978" s="67" t="s">
        <v>519</v>
      </c>
      <c r="C2978" s="68">
        <v>0.5</v>
      </c>
      <c r="D2978" s="68">
        <v>0.5</v>
      </c>
      <c r="E2978" s="68">
        <v>7.0</v>
      </c>
      <c r="F2978" s="68">
        <v>1.0</v>
      </c>
      <c r="G2978" s="68">
        <v>0.337870198671188</v>
      </c>
      <c r="H2978" s="68">
        <v>0.425444607833281</v>
      </c>
      <c r="I2978" s="69">
        <v>44353.44049768519</v>
      </c>
      <c r="J2978" s="69">
        <v>44353.44055555556</v>
      </c>
      <c r="K2978">
        <f>AVERAGE(H2977:H2981)</f>
        <v>96.52409175</v>
      </c>
      <c r="L2978">
        <f>STDEV(H2977:H2981)</f>
        <v>92.39529818</v>
      </c>
      <c r="M2978" s="70">
        <v>0.425444607833281</v>
      </c>
      <c r="N2978" s="70">
        <v>0.425444607833281</v>
      </c>
      <c r="O2978" s="70">
        <v>0.337870198671188</v>
      </c>
      <c r="P2978" s="70">
        <v>0.337870198671188</v>
      </c>
    </row>
    <row r="2979" hidden="1">
      <c r="A2979" s="67" t="s">
        <v>3739</v>
      </c>
      <c r="B2979" s="67" t="s">
        <v>519</v>
      </c>
      <c r="C2979" s="68">
        <v>0.5</v>
      </c>
      <c r="D2979" s="68">
        <v>0.5</v>
      </c>
      <c r="E2979" s="68">
        <v>7.0</v>
      </c>
      <c r="F2979" s="68">
        <v>2.0</v>
      </c>
      <c r="G2979" s="68">
        <v>7.58089384467613</v>
      </c>
      <c r="H2979" s="68">
        <v>195.185088741083</v>
      </c>
      <c r="I2979" s="69">
        <v>44353.44126157407</v>
      </c>
      <c r="J2979" s="69">
        <v>44353.441412037035</v>
      </c>
      <c r="K2979">
        <f>AVERAGE(H2977:H2981)</f>
        <v>96.52409175</v>
      </c>
      <c r="L2979">
        <f>STDEV(H2977:H2981)</f>
        <v>92.39529818</v>
      </c>
      <c r="M2979" s="70">
        <v>195.185088741083</v>
      </c>
      <c r="N2979" s="70">
        <v>195.185088741083</v>
      </c>
      <c r="O2979" s="70">
        <v>7.58089384467613</v>
      </c>
      <c r="P2979" s="70">
        <v>7.58089384467613</v>
      </c>
    </row>
    <row r="2980" hidden="1">
      <c r="A2980" s="67" t="s">
        <v>3740</v>
      </c>
      <c r="B2980" s="67" t="s">
        <v>519</v>
      </c>
      <c r="C2980" s="68">
        <v>0.5</v>
      </c>
      <c r="D2980" s="68">
        <v>0.5</v>
      </c>
      <c r="E2980" s="68">
        <v>7.0</v>
      </c>
      <c r="F2980" s="68">
        <v>3.0</v>
      </c>
      <c r="G2980" s="68">
        <v>2.4768286579897</v>
      </c>
      <c r="H2980" s="68">
        <v>114.868665725735</v>
      </c>
      <c r="I2980" s="69">
        <v>44353.44211805556</v>
      </c>
      <c r="J2980" s="69">
        <v>44353.443819444445</v>
      </c>
      <c r="K2980">
        <f>AVERAGE(H2977:H2981)</f>
        <v>96.52409175</v>
      </c>
      <c r="L2980">
        <f>STDEV(H2977:H2981)</f>
        <v>92.39529818</v>
      </c>
      <c r="M2980" s="70">
        <v>114.868665725735</v>
      </c>
      <c r="N2980" s="70">
        <v>114.868665725735</v>
      </c>
      <c r="O2980" s="70">
        <v>2.4768286579897</v>
      </c>
      <c r="P2980" s="70">
        <v>2.4768286579897</v>
      </c>
    </row>
    <row r="2981" hidden="1">
      <c r="A2981" s="67" t="s">
        <v>3741</v>
      </c>
      <c r="B2981" s="67" t="s">
        <v>519</v>
      </c>
      <c r="C2981" s="68">
        <v>0.5</v>
      </c>
      <c r="D2981" s="68">
        <v>0.5</v>
      </c>
      <c r="E2981" s="68">
        <v>7.0</v>
      </c>
      <c r="F2981" s="68">
        <v>4.0</v>
      </c>
      <c r="G2981" s="68">
        <v>3.61321387765868</v>
      </c>
      <c r="H2981" s="68">
        <v>171.579544773744</v>
      </c>
      <c r="I2981" s="69">
        <v>44353.44451388889</v>
      </c>
      <c r="J2981" s="69">
        <v>44353.51195601852</v>
      </c>
      <c r="K2981">
        <f>AVERAGE(H2977:H2981)</f>
        <v>96.52409175</v>
      </c>
      <c r="L2981">
        <f>STDEV(H2977:H2981)</f>
        <v>92.39529818</v>
      </c>
      <c r="M2981" s="70">
        <v>171.579544773744</v>
      </c>
      <c r="N2981" s="70">
        <v>171.579544773744</v>
      </c>
      <c r="O2981" s="70">
        <v>3.61321387765868</v>
      </c>
      <c r="P2981" s="70">
        <v>3.61321387765868</v>
      </c>
    </row>
    <row r="2982" hidden="1">
      <c r="A2982" s="67" t="s">
        <v>3742</v>
      </c>
      <c r="B2982" s="67" t="s">
        <v>519</v>
      </c>
      <c r="C2982" s="68">
        <v>0.5</v>
      </c>
      <c r="D2982" s="68">
        <v>0.75</v>
      </c>
      <c r="E2982" s="68">
        <v>7.0</v>
      </c>
      <c r="F2982" s="68">
        <v>0.0</v>
      </c>
      <c r="G2982" s="68">
        <v>1.52387847163776</v>
      </c>
      <c r="H2982" s="68">
        <v>84.7151638010665</v>
      </c>
      <c r="I2982" s="69">
        <v>44353.512650462966</v>
      </c>
      <c r="J2982" s="69">
        <v>44353.51540509259</v>
      </c>
      <c r="K2982">
        <f>AVERAGE(H2982:H2986)</f>
        <v>118.0796861</v>
      </c>
      <c r="L2982">
        <f>STDEV(H2982:H2986)</f>
        <v>75.95624623</v>
      </c>
      <c r="M2982" s="70">
        <v>84.7151638010665</v>
      </c>
      <c r="N2982" s="70">
        <v>84.7151638010665</v>
      </c>
      <c r="O2982" s="70">
        <v>1.52387847163776</v>
      </c>
      <c r="P2982" s="70">
        <v>1.52387847163776</v>
      </c>
    </row>
    <row r="2983" hidden="1">
      <c r="A2983" s="67" t="s">
        <v>3743</v>
      </c>
      <c r="B2983" s="67" t="s">
        <v>519</v>
      </c>
      <c r="C2983" s="68">
        <v>0.5</v>
      </c>
      <c r="D2983" s="68">
        <v>0.75</v>
      </c>
      <c r="E2983" s="68">
        <v>7.0</v>
      </c>
      <c r="F2983" s="68">
        <v>1.0</v>
      </c>
      <c r="G2983" s="68">
        <v>3.93844269422508</v>
      </c>
      <c r="H2983" s="68">
        <v>182.516758816449</v>
      </c>
      <c r="I2983" s="69">
        <v>44353.51611111111</v>
      </c>
      <c r="J2983" s="69">
        <v>44353.55332175926</v>
      </c>
      <c r="K2983">
        <f>AVERAGE(H2982:H2986)</f>
        <v>118.0796861</v>
      </c>
      <c r="L2983">
        <f>STDEV(H2982:H2986)</f>
        <v>75.95624623</v>
      </c>
      <c r="M2983" s="70">
        <v>182.516758816449</v>
      </c>
      <c r="N2983" s="70">
        <v>182.516758816449</v>
      </c>
      <c r="O2983" s="70">
        <v>3.93844269422508</v>
      </c>
      <c r="P2983" s="70">
        <v>3.93844269422508</v>
      </c>
    </row>
    <row r="2984" hidden="1">
      <c r="A2984" s="67" t="s">
        <v>3744</v>
      </c>
      <c r="B2984" s="67" t="s">
        <v>519</v>
      </c>
      <c r="C2984" s="68">
        <v>0.5</v>
      </c>
      <c r="D2984" s="68">
        <v>0.75</v>
      </c>
      <c r="E2984" s="68">
        <v>7.0</v>
      </c>
      <c r="F2984" s="68">
        <v>2.0</v>
      </c>
      <c r="G2984" s="68">
        <v>0.463551662197447</v>
      </c>
      <c r="H2984" s="68">
        <v>0.555262670361156</v>
      </c>
      <c r="I2984" s="69">
        <v>44353.554027777776</v>
      </c>
      <c r="J2984" s="69">
        <v>44353.55420138889</v>
      </c>
      <c r="K2984">
        <f>AVERAGE(H2982:H2986)</f>
        <v>118.0796861</v>
      </c>
      <c r="L2984">
        <f>STDEV(H2982:H2986)</f>
        <v>75.95624623</v>
      </c>
      <c r="M2984" s="70">
        <v>0.555262670361156</v>
      </c>
      <c r="N2984" s="70">
        <v>0.555262670361156</v>
      </c>
      <c r="O2984" s="70">
        <v>0.463551662197447</v>
      </c>
      <c r="P2984" s="70">
        <v>0.463551662197447</v>
      </c>
    </row>
    <row r="2985" hidden="1">
      <c r="A2985" s="67" t="s">
        <v>3745</v>
      </c>
      <c r="B2985" s="67" t="s">
        <v>519</v>
      </c>
      <c r="C2985" s="68">
        <v>0.5</v>
      </c>
      <c r="D2985" s="68">
        <v>0.75</v>
      </c>
      <c r="E2985" s="68">
        <v>7.0</v>
      </c>
      <c r="F2985" s="68">
        <v>3.0</v>
      </c>
      <c r="G2985" s="68">
        <v>5.61181318794824</v>
      </c>
      <c r="H2985" s="68">
        <v>172.775679511789</v>
      </c>
      <c r="I2985" s="69">
        <v>44353.55490740741</v>
      </c>
      <c r="J2985" s="69">
        <v>44353.55504629629</v>
      </c>
      <c r="K2985">
        <f>AVERAGE(H2982:H2986)</f>
        <v>118.0796861</v>
      </c>
      <c r="L2985">
        <f>STDEV(H2982:H2986)</f>
        <v>75.95624623</v>
      </c>
      <c r="M2985" s="70">
        <v>172.775679511789</v>
      </c>
      <c r="N2985" s="70">
        <v>172.775679511789</v>
      </c>
      <c r="O2985" s="70">
        <v>5.61181318794824</v>
      </c>
      <c r="P2985" s="70">
        <v>5.61181318794824</v>
      </c>
    </row>
    <row r="2986" hidden="1">
      <c r="A2986" s="67" t="s">
        <v>3746</v>
      </c>
      <c r="B2986" s="67" t="s">
        <v>519</v>
      </c>
      <c r="C2986" s="68">
        <v>0.5</v>
      </c>
      <c r="D2986" s="68">
        <v>0.75</v>
      </c>
      <c r="E2986" s="68">
        <v>7.0</v>
      </c>
      <c r="F2986" s="68">
        <v>4.0</v>
      </c>
      <c r="G2986" s="68">
        <v>4.90178511180262</v>
      </c>
      <c r="H2986" s="68">
        <v>149.835565570086</v>
      </c>
      <c r="I2986" s="69">
        <v>44353.555752314816</v>
      </c>
      <c r="J2986" s="69">
        <v>44353.55603009259</v>
      </c>
      <c r="K2986">
        <f>AVERAGE(H2982:H2986)</f>
        <v>118.0796861</v>
      </c>
      <c r="L2986">
        <f>STDEV(H2982:H2986)</f>
        <v>75.95624623</v>
      </c>
      <c r="M2986" s="70">
        <v>149.835565570086</v>
      </c>
      <c r="N2986" s="70">
        <v>149.835565570086</v>
      </c>
      <c r="O2986" s="70">
        <v>4.90178511180262</v>
      </c>
      <c r="P2986" s="70">
        <v>4.90178511180262</v>
      </c>
    </row>
    <row r="2987" hidden="1">
      <c r="A2987" s="67" t="s">
        <v>3747</v>
      </c>
      <c r="B2987" s="67" t="s">
        <v>519</v>
      </c>
      <c r="C2987" s="68">
        <v>0.5</v>
      </c>
      <c r="D2987" s="68">
        <v>1.0</v>
      </c>
      <c r="E2987" s="68">
        <v>7.0</v>
      </c>
      <c r="F2987" s="68">
        <v>0.0</v>
      </c>
      <c r="G2987" s="68">
        <v>9.85154723740881</v>
      </c>
      <c r="H2987" s="68">
        <v>226.616038926282</v>
      </c>
      <c r="I2987" s="69">
        <v>44353.55673611111</v>
      </c>
      <c r="J2987" s="69">
        <v>44353.5568287037</v>
      </c>
      <c r="K2987">
        <f>AVERAGE(H2987:H2991)</f>
        <v>100.5753832</v>
      </c>
      <c r="L2987">
        <f>STDEV(H2987:H2991)</f>
        <v>101.4481333</v>
      </c>
      <c r="M2987" s="70">
        <v>226.616038926282</v>
      </c>
      <c r="N2987" s="70">
        <v>226.616038926282</v>
      </c>
      <c r="O2987" s="70">
        <v>9.85154723740881</v>
      </c>
      <c r="P2987" s="70">
        <v>9.85154723740881</v>
      </c>
    </row>
    <row r="2988" hidden="1">
      <c r="A2988" s="67" t="s">
        <v>3748</v>
      </c>
      <c r="B2988" s="67" t="s">
        <v>519</v>
      </c>
      <c r="C2988" s="68">
        <v>0.5</v>
      </c>
      <c r="D2988" s="68">
        <v>1.0</v>
      </c>
      <c r="E2988" s="68">
        <v>7.0</v>
      </c>
      <c r="F2988" s="68">
        <v>1.0</v>
      </c>
      <c r="G2988" s="68">
        <v>1.85985902962476</v>
      </c>
      <c r="H2988" s="68">
        <v>94.6412607590744</v>
      </c>
      <c r="I2988" s="69">
        <v>44353.557534722226</v>
      </c>
      <c r="J2988" s="69">
        <v>44353.55967592593</v>
      </c>
      <c r="K2988">
        <f>AVERAGE(H2987:H2991)</f>
        <v>100.5753832</v>
      </c>
      <c r="L2988">
        <f>STDEV(H2987:H2991)</f>
        <v>101.4481333</v>
      </c>
      <c r="M2988" s="70">
        <v>94.6412607590744</v>
      </c>
      <c r="N2988" s="70">
        <v>94.6412607590744</v>
      </c>
      <c r="O2988" s="70">
        <v>1.85985902962476</v>
      </c>
      <c r="P2988" s="70">
        <v>1.85985902962476</v>
      </c>
    </row>
    <row r="2989" hidden="1">
      <c r="A2989" s="67" t="s">
        <v>3749</v>
      </c>
      <c r="B2989" s="67" t="s">
        <v>519</v>
      </c>
      <c r="C2989" s="68">
        <v>0.5</v>
      </c>
      <c r="D2989" s="68">
        <v>1.0</v>
      </c>
      <c r="E2989" s="68">
        <v>7.0</v>
      </c>
      <c r="F2989" s="68">
        <v>2.0</v>
      </c>
      <c r="G2989" s="68">
        <v>3.83623420471764</v>
      </c>
      <c r="H2989" s="68">
        <v>177.244806725043</v>
      </c>
      <c r="I2989" s="69">
        <v>44353.560381944444</v>
      </c>
      <c r="J2989" s="69">
        <v>44353.6059837963</v>
      </c>
      <c r="K2989">
        <f>AVERAGE(H2987:H2991)</f>
        <v>100.5753832</v>
      </c>
      <c r="L2989">
        <f>STDEV(H2987:H2991)</f>
        <v>101.4481333</v>
      </c>
      <c r="M2989" s="70">
        <v>177.244806725043</v>
      </c>
      <c r="N2989" s="70">
        <v>177.244806725043</v>
      </c>
      <c r="O2989" s="70">
        <v>3.83623420471764</v>
      </c>
      <c r="P2989" s="70">
        <v>3.83623420471764</v>
      </c>
    </row>
    <row r="2990" hidden="1">
      <c r="A2990" s="67" t="s">
        <v>3750</v>
      </c>
      <c r="B2990" s="67" t="s">
        <v>519</v>
      </c>
      <c r="C2990" s="68">
        <v>0.5</v>
      </c>
      <c r="D2990" s="68">
        <v>1.0</v>
      </c>
      <c r="E2990" s="68">
        <v>7.0</v>
      </c>
      <c r="F2990" s="68">
        <v>3.0</v>
      </c>
      <c r="G2990" s="68">
        <v>0.481235639232251</v>
      </c>
      <c r="H2990" s="68">
        <v>4.03742686709516</v>
      </c>
      <c r="I2990" s="69">
        <v>44353.60667824074</v>
      </c>
      <c r="J2990" s="69">
        <v>44353.60710648148</v>
      </c>
      <c r="K2990">
        <f>AVERAGE(H2987:H2991)</f>
        <v>100.5753832</v>
      </c>
      <c r="L2990">
        <f>STDEV(H2987:H2991)</f>
        <v>101.4481333</v>
      </c>
      <c r="M2990" s="70">
        <v>4.03742686709516</v>
      </c>
      <c r="N2990" s="70">
        <v>4.03742686709516</v>
      </c>
      <c r="O2990" s="70">
        <v>0.481235639232251</v>
      </c>
      <c r="P2990" s="70">
        <v>0.481235639232251</v>
      </c>
    </row>
    <row r="2991" hidden="1">
      <c r="A2991" s="67" t="s">
        <v>3751</v>
      </c>
      <c r="B2991" s="67" t="s">
        <v>519</v>
      </c>
      <c r="C2991" s="68">
        <v>0.5</v>
      </c>
      <c r="D2991" s="68">
        <v>1.0</v>
      </c>
      <c r="E2991" s="68">
        <v>7.0</v>
      </c>
      <c r="F2991" s="68">
        <v>4.0</v>
      </c>
      <c r="G2991" s="68">
        <v>0.16810006259126</v>
      </c>
      <c r="H2991" s="68">
        <v>0.337382684369556</v>
      </c>
      <c r="I2991" s="69">
        <v>44353.6078125</v>
      </c>
      <c r="J2991" s="69">
        <v>44353.607824074075</v>
      </c>
      <c r="K2991">
        <f>AVERAGE(H2987:H2991)</f>
        <v>100.5753832</v>
      </c>
      <c r="L2991">
        <f>STDEV(H2987:H2991)</f>
        <v>101.4481333</v>
      </c>
      <c r="M2991" s="70">
        <v>0.337382684369556</v>
      </c>
      <c r="N2991" s="70">
        <v>0.337382684369556</v>
      </c>
      <c r="O2991" s="70">
        <v>0.16810006259126</v>
      </c>
      <c r="P2991" s="70">
        <v>0.16810006259126</v>
      </c>
    </row>
    <row r="2992" hidden="1">
      <c r="A2992" s="67" t="s">
        <v>3752</v>
      </c>
      <c r="B2992" s="67" t="s">
        <v>519</v>
      </c>
      <c r="C2992" s="68">
        <v>0.75</v>
      </c>
      <c r="D2992" s="68">
        <v>0.1</v>
      </c>
      <c r="E2992" s="68">
        <v>7.0</v>
      </c>
      <c r="F2992" s="68">
        <v>0.0</v>
      </c>
      <c r="G2992" s="68">
        <v>5.00551400740529</v>
      </c>
      <c r="H2992" s="68">
        <v>176.593905527515</v>
      </c>
      <c r="I2992" s="69">
        <v>44353.60853009259</v>
      </c>
      <c r="J2992" s="69">
        <v>44353.60870370371</v>
      </c>
      <c r="K2992">
        <f>AVERAGE(H2992:H2996)</f>
        <v>120.701658</v>
      </c>
      <c r="L2992">
        <f>STDEV(H2992:H2996)</f>
        <v>73.3579336</v>
      </c>
      <c r="M2992" s="70">
        <v>176.593905527515</v>
      </c>
      <c r="N2992" s="70">
        <v>176.593905527515</v>
      </c>
      <c r="O2992" s="70">
        <v>5.00551400740529</v>
      </c>
      <c r="P2992" s="70">
        <v>5.00551400740529</v>
      </c>
    </row>
    <row r="2993" hidden="1">
      <c r="A2993" s="67" t="s">
        <v>3753</v>
      </c>
      <c r="B2993" s="67" t="s">
        <v>519</v>
      </c>
      <c r="C2993" s="68">
        <v>0.75</v>
      </c>
      <c r="D2993" s="68">
        <v>0.1</v>
      </c>
      <c r="E2993" s="68">
        <v>7.0</v>
      </c>
      <c r="F2993" s="68">
        <v>1.0</v>
      </c>
      <c r="G2993" s="68">
        <v>0.510470059564371</v>
      </c>
      <c r="H2993" s="68">
        <v>0.88531137396596</v>
      </c>
      <c r="I2993" s="69">
        <v>44353.609398148146</v>
      </c>
      <c r="J2993" s="69">
        <v>44353.60984953704</v>
      </c>
      <c r="K2993">
        <f>AVERAGE(H2992:H2996)</f>
        <v>120.701658</v>
      </c>
      <c r="L2993">
        <f>STDEV(H2992:H2996)</f>
        <v>73.3579336</v>
      </c>
      <c r="M2993" s="70">
        <v>0.88531137396596</v>
      </c>
      <c r="N2993" s="70">
        <v>0.88531137396596</v>
      </c>
      <c r="O2993" s="70">
        <v>0.510470059564371</v>
      </c>
      <c r="P2993" s="70">
        <v>0.510470059564371</v>
      </c>
    </row>
    <row r="2994" hidden="1">
      <c r="A2994" s="67" t="s">
        <v>3754</v>
      </c>
      <c r="B2994" s="67" t="s">
        <v>519</v>
      </c>
      <c r="C2994" s="68">
        <v>0.75</v>
      </c>
      <c r="D2994" s="68">
        <v>0.1</v>
      </c>
      <c r="E2994" s="68">
        <v>7.0</v>
      </c>
      <c r="F2994" s="68">
        <v>2.0</v>
      </c>
      <c r="G2994" s="68">
        <v>2.46188350785702</v>
      </c>
      <c r="H2994" s="68">
        <v>101.40745177154</v>
      </c>
      <c r="I2994" s="69">
        <v>44353.610555555555</v>
      </c>
      <c r="J2994" s="69">
        <v>44353.611030092594</v>
      </c>
      <c r="K2994">
        <f>AVERAGE(H2992:H2996)</f>
        <v>120.701658</v>
      </c>
      <c r="L2994">
        <f>STDEV(H2992:H2996)</f>
        <v>73.3579336</v>
      </c>
      <c r="M2994" s="70">
        <v>101.40745177154</v>
      </c>
      <c r="N2994" s="70">
        <v>101.40745177154</v>
      </c>
      <c r="O2994" s="70">
        <v>2.46188350785702</v>
      </c>
      <c r="P2994" s="70">
        <v>2.46188350785702</v>
      </c>
    </row>
    <row r="2995" hidden="1">
      <c r="A2995" s="67" t="s">
        <v>3755</v>
      </c>
      <c r="B2995" s="67" t="s">
        <v>519</v>
      </c>
      <c r="C2995" s="68">
        <v>0.75</v>
      </c>
      <c r="D2995" s="68">
        <v>0.1</v>
      </c>
      <c r="E2995" s="68">
        <v>7.0</v>
      </c>
      <c r="F2995" s="68">
        <v>3.0</v>
      </c>
      <c r="G2995" s="68">
        <v>4.97739895614325</v>
      </c>
      <c r="H2995" s="68">
        <v>152.045921971648</v>
      </c>
      <c r="I2995" s="69">
        <v>44353.61173611111</v>
      </c>
      <c r="J2995" s="69">
        <v>44353.61184027778</v>
      </c>
      <c r="K2995">
        <f>AVERAGE(H2992:H2996)</f>
        <v>120.701658</v>
      </c>
      <c r="L2995">
        <f>STDEV(H2992:H2996)</f>
        <v>73.3579336</v>
      </c>
      <c r="M2995" s="70">
        <v>152.045921971648</v>
      </c>
      <c r="N2995" s="70">
        <v>152.045921971648</v>
      </c>
      <c r="O2995" s="70">
        <v>4.97739895614325</v>
      </c>
      <c r="P2995" s="70">
        <v>4.97739895614325</v>
      </c>
    </row>
    <row r="2996" hidden="1">
      <c r="A2996" s="67" t="s">
        <v>3756</v>
      </c>
      <c r="B2996" s="67" t="s">
        <v>519</v>
      </c>
      <c r="C2996" s="68">
        <v>0.75</v>
      </c>
      <c r="D2996" s="68">
        <v>0.1</v>
      </c>
      <c r="E2996" s="68">
        <v>7.0</v>
      </c>
      <c r="F2996" s="68">
        <v>4.0</v>
      </c>
      <c r="G2996" s="68">
        <v>3.6479121470022</v>
      </c>
      <c r="H2996" s="68">
        <v>172.575699263153</v>
      </c>
      <c r="I2996" s="69">
        <v>44353.612546296295</v>
      </c>
      <c r="J2996" s="69">
        <v>44353.68650462963</v>
      </c>
      <c r="K2996">
        <f>AVERAGE(H2992:H2996)</f>
        <v>120.701658</v>
      </c>
      <c r="L2996">
        <f>STDEV(H2992:H2996)</f>
        <v>73.3579336</v>
      </c>
      <c r="M2996" s="70">
        <v>172.575699263153</v>
      </c>
      <c r="N2996" s="70">
        <v>172.575699263153</v>
      </c>
      <c r="O2996" s="70">
        <v>3.6479121470022</v>
      </c>
      <c r="P2996" s="70">
        <v>3.6479121470022</v>
      </c>
    </row>
    <row r="2997" hidden="1">
      <c r="A2997" s="67" t="s">
        <v>3757</v>
      </c>
      <c r="B2997" s="67" t="s">
        <v>519</v>
      </c>
      <c r="C2997" s="68">
        <v>0.75</v>
      </c>
      <c r="D2997" s="68">
        <v>0.25</v>
      </c>
      <c r="E2997" s="68">
        <v>7.0</v>
      </c>
      <c r="F2997" s="68">
        <v>0.0</v>
      </c>
      <c r="G2997" s="68">
        <v>3.95408178828305</v>
      </c>
      <c r="H2997" s="68">
        <v>186.74764505389</v>
      </c>
      <c r="I2997" s="69">
        <v>44353.687210648146</v>
      </c>
      <c r="J2997" s="69">
        <v>44353.687314814815</v>
      </c>
      <c r="K2997">
        <f>AVERAGE(H2997:H3001)</f>
        <v>141.0798931</v>
      </c>
      <c r="L2997">
        <f>STDEV(H2997:H3001)</f>
        <v>75.31894171</v>
      </c>
      <c r="M2997" s="70">
        <v>186.74764505389</v>
      </c>
      <c r="N2997" s="70">
        <v>186.74764505389</v>
      </c>
      <c r="O2997" s="70">
        <v>3.95408178828305</v>
      </c>
      <c r="P2997" s="70">
        <v>3.95408178828305</v>
      </c>
    </row>
    <row r="2998" hidden="1">
      <c r="A2998" s="67" t="s">
        <v>3758</v>
      </c>
      <c r="B2998" s="67" t="s">
        <v>519</v>
      </c>
      <c r="C2998" s="68">
        <v>0.75</v>
      </c>
      <c r="D2998" s="68">
        <v>0.25</v>
      </c>
      <c r="E2998" s="68">
        <v>7.0</v>
      </c>
      <c r="F2998" s="68">
        <v>1.0</v>
      </c>
      <c r="G2998" s="68">
        <v>3.8187299908156</v>
      </c>
      <c r="H2998" s="68">
        <v>158.177172233939</v>
      </c>
      <c r="I2998" s="69">
        <v>44353.68800925926</v>
      </c>
      <c r="J2998" s="69">
        <v>44353.689988425926</v>
      </c>
      <c r="K2998">
        <f>AVERAGE(H2997:H3001)</f>
        <v>141.0798931</v>
      </c>
      <c r="L2998">
        <f>STDEV(H2997:H3001)</f>
        <v>75.31894171</v>
      </c>
      <c r="M2998" s="70">
        <v>158.177172233939</v>
      </c>
      <c r="N2998" s="70">
        <v>158.177172233939</v>
      </c>
      <c r="O2998" s="70">
        <v>3.8187299908156</v>
      </c>
      <c r="P2998" s="70">
        <v>3.8187299908156</v>
      </c>
    </row>
    <row r="2999" hidden="1">
      <c r="A2999" s="67" t="s">
        <v>3759</v>
      </c>
      <c r="B2999" s="67" t="s">
        <v>519</v>
      </c>
      <c r="C2999" s="68">
        <v>0.75</v>
      </c>
      <c r="D2999" s="68">
        <v>0.25</v>
      </c>
      <c r="E2999" s="68">
        <v>7.0</v>
      </c>
      <c r="F2999" s="68">
        <v>2.0</v>
      </c>
      <c r="G2999" s="68">
        <v>0.589098216116629</v>
      </c>
      <c r="H2999" s="68">
        <v>7.76885780934466</v>
      </c>
      <c r="I2999" s="69">
        <v>44353.69069444444</v>
      </c>
      <c r="J2999" s="69">
        <v>44353.692245370374</v>
      </c>
      <c r="K2999">
        <f>AVERAGE(H2997:H3001)</f>
        <v>141.0798931</v>
      </c>
      <c r="L2999">
        <f>STDEV(H2997:H3001)</f>
        <v>75.31894171</v>
      </c>
      <c r="M2999" s="70">
        <v>7.76885780934466</v>
      </c>
      <c r="N2999" s="70">
        <v>7.76885780934466</v>
      </c>
      <c r="O2999" s="70">
        <v>0.589098216116629</v>
      </c>
      <c r="P2999" s="70">
        <v>0.589098216116629</v>
      </c>
    </row>
    <row r="3000" hidden="1">
      <c r="A3000" s="67" t="s">
        <v>3760</v>
      </c>
      <c r="B3000" s="67" t="s">
        <v>519</v>
      </c>
      <c r="C3000" s="68">
        <v>0.75</v>
      </c>
      <c r="D3000" s="68">
        <v>0.25</v>
      </c>
      <c r="E3000" s="68">
        <v>7.0</v>
      </c>
      <c r="F3000" s="68">
        <v>3.0</v>
      </c>
      <c r="G3000" s="68">
        <v>5.44602198472657</v>
      </c>
      <c r="H3000" s="68">
        <v>171.170719002264</v>
      </c>
      <c r="I3000" s="69">
        <v>44353.69295138889</v>
      </c>
      <c r="J3000" s="69">
        <v>44353.693125</v>
      </c>
      <c r="K3000">
        <f>AVERAGE(H2997:H3001)</f>
        <v>141.0798931</v>
      </c>
      <c r="L3000">
        <f>STDEV(H2997:H3001)</f>
        <v>75.31894171</v>
      </c>
      <c r="M3000" s="70">
        <v>171.170719002264</v>
      </c>
      <c r="N3000" s="70">
        <v>171.170719002264</v>
      </c>
      <c r="O3000" s="70">
        <v>5.44602198472657</v>
      </c>
      <c r="P3000" s="70">
        <v>5.44602198472657</v>
      </c>
    </row>
    <row r="3001" hidden="1">
      <c r="A3001" s="67" t="s">
        <v>3761</v>
      </c>
      <c r="B3001" s="67" t="s">
        <v>519</v>
      </c>
      <c r="C3001" s="68">
        <v>0.75</v>
      </c>
      <c r="D3001" s="68">
        <v>0.25</v>
      </c>
      <c r="E3001" s="68">
        <v>7.0</v>
      </c>
      <c r="F3001" s="68">
        <v>4.0</v>
      </c>
      <c r="G3001" s="68">
        <v>3.86323025484974</v>
      </c>
      <c r="H3001" s="68">
        <v>181.535071608316</v>
      </c>
      <c r="I3001" s="69">
        <v>44353.69383101852</v>
      </c>
      <c r="J3001" s="69">
        <v>44353.73918981481</v>
      </c>
      <c r="K3001">
        <f>AVERAGE(H2997:H3001)</f>
        <v>141.0798931</v>
      </c>
      <c r="L3001">
        <f>STDEV(H2997:H3001)</f>
        <v>75.31894171</v>
      </c>
      <c r="M3001" s="70">
        <v>181.535071608316</v>
      </c>
      <c r="N3001" s="70">
        <v>181.535071608316</v>
      </c>
      <c r="O3001" s="70">
        <v>3.86323025484974</v>
      </c>
      <c r="P3001" s="70">
        <v>3.86323025484974</v>
      </c>
    </row>
    <row r="3002" hidden="1">
      <c r="A3002" s="67" t="s">
        <v>3762</v>
      </c>
      <c r="B3002" s="67" t="s">
        <v>519</v>
      </c>
      <c r="C3002" s="68">
        <v>0.75</v>
      </c>
      <c r="D3002" s="68">
        <v>0.5</v>
      </c>
      <c r="E3002" s="68">
        <v>7.0</v>
      </c>
      <c r="F3002" s="68">
        <v>0.0</v>
      </c>
      <c r="G3002" s="68">
        <v>4.52053947393141</v>
      </c>
      <c r="H3002" s="68">
        <v>202.84471973808</v>
      </c>
      <c r="I3002" s="69">
        <v>44353.739895833336</v>
      </c>
      <c r="J3002" s="69">
        <v>44353.743414351855</v>
      </c>
      <c r="K3002">
        <f>AVERAGE(H3002:H3006)</f>
        <v>136.771586</v>
      </c>
      <c r="L3002">
        <f>STDEV(H3002:H3006)</f>
        <v>79.6427325</v>
      </c>
      <c r="M3002" s="70">
        <v>202.84471973808</v>
      </c>
      <c r="N3002" s="70">
        <v>202.84471973808</v>
      </c>
      <c r="O3002" s="70">
        <v>4.52053947393141</v>
      </c>
      <c r="P3002" s="70">
        <v>4.52053947393141</v>
      </c>
    </row>
    <row r="3003" hidden="1">
      <c r="A3003" s="67" t="s">
        <v>3763</v>
      </c>
      <c r="B3003" s="67" t="s">
        <v>519</v>
      </c>
      <c r="C3003" s="68">
        <v>0.75</v>
      </c>
      <c r="D3003" s="68">
        <v>0.5</v>
      </c>
      <c r="E3003" s="68">
        <v>7.0</v>
      </c>
      <c r="F3003" s="68">
        <v>1.0</v>
      </c>
      <c r="G3003" s="68">
        <v>2.68239755768025</v>
      </c>
      <c r="H3003" s="68">
        <v>137.753472326047</v>
      </c>
      <c r="I3003" s="69">
        <v>44353.74412037037</v>
      </c>
      <c r="J3003" s="69">
        <v>44353.796851851854</v>
      </c>
      <c r="K3003">
        <f>AVERAGE(H3002:H3006)</f>
        <v>136.771586</v>
      </c>
      <c r="L3003">
        <f>STDEV(H3002:H3006)</f>
        <v>79.6427325</v>
      </c>
      <c r="M3003" s="70">
        <v>137.753472326047</v>
      </c>
      <c r="N3003" s="70">
        <v>137.753472326047</v>
      </c>
      <c r="O3003" s="70">
        <v>2.68239755768025</v>
      </c>
      <c r="P3003" s="70">
        <v>2.68239755768025</v>
      </c>
    </row>
    <row r="3004" hidden="1">
      <c r="A3004" s="67" t="s">
        <v>3764</v>
      </c>
      <c r="B3004" s="67" t="s">
        <v>519</v>
      </c>
      <c r="C3004" s="68">
        <v>0.75</v>
      </c>
      <c r="D3004" s="68">
        <v>0.5</v>
      </c>
      <c r="E3004" s="68">
        <v>7.0</v>
      </c>
      <c r="F3004" s="68">
        <v>2.0</v>
      </c>
      <c r="G3004" s="68">
        <v>5.50236252854802</v>
      </c>
      <c r="H3004" s="68">
        <v>169.461411070235</v>
      </c>
      <c r="I3004" s="69">
        <v>44353.79754629629</v>
      </c>
      <c r="J3004" s="69">
        <v>44353.79773148148</v>
      </c>
      <c r="K3004">
        <f>AVERAGE(H3002:H3006)</f>
        <v>136.771586</v>
      </c>
      <c r="L3004">
        <f>STDEV(H3002:H3006)</f>
        <v>79.6427325</v>
      </c>
      <c r="M3004" s="70">
        <v>169.461411070235</v>
      </c>
      <c r="N3004" s="70">
        <v>169.461411070235</v>
      </c>
      <c r="O3004" s="70">
        <v>5.50236252854802</v>
      </c>
      <c r="P3004" s="70">
        <v>5.50236252854802</v>
      </c>
    </row>
    <row r="3005" hidden="1">
      <c r="A3005" s="67" t="s">
        <v>3765</v>
      </c>
      <c r="B3005" s="67" t="s">
        <v>519</v>
      </c>
      <c r="C3005" s="68">
        <v>0.75</v>
      </c>
      <c r="D3005" s="68">
        <v>0.5</v>
      </c>
      <c r="E3005" s="68">
        <v>7.0</v>
      </c>
      <c r="F3005" s="68">
        <v>3.0</v>
      </c>
      <c r="G3005" s="68">
        <v>6.20425737900192</v>
      </c>
      <c r="H3005" s="68">
        <v>173.392211034038</v>
      </c>
      <c r="I3005" s="69">
        <v>44353.7984375</v>
      </c>
      <c r="J3005" s="69">
        <v>44353.798634259256</v>
      </c>
      <c r="K3005">
        <f>AVERAGE(H3002:H3006)</f>
        <v>136.771586</v>
      </c>
      <c r="L3005">
        <f>STDEV(H3002:H3006)</f>
        <v>79.6427325</v>
      </c>
      <c r="M3005" s="70">
        <v>173.392211034038</v>
      </c>
      <c r="N3005" s="70">
        <v>173.392211034038</v>
      </c>
      <c r="O3005" s="70">
        <v>6.20425737900192</v>
      </c>
      <c r="P3005" s="70">
        <v>6.20425737900192</v>
      </c>
    </row>
    <row r="3006" hidden="1">
      <c r="A3006" s="67" t="s">
        <v>3766</v>
      </c>
      <c r="B3006" s="67" t="s">
        <v>519</v>
      </c>
      <c r="C3006" s="68">
        <v>0.75</v>
      </c>
      <c r="D3006" s="68">
        <v>0.5</v>
      </c>
      <c r="E3006" s="68">
        <v>7.0</v>
      </c>
      <c r="F3006" s="68">
        <v>4.0</v>
      </c>
      <c r="G3006" s="68">
        <v>0.317145370870006</v>
      </c>
      <c r="H3006" s="68">
        <v>0.406115963760371</v>
      </c>
      <c r="I3006" s="69">
        <v>44353.79934027778</v>
      </c>
      <c r="J3006" s="69">
        <v>44353.79939814815</v>
      </c>
      <c r="K3006">
        <f>AVERAGE(H3002:H3006)</f>
        <v>136.771586</v>
      </c>
      <c r="L3006">
        <f>STDEV(H3002:H3006)</f>
        <v>79.6427325</v>
      </c>
      <c r="M3006" s="70">
        <v>0.406115963760371</v>
      </c>
      <c r="N3006" s="70">
        <v>0.406115963760371</v>
      </c>
      <c r="O3006" s="70">
        <v>0.317145370870006</v>
      </c>
      <c r="P3006" s="70">
        <v>0.317145370870006</v>
      </c>
    </row>
    <row r="3007" hidden="1">
      <c r="A3007" s="67" t="s">
        <v>3767</v>
      </c>
      <c r="B3007" s="67" t="s">
        <v>519</v>
      </c>
      <c r="C3007" s="68">
        <v>0.75</v>
      </c>
      <c r="D3007" s="68">
        <v>0.75</v>
      </c>
      <c r="E3007" s="68">
        <v>7.0</v>
      </c>
      <c r="F3007" s="68">
        <v>0.0</v>
      </c>
      <c r="G3007" s="68">
        <v>9.15993654676367</v>
      </c>
      <c r="H3007" s="68">
        <v>218.589242910801</v>
      </c>
      <c r="I3007" s="69">
        <v>44353.800104166665</v>
      </c>
      <c r="J3007" s="69">
        <v>44353.800208333334</v>
      </c>
      <c r="K3007">
        <f>AVERAGE(H3007:H3011)</f>
        <v>113.6833657</v>
      </c>
      <c r="L3007">
        <f>STDEV(H3007:H3011)</f>
        <v>97.04838855</v>
      </c>
      <c r="M3007" s="70">
        <v>218.589242910801</v>
      </c>
      <c r="N3007" s="70">
        <v>218.589242910801</v>
      </c>
      <c r="O3007" s="70">
        <v>9.15993654676367</v>
      </c>
      <c r="P3007" s="70">
        <v>9.15993654676367</v>
      </c>
    </row>
    <row r="3008" hidden="1">
      <c r="A3008" s="67" t="s">
        <v>3768</v>
      </c>
      <c r="B3008" s="67" t="s">
        <v>519</v>
      </c>
      <c r="C3008" s="68">
        <v>0.75</v>
      </c>
      <c r="D3008" s="68">
        <v>0.75</v>
      </c>
      <c r="E3008" s="68">
        <v>7.0</v>
      </c>
      <c r="F3008" s="68">
        <v>1.0</v>
      </c>
      <c r="G3008" s="68">
        <v>4.9898140181288</v>
      </c>
      <c r="H3008" s="68">
        <v>162.703942155999</v>
      </c>
      <c r="I3008" s="69">
        <v>44353.80091435185</v>
      </c>
      <c r="J3008" s="69">
        <v>44353.80111111111</v>
      </c>
      <c r="K3008">
        <f>AVERAGE(H3007:H3011)</f>
        <v>113.6833657</v>
      </c>
      <c r="L3008">
        <f>STDEV(H3007:H3011)</f>
        <v>97.04838855</v>
      </c>
      <c r="M3008" s="70">
        <v>162.703942155999</v>
      </c>
      <c r="N3008" s="70">
        <v>162.703942155999</v>
      </c>
      <c r="O3008" s="70">
        <v>4.9898140181288</v>
      </c>
      <c r="P3008" s="70">
        <v>4.9898140181288</v>
      </c>
    </row>
    <row r="3009" hidden="1">
      <c r="A3009" s="67" t="s">
        <v>3769</v>
      </c>
      <c r="B3009" s="67" t="s">
        <v>519</v>
      </c>
      <c r="C3009" s="68">
        <v>0.75</v>
      </c>
      <c r="D3009" s="68">
        <v>0.75</v>
      </c>
      <c r="E3009" s="68">
        <v>7.0</v>
      </c>
      <c r="F3009" s="68">
        <v>2.0</v>
      </c>
      <c r="G3009" s="68">
        <v>3.41235542284366</v>
      </c>
      <c r="H3009" s="68">
        <v>166.236317552472</v>
      </c>
      <c r="I3009" s="69">
        <v>44353.80181712963</v>
      </c>
      <c r="J3009" s="69">
        <v>44353.87746527778</v>
      </c>
      <c r="K3009">
        <f>AVERAGE(H3007:H3011)</f>
        <v>113.6833657</v>
      </c>
      <c r="L3009">
        <f>STDEV(H3007:H3011)</f>
        <v>97.04838855</v>
      </c>
      <c r="M3009" s="70">
        <v>166.236317552472</v>
      </c>
      <c r="N3009" s="70">
        <v>166.236317552472</v>
      </c>
      <c r="O3009" s="70">
        <v>3.41235542284366</v>
      </c>
      <c r="P3009" s="70">
        <v>3.41235542284366</v>
      </c>
    </row>
    <row r="3010" hidden="1">
      <c r="A3010" s="67" t="s">
        <v>3770</v>
      </c>
      <c r="B3010" s="67" t="s">
        <v>519</v>
      </c>
      <c r="C3010" s="68">
        <v>0.75</v>
      </c>
      <c r="D3010" s="68">
        <v>0.75</v>
      </c>
      <c r="E3010" s="68">
        <v>7.0</v>
      </c>
      <c r="F3010" s="68">
        <v>3.0</v>
      </c>
      <c r="G3010" s="68">
        <v>1.56370410167541</v>
      </c>
      <c r="H3010" s="68">
        <v>20.1032112333188</v>
      </c>
      <c r="I3010" s="69">
        <v>44353.878171296295</v>
      </c>
      <c r="J3010" s="69">
        <v>44353.87818287037</v>
      </c>
      <c r="K3010">
        <f>AVERAGE(H3007:H3011)</f>
        <v>113.6833657</v>
      </c>
      <c r="L3010">
        <f>STDEV(H3007:H3011)</f>
        <v>97.04838855</v>
      </c>
      <c r="M3010" s="70">
        <v>20.1032112333188</v>
      </c>
      <c r="N3010" s="70">
        <v>20.1032112333188</v>
      </c>
      <c r="O3010" s="70">
        <v>1.56370410167541</v>
      </c>
      <c r="P3010" s="70">
        <v>1.56370410167541</v>
      </c>
    </row>
    <row r="3011" hidden="1">
      <c r="A3011" s="67" t="s">
        <v>3771</v>
      </c>
      <c r="B3011" s="67" t="s">
        <v>519</v>
      </c>
      <c r="C3011" s="68">
        <v>0.75</v>
      </c>
      <c r="D3011" s="68">
        <v>0.75</v>
      </c>
      <c r="E3011" s="68">
        <v>7.0</v>
      </c>
      <c r="F3011" s="68">
        <v>4.0</v>
      </c>
      <c r="G3011" s="68">
        <v>0.605424671395088</v>
      </c>
      <c r="H3011" s="68">
        <v>0.78411488797923</v>
      </c>
      <c r="I3011" s="69">
        <v>44353.87888888889</v>
      </c>
      <c r="J3011" s="69">
        <v>44353.8794212963</v>
      </c>
      <c r="K3011">
        <f>AVERAGE(H3007:H3011)</f>
        <v>113.6833657</v>
      </c>
      <c r="L3011">
        <f>STDEV(H3007:H3011)</f>
        <v>97.04838855</v>
      </c>
      <c r="M3011" s="70">
        <v>0.78411488797923</v>
      </c>
      <c r="N3011" s="70">
        <v>0.78411488797923</v>
      </c>
      <c r="O3011" s="70">
        <v>0.605424671395088</v>
      </c>
      <c r="P3011" s="70">
        <v>0.605424671395088</v>
      </c>
    </row>
    <row r="3012" hidden="1">
      <c r="A3012" s="67" t="s">
        <v>3772</v>
      </c>
      <c r="B3012" s="67" t="s">
        <v>519</v>
      </c>
      <c r="C3012" s="68">
        <v>0.75</v>
      </c>
      <c r="D3012" s="68">
        <v>1.0</v>
      </c>
      <c r="E3012" s="68">
        <v>7.0</v>
      </c>
      <c r="F3012" s="68">
        <v>0.0</v>
      </c>
      <c r="G3012" s="68">
        <v>5.5665458571332</v>
      </c>
      <c r="H3012" s="68">
        <v>172.186654205307</v>
      </c>
      <c r="I3012" s="69">
        <v>44353.88012731481</v>
      </c>
      <c r="J3012" s="69">
        <v>44353.880266203705</v>
      </c>
      <c r="K3012">
        <f>AVERAGE(H3012:H3016)</f>
        <v>111.1115943</v>
      </c>
      <c r="L3012">
        <f>STDEV(H3012:H3016)</f>
        <v>102.9644659</v>
      </c>
      <c r="M3012" s="70">
        <v>172.186654205307</v>
      </c>
      <c r="N3012" s="70">
        <v>172.186654205307</v>
      </c>
      <c r="O3012" s="70">
        <v>5.5665458571332</v>
      </c>
      <c r="P3012" s="70">
        <v>5.5665458571332</v>
      </c>
    </row>
    <row r="3013" hidden="1">
      <c r="A3013" s="67" t="s">
        <v>3773</v>
      </c>
      <c r="B3013" s="67" t="s">
        <v>519</v>
      </c>
      <c r="C3013" s="68">
        <v>0.75</v>
      </c>
      <c r="D3013" s="68">
        <v>1.0</v>
      </c>
      <c r="E3013" s="68">
        <v>7.0</v>
      </c>
      <c r="F3013" s="68">
        <v>1.0</v>
      </c>
      <c r="G3013" s="68">
        <v>0.434269144776912</v>
      </c>
      <c r="H3013" s="68">
        <v>0.517953783045733</v>
      </c>
      <c r="I3013" s="69">
        <v>44353.88097222222</v>
      </c>
      <c r="J3013" s="69">
        <v>44353.88108796296</v>
      </c>
      <c r="K3013">
        <f>AVERAGE(H3012:H3016)</f>
        <v>111.1115943</v>
      </c>
      <c r="L3013">
        <f>STDEV(H3012:H3016)</f>
        <v>102.9644659</v>
      </c>
      <c r="M3013" s="70">
        <v>0.517953783045733</v>
      </c>
      <c r="N3013" s="70">
        <v>0.517953783045733</v>
      </c>
      <c r="O3013" s="70">
        <v>0.434269144776912</v>
      </c>
      <c r="P3013" s="70">
        <v>0.434269144776912</v>
      </c>
    </row>
    <row r="3014" hidden="1">
      <c r="A3014" s="67" t="s">
        <v>3774</v>
      </c>
      <c r="B3014" s="67" t="s">
        <v>519</v>
      </c>
      <c r="C3014" s="68">
        <v>0.75</v>
      </c>
      <c r="D3014" s="68">
        <v>1.0</v>
      </c>
      <c r="E3014" s="68">
        <v>7.0</v>
      </c>
      <c r="F3014" s="68">
        <v>2.0</v>
      </c>
      <c r="G3014" s="68">
        <v>3.33541401891722</v>
      </c>
      <c r="H3014" s="68">
        <v>163.146005913525</v>
      </c>
      <c r="I3014" s="69">
        <v>44353.88179398148</v>
      </c>
      <c r="J3014" s="69">
        <v>44353.970613425925</v>
      </c>
      <c r="K3014">
        <f>AVERAGE(H3012:H3016)</f>
        <v>111.1115943</v>
      </c>
      <c r="L3014">
        <f>STDEV(H3012:H3016)</f>
        <v>102.9644659</v>
      </c>
      <c r="M3014" s="70">
        <v>163.146005913525</v>
      </c>
      <c r="N3014" s="70">
        <v>163.146005913525</v>
      </c>
      <c r="O3014" s="70">
        <v>3.33541401891722</v>
      </c>
      <c r="P3014" s="70">
        <v>3.33541401891722</v>
      </c>
    </row>
    <row r="3015" hidden="1">
      <c r="A3015" s="67" t="s">
        <v>3775</v>
      </c>
      <c r="B3015" s="67" t="s">
        <v>519</v>
      </c>
      <c r="C3015" s="68">
        <v>0.75</v>
      </c>
      <c r="D3015" s="68">
        <v>1.0</v>
      </c>
      <c r="E3015" s="68">
        <v>7.0</v>
      </c>
      <c r="F3015" s="68">
        <v>3.0</v>
      </c>
      <c r="G3015" s="68">
        <v>0.696332658760867</v>
      </c>
      <c r="H3015" s="68">
        <v>0.915935142035601</v>
      </c>
      <c r="I3015" s="69">
        <v>44353.97131944444</v>
      </c>
      <c r="J3015" s="69">
        <v>44353.97152777778</v>
      </c>
      <c r="K3015">
        <f>AVERAGE(H3012:H3016)</f>
        <v>111.1115943</v>
      </c>
      <c r="L3015">
        <f>STDEV(H3012:H3016)</f>
        <v>102.9644659</v>
      </c>
      <c r="M3015" s="70">
        <v>0.915935142035601</v>
      </c>
      <c r="N3015" s="70">
        <v>0.915935142035601</v>
      </c>
      <c r="O3015" s="70">
        <v>0.696332658760867</v>
      </c>
      <c r="P3015" s="70">
        <v>0.696332658760867</v>
      </c>
    </row>
    <row r="3016" hidden="1">
      <c r="A3016" s="67" t="s">
        <v>3776</v>
      </c>
      <c r="B3016" s="67" t="s">
        <v>519</v>
      </c>
      <c r="C3016" s="68">
        <v>0.75</v>
      </c>
      <c r="D3016" s="68">
        <v>1.0</v>
      </c>
      <c r="E3016" s="68">
        <v>7.0</v>
      </c>
      <c r="F3016" s="68">
        <v>4.0</v>
      </c>
      <c r="G3016" s="68">
        <v>9.17672354867105</v>
      </c>
      <c r="H3016" s="68">
        <v>218.79142230488</v>
      </c>
      <c r="I3016" s="69">
        <v>44353.97222222222</v>
      </c>
      <c r="J3016" s="69">
        <v>44353.972337962965</v>
      </c>
      <c r="K3016">
        <f>AVERAGE(H3012:H3016)</f>
        <v>111.1115943</v>
      </c>
      <c r="L3016">
        <f>STDEV(H3012:H3016)</f>
        <v>102.9644659</v>
      </c>
      <c r="M3016" s="70">
        <v>218.79142230488</v>
      </c>
      <c r="N3016" s="70">
        <v>218.79142230488</v>
      </c>
      <c r="O3016" s="70">
        <v>9.17672354867105</v>
      </c>
      <c r="P3016" s="70">
        <v>9.17672354867105</v>
      </c>
    </row>
    <row r="3017" hidden="1">
      <c r="A3017" s="67" t="s">
        <v>3777</v>
      </c>
      <c r="B3017" s="67" t="s">
        <v>519</v>
      </c>
      <c r="C3017" s="68">
        <v>1.0</v>
      </c>
      <c r="D3017" s="68">
        <v>0.1</v>
      </c>
      <c r="E3017" s="68">
        <v>7.0</v>
      </c>
      <c r="F3017" s="68">
        <v>0.0</v>
      </c>
      <c r="G3017" s="68">
        <v>3.61662689369691</v>
      </c>
      <c r="H3017" s="68">
        <v>139.32396750152</v>
      </c>
      <c r="I3017" s="69">
        <v>44353.973032407404</v>
      </c>
      <c r="J3017" s="69">
        <v>44353.97351851852</v>
      </c>
      <c r="K3017">
        <f>AVERAGE(H3017:H3021)</f>
        <v>83.59137468</v>
      </c>
      <c r="L3017">
        <f>STDEV(H3017:H3021)</f>
        <v>81.31919978</v>
      </c>
      <c r="M3017" s="70">
        <v>139.32396750152</v>
      </c>
      <c r="N3017" s="70">
        <v>139.32396750152</v>
      </c>
      <c r="O3017" s="70">
        <v>3.61662689369691</v>
      </c>
      <c r="P3017" s="70">
        <v>3.61662689369691</v>
      </c>
    </row>
    <row r="3018" hidden="1">
      <c r="A3018" s="67" t="s">
        <v>3778</v>
      </c>
      <c r="B3018" s="67" t="s">
        <v>519</v>
      </c>
      <c r="C3018" s="68">
        <v>1.0</v>
      </c>
      <c r="D3018" s="68">
        <v>0.1</v>
      </c>
      <c r="E3018" s="68">
        <v>7.0</v>
      </c>
      <c r="F3018" s="68">
        <v>1.0</v>
      </c>
      <c r="G3018" s="68">
        <v>2.01778940142996</v>
      </c>
      <c r="H3018" s="68">
        <v>97.674274266968</v>
      </c>
      <c r="I3018" s="69">
        <v>44353.97421296296</v>
      </c>
      <c r="J3018" s="69">
        <v>44353.97640046296</v>
      </c>
      <c r="K3018">
        <f>AVERAGE(H3017:H3021)</f>
        <v>83.59137468</v>
      </c>
      <c r="L3018">
        <f>STDEV(H3017:H3021)</f>
        <v>81.31919978</v>
      </c>
      <c r="M3018" s="70">
        <v>97.674274266968</v>
      </c>
      <c r="N3018" s="70">
        <v>97.674274266968</v>
      </c>
      <c r="O3018" s="70">
        <v>2.01778940142996</v>
      </c>
      <c r="P3018" s="70">
        <v>2.01778940142996</v>
      </c>
    </row>
    <row r="3019" hidden="1">
      <c r="A3019" s="67" t="s">
        <v>3779</v>
      </c>
      <c r="B3019" s="67" t="s">
        <v>519</v>
      </c>
      <c r="C3019" s="68">
        <v>1.0</v>
      </c>
      <c r="D3019" s="68">
        <v>0.1</v>
      </c>
      <c r="E3019" s="68">
        <v>7.0</v>
      </c>
      <c r="F3019" s="68">
        <v>2.0</v>
      </c>
      <c r="G3019" s="68">
        <v>0.283926328030695</v>
      </c>
      <c r="H3019" s="68">
        <v>0.355189026243673</v>
      </c>
      <c r="I3019" s="69">
        <v>44353.97709490741</v>
      </c>
      <c r="J3019" s="69">
        <v>44353.97719907408</v>
      </c>
      <c r="K3019">
        <f>AVERAGE(H3017:H3021)</f>
        <v>83.59137468</v>
      </c>
      <c r="L3019">
        <f>STDEV(H3017:H3021)</f>
        <v>81.31919978</v>
      </c>
      <c r="M3019" s="70">
        <v>0.355189026243673</v>
      </c>
      <c r="N3019" s="70">
        <v>0.355189026243673</v>
      </c>
      <c r="O3019" s="70">
        <v>0.283926328030695</v>
      </c>
      <c r="P3019" s="70">
        <v>0.283926328030695</v>
      </c>
    </row>
    <row r="3020" hidden="1">
      <c r="A3020" s="67" t="s">
        <v>3780</v>
      </c>
      <c r="B3020" s="67" t="s">
        <v>519</v>
      </c>
      <c r="C3020" s="68">
        <v>1.0</v>
      </c>
      <c r="D3020" s="68">
        <v>0.1</v>
      </c>
      <c r="E3020" s="68">
        <v>7.0</v>
      </c>
      <c r="F3020" s="68">
        <v>3.0</v>
      </c>
      <c r="G3020" s="68">
        <v>0.397432755899369</v>
      </c>
      <c r="H3020" s="68">
        <v>0.500610659693787</v>
      </c>
      <c r="I3020" s="69">
        <v>44353.97790509259</v>
      </c>
      <c r="J3020" s="69">
        <v>44353.97800925926</v>
      </c>
      <c r="K3020">
        <f>AVERAGE(H3017:H3021)</f>
        <v>83.59137468</v>
      </c>
      <c r="L3020">
        <f>STDEV(H3017:H3021)</f>
        <v>81.31919978</v>
      </c>
      <c r="M3020" s="70">
        <v>0.500610659693787</v>
      </c>
      <c r="N3020" s="70">
        <v>0.500610659693787</v>
      </c>
      <c r="O3020" s="70">
        <v>0.397432755899369</v>
      </c>
      <c r="P3020" s="70">
        <v>0.397432755899369</v>
      </c>
    </row>
    <row r="3021" hidden="1">
      <c r="A3021" s="67" t="s">
        <v>3781</v>
      </c>
      <c r="B3021" s="67" t="s">
        <v>519</v>
      </c>
      <c r="C3021" s="68">
        <v>1.0</v>
      </c>
      <c r="D3021" s="68">
        <v>0.1</v>
      </c>
      <c r="E3021" s="68">
        <v>7.0</v>
      </c>
      <c r="F3021" s="68">
        <v>4.0</v>
      </c>
      <c r="G3021" s="68">
        <v>3.91443887511221</v>
      </c>
      <c r="H3021" s="68">
        <v>180.102831928954</v>
      </c>
      <c r="I3021" s="69">
        <v>44353.97871527778</v>
      </c>
      <c r="J3021" s="69">
        <v>44354.02196759259</v>
      </c>
      <c r="K3021">
        <f>AVERAGE(H3017:H3021)</f>
        <v>83.59137468</v>
      </c>
      <c r="L3021">
        <f>STDEV(H3017:H3021)</f>
        <v>81.31919978</v>
      </c>
      <c r="M3021" s="70">
        <v>180.102831928954</v>
      </c>
      <c r="N3021" s="70">
        <v>180.102831928954</v>
      </c>
      <c r="O3021" s="70">
        <v>3.91443887511221</v>
      </c>
      <c r="P3021" s="70">
        <v>3.91443887511221</v>
      </c>
    </row>
    <row r="3022" hidden="1">
      <c r="A3022" s="67" t="s">
        <v>3782</v>
      </c>
      <c r="B3022" s="67" t="s">
        <v>519</v>
      </c>
      <c r="C3022" s="68">
        <v>1.0</v>
      </c>
      <c r="D3022" s="68">
        <v>0.25</v>
      </c>
      <c r="E3022" s="68">
        <v>7.0</v>
      </c>
      <c r="F3022" s="68">
        <v>0.0</v>
      </c>
      <c r="G3022" s="68">
        <v>2.93280426745558</v>
      </c>
      <c r="H3022" s="68">
        <v>129.605555081949</v>
      </c>
      <c r="I3022" s="69">
        <v>44354.022673611114</v>
      </c>
      <c r="J3022" s="69">
        <v>44354.02328703704</v>
      </c>
      <c r="K3022">
        <f>AVERAGE(H3022:H3026)</f>
        <v>109.5417901</v>
      </c>
      <c r="L3022">
        <f>STDEV(H3022:H3026)</f>
        <v>80.80173153</v>
      </c>
      <c r="M3022" s="70">
        <v>129.605555081949</v>
      </c>
      <c r="N3022" s="70">
        <v>129.605555081949</v>
      </c>
      <c r="O3022" s="70">
        <v>2.93280426745558</v>
      </c>
      <c r="P3022" s="70">
        <v>2.93280426745558</v>
      </c>
    </row>
    <row r="3023" hidden="1">
      <c r="A3023" s="67" t="s">
        <v>3783</v>
      </c>
      <c r="B3023" s="67" t="s">
        <v>519</v>
      </c>
      <c r="C3023" s="68">
        <v>1.0</v>
      </c>
      <c r="D3023" s="68">
        <v>0.25</v>
      </c>
      <c r="E3023" s="68">
        <v>7.0</v>
      </c>
      <c r="F3023" s="68">
        <v>1.0</v>
      </c>
      <c r="G3023" s="68">
        <v>5.79158321371536</v>
      </c>
      <c r="H3023" s="68">
        <v>54.6344322558755</v>
      </c>
      <c r="I3023" s="69">
        <v>44354.023981481485</v>
      </c>
      <c r="J3023" s="69">
        <v>44354.02400462963</v>
      </c>
      <c r="K3023">
        <f>AVERAGE(H3022:H3026)</f>
        <v>109.5417901</v>
      </c>
      <c r="L3023">
        <f>STDEV(H3022:H3026)</f>
        <v>80.80173153</v>
      </c>
      <c r="M3023" s="70">
        <v>54.6344322558755</v>
      </c>
      <c r="N3023" s="70">
        <v>54.6344322558755</v>
      </c>
      <c r="O3023" s="70">
        <v>5.79158321371536</v>
      </c>
      <c r="P3023" s="70">
        <v>5.79158321371536</v>
      </c>
    </row>
    <row r="3024" hidden="1">
      <c r="A3024" s="67" t="s">
        <v>3784</v>
      </c>
      <c r="B3024" s="67" t="s">
        <v>519</v>
      </c>
      <c r="C3024" s="68">
        <v>1.0</v>
      </c>
      <c r="D3024" s="68">
        <v>0.25</v>
      </c>
      <c r="E3024" s="68">
        <v>7.0</v>
      </c>
      <c r="F3024" s="68">
        <v>2.0</v>
      </c>
      <c r="G3024" s="68">
        <v>3.41599149388408</v>
      </c>
      <c r="H3024" s="68">
        <v>167.6012774805</v>
      </c>
      <c r="I3024" s="69">
        <v>44354.02471064815</v>
      </c>
      <c r="J3024" s="69">
        <v>44354.09619212963</v>
      </c>
      <c r="K3024">
        <f>AVERAGE(H3022:H3026)</f>
        <v>109.5417901</v>
      </c>
      <c r="L3024">
        <f>STDEV(H3022:H3026)</f>
        <v>80.80173153</v>
      </c>
      <c r="M3024" s="70">
        <v>167.6012774805</v>
      </c>
      <c r="N3024" s="70">
        <v>167.6012774805</v>
      </c>
      <c r="O3024" s="70">
        <v>3.41599149388408</v>
      </c>
      <c r="P3024" s="70">
        <v>3.41599149388408</v>
      </c>
    </row>
    <row r="3025" hidden="1">
      <c r="A3025" s="67" t="s">
        <v>3785</v>
      </c>
      <c r="B3025" s="67" t="s">
        <v>519</v>
      </c>
      <c r="C3025" s="68">
        <v>1.0</v>
      </c>
      <c r="D3025" s="68">
        <v>0.25</v>
      </c>
      <c r="E3025" s="68">
        <v>7.0</v>
      </c>
      <c r="F3025" s="68">
        <v>3.0</v>
      </c>
      <c r="G3025" s="68">
        <v>6.21372954847746</v>
      </c>
      <c r="H3025" s="68">
        <v>195.55021886833</v>
      </c>
      <c r="I3025" s="69">
        <v>44354.09689814815</v>
      </c>
      <c r="J3025" s="69">
        <v>44354.0971412037</v>
      </c>
      <c r="K3025">
        <f>AVERAGE(H3022:H3026)</f>
        <v>109.5417901</v>
      </c>
      <c r="L3025">
        <f>STDEV(H3022:H3026)</f>
        <v>80.80173153</v>
      </c>
      <c r="M3025" s="70">
        <v>195.55021886833</v>
      </c>
      <c r="N3025" s="70">
        <v>195.55021886833</v>
      </c>
      <c r="O3025" s="70">
        <v>6.21372954847746</v>
      </c>
      <c r="P3025" s="70">
        <v>6.21372954847746</v>
      </c>
    </row>
    <row r="3026" hidden="1">
      <c r="A3026" s="67" t="s">
        <v>3786</v>
      </c>
      <c r="B3026" s="67" t="s">
        <v>519</v>
      </c>
      <c r="C3026" s="68">
        <v>1.0</v>
      </c>
      <c r="D3026" s="68">
        <v>0.25</v>
      </c>
      <c r="E3026" s="68">
        <v>7.0</v>
      </c>
      <c r="F3026" s="68">
        <v>4.0</v>
      </c>
      <c r="G3026" s="68">
        <v>0.249925867484242</v>
      </c>
      <c r="H3026" s="68">
        <v>0.317466958817838</v>
      </c>
      <c r="I3026" s="69">
        <v>44354.09784722222</v>
      </c>
      <c r="J3026" s="69">
        <v>44354.09792824074</v>
      </c>
      <c r="K3026">
        <f>AVERAGE(H3022:H3026)</f>
        <v>109.5417901</v>
      </c>
      <c r="L3026">
        <f>STDEV(H3022:H3026)</f>
        <v>80.80173153</v>
      </c>
      <c r="M3026" s="70">
        <v>0.317466958817838</v>
      </c>
      <c r="N3026" s="70">
        <v>0.317466958817838</v>
      </c>
      <c r="O3026" s="70">
        <v>0.249925867484242</v>
      </c>
      <c r="P3026" s="70">
        <v>0.249925867484242</v>
      </c>
    </row>
    <row r="3027" hidden="1">
      <c r="A3027" s="67" t="s">
        <v>3787</v>
      </c>
      <c r="B3027" s="67" t="s">
        <v>519</v>
      </c>
      <c r="C3027" s="68">
        <v>1.0</v>
      </c>
      <c r="D3027" s="68">
        <v>0.5</v>
      </c>
      <c r="E3027" s="68">
        <v>7.0</v>
      </c>
      <c r="F3027" s="68">
        <v>0.0</v>
      </c>
      <c r="G3027" s="68">
        <v>4.88359277268259</v>
      </c>
      <c r="H3027" s="68">
        <v>209.311864176186</v>
      </c>
      <c r="I3027" s="69">
        <v>44354.09862268518</v>
      </c>
      <c r="J3027" s="69">
        <v>44354.09869212963</v>
      </c>
      <c r="K3027">
        <f>AVERAGE(H3027:H3031)</f>
        <v>180.908005</v>
      </c>
      <c r="L3027">
        <f>STDEV(H3027:H3031)</f>
        <v>30.86194004</v>
      </c>
      <c r="M3027" s="70">
        <v>209.311864176186</v>
      </c>
      <c r="N3027" s="70">
        <v>209.311864176186</v>
      </c>
      <c r="O3027" s="70">
        <v>4.88359277268259</v>
      </c>
      <c r="P3027" s="70">
        <v>4.88359277268259</v>
      </c>
    </row>
    <row r="3028" hidden="1">
      <c r="A3028" s="67" t="s">
        <v>3788</v>
      </c>
      <c r="B3028" s="67" t="s">
        <v>519</v>
      </c>
      <c r="C3028" s="68">
        <v>1.0</v>
      </c>
      <c r="D3028" s="68">
        <v>0.5</v>
      </c>
      <c r="E3028" s="68">
        <v>7.0</v>
      </c>
      <c r="F3028" s="68">
        <v>1.0</v>
      </c>
      <c r="G3028" s="68">
        <v>3.18493508022687</v>
      </c>
      <c r="H3028" s="68">
        <v>155.734123955632</v>
      </c>
      <c r="I3028" s="69">
        <v>44354.09939814815</v>
      </c>
      <c r="J3028" s="69">
        <v>44354.132743055554</v>
      </c>
      <c r="K3028">
        <f>AVERAGE(H3027:H3031)</f>
        <v>180.908005</v>
      </c>
      <c r="L3028">
        <f>STDEV(H3027:H3031)</f>
        <v>30.86194004</v>
      </c>
      <c r="M3028" s="70">
        <v>155.734123955632</v>
      </c>
      <c r="N3028" s="70">
        <v>155.734123955632</v>
      </c>
      <c r="O3028" s="70">
        <v>3.18493508022687</v>
      </c>
      <c r="P3028" s="70">
        <v>3.18493508022687</v>
      </c>
    </row>
    <row r="3029" hidden="1">
      <c r="A3029" s="67" t="s">
        <v>3789</v>
      </c>
      <c r="B3029" s="67" t="s">
        <v>519</v>
      </c>
      <c r="C3029" s="68">
        <v>1.0</v>
      </c>
      <c r="D3029" s="68">
        <v>0.5</v>
      </c>
      <c r="E3029" s="68">
        <v>7.0</v>
      </c>
      <c r="F3029" s="68">
        <v>2.0</v>
      </c>
      <c r="G3029" s="68">
        <v>2.87948033108378</v>
      </c>
      <c r="H3029" s="68">
        <v>152.949234700146</v>
      </c>
      <c r="I3029" s="69">
        <v>44354.13344907408</v>
      </c>
      <c r="J3029" s="69">
        <v>44354.152453703704</v>
      </c>
      <c r="K3029">
        <f>AVERAGE(H3027:H3031)</f>
        <v>180.908005</v>
      </c>
      <c r="L3029">
        <f>STDEV(H3027:H3031)</f>
        <v>30.86194004</v>
      </c>
      <c r="M3029" s="70">
        <v>152.949234700146</v>
      </c>
      <c r="N3029" s="70">
        <v>152.949234700146</v>
      </c>
      <c r="O3029" s="70">
        <v>2.87948033108378</v>
      </c>
      <c r="P3029" s="70">
        <v>2.87948033108378</v>
      </c>
    </row>
    <row r="3030" hidden="1">
      <c r="A3030" s="67" t="s">
        <v>3790</v>
      </c>
      <c r="B3030" s="67" t="s">
        <v>519</v>
      </c>
      <c r="C3030" s="68">
        <v>1.0</v>
      </c>
      <c r="D3030" s="68">
        <v>0.5</v>
      </c>
      <c r="E3030" s="68">
        <v>7.0</v>
      </c>
      <c r="F3030" s="68">
        <v>3.0</v>
      </c>
      <c r="G3030" s="68">
        <v>9.16045690125823</v>
      </c>
      <c r="H3030" s="68">
        <v>218.589237899693</v>
      </c>
      <c r="I3030" s="69">
        <v>44354.15315972222</v>
      </c>
      <c r="J3030" s="69">
        <v>44354.153275462966</v>
      </c>
      <c r="K3030">
        <f>AVERAGE(H3027:H3031)</f>
        <v>180.908005</v>
      </c>
      <c r="L3030">
        <f>STDEV(H3027:H3031)</f>
        <v>30.86194004</v>
      </c>
      <c r="M3030" s="70">
        <v>218.589237899693</v>
      </c>
      <c r="N3030" s="70">
        <v>218.589237899693</v>
      </c>
      <c r="O3030" s="70">
        <v>9.16045690125823</v>
      </c>
      <c r="P3030" s="70">
        <v>9.16045690125823</v>
      </c>
    </row>
    <row r="3031" hidden="1">
      <c r="A3031" s="67" t="s">
        <v>3791</v>
      </c>
      <c r="B3031" s="67" t="s">
        <v>519</v>
      </c>
      <c r="C3031" s="68">
        <v>1.0</v>
      </c>
      <c r="D3031" s="68">
        <v>0.5</v>
      </c>
      <c r="E3031" s="68">
        <v>7.0</v>
      </c>
      <c r="F3031" s="68">
        <v>4.0</v>
      </c>
      <c r="G3031" s="68">
        <v>5.57106330607051</v>
      </c>
      <c r="H3031" s="68">
        <v>167.9555642878</v>
      </c>
      <c r="I3031" s="69">
        <v>44354.15398148148</v>
      </c>
      <c r="J3031" s="69">
        <v>44354.15414351852</v>
      </c>
      <c r="K3031">
        <f>AVERAGE(H3027:H3031)</f>
        <v>180.908005</v>
      </c>
      <c r="L3031">
        <f>STDEV(H3027:H3031)</f>
        <v>30.86194004</v>
      </c>
      <c r="M3031" s="70">
        <v>167.9555642878</v>
      </c>
      <c r="N3031" s="70">
        <v>167.9555642878</v>
      </c>
      <c r="O3031" s="70">
        <v>5.57106330607051</v>
      </c>
      <c r="P3031" s="70">
        <v>5.57106330607051</v>
      </c>
    </row>
    <row r="3032" hidden="1">
      <c r="A3032" s="67" t="s">
        <v>3792</v>
      </c>
      <c r="B3032" s="67" t="s">
        <v>519</v>
      </c>
      <c r="C3032" s="68">
        <v>1.0</v>
      </c>
      <c r="D3032" s="68">
        <v>0.75</v>
      </c>
      <c r="E3032" s="68">
        <v>7.0</v>
      </c>
      <c r="F3032" s="68">
        <v>0.0</v>
      </c>
      <c r="G3032" s="68">
        <v>4.45567078525249</v>
      </c>
      <c r="H3032" s="68">
        <v>165.936962131469</v>
      </c>
      <c r="I3032" s="69">
        <v>44354.15483796296</v>
      </c>
      <c r="J3032" s="69">
        <v>44354.15490740741</v>
      </c>
      <c r="K3032">
        <f>AVERAGE(H3032:H3036)</f>
        <v>192.2505396</v>
      </c>
      <c r="L3032">
        <f>STDEV(H3032:H3036)</f>
        <v>62.66071275</v>
      </c>
      <c r="M3032" s="70">
        <v>165.936962131469</v>
      </c>
      <c r="N3032" s="70">
        <v>165.936962131469</v>
      </c>
      <c r="O3032" s="70">
        <v>4.45567078525249</v>
      </c>
      <c r="P3032" s="70">
        <v>4.45567078525249</v>
      </c>
    </row>
    <row r="3033" hidden="1">
      <c r="A3033" s="67" t="s">
        <v>3793</v>
      </c>
      <c r="B3033" s="67" t="s">
        <v>519</v>
      </c>
      <c r="C3033" s="68">
        <v>1.0</v>
      </c>
      <c r="D3033" s="68">
        <v>0.75</v>
      </c>
      <c r="E3033" s="68">
        <v>7.0</v>
      </c>
      <c r="F3033" s="68">
        <v>1.0</v>
      </c>
      <c r="G3033" s="68">
        <v>6.65473563718035</v>
      </c>
      <c r="H3033" s="68">
        <v>173.389594569645</v>
      </c>
      <c r="I3033" s="69">
        <v>44354.15561342592</v>
      </c>
      <c r="J3033" s="69">
        <v>44354.1556712963</v>
      </c>
      <c r="K3033">
        <f>AVERAGE(H3032:H3036)</f>
        <v>192.2505396</v>
      </c>
      <c r="L3033">
        <f>STDEV(H3032:H3036)</f>
        <v>62.66071275</v>
      </c>
      <c r="M3033" s="70">
        <v>173.389594569645</v>
      </c>
      <c r="N3033" s="70">
        <v>173.389594569645</v>
      </c>
      <c r="O3033" s="70">
        <v>6.65473563718035</v>
      </c>
      <c r="P3033" s="70">
        <v>6.65473563718035</v>
      </c>
    </row>
    <row r="3034" hidden="1">
      <c r="A3034" s="67" t="s">
        <v>3794</v>
      </c>
      <c r="B3034" s="67" t="s">
        <v>519</v>
      </c>
      <c r="C3034" s="68">
        <v>1.0</v>
      </c>
      <c r="D3034" s="68">
        <v>0.75</v>
      </c>
      <c r="E3034" s="68">
        <v>7.0</v>
      </c>
      <c r="F3034" s="68">
        <v>2.0</v>
      </c>
      <c r="G3034" s="68">
        <v>8.51956002089934</v>
      </c>
      <c r="H3034" s="68">
        <v>295.331743706966</v>
      </c>
      <c r="I3034" s="69">
        <v>44354.156377314815</v>
      </c>
      <c r="J3034" s="69">
        <v>44354.157314814816</v>
      </c>
      <c r="K3034">
        <f>AVERAGE(H3032:H3036)</f>
        <v>192.2505396</v>
      </c>
      <c r="L3034">
        <f>STDEV(H3032:H3036)</f>
        <v>62.66071275</v>
      </c>
      <c r="M3034" s="70">
        <v>295.331743706966</v>
      </c>
      <c r="N3034" s="70">
        <v>295.331743706966</v>
      </c>
      <c r="O3034" s="70">
        <v>8.51956002089934</v>
      </c>
      <c r="P3034" s="70">
        <v>8.51956002089934</v>
      </c>
    </row>
    <row r="3035" hidden="1">
      <c r="A3035" s="67" t="s">
        <v>3795</v>
      </c>
      <c r="B3035" s="67" t="s">
        <v>519</v>
      </c>
      <c r="C3035" s="68">
        <v>1.0</v>
      </c>
      <c r="D3035" s="68">
        <v>0.75</v>
      </c>
      <c r="E3035" s="68">
        <v>7.0</v>
      </c>
      <c r="F3035" s="68">
        <v>3.0</v>
      </c>
      <c r="G3035" s="68">
        <v>2.47113631359008</v>
      </c>
      <c r="H3035" s="68">
        <v>128.982525845804</v>
      </c>
      <c r="I3035" s="69">
        <v>44354.15802083333</v>
      </c>
      <c r="J3035" s="69">
        <v>44354.22974537037</v>
      </c>
      <c r="K3035">
        <f>AVERAGE(H3032:H3036)</f>
        <v>192.2505396</v>
      </c>
      <c r="L3035">
        <f>STDEV(H3032:H3036)</f>
        <v>62.66071275</v>
      </c>
      <c r="M3035" s="70">
        <v>128.982525845804</v>
      </c>
      <c r="N3035" s="70">
        <v>128.982525845804</v>
      </c>
      <c r="O3035" s="70">
        <v>2.47113631359008</v>
      </c>
      <c r="P3035" s="70">
        <v>2.47113631359008</v>
      </c>
    </row>
    <row r="3036" hidden="1">
      <c r="A3036" s="67" t="s">
        <v>3796</v>
      </c>
      <c r="B3036" s="67" t="s">
        <v>519</v>
      </c>
      <c r="C3036" s="68">
        <v>1.0</v>
      </c>
      <c r="D3036" s="68">
        <v>0.75</v>
      </c>
      <c r="E3036" s="68">
        <v>7.0</v>
      </c>
      <c r="F3036" s="68">
        <v>4.0</v>
      </c>
      <c r="G3036" s="68">
        <v>6.18954853190174</v>
      </c>
      <c r="H3036" s="68">
        <v>197.611871540993</v>
      </c>
      <c r="I3036" s="69">
        <v>44354.23045138889</v>
      </c>
      <c r="J3036" s="69">
        <v>44354.23064814815</v>
      </c>
      <c r="K3036">
        <f>AVERAGE(H3032:H3036)</f>
        <v>192.2505396</v>
      </c>
      <c r="L3036">
        <f>STDEV(H3032:H3036)</f>
        <v>62.66071275</v>
      </c>
      <c r="M3036" s="70">
        <v>197.611871540993</v>
      </c>
      <c r="N3036" s="70">
        <v>197.611871540993</v>
      </c>
      <c r="O3036" s="70">
        <v>6.18954853190174</v>
      </c>
      <c r="P3036" s="70">
        <v>6.18954853190174</v>
      </c>
    </row>
    <row r="3037" hidden="1">
      <c r="A3037" s="67" t="s">
        <v>3797</v>
      </c>
      <c r="B3037" s="67" t="s">
        <v>519</v>
      </c>
      <c r="C3037" s="68">
        <v>1.0</v>
      </c>
      <c r="D3037" s="68">
        <v>1.0</v>
      </c>
      <c r="E3037" s="68">
        <v>7.0</v>
      </c>
      <c r="F3037" s="68">
        <v>0.0</v>
      </c>
      <c r="G3037" s="68">
        <v>13.9971624640181</v>
      </c>
      <c r="H3037" s="68">
        <v>277.035793944562</v>
      </c>
      <c r="I3037" s="69">
        <v>44354.231354166666</v>
      </c>
      <c r="J3037" s="69">
        <v>44354.23142361111</v>
      </c>
      <c r="K3037">
        <f>AVERAGE(H3037:H3041)</f>
        <v>154.5659536</v>
      </c>
      <c r="L3037">
        <f>STDEV(H3037:H3041)</f>
        <v>98.16970214</v>
      </c>
      <c r="M3037" s="70">
        <v>277.035793944562</v>
      </c>
      <c r="N3037" s="70">
        <v>277.035793944562</v>
      </c>
      <c r="O3037" s="70">
        <v>13.9971624640181</v>
      </c>
      <c r="P3037" s="70">
        <v>13.9971624640181</v>
      </c>
    </row>
    <row r="3038" hidden="1">
      <c r="A3038" s="67" t="s">
        <v>3798</v>
      </c>
      <c r="B3038" s="67" t="s">
        <v>519</v>
      </c>
      <c r="C3038" s="68">
        <v>1.0</v>
      </c>
      <c r="D3038" s="68">
        <v>1.0</v>
      </c>
      <c r="E3038" s="68">
        <v>7.0</v>
      </c>
      <c r="F3038" s="68">
        <v>1.0</v>
      </c>
      <c r="G3038" s="68">
        <v>3.11409972342978</v>
      </c>
      <c r="H3038" s="68">
        <v>156.359145762468</v>
      </c>
      <c r="I3038" s="69">
        <v>44354.23212962963</v>
      </c>
      <c r="J3038" s="69">
        <v>44354.34339120371</v>
      </c>
      <c r="K3038">
        <f>AVERAGE(H3037:H3041)</f>
        <v>154.5659536</v>
      </c>
      <c r="L3038">
        <f>STDEV(H3037:H3041)</f>
        <v>98.16970214</v>
      </c>
      <c r="M3038" s="70">
        <v>156.359145762468</v>
      </c>
      <c r="N3038" s="70">
        <v>156.359145762468</v>
      </c>
      <c r="O3038" s="70">
        <v>3.11409972342978</v>
      </c>
      <c r="P3038" s="70">
        <v>3.11409972342978</v>
      </c>
    </row>
    <row r="3039" hidden="1">
      <c r="A3039" s="67" t="s">
        <v>3799</v>
      </c>
      <c r="B3039" s="67" t="s">
        <v>519</v>
      </c>
      <c r="C3039" s="68">
        <v>1.0</v>
      </c>
      <c r="D3039" s="68">
        <v>1.0</v>
      </c>
      <c r="E3039" s="68">
        <v>7.0</v>
      </c>
      <c r="F3039" s="68">
        <v>2.0</v>
      </c>
      <c r="G3039" s="68">
        <v>6.21295491510269</v>
      </c>
      <c r="H3039" s="68">
        <v>171.663736840282</v>
      </c>
      <c r="I3039" s="69">
        <v>44354.34408564815</v>
      </c>
      <c r="J3039" s="69">
        <v>44354.34415509259</v>
      </c>
      <c r="K3039">
        <f>AVERAGE(H3037:H3041)</f>
        <v>154.5659536</v>
      </c>
      <c r="L3039">
        <f>STDEV(H3037:H3041)</f>
        <v>98.16970214</v>
      </c>
      <c r="M3039" s="70">
        <v>171.663736840282</v>
      </c>
      <c r="N3039" s="70">
        <v>171.663736840282</v>
      </c>
      <c r="O3039" s="70">
        <v>6.21295491510269</v>
      </c>
      <c r="P3039" s="70">
        <v>6.21295491510269</v>
      </c>
    </row>
    <row r="3040" hidden="1">
      <c r="A3040" s="67" t="s">
        <v>3800</v>
      </c>
      <c r="B3040" s="67" t="s">
        <v>519</v>
      </c>
      <c r="C3040" s="68">
        <v>1.0</v>
      </c>
      <c r="D3040" s="68">
        <v>1.0</v>
      </c>
      <c r="E3040" s="68">
        <v>7.0</v>
      </c>
      <c r="F3040" s="68">
        <v>3.0</v>
      </c>
      <c r="G3040" s="68">
        <v>1.16272832749694</v>
      </c>
      <c r="H3040" s="68">
        <v>2.45057155961256</v>
      </c>
      <c r="I3040" s="69">
        <v>44354.34484953704</v>
      </c>
      <c r="J3040" s="69">
        <v>44354.34488425926</v>
      </c>
      <c r="K3040">
        <f>AVERAGE(H3037:H3041)</f>
        <v>154.5659536</v>
      </c>
      <c r="L3040">
        <f>STDEV(H3037:H3041)</f>
        <v>98.16970214</v>
      </c>
      <c r="M3040" s="70">
        <v>2.45057155961256</v>
      </c>
      <c r="N3040" s="70">
        <v>2.45057155961256</v>
      </c>
      <c r="O3040" s="70">
        <v>1.16272832749694</v>
      </c>
      <c r="P3040" s="70">
        <v>1.16272832749694</v>
      </c>
    </row>
    <row r="3041" hidden="1">
      <c r="A3041" s="67" t="s">
        <v>3801</v>
      </c>
      <c r="B3041" s="67" t="s">
        <v>519</v>
      </c>
      <c r="C3041" s="68">
        <v>1.0</v>
      </c>
      <c r="D3041" s="68">
        <v>1.0</v>
      </c>
      <c r="E3041" s="68">
        <v>7.0</v>
      </c>
      <c r="F3041" s="68">
        <v>4.0</v>
      </c>
      <c r="G3041" s="68">
        <v>4.4147269650958</v>
      </c>
      <c r="H3041" s="68">
        <v>165.320519771346</v>
      </c>
      <c r="I3041" s="69">
        <v>44354.34559027778</v>
      </c>
      <c r="J3041" s="69">
        <v>44354.34564814815</v>
      </c>
      <c r="K3041">
        <f>AVERAGE(H3037:H3041)</f>
        <v>154.5659536</v>
      </c>
      <c r="L3041">
        <f>STDEV(H3037:H3041)</f>
        <v>98.16970214</v>
      </c>
      <c r="M3041" s="70">
        <v>165.320519771346</v>
      </c>
      <c r="N3041" s="70">
        <v>165.320519771346</v>
      </c>
      <c r="O3041" s="70">
        <v>4.4147269650958</v>
      </c>
      <c r="P3041" s="70">
        <v>4.4147269650958</v>
      </c>
    </row>
    <row r="3042" hidden="1">
      <c r="A3042" s="67" t="s">
        <v>3802</v>
      </c>
      <c r="B3042" s="67" t="s">
        <v>17</v>
      </c>
      <c r="C3042" s="68">
        <v>0.1</v>
      </c>
      <c r="D3042" s="68">
        <v>0.1</v>
      </c>
      <c r="E3042" s="68">
        <v>8.0</v>
      </c>
      <c r="F3042" s="68">
        <v>0.0</v>
      </c>
      <c r="G3042" s="68">
        <v>0.466302059947925</v>
      </c>
      <c r="H3042" s="68">
        <v>0.558605536113522</v>
      </c>
      <c r="I3042" s="69">
        <v>44354.346354166664</v>
      </c>
      <c r="J3042" s="69">
        <v>44354.34652777778</v>
      </c>
      <c r="K3042">
        <f>AVERAGE(H3042:H3046)</f>
        <v>136.8108096</v>
      </c>
      <c r="L3042">
        <f>STDEV(H3042:H3046)</f>
        <v>139.494905</v>
      </c>
      <c r="M3042" s="70">
        <v>0.558605536113522</v>
      </c>
      <c r="N3042" s="70">
        <v>0.558605536113522</v>
      </c>
      <c r="O3042" s="70">
        <v>0.466302059947925</v>
      </c>
      <c r="P3042" s="70">
        <v>0.466302059947925</v>
      </c>
    </row>
    <row r="3043" hidden="1">
      <c r="A3043" s="67" t="s">
        <v>3803</v>
      </c>
      <c r="B3043" s="67" t="s">
        <v>17</v>
      </c>
      <c r="C3043" s="68">
        <v>0.1</v>
      </c>
      <c r="D3043" s="68">
        <v>0.1</v>
      </c>
      <c r="E3043" s="68">
        <v>8.0</v>
      </c>
      <c r="F3043" s="68">
        <v>1.0</v>
      </c>
      <c r="G3043" s="68">
        <v>8.12811947541462</v>
      </c>
      <c r="H3043" s="68">
        <v>286.481133463897</v>
      </c>
      <c r="I3043" s="69">
        <v>44354.34722222222</v>
      </c>
      <c r="J3043" s="69">
        <v>44354.3481712963</v>
      </c>
      <c r="K3043">
        <f>AVERAGE(H3042:H3046)</f>
        <v>136.8108096</v>
      </c>
      <c r="L3043">
        <f>STDEV(H3042:H3046)</f>
        <v>139.494905</v>
      </c>
      <c r="M3043" s="70">
        <v>286.481133463897</v>
      </c>
      <c r="N3043" s="70">
        <v>286.481133463897</v>
      </c>
      <c r="O3043" s="70">
        <v>8.12811947541462</v>
      </c>
      <c r="P3043" s="70">
        <v>8.12811947541462</v>
      </c>
    </row>
    <row r="3044" hidden="1">
      <c r="A3044" s="67" t="s">
        <v>3804</v>
      </c>
      <c r="B3044" s="67" t="s">
        <v>17</v>
      </c>
      <c r="C3044" s="68">
        <v>0.1</v>
      </c>
      <c r="D3044" s="68">
        <v>0.1</v>
      </c>
      <c r="E3044" s="68">
        <v>8.0</v>
      </c>
      <c r="F3044" s="68">
        <v>2.0</v>
      </c>
      <c r="G3044" s="68">
        <v>0.318624724666863</v>
      </c>
      <c r="H3044" s="68">
        <v>0.406974241682714</v>
      </c>
      <c r="I3044" s="69">
        <v>44354.34887731481</v>
      </c>
      <c r="J3044" s="69">
        <v>44354.34893518518</v>
      </c>
      <c r="K3044">
        <f>AVERAGE(H3042:H3046)</f>
        <v>136.8108096</v>
      </c>
      <c r="L3044">
        <f>STDEV(H3042:H3046)</f>
        <v>139.494905</v>
      </c>
      <c r="M3044" s="70">
        <v>0.406974241682714</v>
      </c>
      <c r="N3044" s="70">
        <v>0.406974241682714</v>
      </c>
      <c r="O3044" s="70">
        <v>0.318624724666863</v>
      </c>
      <c r="P3044" s="70">
        <v>0.318624724666863</v>
      </c>
    </row>
    <row r="3045" hidden="1">
      <c r="A3045" s="67" t="s">
        <v>3805</v>
      </c>
      <c r="B3045" s="67" t="s">
        <v>17</v>
      </c>
      <c r="C3045" s="68">
        <v>0.1</v>
      </c>
      <c r="D3045" s="68">
        <v>0.1</v>
      </c>
      <c r="E3045" s="68">
        <v>8.0</v>
      </c>
      <c r="F3045" s="68">
        <v>3.0</v>
      </c>
      <c r="G3045" s="68">
        <v>7.37133907076435</v>
      </c>
      <c r="H3045" s="68">
        <v>271.449739428872</v>
      </c>
      <c r="I3045" s="69">
        <v>44354.34962962963</v>
      </c>
      <c r="J3045" s="69">
        <v>44354.349907407406</v>
      </c>
      <c r="K3045">
        <f>AVERAGE(H3042:H3046)</f>
        <v>136.8108096</v>
      </c>
      <c r="L3045">
        <f>STDEV(H3042:H3046)</f>
        <v>139.494905</v>
      </c>
      <c r="M3045" s="70">
        <v>271.449739428872</v>
      </c>
      <c r="N3045" s="70">
        <v>271.449739428872</v>
      </c>
      <c r="O3045" s="70">
        <v>7.37133907076435</v>
      </c>
      <c r="P3045" s="70">
        <v>7.37133907076435</v>
      </c>
    </row>
    <row r="3046" hidden="1">
      <c r="A3046" s="67" t="s">
        <v>3806</v>
      </c>
      <c r="B3046" s="67" t="s">
        <v>17</v>
      </c>
      <c r="C3046" s="68">
        <v>0.1</v>
      </c>
      <c r="D3046" s="68">
        <v>0.1</v>
      </c>
      <c r="E3046" s="68">
        <v>8.0</v>
      </c>
      <c r="F3046" s="68">
        <v>4.0</v>
      </c>
      <c r="G3046" s="68">
        <v>2.69731034135185</v>
      </c>
      <c r="H3046" s="68">
        <v>125.157595539643</v>
      </c>
      <c r="I3046" s="69">
        <v>44354.35061342592</v>
      </c>
      <c r="J3046" s="69">
        <v>44354.40378472222</v>
      </c>
      <c r="K3046">
        <f>AVERAGE(H3042:H3046)</f>
        <v>136.8108096</v>
      </c>
      <c r="L3046">
        <f>STDEV(H3042:H3046)</f>
        <v>139.494905</v>
      </c>
      <c r="M3046" s="70">
        <v>125.157595539643</v>
      </c>
      <c r="N3046" s="70">
        <v>125.157595539643</v>
      </c>
      <c r="O3046" s="70">
        <v>2.69731034135185</v>
      </c>
      <c r="P3046" s="70">
        <v>2.69731034135185</v>
      </c>
    </row>
    <row r="3047" hidden="1">
      <c r="A3047" s="67" t="s">
        <v>3807</v>
      </c>
      <c r="B3047" s="67" t="s">
        <v>17</v>
      </c>
      <c r="C3047" s="68">
        <v>0.1</v>
      </c>
      <c r="D3047" s="68">
        <v>0.25</v>
      </c>
      <c r="E3047" s="68">
        <v>8.0</v>
      </c>
      <c r="F3047" s="68">
        <v>0.0</v>
      </c>
      <c r="G3047" s="68">
        <v>0.466491018990041</v>
      </c>
      <c r="H3047" s="68">
        <v>0.558846337991739</v>
      </c>
      <c r="I3047" s="69">
        <v>44354.404490740744</v>
      </c>
      <c r="J3047" s="69">
        <v>44354.40466435185</v>
      </c>
      <c r="K3047">
        <f>AVERAGE(H3047:H3051)</f>
        <v>118.0151806</v>
      </c>
      <c r="L3047">
        <f>STDEV(H3047:H3051)</f>
        <v>108.7471528</v>
      </c>
      <c r="M3047" s="70">
        <v>0.558846337991739</v>
      </c>
      <c r="N3047" s="70">
        <v>0.558846337991739</v>
      </c>
      <c r="O3047" s="70">
        <v>0.466491018990041</v>
      </c>
      <c r="P3047" s="70">
        <v>0.466491018990041</v>
      </c>
    </row>
    <row r="3048" hidden="1">
      <c r="A3048" s="67" t="s">
        <v>3808</v>
      </c>
      <c r="B3048" s="67" t="s">
        <v>17</v>
      </c>
      <c r="C3048" s="68">
        <v>0.1</v>
      </c>
      <c r="D3048" s="68">
        <v>0.25</v>
      </c>
      <c r="E3048" s="68">
        <v>8.0</v>
      </c>
      <c r="F3048" s="68">
        <v>1.0</v>
      </c>
      <c r="G3048" s="68">
        <v>7.37231374504142</v>
      </c>
      <c r="H3048" s="68">
        <v>271.379700769382</v>
      </c>
      <c r="I3048" s="69">
        <v>44354.4053587963</v>
      </c>
      <c r="J3048" s="69">
        <v>44354.405636574076</v>
      </c>
      <c r="K3048">
        <f>AVERAGE(H3047:H3051)</f>
        <v>118.0151806</v>
      </c>
      <c r="L3048">
        <f>STDEV(H3047:H3051)</f>
        <v>108.7471528</v>
      </c>
      <c r="M3048" s="70">
        <v>271.379700769382</v>
      </c>
      <c r="N3048" s="70">
        <v>271.379700769382</v>
      </c>
      <c r="O3048" s="70">
        <v>7.37231374504142</v>
      </c>
      <c r="P3048" s="70">
        <v>7.37231374504142</v>
      </c>
    </row>
    <row r="3049" hidden="1">
      <c r="A3049" s="67" t="s">
        <v>3809</v>
      </c>
      <c r="B3049" s="67" t="s">
        <v>17</v>
      </c>
      <c r="C3049" s="68">
        <v>0.1</v>
      </c>
      <c r="D3049" s="68">
        <v>0.25</v>
      </c>
      <c r="E3049" s="68">
        <v>8.0</v>
      </c>
      <c r="F3049" s="68">
        <v>2.0</v>
      </c>
      <c r="G3049" s="68">
        <v>3.46973384673977</v>
      </c>
      <c r="H3049" s="68">
        <v>158.464686086245</v>
      </c>
      <c r="I3049" s="69">
        <v>44354.40634259259</v>
      </c>
      <c r="J3049" s="69">
        <v>44354.479317129626</v>
      </c>
      <c r="K3049">
        <f>AVERAGE(H3047:H3051)</f>
        <v>118.0151806</v>
      </c>
      <c r="L3049">
        <f>STDEV(H3047:H3051)</f>
        <v>108.7471528</v>
      </c>
      <c r="M3049" s="70">
        <v>158.464686086245</v>
      </c>
      <c r="N3049" s="70">
        <v>158.464686086245</v>
      </c>
      <c r="O3049" s="70">
        <v>3.46973384673977</v>
      </c>
      <c r="P3049" s="70">
        <v>3.46973384673977</v>
      </c>
    </row>
    <row r="3050" hidden="1">
      <c r="A3050" s="67" t="s">
        <v>3810</v>
      </c>
      <c r="B3050" s="67" t="s">
        <v>17</v>
      </c>
      <c r="C3050" s="68">
        <v>0.1</v>
      </c>
      <c r="D3050" s="68">
        <v>0.25</v>
      </c>
      <c r="E3050" s="68">
        <v>8.0</v>
      </c>
      <c r="F3050" s="68">
        <v>3.0</v>
      </c>
      <c r="G3050" s="68">
        <v>1.66040089671087</v>
      </c>
      <c r="H3050" s="68">
        <v>27.7033538428229</v>
      </c>
      <c r="I3050" s="69">
        <v>44354.48002314815</v>
      </c>
      <c r="J3050" s="69">
        <v>44354.480474537035</v>
      </c>
      <c r="K3050">
        <f>AVERAGE(H3047:H3051)</f>
        <v>118.0151806</v>
      </c>
      <c r="L3050">
        <f>STDEV(H3047:H3051)</f>
        <v>108.7471528</v>
      </c>
      <c r="M3050" s="70">
        <v>27.7033538428229</v>
      </c>
      <c r="N3050" s="70">
        <v>27.7033538428229</v>
      </c>
      <c r="O3050" s="70">
        <v>1.66040089671087</v>
      </c>
      <c r="P3050" s="70">
        <v>1.66040089671087</v>
      </c>
    </row>
    <row r="3051" hidden="1">
      <c r="A3051" s="67" t="s">
        <v>3811</v>
      </c>
      <c r="B3051" s="67" t="s">
        <v>17</v>
      </c>
      <c r="C3051" s="68">
        <v>0.1</v>
      </c>
      <c r="D3051" s="68">
        <v>0.25</v>
      </c>
      <c r="E3051" s="68">
        <v>8.0</v>
      </c>
      <c r="F3051" s="68">
        <v>4.0</v>
      </c>
      <c r="G3051" s="68">
        <v>2.49328034962596</v>
      </c>
      <c r="H3051" s="68">
        <v>131.969316164947</v>
      </c>
      <c r="I3051" s="69">
        <v>44354.48116898148</v>
      </c>
      <c r="J3051" s="69">
        <v>44354.481400462966</v>
      </c>
      <c r="K3051">
        <f>AVERAGE(H3047:H3051)</f>
        <v>118.0151806</v>
      </c>
      <c r="L3051">
        <f>STDEV(H3047:H3051)</f>
        <v>108.7471528</v>
      </c>
      <c r="M3051" s="70">
        <v>131.969316164947</v>
      </c>
      <c r="N3051" s="70">
        <v>131.969316164947</v>
      </c>
      <c r="O3051" s="70">
        <v>2.49328034962596</v>
      </c>
      <c r="P3051" s="70">
        <v>2.49328034962596</v>
      </c>
    </row>
    <row r="3052" hidden="1">
      <c r="A3052" s="67" t="s">
        <v>3812</v>
      </c>
      <c r="B3052" s="67" t="s">
        <v>17</v>
      </c>
      <c r="C3052" s="68">
        <v>0.1</v>
      </c>
      <c r="D3052" s="68">
        <v>0.5</v>
      </c>
      <c r="E3052" s="68">
        <v>8.0</v>
      </c>
      <c r="F3052" s="68">
        <v>0.0</v>
      </c>
      <c r="G3052" s="68">
        <v>2.7907462394649</v>
      </c>
      <c r="H3052" s="68">
        <v>129.48405341091</v>
      </c>
      <c r="I3052" s="69">
        <v>44295.67702546297</v>
      </c>
      <c r="J3052" s="69">
        <v>44295.752291666664</v>
      </c>
      <c r="K3052">
        <f>AVERAGE(H3052:H3056)</f>
        <v>127.2717655</v>
      </c>
      <c r="L3052">
        <f>STDEV(H3052:H3056)</f>
        <v>87.7982212</v>
      </c>
      <c r="M3052" s="70">
        <v>129.48405341091</v>
      </c>
      <c r="N3052" s="70">
        <v>129.48405341091</v>
      </c>
      <c r="O3052" s="70">
        <v>2.7907462394649</v>
      </c>
      <c r="P3052" s="70">
        <v>2.7907462394649</v>
      </c>
    </row>
    <row r="3053" hidden="1">
      <c r="A3053" s="67" t="s">
        <v>3813</v>
      </c>
      <c r="B3053" s="67" t="s">
        <v>17</v>
      </c>
      <c r="C3053" s="68">
        <v>0.1</v>
      </c>
      <c r="D3053" s="68">
        <v>0.5</v>
      </c>
      <c r="E3053" s="68">
        <v>8.0</v>
      </c>
      <c r="F3053" s="68">
        <v>1.0</v>
      </c>
      <c r="G3053" s="68">
        <v>4.97849392821437</v>
      </c>
      <c r="H3053" s="68">
        <v>214.638899082201</v>
      </c>
      <c r="I3053" s="69">
        <v>44295.75298611111</v>
      </c>
      <c r="J3053" s="69">
        <v>44295.76561342592</v>
      </c>
      <c r="K3053">
        <f>AVERAGE(H3052:H3056)</f>
        <v>127.2717655</v>
      </c>
      <c r="L3053">
        <f>STDEV(H3052:H3056)</f>
        <v>87.7982212</v>
      </c>
      <c r="M3053" s="70">
        <v>214.638899082201</v>
      </c>
      <c r="N3053" s="70">
        <v>214.638899082201</v>
      </c>
      <c r="O3053" s="70">
        <v>4.97849392821437</v>
      </c>
      <c r="P3053" s="70">
        <v>4.97849392821437</v>
      </c>
    </row>
    <row r="3054" hidden="1">
      <c r="A3054" s="67" t="s">
        <v>3814</v>
      </c>
      <c r="B3054" s="67" t="s">
        <v>17</v>
      </c>
      <c r="C3054" s="68">
        <v>0.1</v>
      </c>
      <c r="D3054" s="68">
        <v>0.5</v>
      </c>
      <c r="E3054" s="68">
        <v>8.0</v>
      </c>
      <c r="F3054" s="68">
        <v>2.0</v>
      </c>
      <c r="G3054" s="68">
        <v>5.67782739070761</v>
      </c>
      <c r="H3054" s="68">
        <v>205.172296385713</v>
      </c>
      <c r="I3054" s="69">
        <v>44295.76630787037</v>
      </c>
      <c r="J3054" s="69">
        <v>44295.766747685186</v>
      </c>
      <c r="K3054">
        <f>AVERAGE(H3052:H3056)</f>
        <v>127.2717655</v>
      </c>
      <c r="L3054">
        <f>STDEV(H3052:H3056)</f>
        <v>87.7982212</v>
      </c>
      <c r="M3054" s="70">
        <v>205.172296385713</v>
      </c>
      <c r="N3054" s="70">
        <v>205.172296385713</v>
      </c>
      <c r="O3054" s="70">
        <v>5.67782739070761</v>
      </c>
      <c r="P3054" s="70">
        <v>5.67782739070761</v>
      </c>
    </row>
    <row r="3055" hidden="1">
      <c r="A3055" s="67" t="s">
        <v>3815</v>
      </c>
      <c r="B3055" s="67" t="s">
        <v>17</v>
      </c>
      <c r="C3055" s="68">
        <v>0.1</v>
      </c>
      <c r="D3055" s="68">
        <v>0.5</v>
      </c>
      <c r="E3055" s="68">
        <v>8.0</v>
      </c>
      <c r="F3055" s="68">
        <v>3.0</v>
      </c>
      <c r="G3055" s="68">
        <v>2.64397974277779</v>
      </c>
      <c r="H3055" s="68">
        <v>4.14308284676004</v>
      </c>
      <c r="I3055" s="69">
        <v>44295.76744212963</v>
      </c>
      <c r="J3055" s="69">
        <v>44295.76758101852</v>
      </c>
      <c r="K3055">
        <f>AVERAGE(H3052:H3056)</f>
        <v>127.2717655</v>
      </c>
      <c r="L3055">
        <f>STDEV(H3052:H3056)</f>
        <v>87.7982212</v>
      </c>
      <c r="M3055" s="70">
        <v>4.14308284676004</v>
      </c>
      <c r="N3055" s="70">
        <v>4.14308284676004</v>
      </c>
      <c r="O3055" s="70">
        <v>2.64397974277779</v>
      </c>
      <c r="P3055" s="70">
        <v>2.64397974277779</v>
      </c>
    </row>
    <row r="3056" hidden="1">
      <c r="A3056" s="67" t="s">
        <v>3816</v>
      </c>
      <c r="B3056" s="67" t="s">
        <v>17</v>
      </c>
      <c r="C3056" s="68">
        <v>0.1</v>
      </c>
      <c r="D3056" s="68">
        <v>0.5</v>
      </c>
      <c r="E3056" s="68">
        <v>8.0</v>
      </c>
      <c r="F3056" s="68">
        <v>4.0</v>
      </c>
      <c r="G3056" s="68">
        <v>1.50403178902073</v>
      </c>
      <c r="H3056" s="68">
        <v>82.9204957583107</v>
      </c>
      <c r="I3056" s="69">
        <v>44295.768275462964</v>
      </c>
      <c r="J3056" s="69">
        <v>44295.77097222222</v>
      </c>
      <c r="K3056">
        <f>AVERAGE(H3052:H3056)</f>
        <v>127.2717655</v>
      </c>
      <c r="L3056">
        <f>STDEV(H3052:H3056)</f>
        <v>87.7982212</v>
      </c>
      <c r="M3056" s="70">
        <v>82.9204957583107</v>
      </c>
      <c r="N3056" s="70">
        <v>82.9204957583107</v>
      </c>
      <c r="O3056" s="70">
        <v>1.50403178902073</v>
      </c>
      <c r="P3056" s="70">
        <v>1.50403178902073</v>
      </c>
    </row>
    <row r="3057" hidden="1">
      <c r="A3057" s="67" t="s">
        <v>3817</v>
      </c>
      <c r="B3057" s="67" t="s">
        <v>17</v>
      </c>
      <c r="C3057" s="68">
        <v>0.1</v>
      </c>
      <c r="D3057" s="68">
        <v>0.75</v>
      </c>
      <c r="E3057" s="68">
        <v>8.0</v>
      </c>
      <c r="F3057" s="68">
        <v>0.0</v>
      </c>
      <c r="G3057" s="68">
        <v>0.98741501077339</v>
      </c>
      <c r="H3057" s="68">
        <v>14.2919937144437</v>
      </c>
      <c r="I3057" s="69">
        <v>44354.482094907406</v>
      </c>
      <c r="J3057" s="69">
        <v>44354.48221064815</v>
      </c>
      <c r="K3057">
        <f>AVERAGE(H3057:H3061)</f>
        <v>139.8733769</v>
      </c>
      <c r="L3057">
        <f>STDEV(H3057:H3061)</f>
        <v>136.1635348</v>
      </c>
      <c r="M3057" s="70">
        <v>14.2919937144437</v>
      </c>
      <c r="N3057" s="70">
        <v>14.2919937144437</v>
      </c>
      <c r="O3057" s="70">
        <v>0.98741501077339</v>
      </c>
      <c r="P3057" s="70">
        <v>0.98741501077339</v>
      </c>
    </row>
    <row r="3058" hidden="1">
      <c r="A3058" s="67" t="s">
        <v>3818</v>
      </c>
      <c r="B3058" s="67" t="s">
        <v>17</v>
      </c>
      <c r="C3058" s="68">
        <v>0.1</v>
      </c>
      <c r="D3058" s="68">
        <v>0.75</v>
      </c>
      <c r="E3058" s="68">
        <v>8.0</v>
      </c>
      <c r="F3058" s="68">
        <v>1.0</v>
      </c>
      <c r="G3058" s="68">
        <v>7.37133907076435</v>
      </c>
      <c r="H3058" s="68">
        <v>271.449739428872</v>
      </c>
      <c r="I3058" s="69">
        <v>44354.48291666667</v>
      </c>
      <c r="J3058" s="69">
        <v>44354.48318287037</v>
      </c>
      <c r="K3058">
        <f>AVERAGE(H3057:H3061)</f>
        <v>139.8733769</v>
      </c>
      <c r="L3058">
        <f>STDEV(H3057:H3061)</f>
        <v>136.1635348</v>
      </c>
      <c r="M3058" s="70">
        <v>271.449739428872</v>
      </c>
      <c r="N3058" s="70">
        <v>271.449739428872</v>
      </c>
      <c r="O3058" s="70">
        <v>7.37133907076435</v>
      </c>
      <c r="P3058" s="70">
        <v>7.37133907076435</v>
      </c>
    </row>
    <row r="3059" hidden="1">
      <c r="A3059" s="67" t="s">
        <v>3819</v>
      </c>
      <c r="B3059" s="67" t="s">
        <v>17</v>
      </c>
      <c r="C3059" s="68">
        <v>0.1</v>
      </c>
      <c r="D3059" s="68">
        <v>0.75</v>
      </c>
      <c r="E3059" s="68">
        <v>8.0</v>
      </c>
      <c r="F3059" s="68">
        <v>2.0</v>
      </c>
      <c r="G3059" s="68">
        <v>8.12811947541462</v>
      </c>
      <c r="H3059" s="68">
        <v>286.481133463897</v>
      </c>
      <c r="I3059" s="69">
        <v>44354.48388888889</v>
      </c>
      <c r="J3059" s="69">
        <v>44354.48489583333</v>
      </c>
      <c r="K3059">
        <f>AVERAGE(H3057:H3061)</f>
        <v>139.8733769</v>
      </c>
      <c r="L3059">
        <f>STDEV(H3057:H3061)</f>
        <v>136.1635348</v>
      </c>
      <c r="M3059" s="70">
        <v>286.481133463897</v>
      </c>
      <c r="N3059" s="70">
        <v>286.481133463897</v>
      </c>
      <c r="O3059" s="70">
        <v>8.12811947541462</v>
      </c>
      <c r="P3059" s="70">
        <v>8.12811947541462</v>
      </c>
    </row>
    <row r="3060" hidden="1">
      <c r="A3060" s="67" t="s">
        <v>3820</v>
      </c>
      <c r="B3060" s="67" t="s">
        <v>17</v>
      </c>
      <c r="C3060" s="68">
        <v>0.1</v>
      </c>
      <c r="D3060" s="68">
        <v>0.75</v>
      </c>
      <c r="E3060" s="68">
        <v>8.0</v>
      </c>
      <c r="F3060" s="68">
        <v>3.0</v>
      </c>
      <c r="G3060" s="68">
        <v>2.72512902038093</v>
      </c>
      <c r="H3060" s="68">
        <v>126.585412247348</v>
      </c>
      <c r="I3060" s="69">
        <v>44354.48559027778</v>
      </c>
      <c r="J3060" s="69">
        <v>44354.541238425925</v>
      </c>
      <c r="K3060">
        <f>AVERAGE(H3057:H3061)</f>
        <v>139.8733769</v>
      </c>
      <c r="L3060">
        <f>STDEV(H3057:H3061)</f>
        <v>136.1635348</v>
      </c>
      <c r="M3060" s="70">
        <v>126.585412247348</v>
      </c>
      <c r="N3060" s="70">
        <v>126.585412247348</v>
      </c>
      <c r="O3060" s="70">
        <v>2.72512902038093</v>
      </c>
      <c r="P3060" s="70">
        <v>2.72512902038093</v>
      </c>
    </row>
    <row r="3061" hidden="1">
      <c r="A3061" s="67" t="s">
        <v>3821</v>
      </c>
      <c r="B3061" s="67" t="s">
        <v>17</v>
      </c>
      <c r="C3061" s="68">
        <v>0.1</v>
      </c>
      <c r="D3061" s="68">
        <v>0.75</v>
      </c>
      <c r="E3061" s="68">
        <v>8.0</v>
      </c>
      <c r="F3061" s="68">
        <v>4.0</v>
      </c>
      <c r="G3061" s="68">
        <v>0.466302059947925</v>
      </c>
      <c r="H3061" s="68">
        <v>0.558605536113522</v>
      </c>
      <c r="I3061" s="69">
        <v>44354.54194444444</v>
      </c>
      <c r="J3061" s="69">
        <v>44354.54210648148</v>
      </c>
      <c r="K3061">
        <f>AVERAGE(H3057:H3061)</f>
        <v>139.8733769</v>
      </c>
      <c r="L3061">
        <f>STDEV(H3057:H3061)</f>
        <v>136.1635348</v>
      </c>
      <c r="M3061" s="70">
        <v>0.558605536113522</v>
      </c>
      <c r="N3061" s="70">
        <v>0.558605536113522</v>
      </c>
      <c r="O3061" s="70">
        <v>0.466302059947925</v>
      </c>
      <c r="P3061" s="70">
        <v>0.466302059947925</v>
      </c>
    </row>
    <row r="3062" hidden="1">
      <c r="A3062" s="67" t="s">
        <v>3822</v>
      </c>
      <c r="B3062" s="67" t="s">
        <v>17</v>
      </c>
      <c r="C3062" s="68">
        <v>0.1</v>
      </c>
      <c r="D3062" s="68">
        <v>1.0</v>
      </c>
      <c r="E3062" s="68">
        <v>8.0</v>
      </c>
      <c r="F3062" s="68">
        <v>0.0</v>
      </c>
      <c r="G3062" s="68">
        <v>2.81984539696294</v>
      </c>
      <c r="H3062" s="68">
        <v>129.462009504556</v>
      </c>
      <c r="I3062" s="69">
        <v>44354.5428125</v>
      </c>
      <c r="J3062" s="69">
        <v>44354.5809375</v>
      </c>
      <c r="K3062">
        <f>AVERAGE(H3062:H3066)</f>
        <v>151.569792</v>
      </c>
      <c r="L3062">
        <f>STDEV(H3062:H3066)</f>
        <v>125.2940542</v>
      </c>
      <c r="M3062" s="70">
        <v>129.462009504556</v>
      </c>
      <c r="N3062" s="70">
        <v>129.462009504556</v>
      </c>
      <c r="O3062" s="70">
        <v>2.81984539696294</v>
      </c>
      <c r="P3062" s="70">
        <v>2.81984539696294</v>
      </c>
    </row>
    <row r="3063" hidden="1">
      <c r="A3063" s="67" t="s">
        <v>3823</v>
      </c>
      <c r="B3063" s="67" t="s">
        <v>17</v>
      </c>
      <c r="C3063" s="68">
        <v>0.1</v>
      </c>
      <c r="D3063" s="68">
        <v>1.0</v>
      </c>
      <c r="E3063" s="68">
        <v>8.0</v>
      </c>
      <c r="F3063" s="68">
        <v>1.0</v>
      </c>
      <c r="G3063" s="68">
        <v>7.39013220871917</v>
      </c>
      <c r="H3063" s="68">
        <v>271.80917920175</v>
      </c>
      <c r="I3063" s="69">
        <v>44354.58164351852</v>
      </c>
      <c r="J3063" s="69">
        <v>44354.58190972222</v>
      </c>
      <c r="K3063">
        <f>AVERAGE(H3062:H3066)</f>
        <v>151.569792</v>
      </c>
      <c r="L3063">
        <f>STDEV(H3062:H3066)</f>
        <v>125.2940542</v>
      </c>
      <c r="M3063" s="70">
        <v>271.80917920175</v>
      </c>
      <c r="N3063" s="70">
        <v>271.80917920175</v>
      </c>
      <c r="O3063" s="70">
        <v>7.39013220871917</v>
      </c>
      <c r="P3063" s="70">
        <v>7.39013220871917</v>
      </c>
    </row>
    <row r="3064" hidden="1">
      <c r="A3064" s="67" t="s">
        <v>3824</v>
      </c>
      <c r="B3064" s="67" t="s">
        <v>17</v>
      </c>
      <c r="C3064" s="68">
        <v>0.1</v>
      </c>
      <c r="D3064" s="68">
        <v>1.0</v>
      </c>
      <c r="E3064" s="68">
        <v>8.0</v>
      </c>
      <c r="F3064" s="68">
        <v>2.0</v>
      </c>
      <c r="G3064" s="68">
        <v>1.35161111926862</v>
      </c>
      <c r="H3064" s="68">
        <v>69.4765048754465</v>
      </c>
      <c r="I3064" s="69">
        <v>44354.58261574074</v>
      </c>
      <c r="J3064" s="69">
        <v>44354.583819444444</v>
      </c>
      <c r="K3064">
        <f>AVERAGE(H3062:H3066)</f>
        <v>151.569792</v>
      </c>
      <c r="L3064">
        <f>STDEV(H3062:H3066)</f>
        <v>125.2940542</v>
      </c>
      <c r="M3064" s="70">
        <v>69.4765048754465</v>
      </c>
      <c r="N3064" s="70">
        <v>69.4765048754465</v>
      </c>
      <c r="O3064" s="70">
        <v>1.35161111926862</v>
      </c>
      <c r="P3064" s="70">
        <v>1.35161111926862</v>
      </c>
    </row>
    <row r="3065" hidden="1">
      <c r="A3065" s="67" t="s">
        <v>3825</v>
      </c>
      <c r="B3065" s="67" t="s">
        <v>17</v>
      </c>
      <c r="C3065" s="68">
        <v>0.1</v>
      </c>
      <c r="D3065" s="68">
        <v>1.0</v>
      </c>
      <c r="E3065" s="68">
        <v>8.0</v>
      </c>
      <c r="F3065" s="68">
        <v>3.0</v>
      </c>
      <c r="G3065" s="68">
        <v>0.318624724666863</v>
      </c>
      <c r="H3065" s="68">
        <v>0.406974241682714</v>
      </c>
      <c r="I3065" s="69">
        <v>44354.58451388889</v>
      </c>
      <c r="J3065" s="69">
        <v>44354.58457175926</v>
      </c>
      <c r="K3065">
        <f>AVERAGE(H3062:H3066)</f>
        <v>151.569792</v>
      </c>
      <c r="L3065">
        <f>STDEV(H3062:H3066)</f>
        <v>125.2940542</v>
      </c>
      <c r="M3065" s="70">
        <v>0.406974241682714</v>
      </c>
      <c r="N3065" s="70">
        <v>0.406974241682714</v>
      </c>
      <c r="O3065" s="70">
        <v>0.318624724666863</v>
      </c>
      <c r="P3065" s="70">
        <v>0.318624724666863</v>
      </c>
    </row>
    <row r="3066" hidden="1">
      <c r="A3066" s="67" t="s">
        <v>3826</v>
      </c>
      <c r="B3066" s="67" t="s">
        <v>17</v>
      </c>
      <c r="C3066" s="68">
        <v>0.1</v>
      </c>
      <c r="D3066" s="68">
        <v>1.0</v>
      </c>
      <c r="E3066" s="68">
        <v>8.0</v>
      </c>
      <c r="F3066" s="68">
        <v>4.0</v>
      </c>
      <c r="G3066" s="68">
        <v>8.14303873906109</v>
      </c>
      <c r="H3066" s="68">
        <v>286.69429196682</v>
      </c>
      <c r="I3066" s="69">
        <v>44354.585277777776</v>
      </c>
      <c r="J3066" s="69">
        <v>44354.586377314816</v>
      </c>
      <c r="K3066">
        <f>AVERAGE(H3062:H3066)</f>
        <v>151.569792</v>
      </c>
      <c r="L3066">
        <f>STDEV(H3062:H3066)</f>
        <v>125.2940542</v>
      </c>
      <c r="M3066" s="70">
        <v>286.69429196682</v>
      </c>
      <c r="N3066" s="70">
        <v>286.69429196682</v>
      </c>
      <c r="O3066" s="70">
        <v>8.14303873906109</v>
      </c>
      <c r="P3066" s="70">
        <v>8.14303873906109</v>
      </c>
    </row>
    <row r="3067" hidden="1">
      <c r="A3067" s="67" t="s">
        <v>3827</v>
      </c>
      <c r="B3067" s="67" t="s">
        <v>17</v>
      </c>
      <c r="C3067" s="68">
        <v>0.25</v>
      </c>
      <c r="D3067" s="68">
        <v>0.1</v>
      </c>
      <c r="E3067" s="68">
        <v>8.0</v>
      </c>
      <c r="F3067" s="68">
        <v>0.0</v>
      </c>
      <c r="G3067" s="68">
        <v>3.27916007674819</v>
      </c>
      <c r="H3067" s="68">
        <v>141.5033173956</v>
      </c>
      <c r="I3067" s="69">
        <v>44354.58708333333</v>
      </c>
      <c r="J3067" s="69">
        <v>44354.62349537037</v>
      </c>
      <c r="K3067">
        <f>AVERAGE(H3067:H3071)</f>
        <v>88.8381168</v>
      </c>
      <c r="L3067">
        <f>STDEV(H3067:H3071)</f>
        <v>86.02978493</v>
      </c>
      <c r="M3067" s="70">
        <v>141.5033173956</v>
      </c>
      <c r="N3067" s="70">
        <v>141.5033173956</v>
      </c>
      <c r="O3067" s="70">
        <v>3.27916007674819</v>
      </c>
      <c r="P3067" s="70">
        <v>3.27916007674819</v>
      </c>
    </row>
    <row r="3068" hidden="1">
      <c r="A3068" s="67" t="s">
        <v>3828</v>
      </c>
      <c r="B3068" s="67" t="s">
        <v>17</v>
      </c>
      <c r="C3068" s="68">
        <v>0.25</v>
      </c>
      <c r="D3068" s="68">
        <v>0.1</v>
      </c>
      <c r="E3068" s="68">
        <v>8.0</v>
      </c>
      <c r="F3068" s="68">
        <v>1.0</v>
      </c>
      <c r="G3068" s="68">
        <v>1.94487326097412</v>
      </c>
      <c r="H3068" s="68">
        <v>105.690734120415</v>
      </c>
      <c r="I3068" s="69">
        <v>44354.62420138889</v>
      </c>
      <c r="J3068" s="69">
        <v>44354.62467592592</v>
      </c>
      <c r="K3068">
        <f>AVERAGE(H3067:H3071)</f>
        <v>88.8381168</v>
      </c>
      <c r="L3068">
        <f>STDEV(H3067:H3071)</f>
        <v>86.02978493</v>
      </c>
      <c r="M3068" s="70">
        <v>105.690734120415</v>
      </c>
      <c r="N3068" s="70">
        <v>105.690734120415</v>
      </c>
      <c r="O3068" s="70">
        <v>1.94487326097412</v>
      </c>
      <c r="P3068" s="70">
        <v>1.94487326097412</v>
      </c>
    </row>
    <row r="3069" hidden="1">
      <c r="A3069" s="67" t="s">
        <v>3829</v>
      </c>
      <c r="B3069" s="67" t="s">
        <v>17</v>
      </c>
      <c r="C3069" s="68">
        <v>0.25</v>
      </c>
      <c r="D3069" s="68">
        <v>0.1</v>
      </c>
      <c r="E3069" s="68">
        <v>8.0</v>
      </c>
      <c r="F3069" s="68">
        <v>2.0</v>
      </c>
      <c r="G3069" s="68">
        <v>0.71296019176118</v>
      </c>
      <c r="H3069" s="68">
        <v>0.949542446385307</v>
      </c>
      <c r="I3069" s="69">
        <v>44354.62537037037</v>
      </c>
      <c r="J3069" s="69">
        <v>44354.625601851854</v>
      </c>
      <c r="K3069">
        <f>AVERAGE(H3067:H3071)</f>
        <v>88.8381168</v>
      </c>
      <c r="L3069">
        <f>STDEV(H3067:H3071)</f>
        <v>86.02978493</v>
      </c>
      <c r="M3069" s="70">
        <v>0.949542446385307</v>
      </c>
      <c r="N3069" s="70">
        <v>0.949542446385307</v>
      </c>
      <c r="O3069" s="70">
        <v>0.71296019176118</v>
      </c>
      <c r="P3069" s="70">
        <v>0.71296019176118</v>
      </c>
    </row>
    <row r="3070" hidden="1">
      <c r="A3070" s="67" t="s">
        <v>3830</v>
      </c>
      <c r="B3070" s="67" t="s">
        <v>17</v>
      </c>
      <c r="C3070" s="68">
        <v>0.25</v>
      </c>
      <c r="D3070" s="68">
        <v>0.1</v>
      </c>
      <c r="E3070" s="68">
        <v>8.0</v>
      </c>
      <c r="F3070" s="68">
        <v>3.0</v>
      </c>
      <c r="G3070" s="68">
        <v>4.43014116915129</v>
      </c>
      <c r="H3070" s="68">
        <v>194.599158794684</v>
      </c>
      <c r="I3070" s="69">
        <v>44354.626296296294</v>
      </c>
      <c r="J3070" s="69">
        <v>44354.63673611111</v>
      </c>
      <c r="K3070">
        <f>AVERAGE(H3067:H3071)</f>
        <v>88.8381168</v>
      </c>
      <c r="L3070">
        <f>STDEV(H3067:H3071)</f>
        <v>86.02978493</v>
      </c>
      <c r="M3070" s="70">
        <v>194.599158794684</v>
      </c>
      <c r="N3070" s="70">
        <v>194.599158794684</v>
      </c>
      <c r="O3070" s="70">
        <v>4.43014116915129</v>
      </c>
      <c r="P3070" s="70">
        <v>4.43014116915129</v>
      </c>
    </row>
    <row r="3071" hidden="1">
      <c r="A3071" s="67" t="s">
        <v>3831</v>
      </c>
      <c r="B3071" s="67" t="s">
        <v>17</v>
      </c>
      <c r="C3071" s="68">
        <v>0.25</v>
      </c>
      <c r="D3071" s="68">
        <v>0.1</v>
      </c>
      <c r="E3071" s="68">
        <v>8.0</v>
      </c>
      <c r="F3071" s="68">
        <v>4.0</v>
      </c>
      <c r="G3071" s="68">
        <v>1.07726357757199</v>
      </c>
      <c r="H3071" s="68">
        <v>1.44783123058301</v>
      </c>
      <c r="I3071" s="69">
        <v>44354.63744212963</v>
      </c>
      <c r="J3071" s="69">
        <v>44354.637557870374</v>
      </c>
      <c r="K3071">
        <f>AVERAGE(H3067:H3071)</f>
        <v>88.8381168</v>
      </c>
      <c r="L3071">
        <f>STDEV(H3067:H3071)</f>
        <v>86.02978493</v>
      </c>
      <c r="M3071" s="70">
        <v>1.44783123058301</v>
      </c>
      <c r="N3071" s="70">
        <v>1.44783123058301</v>
      </c>
      <c r="O3071" s="70">
        <v>1.07726357757199</v>
      </c>
      <c r="P3071" s="70">
        <v>1.07726357757199</v>
      </c>
    </row>
    <row r="3072" hidden="1">
      <c r="A3072" s="67" t="s">
        <v>3832</v>
      </c>
      <c r="B3072" s="67" t="s">
        <v>17</v>
      </c>
      <c r="C3072" s="68">
        <v>0.25</v>
      </c>
      <c r="D3072" s="68">
        <v>0.25</v>
      </c>
      <c r="E3072" s="68">
        <v>8.0</v>
      </c>
      <c r="F3072" s="68">
        <v>0.0</v>
      </c>
      <c r="G3072" s="68">
        <v>1.35161111926862</v>
      </c>
      <c r="H3072" s="68">
        <v>69.4765048754465</v>
      </c>
      <c r="I3072" s="69">
        <v>44354.63826388889</v>
      </c>
      <c r="J3072" s="69">
        <v>44354.639386574076</v>
      </c>
      <c r="K3072">
        <f>AVERAGE(H3072:H3076)</f>
        <v>90.09257496</v>
      </c>
      <c r="L3072">
        <f>STDEV(H3072:H3076)</f>
        <v>84.28109471</v>
      </c>
      <c r="M3072" s="70">
        <v>69.4765048754465</v>
      </c>
      <c r="N3072" s="70">
        <v>69.4765048754465</v>
      </c>
      <c r="O3072" s="70">
        <v>1.35161111926862</v>
      </c>
      <c r="P3072" s="70">
        <v>1.35161111926862</v>
      </c>
    </row>
    <row r="3073" hidden="1">
      <c r="A3073" s="67" t="s">
        <v>3833</v>
      </c>
      <c r="B3073" s="67" t="s">
        <v>17</v>
      </c>
      <c r="C3073" s="68">
        <v>0.25</v>
      </c>
      <c r="D3073" s="68">
        <v>0.25</v>
      </c>
      <c r="E3073" s="68">
        <v>8.0</v>
      </c>
      <c r="F3073" s="68">
        <v>1.0</v>
      </c>
      <c r="G3073" s="68">
        <v>1.68478776274283</v>
      </c>
      <c r="H3073" s="68">
        <v>28.2760072618803</v>
      </c>
      <c r="I3073" s="69">
        <v>44354.64009259259</v>
      </c>
      <c r="J3073" s="69">
        <v>44354.64076388889</v>
      </c>
      <c r="K3073">
        <f>AVERAGE(H3072:H3076)</f>
        <v>90.09257496</v>
      </c>
      <c r="L3073">
        <f>STDEV(H3072:H3076)</f>
        <v>84.28109471</v>
      </c>
      <c r="M3073" s="70">
        <v>28.2760072618803</v>
      </c>
      <c r="N3073" s="70">
        <v>28.2760072618803</v>
      </c>
      <c r="O3073" s="70">
        <v>1.68478776274283</v>
      </c>
      <c r="P3073" s="70">
        <v>1.68478776274283</v>
      </c>
    </row>
    <row r="3074" hidden="1">
      <c r="A3074" s="67" t="s">
        <v>3834</v>
      </c>
      <c r="B3074" s="67" t="s">
        <v>17</v>
      </c>
      <c r="C3074" s="68">
        <v>0.25</v>
      </c>
      <c r="D3074" s="68">
        <v>0.25</v>
      </c>
      <c r="E3074" s="68">
        <v>8.0</v>
      </c>
      <c r="F3074" s="68">
        <v>2.0</v>
      </c>
      <c r="G3074" s="68">
        <v>2.64397974277779</v>
      </c>
      <c r="H3074" s="68">
        <v>4.14308284676004</v>
      </c>
      <c r="I3074" s="69">
        <v>44354.64146990741</v>
      </c>
      <c r="J3074" s="69">
        <v>44354.64167824074</v>
      </c>
      <c r="K3074">
        <f>AVERAGE(H3072:H3076)</f>
        <v>90.09257496</v>
      </c>
      <c r="L3074">
        <f>STDEV(H3072:H3076)</f>
        <v>84.28109471</v>
      </c>
      <c r="M3074" s="70">
        <v>4.14308284676004</v>
      </c>
      <c r="N3074" s="70">
        <v>4.14308284676004</v>
      </c>
      <c r="O3074" s="70">
        <v>2.64397974277779</v>
      </c>
      <c r="P3074" s="70">
        <v>2.64397974277779</v>
      </c>
    </row>
    <row r="3075" hidden="1">
      <c r="A3075" s="67" t="s">
        <v>3835</v>
      </c>
      <c r="B3075" s="67" t="s">
        <v>17</v>
      </c>
      <c r="C3075" s="68">
        <v>0.25</v>
      </c>
      <c r="D3075" s="68">
        <v>0.25</v>
      </c>
      <c r="E3075" s="68">
        <v>8.0</v>
      </c>
      <c r="F3075" s="68">
        <v>3.0</v>
      </c>
      <c r="G3075" s="68">
        <v>4.6724300985552</v>
      </c>
      <c r="H3075" s="68">
        <v>210.36213269897</v>
      </c>
      <c r="I3075" s="69">
        <v>44354.642384259256</v>
      </c>
      <c r="J3075" s="69">
        <v>44354.657534722224</v>
      </c>
      <c r="K3075">
        <f>AVERAGE(H3072:H3076)</f>
        <v>90.09257496</v>
      </c>
      <c r="L3075">
        <f>STDEV(H3072:H3076)</f>
        <v>84.28109471</v>
      </c>
      <c r="M3075" s="70">
        <v>210.36213269897</v>
      </c>
      <c r="N3075" s="70">
        <v>210.36213269897</v>
      </c>
      <c r="O3075" s="70">
        <v>4.6724300985552</v>
      </c>
      <c r="P3075" s="70">
        <v>4.6724300985552</v>
      </c>
    </row>
    <row r="3076" hidden="1">
      <c r="A3076" s="67" t="s">
        <v>3836</v>
      </c>
      <c r="B3076" s="67" t="s">
        <v>17</v>
      </c>
      <c r="C3076" s="68">
        <v>0.25</v>
      </c>
      <c r="D3076" s="68">
        <v>0.25</v>
      </c>
      <c r="E3076" s="68">
        <v>8.0</v>
      </c>
      <c r="F3076" s="68">
        <v>4.0</v>
      </c>
      <c r="G3076" s="68">
        <v>2.88550700968469</v>
      </c>
      <c r="H3076" s="68">
        <v>138.20514714157</v>
      </c>
      <c r="I3076" s="69">
        <v>44354.658229166664</v>
      </c>
      <c r="J3076" s="69">
        <v>44354.68780092592</v>
      </c>
      <c r="K3076">
        <f>AVERAGE(H3072:H3076)</f>
        <v>90.09257496</v>
      </c>
      <c r="L3076">
        <f>STDEV(H3072:H3076)</f>
        <v>84.28109471</v>
      </c>
      <c r="M3076" s="70">
        <v>138.20514714157</v>
      </c>
      <c r="N3076" s="70">
        <v>138.20514714157</v>
      </c>
      <c r="O3076" s="70">
        <v>2.88550700968469</v>
      </c>
      <c r="P3076" s="70">
        <v>2.88550700968469</v>
      </c>
    </row>
    <row r="3077" hidden="1">
      <c r="A3077" s="67" t="s">
        <v>3837</v>
      </c>
      <c r="B3077" s="67" t="s">
        <v>17</v>
      </c>
      <c r="C3077" s="68">
        <v>0.25</v>
      </c>
      <c r="D3077" s="68">
        <v>0.5</v>
      </c>
      <c r="E3077" s="68">
        <v>8.0</v>
      </c>
      <c r="F3077" s="68">
        <v>0.0</v>
      </c>
      <c r="G3077" s="68">
        <v>1.62956977190982</v>
      </c>
      <c r="H3077" s="68">
        <v>76.017261585644</v>
      </c>
      <c r="I3077" s="69">
        <v>44354.68850694445</v>
      </c>
      <c r="J3077" s="69">
        <v>44354.69976851852</v>
      </c>
      <c r="K3077">
        <f>AVERAGE(H3077:H3081)</f>
        <v>139.5627681</v>
      </c>
      <c r="L3077">
        <f>STDEV(H3077:H3081)</f>
        <v>104.5198709</v>
      </c>
      <c r="M3077" s="70">
        <v>76.017261585644</v>
      </c>
      <c r="N3077" s="70">
        <v>76.017261585644</v>
      </c>
      <c r="O3077" s="70">
        <v>1.62956977190982</v>
      </c>
      <c r="P3077" s="70">
        <v>1.62956977190982</v>
      </c>
    </row>
    <row r="3078" hidden="1">
      <c r="A3078" s="67" t="s">
        <v>3838</v>
      </c>
      <c r="B3078" s="67" t="s">
        <v>17</v>
      </c>
      <c r="C3078" s="68">
        <v>0.25</v>
      </c>
      <c r="D3078" s="68">
        <v>0.5</v>
      </c>
      <c r="E3078" s="68">
        <v>8.0</v>
      </c>
      <c r="F3078" s="68">
        <v>1.0</v>
      </c>
      <c r="G3078" s="68">
        <v>7.36801153412992</v>
      </c>
      <c r="H3078" s="68">
        <v>271.413850010904</v>
      </c>
      <c r="I3078" s="69">
        <v>44354.700474537036</v>
      </c>
      <c r="J3078" s="69">
        <v>44354.70075231481</v>
      </c>
      <c r="K3078">
        <f>AVERAGE(H3077:H3081)</f>
        <v>139.5627681</v>
      </c>
      <c r="L3078">
        <f>STDEV(H3077:H3081)</f>
        <v>104.5198709</v>
      </c>
      <c r="M3078" s="70">
        <v>271.413850010904</v>
      </c>
      <c r="N3078" s="70">
        <v>271.413850010904</v>
      </c>
      <c r="O3078" s="70">
        <v>7.36801153412992</v>
      </c>
      <c r="P3078" s="70">
        <v>7.36801153412992</v>
      </c>
    </row>
    <row r="3079" hidden="1">
      <c r="A3079" s="67" t="s">
        <v>3839</v>
      </c>
      <c r="B3079" s="67" t="s">
        <v>17</v>
      </c>
      <c r="C3079" s="68">
        <v>0.25</v>
      </c>
      <c r="D3079" s="68">
        <v>0.5</v>
      </c>
      <c r="E3079" s="68">
        <v>8.0</v>
      </c>
      <c r="F3079" s="68">
        <v>2.0</v>
      </c>
      <c r="G3079" s="68">
        <v>4.37258604513689</v>
      </c>
      <c r="H3079" s="68">
        <v>190.45553636665</v>
      </c>
      <c r="I3079" s="69">
        <v>44354.70144675926</v>
      </c>
      <c r="J3079" s="69">
        <v>44354.705358796295</v>
      </c>
      <c r="K3079">
        <f>AVERAGE(H3077:H3081)</f>
        <v>139.5627681</v>
      </c>
      <c r="L3079">
        <f>STDEV(H3077:H3081)</f>
        <v>104.5198709</v>
      </c>
      <c r="M3079" s="70">
        <v>190.45553636665</v>
      </c>
      <c r="N3079" s="70">
        <v>190.45553636665</v>
      </c>
      <c r="O3079" s="70">
        <v>4.37258604513689</v>
      </c>
      <c r="P3079" s="70">
        <v>4.37258604513689</v>
      </c>
    </row>
    <row r="3080" hidden="1">
      <c r="A3080" s="67" t="s">
        <v>3840</v>
      </c>
      <c r="B3080" s="67" t="s">
        <v>17</v>
      </c>
      <c r="C3080" s="68">
        <v>0.25</v>
      </c>
      <c r="D3080" s="68">
        <v>0.5</v>
      </c>
      <c r="E3080" s="68">
        <v>8.0</v>
      </c>
      <c r="F3080" s="68">
        <v>3.0</v>
      </c>
      <c r="G3080" s="68">
        <v>3.8030315679986</v>
      </c>
      <c r="H3080" s="68">
        <v>159.275253581367</v>
      </c>
      <c r="I3080" s="69">
        <v>44354.70606481482</v>
      </c>
      <c r="J3080" s="69">
        <v>44354.718935185185</v>
      </c>
      <c r="K3080">
        <f>AVERAGE(H3077:H3081)</f>
        <v>139.5627681</v>
      </c>
      <c r="L3080">
        <f>STDEV(H3077:H3081)</f>
        <v>104.5198709</v>
      </c>
      <c r="M3080" s="70">
        <v>159.275253581367</v>
      </c>
      <c r="N3080" s="70">
        <v>159.275253581367</v>
      </c>
      <c r="O3080" s="70">
        <v>3.8030315679986</v>
      </c>
      <c r="P3080" s="70">
        <v>3.8030315679986</v>
      </c>
    </row>
    <row r="3081" hidden="1">
      <c r="A3081" s="67" t="s">
        <v>3841</v>
      </c>
      <c r="B3081" s="67" t="s">
        <v>17</v>
      </c>
      <c r="C3081" s="68">
        <v>0.25</v>
      </c>
      <c r="D3081" s="68">
        <v>0.5</v>
      </c>
      <c r="E3081" s="68">
        <v>8.0</v>
      </c>
      <c r="F3081" s="68">
        <v>4.0</v>
      </c>
      <c r="G3081" s="68">
        <v>0.531641569021237</v>
      </c>
      <c r="H3081" s="68">
        <v>0.651938728451464</v>
      </c>
      <c r="I3081" s="69">
        <v>44354.7196412037</v>
      </c>
      <c r="J3081" s="69">
        <v>44354.71980324074</v>
      </c>
      <c r="K3081">
        <f>AVERAGE(H3077:H3081)</f>
        <v>139.5627681</v>
      </c>
      <c r="L3081">
        <f>STDEV(H3077:H3081)</f>
        <v>104.5198709</v>
      </c>
      <c r="M3081" s="70">
        <v>0.651938728451464</v>
      </c>
      <c r="N3081" s="70">
        <v>0.651938728451464</v>
      </c>
      <c r="O3081" s="70">
        <v>0.531641569021237</v>
      </c>
      <c r="P3081" s="70">
        <v>0.531641569021237</v>
      </c>
    </row>
    <row r="3082" hidden="1">
      <c r="A3082" s="67" t="s">
        <v>3842</v>
      </c>
      <c r="B3082" s="67" t="s">
        <v>17</v>
      </c>
      <c r="C3082" s="68">
        <v>0.25</v>
      </c>
      <c r="D3082" s="68">
        <v>0.75</v>
      </c>
      <c r="E3082" s="68">
        <v>8.0</v>
      </c>
      <c r="F3082" s="68">
        <v>0.0</v>
      </c>
      <c r="G3082" s="68">
        <v>9.11939900292753</v>
      </c>
      <c r="H3082" s="68">
        <v>278.775993349987</v>
      </c>
      <c r="I3082" s="69">
        <v>44354.720497685186</v>
      </c>
      <c r="J3082" s="69">
        <v>44354.7212037037</v>
      </c>
      <c r="K3082">
        <f>AVERAGE(H3082:H3086)</f>
        <v>90.82043313</v>
      </c>
      <c r="L3082">
        <f>STDEV(H3082:H3086)</f>
        <v>120.4438109</v>
      </c>
      <c r="M3082" s="70">
        <v>278.775993349987</v>
      </c>
      <c r="N3082" s="70">
        <v>278.775993349987</v>
      </c>
      <c r="O3082" s="70">
        <v>9.11939900292753</v>
      </c>
      <c r="P3082" s="70">
        <v>9.11939900292753</v>
      </c>
    </row>
    <row r="3083" hidden="1">
      <c r="A3083" s="67" t="s">
        <v>3843</v>
      </c>
      <c r="B3083" s="67" t="s">
        <v>17</v>
      </c>
      <c r="C3083" s="68">
        <v>0.25</v>
      </c>
      <c r="D3083" s="68">
        <v>0.75</v>
      </c>
      <c r="E3083" s="68">
        <v>8.0</v>
      </c>
      <c r="F3083" s="68">
        <v>1.0</v>
      </c>
      <c r="G3083" s="68">
        <v>0.317145370870006</v>
      </c>
      <c r="H3083" s="68">
        <v>0.406115963760371</v>
      </c>
      <c r="I3083" s="69">
        <v>44354.72190972222</v>
      </c>
      <c r="J3083" s="69">
        <v>44354.721967592595</v>
      </c>
      <c r="K3083">
        <f>AVERAGE(H3082:H3086)</f>
        <v>90.82043313</v>
      </c>
      <c r="L3083">
        <f>STDEV(H3082:H3086)</f>
        <v>120.4438109</v>
      </c>
      <c r="M3083" s="70">
        <v>0.406115963760371</v>
      </c>
      <c r="N3083" s="70">
        <v>0.406115963760371</v>
      </c>
      <c r="O3083" s="70">
        <v>0.317145370870006</v>
      </c>
      <c r="P3083" s="70">
        <v>0.317145370870006</v>
      </c>
    </row>
    <row r="3084" hidden="1">
      <c r="A3084" s="67" t="s">
        <v>3844</v>
      </c>
      <c r="B3084" s="67" t="s">
        <v>17</v>
      </c>
      <c r="C3084" s="68">
        <v>0.25</v>
      </c>
      <c r="D3084" s="68">
        <v>0.75</v>
      </c>
      <c r="E3084" s="68">
        <v>8.0</v>
      </c>
      <c r="F3084" s="68">
        <v>2.0</v>
      </c>
      <c r="G3084" s="68">
        <v>0.506076171590053</v>
      </c>
      <c r="H3084" s="68">
        <v>0.613519767395745</v>
      </c>
      <c r="I3084" s="69">
        <v>44354.72267361111</v>
      </c>
      <c r="J3084" s="69">
        <v>44354.72311342593</v>
      </c>
      <c r="K3084">
        <f>AVERAGE(H3082:H3086)</f>
        <v>90.82043313</v>
      </c>
      <c r="L3084">
        <f>STDEV(H3082:H3086)</f>
        <v>120.4438109</v>
      </c>
      <c r="M3084" s="70">
        <v>0.613519767395745</v>
      </c>
      <c r="N3084" s="70">
        <v>0.613519767395745</v>
      </c>
      <c r="O3084" s="70">
        <v>0.506076171590053</v>
      </c>
      <c r="P3084" s="70">
        <v>0.506076171590053</v>
      </c>
    </row>
    <row r="3085" hidden="1">
      <c r="A3085" s="67" t="s">
        <v>3845</v>
      </c>
      <c r="B3085" s="67" t="s">
        <v>17</v>
      </c>
      <c r="C3085" s="68">
        <v>0.25</v>
      </c>
      <c r="D3085" s="68">
        <v>0.75</v>
      </c>
      <c r="E3085" s="68">
        <v>8.0</v>
      </c>
      <c r="F3085" s="68">
        <v>3.0</v>
      </c>
      <c r="G3085" s="68">
        <v>1.79235127986422</v>
      </c>
      <c r="H3085" s="68">
        <v>30.7590241491623</v>
      </c>
      <c r="I3085" s="69">
        <v>44354.72381944444</v>
      </c>
      <c r="J3085" s="69">
        <v>44354.724131944444</v>
      </c>
      <c r="K3085">
        <f>AVERAGE(H3082:H3086)</f>
        <v>90.82043313</v>
      </c>
      <c r="L3085">
        <f>STDEV(H3082:H3086)</f>
        <v>120.4438109</v>
      </c>
      <c r="M3085" s="70">
        <v>30.7590241491623</v>
      </c>
      <c r="N3085" s="70">
        <v>30.7590241491623</v>
      </c>
      <c r="O3085" s="70">
        <v>1.79235127986422</v>
      </c>
      <c r="P3085" s="70">
        <v>1.79235127986422</v>
      </c>
    </row>
    <row r="3086" hidden="1">
      <c r="A3086" s="67" t="s">
        <v>3846</v>
      </c>
      <c r="B3086" s="67" t="s">
        <v>17</v>
      </c>
      <c r="C3086" s="68">
        <v>0.25</v>
      </c>
      <c r="D3086" s="68">
        <v>0.75</v>
      </c>
      <c r="E3086" s="68">
        <v>8.0</v>
      </c>
      <c r="F3086" s="68">
        <v>4.0</v>
      </c>
      <c r="G3086" s="68">
        <v>3.0615315803915</v>
      </c>
      <c r="H3086" s="68">
        <v>143.547512428618</v>
      </c>
      <c r="I3086" s="69">
        <v>44354.72483796296</v>
      </c>
      <c r="J3086" s="69">
        <v>44354.791550925926</v>
      </c>
      <c r="K3086">
        <f>AVERAGE(H3082:H3086)</f>
        <v>90.82043313</v>
      </c>
      <c r="L3086">
        <f>STDEV(H3082:H3086)</f>
        <v>120.4438109</v>
      </c>
      <c r="M3086" s="70">
        <v>143.547512428618</v>
      </c>
      <c r="N3086" s="70">
        <v>143.547512428618</v>
      </c>
      <c r="O3086" s="70">
        <v>3.0615315803915</v>
      </c>
      <c r="P3086" s="70">
        <v>3.0615315803915</v>
      </c>
    </row>
    <row r="3087" hidden="1">
      <c r="A3087" s="67" t="s">
        <v>3847</v>
      </c>
      <c r="B3087" s="67" t="s">
        <v>17</v>
      </c>
      <c r="C3087" s="68">
        <v>0.25</v>
      </c>
      <c r="D3087" s="68">
        <v>1.0</v>
      </c>
      <c r="E3087" s="68">
        <v>8.0</v>
      </c>
      <c r="F3087" s="68">
        <v>0.0</v>
      </c>
      <c r="G3087" s="68">
        <v>0.466650291518434</v>
      </c>
      <c r="H3087" s="68">
        <v>0.55866925838701</v>
      </c>
      <c r="I3087" s="69">
        <v>44354.79225694444</v>
      </c>
      <c r="J3087" s="69">
        <v>44354.79243055556</v>
      </c>
      <c r="K3087">
        <f>AVERAGE(H3087:H3091)</f>
        <v>76.65436479</v>
      </c>
      <c r="L3087">
        <f>STDEV(H3087:H3091)</f>
        <v>84.6024876</v>
      </c>
      <c r="M3087" s="70">
        <v>0.55866925838701</v>
      </c>
      <c r="N3087" s="70">
        <v>0.55866925838701</v>
      </c>
      <c r="O3087" s="70">
        <v>0.466650291518434</v>
      </c>
      <c r="P3087" s="70">
        <v>0.466650291518434</v>
      </c>
    </row>
    <row r="3088" hidden="1">
      <c r="A3088" s="67" t="s">
        <v>3848</v>
      </c>
      <c r="B3088" s="67" t="s">
        <v>17</v>
      </c>
      <c r="C3088" s="68">
        <v>0.25</v>
      </c>
      <c r="D3088" s="68">
        <v>1.0</v>
      </c>
      <c r="E3088" s="68">
        <v>8.0</v>
      </c>
      <c r="F3088" s="68">
        <v>1.0</v>
      </c>
      <c r="G3088" s="68">
        <v>1.88367198116553</v>
      </c>
      <c r="H3088" s="68">
        <v>32.141135827109</v>
      </c>
      <c r="I3088" s="69">
        <v>44354.79313657407</v>
      </c>
      <c r="J3088" s="69">
        <v>44354.79341435185</v>
      </c>
      <c r="K3088">
        <f>AVERAGE(H3087:H3091)</f>
        <v>76.65436479</v>
      </c>
      <c r="L3088">
        <f>STDEV(H3087:H3091)</f>
        <v>84.6024876</v>
      </c>
      <c r="M3088" s="70">
        <v>32.141135827109</v>
      </c>
      <c r="N3088" s="70">
        <v>32.141135827109</v>
      </c>
      <c r="O3088" s="70">
        <v>1.88367198116553</v>
      </c>
      <c r="P3088" s="70">
        <v>1.88367198116553</v>
      </c>
    </row>
    <row r="3089" hidden="1">
      <c r="A3089" s="67" t="s">
        <v>3849</v>
      </c>
      <c r="B3089" s="67" t="s">
        <v>17</v>
      </c>
      <c r="C3089" s="68">
        <v>0.25</v>
      </c>
      <c r="D3089" s="68">
        <v>1.0</v>
      </c>
      <c r="E3089" s="68">
        <v>8.0</v>
      </c>
      <c r="F3089" s="68">
        <v>2.0</v>
      </c>
      <c r="G3089" s="68">
        <v>3.63887689707193</v>
      </c>
      <c r="H3089" s="68">
        <v>178.984466127918</v>
      </c>
      <c r="I3089" s="69">
        <v>44354.794120370374</v>
      </c>
      <c r="J3089" s="69">
        <v>44354.81005787037</v>
      </c>
      <c r="K3089">
        <f>AVERAGE(H3087:H3091)</f>
        <v>76.65436479</v>
      </c>
      <c r="L3089">
        <f>STDEV(H3087:H3091)</f>
        <v>84.6024876</v>
      </c>
      <c r="M3089" s="70">
        <v>178.984466127918</v>
      </c>
      <c r="N3089" s="70">
        <v>178.984466127918</v>
      </c>
      <c r="O3089" s="70">
        <v>3.63887689707193</v>
      </c>
      <c r="P3089" s="70">
        <v>3.63887689707193</v>
      </c>
    </row>
    <row r="3090" hidden="1">
      <c r="A3090" s="67" t="s">
        <v>3850</v>
      </c>
      <c r="B3090" s="67" t="s">
        <v>17</v>
      </c>
      <c r="C3090" s="68">
        <v>0.25</v>
      </c>
      <c r="D3090" s="68">
        <v>1.0</v>
      </c>
      <c r="E3090" s="68">
        <v>8.0</v>
      </c>
      <c r="F3090" s="68">
        <v>3.0</v>
      </c>
      <c r="G3090" s="68">
        <v>3.44480381988765</v>
      </c>
      <c r="H3090" s="68">
        <v>157.277459367321</v>
      </c>
      <c r="I3090" s="69">
        <v>44354.81076388889</v>
      </c>
      <c r="J3090" s="69">
        <v>44354.83540509259</v>
      </c>
      <c r="K3090">
        <f>AVERAGE(H3087:H3091)</f>
        <v>76.65436479</v>
      </c>
      <c r="L3090">
        <f>STDEV(H3087:H3091)</f>
        <v>84.6024876</v>
      </c>
      <c r="M3090" s="70">
        <v>157.277459367321</v>
      </c>
      <c r="N3090" s="70">
        <v>157.277459367321</v>
      </c>
      <c r="O3090" s="70">
        <v>3.44480381988765</v>
      </c>
      <c r="P3090" s="70">
        <v>3.44480381988765</v>
      </c>
    </row>
    <row r="3091" hidden="1">
      <c r="A3091" s="67" t="s">
        <v>3851</v>
      </c>
      <c r="B3091" s="67" t="s">
        <v>17</v>
      </c>
      <c r="C3091" s="68">
        <v>0.25</v>
      </c>
      <c r="D3091" s="68">
        <v>1.0</v>
      </c>
      <c r="E3091" s="68">
        <v>8.0</v>
      </c>
      <c r="F3091" s="68">
        <v>4.0</v>
      </c>
      <c r="G3091" s="68">
        <v>0.988779102581292</v>
      </c>
      <c r="H3091" s="68">
        <v>14.3100933512022</v>
      </c>
      <c r="I3091" s="69">
        <v>44354.83611111111</v>
      </c>
      <c r="J3091" s="69">
        <v>44354.836226851854</v>
      </c>
      <c r="K3091">
        <f>AVERAGE(H3087:H3091)</f>
        <v>76.65436479</v>
      </c>
      <c r="L3091">
        <f>STDEV(H3087:H3091)</f>
        <v>84.6024876</v>
      </c>
      <c r="M3091" s="70">
        <v>14.3100933512022</v>
      </c>
      <c r="N3091" s="70">
        <v>14.3100933512022</v>
      </c>
      <c r="O3091" s="70">
        <v>0.988779102581292</v>
      </c>
      <c r="P3091" s="70">
        <v>0.988779102581292</v>
      </c>
    </row>
    <row r="3092" hidden="1">
      <c r="A3092" s="67" t="s">
        <v>3852</v>
      </c>
      <c r="B3092" s="67" t="s">
        <v>17</v>
      </c>
      <c r="C3092" s="68">
        <v>0.5</v>
      </c>
      <c r="D3092" s="68">
        <v>0.1</v>
      </c>
      <c r="E3092" s="68">
        <v>8.0</v>
      </c>
      <c r="F3092" s="68">
        <v>0.0</v>
      </c>
      <c r="G3092" s="68">
        <v>9.21259333783722</v>
      </c>
      <c r="H3092" s="68">
        <v>290.854689867594</v>
      </c>
      <c r="I3092" s="69">
        <v>44354.83693287037</v>
      </c>
      <c r="J3092" s="69">
        <v>44354.83834490741</v>
      </c>
      <c r="K3092">
        <f>AVERAGE(H3092:H3096)</f>
        <v>137.3886111</v>
      </c>
      <c r="L3092">
        <f>STDEV(H3092:H3096)</f>
        <v>109.9518576</v>
      </c>
      <c r="M3092" s="70">
        <v>290.854689867594</v>
      </c>
      <c r="N3092" s="70">
        <v>290.854689867594</v>
      </c>
      <c r="O3092" s="70">
        <v>9.21259333783722</v>
      </c>
      <c r="P3092" s="70">
        <v>9.21259333783722</v>
      </c>
    </row>
    <row r="3093" hidden="1">
      <c r="A3093" s="67" t="s">
        <v>3853</v>
      </c>
      <c r="B3093" s="67" t="s">
        <v>17</v>
      </c>
      <c r="C3093" s="68">
        <v>0.5</v>
      </c>
      <c r="D3093" s="68">
        <v>0.1</v>
      </c>
      <c r="E3093" s="68">
        <v>8.0</v>
      </c>
      <c r="F3093" s="68">
        <v>1.0</v>
      </c>
      <c r="G3093" s="68">
        <v>1.44297466042557</v>
      </c>
      <c r="H3093" s="68">
        <v>72.4929788252432</v>
      </c>
      <c r="I3093" s="69">
        <v>44354.839050925926</v>
      </c>
      <c r="J3093" s="69">
        <v>44354.83991898148</v>
      </c>
      <c r="K3093">
        <f>AVERAGE(H3092:H3096)</f>
        <v>137.3886111</v>
      </c>
      <c r="L3093">
        <f>STDEV(H3092:H3096)</f>
        <v>109.9518576</v>
      </c>
      <c r="M3093" s="70">
        <v>72.4929788252432</v>
      </c>
      <c r="N3093" s="70">
        <v>72.4929788252432</v>
      </c>
      <c r="O3093" s="70">
        <v>1.44297466042557</v>
      </c>
      <c r="P3093" s="70">
        <v>1.44297466042557</v>
      </c>
    </row>
    <row r="3094" hidden="1">
      <c r="A3094" s="67" t="s">
        <v>3854</v>
      </c>
      <c r="B3094" s="67" t="s">
        <v>17</v>
      </c>
      <c r="C3094" s="68">
        <v>0.5</v>
      </c>
      <c r="D3094" s="68">
        <v>0.1</v>
      </c>
      <c r="E3094" s="68">
        <v>8.0</v>
      </c>
      <c r="F3094" s="68">
        <v>2.0</v>
      </c>
      <c r="G3094" s="68">
        <v>1.27259709584326</v>
      </c>
      <c r="H3094" s="68">
        <v>22.6566325062214</v>
      </c>
      <c r="I3094" s="69">
        <v>44354.840625</v>
      </c>
      <c r="J3094" s="69">
        <v>44354.84148148148</v>
      </c>
      <c r="K3094">
        <f>AVERAGE(H3092:H3096)</f>
        <v>137.3886111</v>
      </c>
      <c r="L3094">
        <f>STDEV(H3092:H3096)</f>
        <v>109.9518576</v>
      </c>
      <c r="M3094" s="70">
        <v>22.6566325062214</v>
      </c>
      <c r="N3094" s="70">
        <v>22.6566325062214</v>
      </c>
      <c r="O3094" s="70">
        <v>1.27259709584326</v>
      </c>
      <c r="P3094" s="70">
        <v>1.27259709584326</v>
      </c>
    </row>
    <row r="3095" hidden="1">
      <c r="A3095" s="67" t="s">
        <v>3855</v>
      </c>
      <c r="B3095" s="67" t="s">
        <v>17</v>
      </c>
      <c r="C3095" s="68">
        <v>0.5</v>
      </c>
      <c r="D3095" s="68">
        <v>0.1</v>
      </c>
      <c r="E3095" s="68">
        <v>8.0</v>
      </c>
      <c r="F3095" s="68">
        <v>3.0</v>
      </c>
      <c r="G3095" s="68">
        <v>6.08073386647789</v>
      </c>
      <c r="H3095" s="68">
        <v>210.003920814272</v>
      </c>
      <c r="I3095" s="69">
        <v>44354.8421875</v>
      </c>
      <c r="J3095" s="69">
        <v>44354.84349537037</v>
      </c>
      <c r="K3095">
        <f>AVERAGE(H3092:H3096)</f>
        <v>137.3886111</v>
      </c>
      <c r="L3095">
        <f>STDEV(H3092:H3096)</f>
        <v>109.9518576</v>
      </c>
      <c r="M3095" s="70">
        <v>210.003920814272</v>
      </c>
      <c r="N3095" s="70">
        <v>210.003920814272</v>
      </c>
      <c r="O3095" s="70">
        <v>6.08073386647789</v>
      </c>
      <c r="P3095" s="70">
        <v>6.08073386647789</v>
      </c>
    </row>
    <row r="3096" hidden="1">
      <c r="A3096" s="67" t="s">
        <v>3856</v>
      </c>
      <c r="B3096" s="67" t="s">
        <v>17</v>
      </c>
      <c r="C3096" s="68">
        <v>0.5</v>
      </c>
      <c r="D3096" s="68">
        <v>0.1</v>
      </c>
      <c r="E3096" s="68">
        <v>8.0</v>
      </c>
      <c r="F3096" s="68">
        <v>4.0</v>
      </c>
      <c r="G3096" s="68">
        <v>1.56097675552062</v>
      </c>
      <c r="H3096" s="68">
        <v>90.9348337104924</v>
      </c>
      <c r="I3096" s="69">
        <v>44354.844201388885</v>
      </c>
      <c r="J3096" s="69">
        <v>44354.86760416667</v>
      </c>
      <c r="K3096">
        <f>AVERAGE(H3092:H3096)</f>
        <v>137.3886111</v>
      </c>
      <c r="L3096">
        <f>STDEV(H3092:H3096)</f>
        <v>109.9518576</v>
      </c>
      <c r="M3096" s="70">
        <v>90.9348337104924</v>
      </c>
      <c r="N3096" s="70">
        <v>90.9348337104924</v>
      </c>
      <c r="O3096" s="70">
        <v>1.56097675552062</v>
      </c>
      <c r="P3096" s="70">
        <v>1.56097675552062</v>
      </c>
    </row>
    <row r="3097" hidden="1">
      <c r="A3097" s="67" t="s">
        <v>3857</v>
      </c>
      <c r="B3097" s="67" t="s">
        <v>17</v>
      </c>
      <c r="C3097" s="68">
        <v>0.5</v>
      </c>
      <c r="D3097" s="68">
        <v>0.25</v>
      </c>
      <c r="E3097" s="68">
        <v>8.0</v>
      </c>
      <c r="F3097" s="68">
        <v>0.0</v>
      </c>
      <c r="G3097" s="68">
        <v>1.68170996692176</v>
      </c>
      <c r="H3097" s="68">
        <v>28.2412131471704</v>
      </c>
      <c r="I3097" s="69">
        <v>44354.868310185186</v>
      </c>
      <c r="J3097" s="69">
        <v>44354.86871527778</v>
      </c>
      <c r="K3097">
        <f>AVERAGE(H3097:H3101)</f>
        <v>55.18537124</v>
      </c>
      <c r="L3097">
        <f>STDEV(H3097:H3101)</f>
        <v>74.58806481</v>
      </c>
      <c r="M3097" s="70">
        <v>28.2412131471704</v>
      </c>
      <c r="N3097" s="70">
        <v>28.2412131471704</v>
      </c>
      <c r="O3097" s="70">
        <v>1.68170996692176</v>
      </c>
      <c r="P3097" s="70">
        <v>1.68170996692176</v>
      </c>
    </row>
    <row r="3098" hidden="1">
      <c r="A3098" s="67" t="s">
        <v>3858</v>
      </c>
      <c r="B3098" s="67" t="s">
        <v>17</v>
      </c>
      <c r="C3098" s="68">
        <v>0.5</v>
      </c>
      <c r="D3098" s="68">
        <v>0.25</v>
      </c>
      <c r="E3098" s="68">
        <v>8.0</v>
      </c>
      <c r="F3098" s="68">
        <v>1.0</v>
      </c>
      <c r="G3098" s="68">
        <v>0.720868310618091</v>
      </c>
      <c r="H3098" s="68">
        <v>5.17320372355764</v>
      </c>
      <c r="I3098" s="69">
        <v>44354.869421296295</v>
      </c>
      <c r="J3098" s="69">
        <v>44354.869479166664</v>
      </c>
      <c r="K3098">
        <f>AVERAGE(H3097:H3101)</f>
        <v>55.18537124</v>
      </c>
      <c r="L3098">
        <f>STDEV(H3097:H3101)</f>
        <v>74.58806481</v>
      </c>
      <c r="M3098" s="70">
        <v>5.17320372355764</v>
      </c>
      <c r="N3098" s="70">
        <v>5.17320372355764</v>
      </c>
      <c r="O3098" s="70">
        <v>0.720868310618091</v>
      </c>
      <c r="P3098" s="70">
        <v>0.720868310618091</v>
      </c>
    </row>
    <row r="3099" hidden="1">
      <c r="A3099" s="67" t="s">
        <v>3859</v>
      </c>
      <c r="B3099" s="67" t="s">
        <v>17</v>
      </c>
      <c r="C3099" s="68">
        <v>0.5</v>
      </c>
      <c r="D3099" s="68">
        <v>0.25</v>
      </c>
      <c r="E3099" s="68">
        <v>8.0</v>
      </c>
      <c r="F3099" s="68">
        <v>2.0</v>
      </c>
      <c r="G3099" s="68">
        <v>4.09653011733493</v>
      </c>
      <c r="H3099" s="68">
        <v>181.743579630579</v>
      </c>
      <c r="I3099" s="69">
        <v>44354.87018518519</v>
      </c>
      <c r="J3099" s="69">
        <v>44354.91400462963</v>
      </c>
      <c r="K3099">
        <f>AVERAGE(H3097:H3101)</f>
        <v>55.18537124</v>
      </c>
      <c r="L3099">
        <f>STDEV(H3097:H3101)</f>
        <v>74.58806481</v>
      </c>
      <c r="M3099" s="70">
        <v>181.743579630579</v>
      </c>
      <c r="N3099" s="70">
        <v>181.743579630579</v>
      </c>
      <c r="O3099" s="70">
        <v>4.09653011733493</v>
      </c>
      <c r="P3099" s="70">
        <v>4.09653011733493</v>
      </c>
    </row>
    <row r="3100" hidden="1">
      <c r="A3100" s="67" t="s">
        <v>3860</v>
      </c>
      <c r="B3100" s="67" t="s">
        <v>17</v>
      </c>
      <c r="C3100" s="68">
        <v>0.5</v>
      </c>
      <c r="D3100" s="68">
        <v>0.25</v>
      </c>
      <c r="E3100" s="68">
        <v>8.0</v>
      </c>
      <c r="F3100" s="68">
        <v>3.0</v>
      </c>
      <c r="G3100" s="68">
        <v>0.466302059947925</v>
      </c>
      <c r="H3100" s="68">
        <v>0.558605536113522</v>
      </c>
      <c r="I3100" s="69">
        <v>44354.91471064815</v>
      </c>
      <c r="J3100" s="69">
        <v>44354.91488425926</v>
      </c>
      <c r="K3100">
        <f>AVERAGE(H3097:H3101)</f>
        <v>55.18537124</v>
      </c>
      <c r="L3100">
        <f>STDEV(H3097:H3101)</f>
        <v>74.58806481</v>
      </c>
      <c r="M3100" s="70">
        <v>0.558605536113522</v>
      </c>
      <c r="N3100" s="70">
        <v>0.558605536113522</v>
      </c>
      <c r="O3100" s="70">
        <v>0.466302059947925</v>
      </c>
      <c r="P3100" s="70">
        <v>0.466302059947925</v>
      </c>
    </row>
    <row r="3101" hidden="1">
      <c r="A3101" s="67" t="s">
        <v>3861</v>
      </c>
      <c r="B3101" s="67" t="s">
        <v>17</v>
      </c>
      <c r="C3101" s="68">
        <v>0.5</v>
      </c>
      <c r="D3101" s="68">
        <v>0.25</v>
      </c>
      <c r="E3101" s="68">
        <v>8.0</v>
      </c>
      <c r="F3101" s="68">
        <v>4.0</v>
      </c>
      <c r="G3101" s="68">
        <v>1.19531947264187</v>
      </c>
      <c r="H3101" s="68">
        <v>60.210254175189</v>
      </c>
      <c r="I3101" s="69">
        <v>44354.91559027778</v>
      </c>
      <c r="J3101" s="69">
        <v>44354.91711805556</v>
      </c>
      <c r="K3101">
        <f>AVERAGE(H3097:H3101)</f>
        <v>55.18537124</v>
      </c>
      <c r="L3101">
        <f>STDEV(H3097:H3101)</f>
        <v>74.58806481</v>
      </c>
      <c r="M3101" s="70">
        <v>60.210254175189</v>
      </c>
      <c r="N3101" s="70">
        <v>60.210254175189</v>
      </c>
      <c r="O3101" s="70">
        <v>1.19531947264187</v>
      </c>
      <c r="P3101" s="70">
        <v>1.19531947264187</v>
      </c>
    </row>
    <row r="3102" hidden="1">
      <c r="A3102" s="67" t="s">
        <v>3862</v>
      </c>
      <c r="B3102" s="67" t="s">
        <v>17</v>
      </c>
      <c r="C3102" s="68">
        <v>0.5</v>
      </c>
      <c r="D3102" s="68">
        <v>0.5</v>
      </c>
      <c r="E3102" s="68">
        <v>8.0</v>
      </c>
      <c r="F3102" s="68">
        <v>0.0</v>
      </c>
      <c r="G3102" s="68">
        <v>4.09633769260985</v>
      </c>
      <c r="H3102" s="68">
        <v>181.390711370813</v>
      </c>
      <c r="I3102" s="69">
        <v>44354.91783564815</v>
      </c>
      <c r="J3102" s="69">
        <v>44354.97657407408</v>
      </c>
      <c r="K3102">
        <f>AVERAGE(H3102:H3106)</f>
        <v>60.57449492</v>
      </c>
      <c r="L3102">
        <f>STDEV(H3102:H3106)</f>
        <v>72.62632559</v>
      </c>
      <c r="M3102" s="70">
        <v>181.390711370813</v>
      </c>
      <c r="N3102" s="70">
        <v>181.390711370813</v>
      </c>
      <c r="O3102" s="70">
        <v>4.09633769260985</v>
      </c>
      <c r="P3102" s="70">
        <v>4.09633769260985</v>
      </c>
    </row>
    <row r="3103" hidden="1">
      <c r="A3103" s="67" t="s">
        <v>3863</v>
      </c>
      <c r="B3103" s="67" t="s">
        <v>17</v>
      </c>
      <c r="C3103" s="68">
        <v>0.5</v>
      </c>
      <c r="D3103" s="68">
        <v>0.5</v>
      </c>
      <c r="E3103" s="68">
        <v>8.0</v>
      </c>
      <c r="F3103" s="68">
        <v>1.0</v>
      </c>
      <c r="G3103" s="68">
        <v>0.526969439053023</v>
      </c>
      <c r="H3103" s="68">
        <v>0.644135553662122</v>
      </c>
      <c r="I3103" s="69">
        <v>44354.97728009259</v>
      </c>
      <c r="J3103" s="69">
        <v>44354.9777662037</v>
      </c>
      <c r="K3103">
        <f>AVERAGE(H3102:H3106)</f>
        <v>60.57449492</v>
      </c>
      <c r="L3103">
        <f>STDEV(H3102:H3106)</f>
        <v>72.62632559</v>
      </c>
      <c r="M3103" s="70">
        <v>0.644135553662122</v>
      </c>
      <c r="N3103" s="70">
        <v>0.644135553662122</v>
      </c>
      <c r="O3103" s="70">
        <v>0.526969439053023</v>
      </c>
      <c r="P3103" s="70">
        <v>0.526969439053023</v>
      </c>
    </row>
    <row r="3104" hidden="1">
      <c r="A3104" s="67" t="s">
        <v>3864</v>
      </c>
      <c r="B3104" s="67" t="s">
        <v>17</v>
      </c>
      <c r="C3104" s="68">
        <v>0.5</v>
      </c>
      <c r="D3104" s="68">
        <v>0.5</v>
      </c>
      <c r="E3104" s="68">
        <v>8.0</v>
      </c>
      <c r="F3104" s="68">
        <v>2.0</v>
      </c>
      <c r="G3104" s="68">
        <v>2.21015708660331</v>
      </c>
      <c r="H3104" s="68">
        <v>18.5587186562128</v>
      </c>
      <c r="I3104" s="69">
        <v>44354.978472222225</v>
      </c>
      <c r="J3104" s="69">
        <v>44354.978483796294</v>
      </c>
      <c r="K3104">
        <f>AVERAGE(H3102:H3106)</f>
        <v>60.57449492</v>
      </c>
      <c r="L3104">
        <f>STDEV(H3102:H3106)</f>
        <v>72.62632559</v>
      </c>
      <c r="M3104" s="70">
        <v>18.5587186562128</v>
      </c>
      <c r="N3104" s="70">
        <v>18.5587186562128</v>
      </c>
      <c r="O3104" s="70">
        <v>2.21015708660331</v>
      </c>
      <c r="P3104" s="70">
        <v>2.21015708660331</v>
      </c>
    </row>
    <row r="3105" hidden="1">
      <c r="A3105" s="67" t="s">
        <v>3865</v>
      </c>
      <c r="B3105" s="67" t="s">
        <v>17</v>
      </c>
      <c r="C3105" s="68">
        <v>0.5</v>
      </c>
      <c r="D3105" s="68">
        <v>0.5</v>
      </c>
      <c r="E3105" s="68">
        <v>8.0</v>
      </c>
      <c r="F3105" s="68">
        <v>3.0</v>
      </c>
      <c r="G3105" s="68">
        <v>1.70285069366346</v>
      </c>
      <c r="H3105" s="68">
        <v>29.1535372992078</v>
      </c>
      <c r="I3105" s="69">
        <v>44354.97918981482</v>
      </c>
      <c r="J3105" s="69">
        <v>44354.97954861111</v>
      </c>
      <c r="K3105">
        <f>AVERAGE(H3102:H3106)</f>
        <v>60.57449492</v>
      </c>
      <c r="L3105">
        <f>STDEV(H3102:H3106)</f>
        <v>72.62632559</v>
      </c>
      <c r="M3105" s="70">
        <v>29.1535372992078</v>
      </c>
      <c r="N3105" s="70">
        <v>29.1535372992078</v>
      </c>
      <c r="O3105" s="70">
        <v>1.70285069366346</v>
      </c>
      <c r="P3105" s="70">
        <v>1.70285069366346</v>
      </c>
    </row>
    <row r="3106" hidden="1">
      <c r="A3106" s="67" t="s">
        <v>3866</v>
      </c>
      <c r="B3106" s="67" t="s">
        <v>17</v>
      </c>
      <c r="C3106" s="68">
        <v>0.5</v>
      </c>
      <c r="D3106" s="68">
        <v>0.5</v>
      </c>
      <c r="E3106" s="68">
        <v>8.0</v>
      </c>
      <c r="F3106" s="68">
        <v>4.0</v>
      </c>
      <c r="G3106" s="68">
        <v>1.46518511078186</v>
      </c>
      <c r="H3106" s="68">
        <v>73.1253716958408</v>
      </c>
      <c r="I3106" s="69">
        <v>44354.98025462963</v>
      </c>
      <c r="J3106" s="69">
        <v>44354.981099537035</v>
      </c>
      <c r="K3106">
        <f>AVERAGE(H3102:H3106)</f>
        <v>60.57449492</v>
      </c>
      <c r="L3106">
        <f>STDEV(H3102:H3106)</f>
        <v>72.62632559</v>
      </c>
      <c r="M3106" s="70">
        <v>73.1253716958408</v>
      </c>
      <c r="N3106" s="70">
        <v>73.1253716958408</v>
      </c>
      <c r="O3106" s="70">
        <v>1.46518511078186</v>
      </c>
      <c r="P3106" s="70">
        <v>1.46518511078186</v>
      </c>
    </row>
    <row r="3107" hidden="1">
      <c r="A3107" s="67" t="s">
        <v>3867</v>
      </c>
      <c r="B3107" s="67" t="s">
        <v>17</v>
      </c>
      <c r="C3107" s="68">
        <v>0.5</v>
      </c>
      <c r="D3107" s="68">
        <v>0.75</v>
      </c>
      <c r="E3107" s="68">
        <v>8.0</v>
      </c>
      <c r="F3107" s="68">
        <v>0.0</v>
      </c>
      <c r="G3107" s="68">
        <v>5.34258143285528</v>
      </c>
      <c r="H3107" s="68">
        <v>188.655379750817</v>
      </c>
      <c r="I3107" s="69">
        <v>44354.98180555556</v>
      </c>
      <c r="J3107" s="69">
        <v>44354.98186342593</v>
      </c>
      <c r="K3107">
        <f>AVERAGE(H3107:H3111)</f>
        <v>163.1195584</v>
      </c>
      <c r="L3107">
        <f>STDEV(H3107:H3111)</f>
        <v>93.37644838</v>
      </c>
      <c r="M3107" s="70">
        <v>188.655379750817</v>
      </c>
      <c r="N3107" s="70">
        <v>188.655379750817</v>
      </c>
      <c r="O3107" s="70">
        <v>5.34258143285528</v>
      </c>
      <c r="P3107" s="70">
        <v>5.34258143285528</v>
      </c>
    </row>
    <row r="3108" hidden="1">
      <c r="A3108" s="67" t="s">
        <v>3868</v>
      </c>
      <c r="B3108" s="67" t="s">
        <v>17</v>
      </c>
      <c r="C3108" s="68">
        <v>0.5</v>
      </c>
      <c r="D3108" s="68">
        <v>0.75</v>
      </c>
      <c r="E3108" s="68">
        <v>8.0</v>
      </c>
      <c r="F3108" s="68">
        <v>1.0</v>
      </c>
      <c r="G3108" s="68">
        <v>1.50706772974856</v>
      </c>
      <c r="H3108" s="68">
        <v>74.4711895210079</v>
      </c>
      <c r="I3108" s="69">
        <v>44354.982569444444</v>
      </c>
      <c r="J3108" s="69">
        <v>44354.98334490741</v>
      </c>
      <c r="K3108">
        <f>AVERAGE(H3107:H3111)</f>
        <v>163.1195584</v>
      </c>
      <c r="L3108">
        <f>STDEV(H3107:H3111)</f>
        <v>93.37644838</v>
      </c>
      <c r="M3108" s="70">
        <v>74.4711895210079</v>
      </c>
      <c r="N3108" s="70">
        <v>74.4711895210079</v>
      </c>
      <c r="O3108" s="70">
        <v>1.50706772974856</v>
      </c>
      <c r="P3108" s="70">
        <v>1.50706772974856</v>
      </c>
    </row>
    <row r="3109" hidden="1">
      <c r="A3109" s="67" t="s">
        <v>3869</v>
      </c>
      <c r="B3109" s="67" t="s">
        <v>17</v>
      </c>
      <c r="C3109" s="68">
        <v>0.5</v>
      </c>
      <c r="D3109" s="68">
        <v>0.75</v>
      </c>
      <c r="E3109" s="68">
        <v>8.0</v>
      </c>
      <c r="F3109" s="68">
        <v>2.0</v>
      </c>
      <c r="G3109" s="68">
        <v>3.69148641830847</v>
      </c>
      <c r="H3109" s="68">
        <v>165.779320709167</v>
      </c>
      <c r="I3109" s="69">
        <v>44354.98405092592</v>
      </c>
      <c r="J3109" s="69">
        <v>44355.03233796296</v>
      </c>
      <c r="K3109">
        <f>AVERAGE(H3107:H3111)</f>
        <v>163.1195584</v>
      </c>
      <c r="L3109">
        <f>STDEV(H3107:H3111)</f>
        <v>93.37644838</v>
      </c>
      <c r="M3109" s="70">
        <v>165.779320709167</v>
      </c>
      <c r="N3109" s="70">
        <v>165.779320709167</v>
      </c>
      <c r="O3109" s="70">
        <v>3.69148641830847</v>
      </c>
      <c r="P3109" s="70">
        <v>3.69148641830847</v>
      </c>
    </row>
    <row r="3110" hidden="1">
      <c r="A3110" s="67" t="s">
        <v>3870</v>
      </c>
      <c r="B3110" s="67" t="s">
        <v>17</v>
      </c>
      <c r="C3110" s="68">
        <v>0.5</v>
      </c>
      <c r="D3110" s="68">
        <v>0.75</v>
      </c>
      <c r="E3110" s="68">
        <v>8.0</v>
      </c>
      <c r="F3110" s="68">
        <v>3.0</v>
      </c>
      <c r="G3110" s="68">
        <v>1.29092845943425</v>
      </c>
      <c r="H3110" s="68">
        <v>82.5946778723898</v>
      </c>
      <c r="I3110" s="69">
        <v>44355.03304398148</v>
      </c>
      <c r="J3110" s="69">
        <v>44355.034363425926</v>
      </c>
      <c r="K3110">
        <f>AVERAGE(H3107:H3111)</f>
        <v>163.1195584</v>
      </c>
      <c r="L3110">
        <f>STDEV(H3107:H3111)</f>
        <v>93.37644838</v>
      </c>
      <c r="M3110" s="70">
        <v>82.5946778723898</v>
      </c>
      <c r="N3110" s="70">
        <v>82.5946778723898</v>
      </c>
      <c r="O3110" s="70">
        <v>1.29092845943425</v>
      </c>
      <c r="P3110" s="70">
        <v>1.29092845943425</v>
      </c>
    </row>
    <row r="3111" hidden="1">
      <c r="A3111" s="67" t="s">
        <v>3871</v>
      </c>
      <c r="B3111" s="67" t="s">
        <v>17</v>
      </c>
      <c r="C3111" s="68">
        <v>0.5</v>
      </c>
      <c r="D3111" s="68">
        <v>0.75</v>
      </c>
      <c r="E3111" s="68">
        <v>8.0</v>
      </c>
      <c r="F3111" s="68">
        <v>4.0</v>
      </c>
      <c r="G3111" s="68">
        <v>9.99499060552376</v>
      </c>
      <c r="H3111" s="68">
        <v>304.09722419738</v>
      </c>
      <c r="I3111" s="69">
        <v>44355.03506944444</v>
      </c>
      <c r="J3111" s="69">
        <v>44355.03524305556</v>
      </c>
      <c r="K3111">
        <f>AVERAGE(H3107:H3111)</f>
        <v>163.1195584</v>
      </c>
      <c r="L3111">
        <f>STDEV(H3107:H3111)</f>
        <v>93.37644838</v>
      </c>
      <c r="M3111" s="70">
        <v>304.09722419738</v>
      </c>
      <c r="N3111" s="70">
        <v>304.09722419738</v>
      </c>
      <c r="O3111" s="70">
        <v>9.99499060552376</v>
      </c>
      <c r="P3111" s="70">
        <v>9.99499060552376</v>
      </c>
    </row>
    <row r="3112" hidden="1">
      <c r="A3112" s="67" t="s">
        <v>3872</v>
      </c>
      <c r="B3112" s="67" t="s">
        <v>17</v>
      </c>
      <c r="C3112" s="68">
        <v>0.5</v>
      </c>
      <c r="D3112" s="68">
        <v>1.0</v>
      </c>
      <c r="E3112" s="68">
        <v>8.0</v>
      </c>
      <c r="F3112" s="68">
        <v>0.0</v>
      </c>
      <c r="G3112" s="68">
        <v>2.49328034962596</v>
      </c>
      <c r="H3112" s="68">
        <v>131.969316164947</v>
      </c>
      <c r="I3112" s="69">
        <v>44355.035949074074</v>
      </c>
      <c r="J3112" s="69">
        <v>44355.03616898148</v>
      </c>
      <c r="K3112">
        <f>AVERAGE(H3112:H3116)</f>
        <v>128.8110978</v>
      </c>
      <c r="L3112">
        <f>STDEV(H3112:H3116)</f>
        <v>59.04094672</v>
      </c>
      <c r="M3112" s="70">
        <v>131.969316164947</v>
      </c>
      <c r="N3112" s="70">
        <v>131.969316164947</v>
      </c>
      <c r="O3112" s="70">
        <v>2.49328034962596</v>
      </c>
      <c r="P3112" s="70">
        <v>2.49328034962596</v>
      </c>
    </row>
    <row r="3113" hidden="1">
      <c r="A3113" s="67" t="s">
        <v>3873</v>
      </c>
      <c r="B3113" s="67" t="s">
        <v>17</v>
      </c>
      <c r="C3113" s="68">
        <v>0.5</v>
      </c>
      <c r="D3113" s="68">
        <v>1.0</v>
      </c>
      <c r="E3113" s="68">
        <v>8.0</v>
      </c>
      <c r="F3113" s="68">
        <v>1.0</v>
      </c>
      <c r="G3113" s="68">
        <v>1.88409938137617</v>
      </c>
      <c r="H3113" s="68">
        <v>32.1517500488149</v>
      </c>
      <c r="I3113" s="69">
        <v>44355.036875</v>
      </c>
      <c r="J3113" s="69">
        <v>44355.037152777775</v>
      </c>
      <c r="K3113">
        <f>AVERAGE(H3112:H3116)</f>
        <v>128.8110978</v>
      </c>
      <c r="L3113">
        <f>STDEV(H3112:H3116)</f>
        <v>59.04094672</v>
      </c>
      <c r="M3113" s="70">
        <v>32.1517500488149</v>
      </c>
      <c r="N3113" s="70">
        <v>32.1517500488149</v>
      </c>
      <c r="O3113" s="70">
        <v>1.88409938137617</v>
      </c>
      <c r="P3113" s="70">
        <v>1.88409938137617</v>
      </c>
    </row>
    <row r="3114" hidden="1">
      <c r="A3114" s="67" t="s">
        <v>3874</v>
      </c>
      <c r="B3114" s="67" t="s">
        <v>17</v>
      </c>
      <c r="C3114" s="68">
        <v>0.5</v>
      </c>
      <c r="D3114" s="68">
        <v>1.0</v>
      </c>
      <c r="E3114" s="68">
        <v>8.0</v>
      </c>
      <c r="F3114" s="68">
        <v>2.0</v>
      </c>
      <c r="G3114" s="68">
        <v>2.58849799818285</v>
      </c>
      <c r="H3114" s="68">
        <v>132.893598552619</v>
      </c>
      <c r="I3114" s="69">
        <v>44355.0378587963</v>
      </c>
      <c r="J3114" s="69">
        <v>44355.069814814815</v>
      </c>
      <c r="K3114">
        <f>AVERAGE(H3112:H3116)</f>
        <v>128.8110978</v>
      </c>
      <c r="L3114">
        <f>STDEV(H3112:H3116)</f>
        <v>59.04094672</v>
      </c>
      <c r="M3114" s="70">
        <v>132.893598552619</v>
      </c>
      <c r="N3114" s="70">
        <v>132.893598552619</v>
      </c>
      <c r="O3114" s="70">
        <v>2.58849799818285</v>
      </c>
      <c r="P3114" s="70">
        <v>2.58849799818285</v>
      </c>
    </row>
    <row r="3115" hidden="1">
      <c r="A3115" s="67" t="s">
        <v>3875</v>
      </c>
      <c r="B3115" s="67" t="s">
        <v>17</v>
      </c>
      <c r="C3115" s="68">
        <v>0.5</v>
      </c>
      <c r="D3115" s="68">
        <v>1.0</v>
      </c>
      <c r="E3115" s="68">
        <v>8.0</v>
      </c>
      <c r="F3115" s="68">
        <v>3.0</v>
      </c>
      <c r="G3115" s="68">
        <v>4.59964315609256</v>
      </c>
      <c r="H3115" s="68">
        <v>190.488283427816</v>
      </c>
      <c r="I3115" s="69">
        <v>44355.07052083333</v>
      </c>
      <c r="J3115" s="69">
        <v>44355.07356481482</v>
      </c>
      <c r="K3115">
        <f>AVERAGE(H3112:H3116)</f>
        <v>128.8110978</v>
      </c>
      <c r="L3115">
        <f>STDEV(H3112:H3116)</f>
        <v>59.04094672</v>
      </c>
      <c r="M3115" s="70">
        <v>190.488283427816</v>
      </c>
      <c r="N3115" s="70">
        <v>190.488283427816</v>
      </c>
      <c r="O3115" s="70">
        <v>4.59964315609256</v>
      </c>
      <c r="P3115" s="70">
        <v>4.59964315609256</v>
      </c>
    </row>
    <row r="3116" hidden="1">
      <c r="A3116" s="67" t="s">
        <v>3876</v>
      </c>
      <c r="B3116" s="67" t="s">
        <v>17</v>
      </c>
      <c r="C3116" s="68">
        <v>0.5</v>
      </c>
      <c r="D3116" s="68">
        <v>1.0</v>
      </c>
      <c r="E3116" s="68">
        <v>8.0</v>
      </c>
      <c r="F3116" s="68">
        <v>4.0</v>
      </c>
      <c r="G3116" s="68">
        <v>3.36680077802298</v>
      </c>
      <c r="H3116" s="68">
        <v>156.552540937925</v>
      </c>
      <c r="I3116" s="69">
        <v>44355.074270833335</v>
      </c>
      <c r="J3116" s="69">
        <v>44355.07824074074</v>
      </c>
      <c r="K3116">
        <f>AVERAGE(H3112:H3116)</f>
        <v>128.8110978</v>
      </c>
      <c r="L3116">
        <f>STDEV(H3112:H3116)</f>
        <v>59.04094672</v>
      </c>
      <c r="M3116" s="70">
        <v>156.552540937925</v>
      </c>
      <c r="N3116" s="70">
        <v>156.552540937925</v>
      </c>
      <c r="O3116" s="70">
        <v>3.36680077802298</v>
      </c>
      <c r="P3116" s="70">
        <v>3.36680077802298</v>
      </c>
    </row>
    <row r="3117" hidden="1">
      <c r="A3117" s="67" t="s">
        <v>3877</v>
      </c>
      <c r="B3117" s="67" t="s">
        <v>17</v>
      </c>
      <c r="C3117" s="68">
        <v>0.75</v>
      </c>
      <c r="D3117" s="68">
        <v>0.1</v>
      </c>
      <c r="E3117" s="68">
        <v>8.0</v>
      </c>
      <c r="F3117" s="68">
        <v>0.0</v>
      </c>
      <c r="G3117" s="68">
        <v>2.74585393910813</v>
      </c>
      <c r="H3117" s="68">
        <v>127.879700164063</v>
      </c>
      <c r="I3117" s="69">
        <v>44355.07894675926</v>
      </c>
      <c r="J3117" s="69">
        <v>44355.1180787037</v>
      </c>
      <c r="K3117">
        <f>AVERAGE(H3117:H3121)</f>
        <v>153.2604165</v>
      </c>
      <c r="L3117">
        <f>STDEV(H3117:H3121)</f>
        <v>131.3607095</v>
      </c>
      <c r="M3117" s="70">
        <v>127.879700164063</v>
      </c>
      <c r="N3117" s="70">
        <v>127.879700164063</v>
      </c>
      <c r="O3117" s="70">
        <v>2.74585393910813</v>
      </c>
      <c r="P3117" s="70">
        <v>2.74585393910813</v>
      </c>
    </row>
    <row r="3118" hidden="1">
      <c r="A3118" s="67" t="s">
        <v>3878</v>
      </c>
      <c r="B3118" s="67" t="s">
        <v>17</v>
      </c>
      <c r="C3118" s="68">
        <v>0.75</v>
      </c>
      <c r="D3118" s="68">
        <v>0.1</v>
      </c>
      <c r="E3118" s="68">
        <v>8.0</v>
      </c>
      <c r="F3118" s="68">
        <v>1.0</v>
      </c>
      <c r="G3118" s="68">
        <v>1.09881660702641</v>
      </c>
      <c r="H3118" s="68">
        <v>1.88029031681283</v>
      </c>
      <c r="I3118" s="69">
        <v>44355.118784722225</v>
      </c>
      <c r="J3118" s="69">
        <v>44355.11881944445</v>
      </c>
      <c r="K3118">
        <f>AVERAGE(H3117:H3121)</f>
        <v>153.2604165</v>
      </c>
      <c r="L3118">
        <f>STDEV(H3117:H3121)</f>
        <v>131.3607095</v>
      </c>
      <c r="M3118" s="70">
        <v>1.88029031681283</v>
      </c>
      <c r="N3118" s="70">
        <v>1.88029031681283</v>
      </c>
      <c r="O3118" s="70">
        <v>1.09881660702641</v>
      </c>
      <c r="P3118" s="70">
        <v>1.09881660702641</v>
      </c>
    </row>
    <row r="3119" hidden="1">
      <c r="A3119" s="67" t="s">
        <v>3879</v>
      </c>
      <c r="B3119" s="67" t="s">
        <v>17</v>
      </c>
      <c r="C3119" s="68">
        <v>0.75</v>
      </c>
      <c r="D3119" s="68">
        <v>0.1</v>
      </c>
      <c r="E3119" s="68">
        <v>8.0</v>
      </c>
      <c r="F3119" s="68">
        <v>2.0</v>
      </c>
      <c r="G3119" s="68">
        <v>9.17182730502589</v>
      </c>
      <c r="H3119" s="68">
        <v>291.27186044713</v>
      </c>
      <c r="I3119" s="69">
        <v>44355.119525462964</v>
      </c>
      <c r="J3119" s="69">
        <v>44355.11971064815</v>
      </c>
      <c r="K3119">
        <f>AVERAGE(H3117:H3121)</f>
        <v>153.2604165</v>
      </c>
      <c r="L3119">
        <f>STDEV(H3117:H3121)</f>
        <v>131.3607095</v>
      </c>
      <c r="M3119" s="70">
        <v>291.27186044713</v>
      </c>
      <c r="N3119" s="70">
        <v>291.27186044713</v>
      </c>
      <c r="O3119" s="70">
        <v>9.17182730502589</v>
      </c>
      <c r="P3119" s="70">
        <v>9.17182730502589</v>
      </c>
    </row>
    <row r="3120" hidden="1">
      <c r="A3120" s="67" t="s">
        <v>3880</v>
      </c>
      <c r="B3120" s="67" t="s">
        <v>17</v>
      </c>
      <c r="C3120" s="68">
        <v>0.75</v>
      </c>
      <c r="D3120" s="68">
        <v>0.1</v>
      </c>
      <c r="E3120" s="68">
        <v>8.0</v>
      </c>
      <c r="F3120" s="68">
        <v>3.0</v>
      </c>
      <c r="G3120" s="68">
        <v>1.21377478933078</v>
      </c>
      <c r="H3120" s="68">
        <v>59.3555852926007</v>
      </c>
      <c r="I3120" s="69">
        <v>44355.120416666665</v>
      </c>
      <c r="J3120" s="69">
        <v>44355.121875</v>
      </c>
      <c r="K3120">
        <f>AVERAGE(H3117:H3121)</f>
        <v>153.2604165</v>
      </c>
      <c r="L3120">
        <f>STDEV(H3117:H3121)</f>
        <v>131.3607095</v>
      </c>
      <c r="M3120" s="70">
        <v>59.3555852926007</v>
      </c>
      <c r="N3120" s="70">
        <v>59.3555852926007</v>
      </c>
      <c r="O3120" s="70">
        <v>1.21377478933078</v>
      </c>
      <c r="P3120" s="70">
        <v>1.21377478933078</v>
      </c>
    </row>
    <row r="3121" hidden="1">
      <c r="A3121" s="67" t="s">
        <v>3881</v>
      </c>
      <c r="B3121" s="67" t="s">
        <v>17</v>
      </c>
      <c r="C3121" s="68">
        <v>0.75</v>
      </c>
      <c r="D3121" s="68">
        <v>0.1</v>
      </c>
      <c r="E3121" s="68">
        <v>8.0</v>
      </c>
      <c r="F3121" s="68">
        <v>4.0</v>
      </c>
      <c r="G3121" s="68">
        <v>8.92414794210472</v>
      </c>
      <c r="H3121" s="68">
        <v>285.914646313193</v>
      </c>
      <c r="I3121" s="69">
        <v>44355.122569444444</v>
      </c>
      <c r="J3121" s="69">
        <v>44355.12333333334</v>
      </c>
      <c r="K3121">
        <f>AVERAGE(H3117:H3121)</f>
        <v>153.2604165</v>
      </c>
      <c r="L3121">
        <f>STDEV(H3117:H3121)</f>
        <v>131.3607095</v>
      </c>
      <c r="M3121" s="70">
        <v>285.914646313193</v>
      </c>
      <c r="N3121" s="70">
        <v>285.914646313193</v>
      </c>
      <c r="O3121" s="70">
        <v>8.92414794210472</v>
      </c>
      <c r="P3121" s="70">
        <v>8.92414794210472</v>
      </c>
    </row>
    <row r="3122" hidden="1">
      <c r="A3122" s="67" t="s">
        <v>3882</v>
      </c>
      <c r="B3122" s="67" t="s">
        <v>17</v>
      </c>
      <c r="C3122" s="68">
        <v>0.75</v>
      </c>
      <c r="D3122" s="68">
        <v>0.25</v>
      </c>
      <c r="E3122" s="68">
        <v>8.0</v>
      </c>
      <c r="F3122" s="68">
        <v>0.0</v>
      </c>
      <c r="G3122" s="68">
        <v>5.67530672746512</v>
      </c>
      <c r="H3122" s="68">
        <v>217.296831984907</v>
      </c>
      <c r="I3122" s="69">
        <v>44355.12403935185</v>
      </c>
      <c r="J3122" s="69">
        <v>44355.12825231482</v>
      </c>
      <c r="K3122">
        <f>AVERAGE(H3122:H3126)</f>
        <v>84.87053945</v>
      </c>
      <c r="L3122">
        <f>STDEV(H3122:H3126)</f>
        <v>91.2260373</v>
      </c>
      <c r="M3122" s="70">
        <v>217.296831984907</v>
      </c>
      <c r="N3122" s="70">
        <v>217.296831984907</v>
      </c>
      <c r="O3122" s="70">
        <v>5.67530672746512</v>
      </c>
      <c r="P3122" s="70">
        <v>5.67530672746512</v>
      </c>
    </row>
    <row r="3123" hidden="1">
      <c r="A3123" s="67" t="s">
        <v>3883</v>
      </c>
      <c r="B3123" s="67" t="s">
        <v>17</v>
      </c>
      <c r="C3123" s="68">
        <v>0.75</v>
      </c>
      <c r="D3123" s="68">
        <v>0.25</v>
      </c>
      <c r="E3123" s="68">
        <v>8.0</v>
      </c>
      <c r="F3123" s="68">
        <v>1.0</v>
      </c>
      <c r="G3123" s="68">
        <v>0.712647031637279</v>
      </c>
      <c r="H3123" s="68">
        <v>0.949268918176112</v>
      </c>
      <c r="I3123" s="69">
        <v>44355.128958333335</v>
      </c>
      <c r="J3123" s="69">
        <v>44355.12917824074</v>
      </c>
      <c r="K3123">
        <f>AVERAGE(H3122:H3126)</f>
        <v>84.87053945</v>
      </c>
      <c r="L3123">
        <f>STDEV(H3122:H3126)</f>
        <v>91.2260373</v>
      </c>
      <c r="M3123" s="70">
        <v>0.949268918176112</v>
      </c>
      <c r="N3123" s="70">
        <v>0.949268918176112</v>
      </c>
      <c r="O3123" s="70">
        <v>0.712647031637279</v>
      </c>
      <c r="P3123" s="70">
        <v>0.712647031637279</v>
      </c>
    </row>
    <row r="3124" hidden="1">
      <c r="A3124" s="67" t="s">
        <v>3884</v>
      </c>
      <c r="B3124" s="67" t="s">
        <v>17</v>
      </c>
      <c r="C3124" s="68">
        <v>0.75</v>
      </c>
      <c r="D3124" s="68">
        <v>0.25</v>
      </c>
      <c r="E3124" s="68">
        <v>8.0</v>
      </c>
      <c r="F3124" s="68">
        <v>2.0</v>
      </c>
      <c r="G3124" s="68">
        <v>0.214556742404441</v>
      </c>
      <c r="H3124" s="68">
        <v>0.292791068550156</v>
      </c>
      <c r="I3124" s="69">
        <v>44355.12988425926</v>
      </c>
      <c r="J3124" s="69">
        <v>44355.12993055556</v>
      </c>
      <c r="K3124">
        <f>AVERAGE(H3122:H3126)</f>
        <v>84.87053945</v>
      </c>
      <c r="L3124">
        <f>STDEV(H3122:H3126)</f>
        <v>91.2260373</v>
      </c>
      <c r="M3124" s="70">
        <v>0.292791068550156</v>
      </c>
      <c r="N3124" s="70">
        <v>0.292791068550156</v>
      </c>
      <c r="O3124" s="70">
        <v>0.214556742404441</v>
      </c>
      <c r="P3124" s="70">
        <v>0.214556742404441</v>
      </c>
    </row>
    <row r="3125" hidden="1">
      <c r="A3125" s="67" t="s">
        <v>3885</v>
      </c>
      <c r="B3125" s="67" t="s">
        <v>17</v>
      </c>
      <c r="C3125" s="68">
        <v>0.75</v>
      </c>
      <c r="D3125" s="68">
        <v>0.25</v>
      </c>
      <c r="E3125" s="68">
        <v>8.0</v>
      </c>
      <c r="F3125" s="68">
        <v>3.0</v>
      </c>
      <c r="G3125" s="68">
        <v>5.60051945961609</v>
      </c>
      <c r="H3125" s="68">
        <v>81.6320277062421</v>
      </c>
      <c r="I3125" s="69">
        <v>44355.130636574075</v>
      </c>
      <c r="J3125" s="69">
        <v>44355.1306712963</v>
      </c>
      <c r="K3125">
        <f>AVERAGE(H3122:H3126)</f>
        <v>84.87053945</v>
      </c>
      <c r="L3125">
        <f>STDEV(H3122:H3126)</f>
        <v>91.2260373</v>
      </c>
      <c r="M3125" s="70">
        <v>81.6320277062421</v>
      </c>
      <c r="N3125" s="70">
        <v>81.6320277062421</v>
      </c>
      <c r="O3125" s="70">
        <v>5.60051945961609</v>
      </c>
      <c r="P3125" s="70">
        <v>5.60051945961609</v>
      </c>
    </row>
    <row r="3126" hidden="1">
      <c r="A3126" s="67" t="s">
        <v>3886</v>
      </c>
      <c r="B3126" s="67" t="s">
        <v>17</v>
      </c>
      <c r="C3126" s="68">
        <v>0.75</v>
      </c>
      <c r="D3126" s="68">
        <v>0.25</v>
      </c>
      <c r="E3126" s="68">
        <v>8.0</v>
      </c>
      <c r="F3126" s="68">
        <v>4.0</v>
      </c>
      <c r="G3126" s="68">
        <v>2.61686125643431</v>
      </c>
      <c r="H3126" s="68">
        <v>124.181777590564</v>
      </c>
      <c r="I3126" s="69">
        <v>44355.131377314814</v>
      </c>
      <c r="J3126" s="69">
        <v>44355.188935185186</v>
      </c>
      <c r="K3126">
        <f>AVERAGE(H3122:H3126)</f>
        <v>84.87053945</v>
      </c>
      <c r="L3126">
        <f>STDEV(H3122:H3126)</f>
        <v>91.2260373</v>
      </c>
      <c r="M3126" s="70">
        <v>124.181777590564</v>
      </c>
      <c r="N3126" s="70">
        <v>124.181777590564</v>
      </c>
      <c r="O3126" s="70">
        <v>2.61686125643431</v>
      </c>
      <c r="P3126" s="70">
        <v>2.61686125643431</v>
      </c>
    </row>
    <row r="3127" hidden="1">
      <c r="A3127" s="67" t="s">
        <v>3887</v>
      </c>
      <c r="B3127" s="67" t="s">
        <v>17</v>
      </c>
      <c r="C3127" s="68">
        <v>0.75</v>
      </c>
      <c r="D3127" s="68">
        <v>0.5</v>
      </c>
      <c r="E3127" s="68">
        <v>8.0</v>
      </c>
      <c r="F3127" s="68">
        <v>0.0</v>
      </c>
      <c r="G3127" s="68">
        <v>9.09453948120724</v>
      </c>
      <c r="H3127" s="68">
        <v>285.455896474322</v>
      </c>
      <c r="I3127" s="69">
        <v>44355.18965277778</v>
      </c>
      <c r="J3127" s="69">
        <v>44355.190405092595</v>
      </c>
      <c r="K3127">
        <f>AVERAGE(H3127:H3131)</f>
        <v>123.2063269</v>
      </c>
      <c r="L3127">
        <f>STDEV(H3127:H3131)</f>
        <v>105.7166244</v>
      </c>
      <c r="M3127" s="70">
        <v>285.455896474322</v>
      </c>
      <c r="N3127" s="70">
        <v>285.455896474322</v>
      </c>
      <c r="O3127" s="70">
        <v>9.09453948120724</v>
      </c>
      <c r="P3127" s="70">
        <v>9.09453948120724</v>
      </c>
    </row>
    <row r="3128" hidden="1">
      <c r="A3128" s="67" t="s">
        <v>3888</v>
      </c>
      <c r="B3128" s="67" t="s">
        <v>17</v>
      </c>
      <c r="C3128" s="68">
        <v>0.75</v>
      </c>
      <c r="D3128" s="68">
        <v>0.5</v>
      </c>
      <c r="E3128" s="68">
        <v>8.0</v>
      </c>
      <c r="F3128" s="68">
        <v>1.0</v>
      </c>
      <c r="G3128" s="68">
        <v>1.55271557688486</v>
      </c>
      <c r="H3128" s="68">
        <v>74.8590456873856</v>
      </c>
      <c r="I3128" s="69">
        <v>44355.19111111111</v>
      </c>
      <c r="J3128" s="69">
        <v>44355.191828703704</v>
      </c>
      <c r="K3128">
        <f>AVERAGE(H3127:H3131)</f>
        <v>123.2063269</v>
      </c>
      <c r="L3128">
        <f>STDEV(H3127:H3131)</f>
        <v>105.7166244</v>
      </c>
      <c r="M3128" s="70">
        <v>74.8590456873856</v>
      </c>
      <c r="N3128" s="70">
        <v>74.8590456873856</v>
      </c>
      <c r="O3128" s="70">
        <v>1.55271557688486</v>
      </c>
      <c r="P3128" s="70">
        <v>1.55271557688486</v>
      </c>
    </row>
    <row r="3129" hidden="1">
      <c r="A3129" s="67" t="s">
        <v>3889</v>
      </c>
      <c r="B3129" s="67" t="s">
        <v>17</v>
      </c>
      <c r="C3129" s="68">
        <v>0.75</v>
      </c>
      <c r="D3129" s="68">
        <v>0.5</v>
      </c>
      <c r="E3129" s="68">
        <v>8.0</v>
      </c>
      <c r="F3129" s="68">
        <v>2.0</v>
      </c>
      <c r="G3129" s="68">
        <v>3.11621733142974</v>
      </c>
      <c r="H3129" s="68">
        <v>149.71282128898</v>
      </c>
      <c r="I3129" s="69">
        <v>44355.19253472222</v>
      </c>
      <c r="J3129" s="69">
        <v>44355.21532407407</v>
      </c>
      <c r="K3129">
        <f>AVERAGE(H3127:H3131)</f>
        <v>123.2063269</v>
      </c>
      <c r="L3129">
        <f>STDEV(H3127:H3131)</f>
        <v>105.7166244</v>
      </c>
      <c r="M3129" s="70">
        <v>149.71282128898</v>
      </c>
      <c r="N3129" s="70">
        <v>149.71282128898</v>
      </c>
      <c r="O3129" s="70">
        <v>3.11621733142974</v>
      </c>
      <c r="P3129" s="70">
        <v>3.11621733142974</v>
      </c>
    </row>
    <row r="3130" hidden="1">
      <c r="A3130" s="67" t="s">
        <v>3890</v>
      </c>
      <c r="B3130" s="67" t="s">
        <v>17</v>
      </c>
      <c r="C3130" s="68">
        <v>0.75</v>
      </c>
      <c r="D3130" s="68">
        <v>0.5</v>
      </c>
      <c r="E3130" s="68">
        <v>8.0</v>
      </c>
      <c r="F3130" s="68">
        <v>3.0</v>
      </c>
      <c r="G3130" s="68">
        <v>0.52955673689802</v>
      </c>
      <c r="H3130" s="68">
        <v>0.648669662833402</v>
      </c>
      <c r="I3130" s="69">
        <v>44355.21603009259</v>
      </c>
      <c r="J3130" s="69">
        <v>44355.216157407405</v>
      </c>
      <c r="K3130">
        <f>AVERAGE(H3127:H3131)</f>
        <v>123.2063269</v>
      </c>
      <c r="L3130">
        <f>STDEV(H3127:H3131)</f>
        <v>105.7166244</v>
      </c>
      <c r="M3130" s="70">
        <v>0.648669662833402</v>
      </c>
      <c r="N3130" s="70">
        <v>0.648669662833402</v>
      </c>
      <c r="O3130" s="70">
        <v>0.52955673689802</v>
      </c>
      <c r="P3130" s="70">
        <v>0.52955673689802</v>
      </c>
    </row>
    <row r="3131" hidden="1">
      <c r="A3131" s="67" t="s">
        <v>3891</v>
      </c>
      <c r="B3131" s="67" t="s">
        <v>17</v>
      </c>
      <c r="C3131" s="68">
        <v>0.75</v>
      </c>
      <c r="D3131" s="68">
        <v>0.5</v>
      </c>
      <c r="E3131" s="68">
        <v>8.0</v>
      </c>
      <c r="F3131" s="68">
        <v>4.0</v>
      </c>
      <c r="G3131" s="68">
        <v>2.16931890299059</v>
      </c>
      <c r="H3131" s="68">
        <v>105.355201265104</v>
      </c>
      <c r="I3131" s="69">
        <v>44355.21686342593</v>
      </c>
      <c r="J3131" s="69">
        <v>44355.22582175926</v>
      </c>
      <c r="K3131">
        <f>AVERAGE(H3127:H3131)</f>
        <v>123.2063269</v>
      </c>
      <c r="L3131">
        <f>STDEV(H3127:H3131)</f>
        <v>105.7166244</v>
      </c>
      <c r="M3131" s="70">
        <v>105.355201265104</v>
      </c>
      <c r="N3131" s="70">
        <v>105.355201265104</v>
      </c>
      <c r="O3131" s="70">
        <v>2.16931890299059</v>
      </c>
      <c r="P3131" s="70">
        <v>2.16931890299059</v>
      </c>
    </row>
    <row r="3132" hidden="1">
      <c r="A3132" s="67" t="s">
        <v>3892</v>
      </c>
      <c r="B3132" s="67" t="s">
        <v>17</v>
      </c>
      <c r="C3132" s="68">
        <v>0.75</v>
      </c>
      <c r="D3132" s="68">
        <v>0.75</v>
      </c>
      <c r="E3132" s="68">
        <v>8.0</v>
      </c>
      <c r="F3132" s="68">
        <v>0.0</v>
      </c>
      <c r="G3132" s="68">
        <v>0.53731263473983</v>
      </c>
      <c r="H3132" s="68">
        <v>0.657552234811424</v>
      </c>
      <c r="I3132" s="69">
        <v>44355.2265162037</v>
      </c>
      <c r="J3132" s="69">
        <v>44355.226631944446</v>
      </c>
      <c r="K3132">
        <f>AVERAGE(H3132:H3136)</f>
        <v>112.4302628</v>
      </c>
      <c r="L3132">
        <f>STDEV(H3132:H3136)</f>
        <v>105.9116537</v>
      </c>
      <c r="M3132" s="70">
        <v>0.657552234811424</v>
      </c>
      <c r="N3132" s="70">
        <v>0.657552234811424</v>
      </c>
      <c r="O3132" s="70">
        <v>0.53731263473983</v>
      </c>
      <c r="P3132" s="70">
        <v>0.53731263473983</v>
      </c>
    </row>
    <row r="3133" hidden="1">
      <c r="A3133" s="67" t="s">
        <v>3893</v>
      </c>
      <c r="B3133" s="67" t="s">
        <v>17</v>
      </c>
      <c r="C3133" s="68">
        <v>0.75</v>
      </c>
      <c r="D3133" s="68">
        <v>0.75</v>
      </c>
      <c r="E3133" s="68">
        <v>8.0</v>
      </c>
      <c r="F3133" s="68">
        <v>1.0</v>
      </c>
      <c r="G3133" s="68">
        <v>2.95823351694395</v>
      </c>
      <c r="H3133" s="68">
        <v>139.762528287454</v>
      </c>
      <c r="I3133" s="69">
        <v>44355.22733796296</v>
      </c>
      <c r="J3133" s="69">
        <v>44355.269537037035</v>
      </c>
      <c r="K3133">
        <f>AVERAGE(H3132:H3136)</f>
        <v>112.4302628</v>
      </c>
      <c r="L3133">
        <f>STDEV(H3132:H3136)</f>
        <v>105.9116537</v>
      </c>
      <c r="M3133" s="70">
        <v>139.762528287454</v>
      </c>
      <c r="N3133" s="70">
        <v>139.762528287454</v>
      </c>
      <c r="O3133" s="70">
        <v>2.95823351694395</v>
      </c>
      <c r="P3133" s="70">
        <v>2.95823351694395</v>
      </c>
    </row>
    <row r="3134" hidden="1">
      <c r="A3134" s="67" t="s">
        <v>3894</v>
      </c>
      <c r="B3134" s="67" t="s">
        <v>17</v>
      </c>
      <c r="C3134" s="68">
        <v>0.75</v>
      </c>
      <c r="D3134" s="68">
        <v>0.75</v>
      </c>
      <c r="E3134" s="68">
        <v>8.0</v>
      </c>
      <c r="F3134" s="68">
        <v>2.0</v>
      </c>
      <c r="G3134" s="68">
        <v>0.712515710862965</v>
      </c>
      <c r="H3134" s="68">
        <v>0.94934804346618</v>
      </c>
      <c r="I3134" s="69">
        <v>44355.27024305556</v>
      </c>
      <c r="J3134" s="69">
        <v>44355.270462962966</v>
      </c>
      <c r="K3134">
        <f>AVERAGE(H3132:H3136)</f>
        <v>112.4302628</v>
      </c>
      <c r="L3134">
        <f>STDEV(H3132:H3136)</f>
        <v>105.9116537</v>
      </c>
      <c r="M3134" s="70">
        <v>0.94934804346618</v>
      </c>
      <c r="N3134" s="70">
        <v>0.94934804346618</v>
      </c>
      <c r="O3134" s="70">
        <v>0.712515710862965</v>
      </c>
      <c r="P3134" s="70">
        <v>0.712515710862965</v>
      </c>
    </row>
    <row r="3135" hidden="1">
      <c r="A3135" s="67" t="s">
        <v>3895</v>
      </c>
      <c r="B3135" s="67" t="s">
        <v>17</v>
      </c>
      <c r="C3135" s="68">
        <v>0.75</v>
      </c>
      <c r="D3135" s="68">
        <v>0.75</v>
      </c>
      <c r="E3135" s="68">
        <v>8.0</v>
      </c>
      <c r="F3135" s="68">
        <v>3.0</v>
      </c>
      <c r="G3135" s="68">
        <v>8.06924362907986</v>
      </c>
      <c r="H3135" s="68">
        <v>212.432756016805</v>
      </c>
      <c r="I3135" s="69">
        <v>44355.271157407406</v>
      </c>
      <c r="J3135" s="69">
        <v>44355.271203703705</v>
      </c>
      <c r="K3135">
        <f>AVERAGE(H3132:H3136)</f>
        <v>112.4302628</v>
      </c>
      <c r="L3135">
        <f>STDEV(H3132:H3136)</f>
        <v>105.9116537</v>
      </c>
      <c r="M3135" s="70">
        <v>212.432756016805</v>
      </c>
      <c r="N3135" s="70">
        <v>212.432756016805</v>
      </c>
      <c r="O3135" s="70">
        <v>8.06924362907986</v>
      </c>
      <c r="P3135" s="70">
        <v>8.06924362907986</v>
      </c>
    </row>
    <row r="3136" hidden="1">
      <c r="A3136" s="67" t="s">
        <v>3896</v>
      </c>
      <c r="B3136" s="67" t="s">
        <v>17</v>
      </c>
      <c r="C3136" s="68">
        <v>0.75</v>
      </c>
      <c r="D3136" s="68">
        <v>0.75</v>
      </c>
      <c r="E3136" s="68">
        <v>8.0</v>
      </c>
      <c r="F3136" s="68">
        <v>4.0</v>
      </c>
      <c r="G3136" s="68">
        <v>5.45137744461728</v>
      </c>
      <c r="H3136" s="68">
        <v>208.349129386823</v>
      </c>
      <c r="I3136" s="69">
        <v>44355.27190972222</v>
      </c>
      <c r="J3136" s="69">
        <v>44355.274513888886</v>
      </c>
      <c r="K3136">
        <f>AVERAGE(H3132:H3136)</f>
        <v>112.4302628</v>
      </c>
      <c r="L3136">
        <f>STDEV(H3132:H3136)</f>
        <v>105.9116537</v>
      </c>
      <c r="M3136" s="70">
        <v>208.349129386823</v>
      </c>
      <c r="N3136" s="70">
        <v>208.349129386823</v>
      </c>
      <c r="O3136" s="70">
        <v>5.45137744461728</v>
      </c>
      <c r="P3136" s="70">
        <v>5.45137744461728</v>
      </c>
    </row>
    <row r="3137" hidden="1">
      <c r="A3137" s="67" t="s">
        <v>3897</v>
      </c>
      <c r="B3137" s="67" t="s">
        <v>17</v>
      </c>
      <c r="C3137" s="68">
        <v>0.75</v>
      </c>
      <c r="D3137" s="68">
        <v>1.0</v>
      </c>
      <c r="E3137" s="68">
        <v>8.0</v>
      </c>
      <c r="F3137" s="68">
        <v>0.0</v>
      </c>
      <c r="G3137" s="68">
        <v>3.9888595903818</v>
      </c>
      <c r="H3137" s="68">
        <v>175.637942755827</v>
      </c>
      <c r="I3137" s="69">
        <v>44355.27521990741</v>
      </c>
      <c r="J3137" s="69">
        <v>44355.33451388889</v>
      </c>
      <c r="K3137">
        <f>AVERAGE(H3137:H3141)</f>
        <v>47.86204081</v>
      </c>
      <c r="L3137">
        <f>STDEV(H3137:H3141)</f>
        <v>76.25769399</v>
      </c>
      <c r="M3137" s="70">
        <v>175.637942755827</v>
      </c>
      <c r="N3137" s="70">
        <v>175.637942755827</v>
      </c>
      <c r="O3137" s="70">
        <v>3.9888595903818</v>
      </c>
      <c r="P3137" s="70">
        <v>3.9888595903818</v>
      </c>
    </row>
    <row r="3138" hidden="1">
      <c r="A3138" s="67" t="s">
        <v>3898</v>
      </c>
      <c r="B3138" s="67" t="s">
        <v>17</v>
      </c>
      <c r="C3138" s="68">
        <v>0.75</v>
      </c>
      <c r="D3138" s="68">
        <v>1.0</v>
      </c>
      <c r="E3138" s="68">
        <v>8.0</v>
      </c>
      <c r="F3138" s="68">
        <v>1.0</v>
      </c>
      <c r="G3138" s="68">
        <v>0.541951604589257</v>
      </c>
      <c r="H3138" s="68">
        <v>0.662697142580596</v>
      </c>
      <c r="I3138" s="69">
        <v>44355.33521990741</v>
      </c>
      <c r="J3138" s="69">
        <v>44355.335324074076</v>
      </c>
      <c r="K3138">
        <f>AVERAGE(H3137:H3141)</f>
        <v>47.86204081</v>
      </c>
      <c r="L3138">
        <f>STDEV(H3137:H3141)</f>
        <v>76.25769399</v>
      </c>
      <c r="M3138" s="70">
        <v>0.662697142580596</v>
      </c>
      <c r="N3138" s="70">
        <v>0.662697142580596</v>
      </c>
      <c r="O3138" s="70">
        <v>0.541951604589257</v>
      </c>
      <c r="P3138" s="70">
        <v>0.541951604589257</v>
      </c>
    </row>
    <row r="3139" hidden="1">
      <c r="A3139" s="67" t="s">
        <v>3899</v>
      </c>
      <c r="B3139" s="67" t="s">
        <v>17</v>
      </c>
      <c r="C3139" s="68">
        <v>0.75</v>
      </c>
      <c r="D3139" s="68">
        <v>1.0</v>
      </c>
      <c r="E3139" s="68">
        <v>8.0</v>
      </c>
      <c r="F3139" s="68">
        <v>2.0</v>
      </c>
      <c r="G3139" s="68">
        <v>0.207414646087391</v>
      </c>
      <c r="H3139" s="68">
        <v>0.289791750987311</v>
      </c>
      <c r="I3139" s="69">
        <v>44355.336018518516</v>
      </c>
      <c r="J3139" s="69">
        <v>44355.336064814815</v>
      </c>
      <c r="K3139">
        <f>AVERAGE(H3137:H3141)</f>
        <v>47.86204081</v>
      </c>
      <c r="L3139">
        <f>STDEV(H3137:H3141)</f>
        <v>76.25769399</v>
      </c>
      <c r="M3139" s="70">
        <v>0.289791750987311</v>
      </c>
      <c r="N3139" s="70">
        <v>0.289791750987311</v>
      </c>
      <c r="O3139" s="70">
        <v>0.207414646087391</v>
      </c>
      <c r="P3139" s="70">
        <v>0.207414646087391</v>
      </c>
    </row>
    <row r="3140" hidden="1">
      <c r="A3140" s="67" t="s">
        <v>3900</v>
      </c>
      <c r="B3140" s="67" t="s">
        <v>17</v>
      </c>
      <c r="C3140" s="68">
        <v>0.75</v>
      </c>
      <c r="D3140" s="68">
        <v>1.0</v>
      </c>
      <c r="E3140" s="68">
        <v>8.0</v>
      </c>
      <c r="F3140" s="68">
        <v>3.0</v>
      </c>
      <c r="G3140" s="68">
        <v>0.45804006466034</v>
      </c>
      <c r="H3140" s="68">
        <v>0.548173195268089</v>
      </c>
      <c r="I3140" s="69">
        <v>44355.33677083333</v>
      </c>
      <c r="J3140" s="69">
        <v>44355.33693287037</v>
      </c>
      <c r="K3140">
        <f>AVERAGE(H3137:H3141)</f>
        <v>47.86204081</v>
      </c>
      <c r="L3140">
        <f>STDEV(H3137:H3141)</f>
        <v>76.25769399</v>
      </c>
      <c r="M3140" s="70">
        <v>0.548173195268089</v>
      </c>
      <c r="N3140" s="70">
        <v>0.548173195268089</v>
      </c>
      <c r="O3140" s="70">
        <v>0.45804006466034</v>
      </c>
      <c r="P3140" s="70">
        <v>0.45804006466034</v>
      </c>
    </row>
    <row r="3141" hidden="1">
      <c r="A3141" s="67" t="s">
        <v>3901</v>
      </c>
      <c r="B3141" s="67" t="s">
        <v>17</v>
      </c>
      <c r="C3141" s="68">
        <v>0.75</v>
      </c>
      <c r="D3141" s="68">
        <v>1.0</v>
      </c>
      <c r="E3141" s="68">
        <v>8.0</v>
      </c>
      <c r="F3141" s="68">
        <v>4.0</v>
      </c>
      <c r="G3141" s="68">
        <v>1.32280621894556</v>
      </c>
      <c r="H3141" s="68">
        <v>62.1715992239695</v>
      </c>
      <c r="I3141" s="69">
        <v>44355.33765046296</v>
      </c>
      <c r="J3141" s="69">
        <v>44355.33886574074</v>
      </c>
      <c r="K3141">
        <f>AVERAGE(H3137:H3141)</f>
        <v>47.86204081</v>
      </c>
      <c r="L3141">
        <f>STDEV(H3137:H3141)</f>
        <v>76.25769399</v>
      </c>
      <c r="M3141" s="70">
        <v>62.1715992239695</v>
      </c>
      <c r="N3141" s="70">
        <v>62.1715992239695</v>
      </c>
      <c r="O3141" s="70">
        <v>1.32280621894556</v>
      </c>
      <c r="P3141" s="70">
        <v>1.32280621894556</v>
      </c>
    </row>
    <row r="3142" hidden="1">
      <c r="A3142" s="67" t="s">
        <v>3902</v>
      </c>
      <c r="B3142" s="67" t="s">
        <v>17</v>
      </c>
      <c r="C3142" s="68">
        <v>1.0</v>
      </c>
      <c r="D3142" s="68">
        <v>0.1</v>
      </c>
      <c r="E3142" s="68">
        <v>8.0</v>
      </c>
      <c r="F3142" s="68">
        <v>0.0</v>
      </c>
      <c r="G3142" s="68">
        <v>1.95077779962345</v>
      </c>
      <c r="H3142" s="68">
        <v>119.666170730858</v>
      </c>
      <c r="I3142" s="69">
        <v>44355.339583333334</v>
      </c>
      <c r="J3142" s="69">
        <v>44355.33997685185</v>
      </c>
      <c r="K3142">
        <f>AVERAGE(H3142:H3146)</f>
        <v>130.0963522</v>
      </c>
      <c r="L3142">
        <f>STDEV(H3142:H3146)</f>
        <v>99.21227755</v>
      </c>
      <c r="M3142" s="70">
        <v>119.666170730858</v>
      </c>
      <c r="N3142" s="70">
        <v>119.666170730858</v>
      </c>
      <c r="O3142" s="70">
        <v>1.95077779962345</v>
      </c>
      <c r="P3142" s="70">
        <v>1.95077779962345</v>
      </c>
    </row>
    <row r="3143" hidden="1">
      <c r="A3143" s="67" t="s">
        <v>3903</v>
      </c>
      <c r="B3143" s="67" t="s">
        <v>17</v>
      </c>
      <c r="C3143" s="68">
        <v>1.0</v>
      </c>
      <c r="D3143" s="68">
        <v>0.1</v>
      </c>
      <c r="E3143" s="68">
        <v>8.0</v>
      </c>
      <c r="F3143" s="68">
        <v>1.0</v>
      </c>
      <c r="G3143" s="68">
        <v>3.10951265239202</v>
      </c>
      <c r="H3143" s="68">
        <v>128.683024798686</v>
      </c>
      <c r="I3143" s="69">
        <v>44355.34069444444</v>
      </c>
      <c r="J3143" s="69">
        <v>44355.34721064815</v>
      </c>
      <c r="K3143">
        <f>AVERAGE(H3142:H3146)</f>
        <v>130.0963522</v>
      </c>
      <c r="L3143">
        <f>STDEV(H3142:H3146)</f>
        <v>99.21227755</v>
      </c>
      <c r="M3143" s="70">
        <v>128.683024798686</v>
      </c>
      <c r="N3143" s="70">
        <v>128.683024798686</v>
      </c>
      <c r="O3143" s="70">
        <v>3.10951265239202</v>
      </c>
      <c r="P3143" s="70">
        <v>3.10951265239202</v>
      </c>
    </row>
    <row r="3144" hidden="1">
      <c r="A3144" s="67" t="s">
        <v>3904</v>
      </c>
      <c r="B3144" s="67" t="s">
        <v>17</v>
      </c>
      <c r="C3144" s="68">
        <v>1.0</v>
      </c>
      <c r="D3144" s="68">
        <v>0.1</v>
      </c>
      <c r="E3144" s="68">
        <v>8.0</v>
      </c>
      <c r="F3144" s="68">
        <v>2.0</v>
      </c>
      <c r="G3144" s="68">
        <v>9.16164164599573</v>
      </c>
      <c r="H3144" s="68">
        <v>289.853940699852</v>
      </c>
      <c r="I3144" s="69">
        <v>44355.347916666666</v>
      </c>
      <c r="J3144" s="69">
        <v>44355.34939814815</v>
      </c>
      <c r="K3144">
        <f>AVERAGE(H3142:H3146)</f>
        <v>130.0963522</v>
      </c>
      <c r="L3144">
        <f>STDEV(H3142:H3146)</f>
        <v>99.21227755</v>
      </c>
      <c r="M3144" s="70">
        <v>289.853940699852</v>
      </c>
      <c r="N3144" s="70">
        <v>289.853940699852</v>
      </c>
      <c r="O3144" s="70">
        <v>9.16164164599573</v>
      </c>
      <c r="P3144" s="70">
        <v>9.16164164599573</v>
      </c>
    </row>
    <row r="3145" hidden="1">
      <c r="A3145" s="67" t="s">
        <v>3905</v>
      </c>
      <c r="B3145" s="67" t="s">
        <v>17</v>
      </c>
      <c r="C3145" s="68">
        <v>1.0</v>
      </c>
      <c r="D3145" s="68">
        <v>0.1</v>
      </c>
      <c r="E3145" s="68">
        <v>8.0</v>
      </c>
      <c r="F3145" s="68">
        <v>3.0</v>
      </c>
      <c r="G3145" s="68">
        <v>1.7711482484899</v>
      </c>
      <c r="H3145" s="68">
        <v>93.5541715985065</v>
      </c>
      <c r="I3145" s="69">
        <v>44355.35010416667</v>
      </c>
      <c r="J3145" s="69">
        <v>44355.37866898148</v>
      </c>
      <c r="K3145">
        <f>AVERAGE(H3142:H3146)</f>
        <v>130.0963522</v>
      </c>
      <c r="L3145">
        <f>STDEV(H3142:H3146)</f>
        <v>99.21227755</v>
      </c>
      <c r="M3145" s="70">
        <v>93.5541715985065</v>
      </c>
      <c r="N3145" s="70">
        <v>93.5541715985065</v>
      </c>
      <c r="O3145" s="70">
        <v>1.7711482484899</v>
      </c>
      <c r="P3145" s="70">
        <v>1.7711482484899</v>
      </c>
    </row>
    <row r="3146" hidden="1">
      <c r="A3146" s="67" t="s">
        <v>3906</v>
      </c>
      <c r="B3146" s="67" t="s">
        <v>17</v>
      </c>
      <c r="C3146" s="68">
        <v>1.0</v>
      </c>
      <c r="D3146" s="68">
        <v>0.1</v>
      </c>
      <c r="E3146" s="68">
        <v>8.0</v>
      </c>
      <c r="F3146" s="68">
        <v>4.0</v>
      </c>
      <c r="G3146" s="68">
        <v>2.24980732345617</v>
      </c>
      <c r="H3146" s="68">
        <v>18.7244533974975</v>
      </c>
      <c r="I3146" s="69">
        <v>44355.379375</v>
      </c>
      <c r="J3146" s="69">
        <v>44355.37938657407</v>
      </c>
      <c r="K3146">
        <f>AVERAGE(H3142:H3146)</f>
        <v>130.0963522</v>
      </c>
      <c r="L3146">
        <f>STDEV(H3142:H3146)</f>
        <v>99.21227755</v>
      </c>
      <c r="M3146" s="70">
        <v>18.7244533974975</v>
      </c>
      <c r="N3146" s="70">
        <v>18.7244533974975</v>
      </c>
      <c r="O3146" s="70">
        <v>2.24980732345617</v>
      </c>
      <c r="P3146" s="70">
        <v>2.24980732345617</v>
      </c>
    </row>
    <row r="3147" hidden="1">
      <c r="A3147" s="67" t="s">
        <v>3907</v>
      </c>
      <c r="B3147" s="67" t="s">
        <v>17</v>
      </c>
      <c r="C3147" s="68">
        <v>1.0</v>
      </c>
      <c r="D3147" s="68">
        <v>0.25</v>
      </c>
      <c r="E3147" s="68">
        <v>8.0</v>
      </c>
      <c r="F3147" s="68">
        <v>0.0</v>
      </c>
      <c r="G3147" s="68">
        <v>4.9501513061511</v>
      </c>
      <c r="H3147" s="68">
        <v>207.093737165045</v>
      </c>
      <c r="I3147" s="69">
        <v>44355.38009259259</v>
      </c>
      <c r="J3147" s="69">
        <v>44355.3822337963</v>
      </c>
      <c r="K3147">
        <f>AVERAGE(H3147:H3151)</f>
        <v>108.3627886</v>
      </c>
      <c r="L3147">
        <f>STDEV(H3147:H3151)</f>
        <v>89.06289142</v>
      </c>
      <c r="M3147" s="70">
        <v>207.093737165045</v>
      </c>
      <c r="N3147" s="70">
        <v>207.093737165045</v>
      </c>
      <c r="O3147" s="70">
        <v>4.9501513061511</v>
      </c>
      <c r="P3147" s="70">
        <v>4.9501513061511</v>
      </c>
    </row>
    <row r="3148" hidden="1">
      <c r="A3148" s="67" t="s">
        <v>3908</v>
      </c>
      <c r="B3148" s="67" t="s">
        <v>17</v>
      </c>
      <c r="C3148" s="68">
        <v>1.0</v>
      </c>
      <c r="D3148" s="68">
        <v>0.25</v>
      </c>
      <c r="E3148" s="68">
        <v>8.0</v>
      </c>
      <c r="F3148" s="68">
        <v>1.0</v>
      </c>
      <c r="G3148" s="68">
        <v>1.68751997253037</v>
      </c>
      <c r="H3148" s="68">
        <v>28.3110065114093</v>
      </c>
      <c r="I3148" s="69">
        <v>44355.382939814815</v>
      </c>
      <c r="J3148" s="69">
        <v>44355.383356481485</v>
      </c>
      <c r="K3148">
        <f>AVERAGE(H3147:H3151)</f>
        <v>108.3627886</v>
      </c>
      <c r="L3148">
        <f>STDEV(H3147:H3151)</f>
        <v>89.06289142</v>
      </c>
      <c r="M3148" s="70">
        <v>28.3110065114093</v>
      </c>
      <c r="N3148" s="70">
        <v>28.3110065114093</v>
      </c>
      <c r="O3148" s="70">
        <v>1.68751997253037</v>
      </c>
      <c r="P3148" s="70">
        <v>1.68751997253037</v>
      </c>
    </row>
    <row r="3149" hidden="1">
      <c r="A3149" s="67" t="s">
        <v>3909</v>
      </c>
      <c r="B3149" s="67" t="s">
        <v>17</v>
      </c>
      <c r="C3149" s="68">
        <v>1.0</v>
      </c>
      <c r="D3149" s="68">
        <v>0.25</v>
      </c>
      <c r="E3149" s="68">
        <v>8.0</v>
      </c>
      <c r="F3149" s="68">
        <v>2.0</v>
      </c>
      <c r="G3149" s="68">
        <v>3.63489760521462</v>
      </c>
      <c r="H3149" s="68">
        <v>164.590291904795</v>
      </c>
      <c r="I3149" s="69">
        <v>44355.3840625</v>
      </c>
      <c r="J3149" s="69">
        <v>44355.38554398148</v>
      </c>
      <c r="K3149">
        <f>AVERAGE(H3147:H3151)</f>
        <v>108.3627886</v>
      </c>
      <c r="L3149">
        <f>STDEV(H3147:H3151)</f>
        <v>89.06289142</v>
      </c>
      <c r="M3149" s="70">
        <v>164.590291904795</v>
      </c>
      <c r="N3149" s="70">
        <v>164.590291904795</v>
      </c>
      <c r="O3149" s="70">
        <v>3.63489760521462</v>
      </c>
      <c r="P3149" s="70">
        <v>3.63489760521462</v>
      </c>
    </row>
    <row r="3150" hidden="1">
      <c r="A3150" s="67" t="s">
        <v>3910</v>
      </c>
      <c r="B3150" s="67" t="s">
        <v>17</v>
      </c>
      <c r="C3150" s="68">
        <v>1.0</v>
      </c>
      <c r="D3150" s="68">
        <v>0.25</v>
      </c>
      <c r="E3150" s="68">
        <v>8.0</v>
      </c>
      <c r="F3150" s="68">
        <v>3.0</v>
      </c>
      <c r="G3150" s="68">
        <v>0.676469438907768</v>
      </c>
      <c r="H3150" s="68">
        <v>1.60696537632125</v>
      </c>
      <c r="I3150" s="69">
        <v>44355.38625</v>
      </c>
      <c r="J3150" s="69">
        <v>44355.38649305556</v>
      </c>
      <c r="K3150">
        <f>AVERAGE(H3147:H3151)</f>
        <v>108.3627886</v>
      </c>
      <c r="L3150">
        <f>STDEV(H3147:H3151)</f>
        <v>89.06289142</v>
      </c>
      <c r="M3150" s="70">
        <v>1.60696537632125</v>
      </c>
      <c r="N3150" s="70">
        <v>1.60696537632125</v>
      </c>
      <c r="O3150" s="70">
        <v>0.676469438907768</v>
      </c>
      <c r="P3150" s="70">
        <v>0.676469438907768</v>
      </c>
    </row>
    <row r="3151" hidden="1">
      <c r="A3151" s="67" t="s">
        <v>3911</v>
      </c>
      <c r="B3151" s="67" t="s">
        <v>17</v>
      </c>
      <c r="C3151" s="68">
        <v>1.0</v>
      </c>
      <c r="D3151" s="68">
        <v>0.25</v>
      </c>
      <c r="E3151" s="68">
        <v>8.0</v>
      </c>
      <c r="F3151" s="68">
        <v>4.0</v>
      </c>
      <c r="G3151" s="68">
        <v>3.0520006375021</v>
      </c>
      <c r="H3151" s="68">
        <v>140.211942029107</v>
      </c>
      <c r="I3151" s="69">
        <v>44355.38719907407</v>
      </c>
      <c r="J3151" s="69">
        <v>44355.42383101852</v>
      </c>
      <c r="K3151">
        <f>AVERAGE(H3147:H3151)</f>
        <v>108.3627886</v>
      </c>
      <c r="L3151">
        <f>STDEV(H3147:H3151)</f>
        <v>89.06289142</v>
      </c>
      <c r="M3151" s="70">
        <v>140.211942029107</v>
      </c>
      <c r="N3151" s="70">
        <v>140.211942029107</v>
      </c>
      <c r="O3151" s="70">
        <v>3.0520006375021</v>
      </c>
      <c r="P3151" s="70">
        <v>3.0520006375021</v>
      </c>
    </row>
    <row r="3152" hidden="1">
      <c r="A3152" s="67" t="s">
        <v>3912</v>
      </c>
      <c r="B3152" s="67" t="s">
        <v>17</v>
      </c>
      <c r="C3152" s="68">
        <v>1.0</v>
      </c>
      <c r="D3152" s="68">
        <v>0.5</v>
      </c>
      <c r="E3152" s="68">
        <v>8.0</v>
      </c>
      <c r="F3152" s="68">
        <v>0.0</v>
      </c>
      <c r="G3152" s="68">
        <v>3.21754780194781</v>
      </c>
      <c r="H3152" s="68">
        <v>155.403007621692</v>
      </c>
      <c r="I3152" s="69">
        <v>44355.42453703703</v>
      </c>
      <c r="J3152" s="69">
        <v>44355.45302083333</v>
      </c>
      <c r="K3152">
        <f>AVERAGE(H3152:H3156)</f>
        <v>151.5246566</v>
      </c>
      <c r="L3152">
        <f>STDEV(H3152:H3156)</f>
        <v>75.24747353</v>
      </c>
      <c r="M3152" s="70">
        <v>155.403007621692</v>
      </c>
      <c r="N3152" s="70">
        <v>155.403007621692</v>
      </c>
      <c r="O3152" s="70">
        <v>3.21754780194781</v>
      </c>
      <c r="P3152" s="70">
        <v>3.21754780194781</v>
      </c>
    </row>
    <row r="3153" hidden="1">
      <c r="A3153" s="67" t="s">
        <v>3913</v>
      </c>
      <c r="B3153" s="67" t="s">
        <v>17</v>
      </c>
      <c r="C3153" s="68">
        <v>1.0</v>
      </c>
      <c r="D3153" s="68">
        <v>0.5</v>
      </c>
      <c r="E3153" s="68">
        <v>8.0</v>
      </c>
      <c r="F3153" s="68">
        <v>1.0</v>
      </c>
      <c r="G3153" s="68">
        <v>0.863745543972389</v>
      </c>
      <c r="H3153" s="68">
        <v>21.0541493538691</v>
      </c>
      <c r="I3153" s="69">
        <v>44355.453726851854</v>
      </c>
      <c r="J3153" s="69">
        <v>44355.45799768518</v>
      </c>
      <c r="K3153">
        <f>AVERAGE(H3152:H3156)</f>
        <v>151.5246566</v>
      </c>
      <c r="L3153">
        <f>STDEV(H3152:H3156)</f>
        <v>75.24747353</v>
      </c>
      <c r="M3153" s="70">
        <v>21.0541493538691</v>
      </c>
      <c r="N3153" s="70">
        <v>21.0541493538691</v>
      </c>
      <c r="O3153" s="70">
        <v>0.863745543972389</v>
      </c>
      <c r="P3153" s="70">
        <v>0.863745543972389</v>
      </c>
    </row>
    <row r="3154" hidden="1">
      <c r="A3154" s="67" t="s">
        <v>3914</v>
      </c>
      <c r="B3154" s="67" t="s">
        <v>17</v>
      </c>
      <c r="C3154" s="68">
        <v>1.0</v>
      </c>
      <c r="D3154" s="68">
        <v>0.5</v>
      </c>
      <c r="E3154" s="68">
        <v>8.0</v>
      </c>
      <c r="F3154" s="68">
        <v>2.0</v>
      </c>
      <c r="G3154" s="68">
        <v>5.24267804917076</v>
      </c>
      <c r="H3154" s="68">
        <v>206.178649831252</v>
      </c>
      <c r="I3154" s="69">
        <v>44355.458703703705</v>
      </c>
      <c r="J3154" s="69">
        <v>44355.4609375</v>
      </c>
      <c r="K3154">
        <f>AVERAGE(H3152:H3156)</f>
        <v>151.5246566</v>
      </c>
      <c r="L3154">
        <f>STDEV(H3152:H3156)</f>
        <v>75.24747353</v>
      </c>
      <c r="M3154" s="70">
        <v>206.178649831252</v>
      </c>
      <c r="N3154" s="70">
        <v>206.178649831252</v>
      </c>
      <c r="O3154" s="70">
        <v>5.24267804917076</v>
      </c>
      <c r="P3154" s="70">
        <v>5.24267804917076</v>
      </c>
    </row>
    <row r="3155" hidden="1">
      <c r="A3155" s="67" t="s">
        <v>3915</v>
      </c>
      <c r="B3155" s="67" t="s">
        <v>17</v>
      </c>
      <c r="C3155" s="68">
        <v>1.0</v>
      </c>
      <c r="D3155" s="68">
        <v>0.5</v>
      </c>
      <c r="E3155" s="68">
        <v>8.0</v>
      </c>
      <c r="F3155" s="68">
        <v>3.0</v>
      </c>
      <c r="G3155" s="68">
        <v>5.95055633807588</v>
      </c>
      <c r="H3155" s="68">
        <v>191.767237599953</v>
      </c>
      <c r="I3155" s="69">
        <v>44355.461643518516</v>
      </c>
      <c r="J3155" s="69">
        <v>44355.461689814816</v>
      </c>
      <c r="K3155">
        <f>AVERAGE(H3152:H3156)</f>
        <v>151.5246566</v>
      </c>
      <c r="L3155">
        <f>STDEV(H3152:H3156)</f>
        <v>75.24747353</v>
      </c>
      <c r="M3155" s="70">
        <v>191.767237599953</v>
      </c>
      <c r="N3155" s="70">
        <v>191.767237599953</v>
      </c>
      <c r="O3155" s="70">
        <v>5.95055633807588</v>
      </c>
      <c r="P3155" s="70">
        <v>5.95055633807588</v>
      </c>
    </row>
    <row r="3156" hidden="1">
      <c r="A3156" s="67" t="s">
        <v>3916</v>
      </c>
      <c r="B3156" s="67" t="s">
        <v>17</v>
      </c>
      <c r="C3156" s="68">
        <v>1.0</v>
      </c>
      <c r="D3156" s="68">
        <v>0.5</v>
      </c>
      <c r="E3156" s="68">
        <v>8.0</v>
      </c>
      <c r="F3156" s="68">
        <v>4.0</v>
      </c>
      <c r="G3156" s="68">
        <v>6.56851001627138</v>
      </c>
      <c r="H3156" s="68">
        <v>183.220238647675</v>
      </c>
      <c r="I3156" s="69">
        <v>44355.46238425926</v>
      </c>
      <c r="J3156" s="69">
        <v>44355.4624537037</v>
      </c>
      <c r="K3156">
        <f>AVERAGE(H3152:H3156)</f>
        <v>151.5246566</v>
      </c>
      <c r="L3156">
        <f>STDEV(H3152:H3156)</f>
        <v>75.24747353</v>
      </c>
      <c r="M3156" s="70">
        <v>183.220238647675</v>
      </c>
      <c r="N3156" s="70">
        <v>183.220238647675</v>
      </c>
      <c r="O3156" s="70">
        <v>6.56851001627138</v>
      </c>
      <c r="P3156" s="70">
        <v>6.56851001627138</v>
      </c>
    </row>
    <row r="3157" hidden="1">
      <c r="A3157" s="67" t="s">
        <v>3917</v>
      </c>
      <c r="B3157" s="67" t="s">
        <v>17</v>
      </c>
      <c r="C3157" s="68">
        <v>1.0</v>
      </c>
      <c r="D3157" s="68">
        <v>0.75</v>
      </c>
      <c r="E3157" s="68">
        <v>8.0</v>
      </c>
      <c r="F3157" s="68">
        <v>0.0</v>
      </c>
      <c r="G3157" s="68">
        <v>1.66231139290056</v>
      </c>
      <c r="H3157" s="68">
        <v>77.9655646507135</v>
      </c>
      <c r="I3157" s="69">
        <v>44355.46314814815</v>
      </c>
      <c r="J3157" s="69">
        <v>44355.46375</v>
      </c>
      <c r="K3157">
        <f>AVERAGE(H3157:H3161)</f>
        <v>139.6706693</v>
      </c>
      <c r="L3157">
        <f>STDEV(H3157:H3161)</f>
        <v>95.31103987</v>
      </c>
      <c r="M3157" s="70">
        <v>77.9655646507135</v>
      </c>
      <c r="N3157" s="70">
        <v>77.9655646507135</v>
      </c>
      <c r="O3157" s="70">
        <v>1.66231139290056</v>
      </c>
      <c r="P3157" s="70">
        <v>1.66231139290056</v>
      </c>
    </row>
    <row r="3158" hidden="1">
      <c r="A3158" s="67" t="s">
        <v>3918</v>
      </c>
      <c r="B3158" s="67" t="s">
        <v>17</v>
      </c>
      <c r="C3158" s="68">
        <v>1.0</v>
      </c>
      <c r="D3158" s="68">
        <v>0.75</v>
      </c>
      <c r="E3158" s="68">
        <v>8.0</v>
      </c>
      <c r="F3158" s="68">
        <v>1.0</v>
      </c>
      <c r="G3158" s="68">
        <v>2.89023888717133</v>
      </c>
      <c r="H3158" s="68">
        <v>138.895036546282</v>
      </c>
      <c r="I3158" s="69">
        <v>44355.46445601852</v>
      </c>
      <c r="J3158" s="69">
        <v>44355.519282407404</v>
      </c>
      <c r="K3158">
        <f>AVERAGE(H3157:H3161)</f>
        <v>139.6706693</v>
      </c>
      <c r="L3158">
        <f>STDEV(H3157:H3161)</f>
        <v>95.31103987</v>
      </c>
      <c r="M3158" s="70">
        <v>138.895036546282</v>
      </c>
      <c r="N3158" s="70">
        <v>138.895036546282</v>
      </c>
      <c r="O3158" s="70">
        <v>2.89023888717133</v>
      </c>
      <c r="P3158" s="70">
        <v>2.89023888717133</v>
      </c>
    </row>
    <row r="3159" hidden="1">
      <c r="A3159" s="67" t="s">
        <v>3919</v>
      </c>
      <c r="B3159" s="67" t="s">
        <v>17</v>
      </c>
      <c r="C3159" s="68">
        <v>1.0</v>
      </c>
      <c r="D3159" s="68">
        <v>0.75</v>
      </c>
      <c r="E3159" s="68">
        <v>8.0</v>
      </c>
      <c r="F3159" s="68">
        <v>2.0</v>
      </c>
      <c r="G3159" s="68">
        <v>3.33598489064849</v>
      </c>
      <c r="H3159" s="68">
        <v>170.541510303196</v>
      </c>
      <c r="I3159" s="69">
        <v>44355.51997685185</v>
      </c>
      <c r="J3159" s="69">
        <v>44355.52011574074</v>
      </c>
      <c r="K3159">
        <f>AVERAGE(H3157:H3161)</f>
        <v>139.6706693</v>
      </c>
      <c r="L3159">
        <f>STDEV(H3157:H3161)</f>
        <v>95.31103987</v>
      </c>
      <c r="M3159" s="70">
        <v>170.541510303196</v>
      </c>
      <c r="N3159" s="70">
        <v>170.541510303196</v>
      </c>
      <c r="O3159" s="70">
        <v>3.33598489064849</v>
      </c>
      <c r="P3159" s="70">
        <v>3.33598489064849</v>
      </c>
    </row>
    <row r="3160" hidden="1">
      <c r="A3160" s="67" t="s">
        <v>3920</v>
      </c>
      <c r="B3160" s="67" t="s">
        <v>17</v>
      </c>
      <c r="C3160" s="68">
        <v>1.0</v>
      </c>
      <c r="D3160" s="68">
        <v>0.75</v>
      </c>
      <c r="E3160" s="68">
        <v>8.0</v>
      </c>
      <c r="F3160" s="68">
        <v>3.0</v>
      </c>
      <c r="G3160" s="68">
        <v>1.7971373305512</v>
      </c>
      <c r="H3160" s="68">
        <v>30.8239946701843</v>
      </c>
      <c r="I3160" s="69">
        <v>44355.52082175926</v>
      </c>
      <c r="J3160" s="69">
        <v>44355.52113425926</v>
      </c>
      <c r="K3160">
        <f>AVERAGE(H3157:H3161)</f>
        <v>139.6706693</v>
      </c>
      <c r="L3160">
        <f>STDEV(H3157:H3161)</f>
        <v>95.31103987</v>
      </c>
      <c r="M3160" s="70">
        <v>30.8239946701843</v>
      </c>
      <c r="N3160" s="70">
        <v>30.8239946701843</v>
      </c>
      <c r="O3160" s="70">
        <v>1.7971373305512</v>
      </c>
      <c r="P3160" s="70">
        <v>1.7971373305512</v>
      </c>
    </row>
    <row r="3161" hidden="1">
      <c r="A3161" s="67" t="s">
        <v>3921</v>
      </c>
      <c r="B3161" s="67" t="s">
        <v>17</v>
      </c>
      <c r="C3161" s="68">
        <v>1.0</v>
      </c>
      <c r="D3161" s="68">
        <v>0.75</v>
      </c>
      <c r="E3161" s="68">
        <v>8.0</v>
      </c>
      <c r="F3161" s="68">
        <v>4.0</v>
      </c>
      <c r="G3161" s="68">
        <v>9.20517254296728</v>
      </c>
      <c r="H3161" s="68">
        <v>280.127240301832</v>
      </c>
      <c r="I3161" s="69">
        <v>44355.521840277775</v>
      </c>
      <c r="J3161" s="69">
        <v>44355.52253472222</v>
      </c>
      <c r="K3161">
        <f>AVERAGE(H3157:H3161)</f>
        <v>139.6706693</v>
      </c>
      <c r="L3161">
        <f>STDEV(H3157:H3161)</f>
        <v>95.31103987</v>
      </c>
      <c r="M3161" s="70">
        <v>280.127240301832</v>
      </c>
      <c r="N3161" s="70">
        <v>280.127240301832</v>
      </c>
      <c r="O3161" s="70">
        <v>9.20517254296728</v>
      </c>
      <c r="P3161" s="70">
        <v>9.20517254296728</v>
      </c>
    </row>
    <row r="3162" hidden="1">
      <c r="A3162" s="67" t="s">
        <v>3922</v>
      </c>
      <c r="B3162" s="67" t="s">
        <v>17</v>
      </c>
      <c r="C3162" s="68">
        <v>1.0</v>
      </c>
      <c r="D3162" s="68">
        <v>1.0</v>
      </c>
      <c r="E3162" s="68">
        <v>8.0</v>
      </c>
      <c r="F3162" s="68">
        <v>0.0</v>
      </c>
      <c r="G3162" s="68">
        <v>4.87276018479236</v>
      </c>
      <c r="H3162" s="68">
        <v>199.537299769726</v>
      </c>
      <c r="I3162" s="69">
        <v>44355.52322916667</v>
      </c>
      <c r="J3162" s="69">
        <v>44355.52506944445</v>
      </c>
      <c r="K3162">
        <f>AVERAGE(H3162:H3166)</f>
        <v>154.0396774</v>
      </c>
      <c r="L3162">
        <f>STDEV(H3162:H3166)</f>
        <v>44.01350897</v>
      </c>
      <c r="M3162" s="70">
        <v>199.537299769726</v>
      </c>
      <c r="N3162" s="70">
        <v>199.537299769726</v>
      </c>
      <c r="O3162" s="70">
        <v>4.87276018479236</v>
      </c>
      <c r="P3162" s="70">
        <v>4.87276018479236</v>
      </c>
    </row>
    <row r="3163" hidden="1">
      <c r="A3163" s="67" t="s">
        <v>3923</v>
      </c>
      <c r="B3163" s="67" t="s">
        <v>17</v>
      </c>
      <c r="C3163" s="68">
        <v>1.0</v>
      </c>
      <c r="D3163" s="68">
        <v>1.0</v>
      </c>
      <c r="E3163" s="68">
        <v>8.0</v>
      </c>
      <c r="F3163" s="68">
        <v>1.0</v>
      </c>
      <c r="G3163" s="68">
        <v>5.03765378572762</v>
      </c>
      <c r="H3163" s="68">
        <v>176.549991438862</v>
      </c>
      <c r="I3163" s="69">
        <v>44355.52576388889</v>
      </c>
      <c r="J3163" s="69">
        <v>44355.525821759256</v>
      </c>
      <c r="K3163">
        <f>AVERAGE(H3162:H3166)</f>
        <v>154.0396774</v>
      </c>
      <c r="L3163">
        <f>STDEV(H3162:H3166)</f>
        <v>44.01350897</v>
      </c>
      <c r="M3163" s="70">
        <v>176.549991438862</v>
      </c>
      <c r="N3163" s="70">
        <v>176.549991438862</v>
      </c>
      <c r="O3163" s="70">
        <v>5.03765378572762</v>
      </c>
      <c r="P3163" s="70">
        <v>5.03765378572762</v>
      </c>
    </row>
    <row r="3164" hidden="1">
      <c r="A3164" s="67" t="s">
        <v>3924</v>
      </c>
      <c r="B3164" s="67" t="s">
        <v>17</v>
      </c>
      <c r="C3164" s="68">
        <v>1.0</v>
      </c>
      <c r="D3164" s="68">
        <v>1.0</v>
      </c>
      <c r="E3164" s="68">
        <v>8.0</v>
      </c>
      <c r="F3164" s="68">
        <v>2.0</v>
      </c>
      <c r="G3164" s="68">
        <v>3.36350191150805</v>
      </c>
      <c r="H3164" s="68">
        <v>171.544728740011</v>
      </c>
      <c r="I3164" s="69">
        <v>44355.52652777778</v>
      </c>
      <c r="J3164" s="69">
        <v>44355.526666666665</v>
      </c>
      <c r="K3164">
        <f>AVERAGE(H3162:H3166)</f>
        <v>154.0396774</v>
      </c>
      <c r="L3164">
        <f>STDEV(H3162:H3166)</f>
        <v>44.01350897</v>
      </c>
      <c r="M3164" s="70">
        <v>171.544728740011</v>
      </c>
      <c r="N3164" s="70">
        <v>171.544728740011</v>
      </c>
      <c r="O3164" s="70">
        <v>3.36350191150805</v>
      </c>
      <c r="P3164" s="70">
        <v>3.36350191150805</v>
      </c>
    </row>
    <row r="3165" hidden="1">
      <c r="A3165" s="67" t="s">
        <v>3925</v>
      </c>
      <c r="B3165" s="67" t="s">
        <v>17</v>
      </c>
      <c r="C3165" s="68">
        <v>1.0</v>
      </c>
      <c r="D3165" s="68">
        <v>1.0</v>
      </c>
      <c r="E3165" s="68">
        <v>8.0</v>
      </c>
      <c r="F3165" s="68">
        <v>3.0</v>
      </c>
      <c r="G3165" s="68">
        <v>6.24492112196895</v>
      </c>
      <c r="H3165" s="68">
        <v>86.6930875334741</v>
      </c>
      <c r="I3165" s="69">
        <v>44355.52736111111</v>
      </c>
      <c r="J3165" s="69">
        <v>44355.527395833335</v>
      </c>
      <c r="K3165">
        <f>AVERAGE(H3162:H3166)</f>
        <v>154.0396774</v>
      </c>
      <c r="L3165">
        <f>STDEV(H3162:H3166)</f>
        <v>44.01350897</v>
      </c>
      <c r="M3165" s="70">
        <v>86.6930875334741</v>
      </c>
      <c r="N3165" s="70">
        <v>86.6930875334741</v>
      </c>
      <c r="O3165" s="70">
        <v>6.24492112196895</v>
      </c>
      <c r="P3165" s="70">
        <v>6.24492112196895</v>
      </c>
    </row>
    <row r="3166" hidden="1">
      <c r="A3166" s="67" t="s">
        <v>3926</v>
      </c>
      <c r="B3166" s="67" t="s">
        <v>17</v>
      </c>
      <c r="C3166" s="68">
        <v>1.0</v>
      </c>
      <c r="D3166" s="68">
        <v>1.0</v>
      </c>
      <c r="E3166" s="68">
        <v>8.0</v>
      </c>
      <c r="F3166" s="68">
        <v>4.0</v>
      </c>
      <c r="G3166" s="68">
        <v>2.86473495976491</v>
      </c>
      <c r="H3166" s="68">
        <v>135.873279313876</v>
      </c>
      <c r="I3166" s="69">
        <v>44355.52809027778</v>
      </c>
      <c r="J3166" s="69">
        <v>44355.582974537036</v>
      </c>
      <c r="K3166">
        <f>AVERAGE(H3162:H3166)</f>
        <v>154.0396774</v>
      </c>
      <c r="L3166">
        <f>STDEV(H3162:H3166)</f>
        <v>44.01350897</v>
      </c>
      <c r="M3166" s="70">
        <v>135.873279313876</v>
      </c>
      <c r="N3166" s="70">
        <v>135.873279313876</v>
      </c>
      <c r="O3166" s="70">
        <v>2.86473495976491</v>
      </c>
      <c r="P3166" s="70">
        <v>2.86473495976491</v>
      </c>
    </row>
    <row r="3167" hidden="1">
      <c r="A3167" s="67" t="s">
        <v>3927</v>
      </c>
      <c r="B3167" s="67" t="s">
        <v>268</v>
      </c>
      <c r="C3167" s="68">
        <v>0.1</v>
      </c>
      <c r="D3167" s="68">
        <v>0.1</v>
      </c>
      <c r="E3167" s="68">
        <v>8.0</v>
      </c>
      <c r="F3167" s="68">
        <v>0.0</v>
      </c>
      <c r="G3167" s="68">
        <v>3.3419173047449</v>
      </c>
      <c r="H3167" s="68">
        <v>154.096024160375</v>
      </c>
      <c r="I3167" s="69">
        <v>44355.58368055556</v>
      </c>
      <c r="J3167" s="69">
        <v>44355.6150462963</v>
      </c>
      <c r="K3167">
        <f>AVERAGE(H3167:H3171)</f>
        <v>163.9371803</v>
      </c>
      <c r="L3167">
        <f>STDEV(H3167:H3171)</f>
        <v>121.2882286</v>
      </c>
      <c r="M3167" s="70">
        <v>154.096024160375</v>
      </c>
      <c r="N3167" s="70">
        <v>154.096024160375</v>
      </c>
      <c r="O3167" s="70">
        <v>3.3419173047449</v>
      </c>
      <c r="P3167" s="70">
        <v>3.3419173047449</v>
      </c>
    </row>
    <row r="3168" hidden="1">
      <c r="A3168" s="67" t="s">
        <v>3928</v>
      </c>
      <c r="B3168" s="67" t="s">
        <v>268</v>
      </c>
      <c r="C3168" s="68">
        <v>0.1</v>
      </c>
      <c r="D3168" s="68">
        <v>0.1</v>
      </c>
      <c r="E3168" s="68">
        <v>8.0</v>
      </c>
      <c r="F3168" s="68">
        <v>1.0</v>
      </c>
      <c r="G3168" s="68">
        <v>7.85668990993533</v>
      </c>
      <c r="H3168" s="68">
        <v>280.558581860175</v>
      </c>
      <c r="I3168" s="69">
        <v>44355.615752314814</v>
      </c>
      <c r="J3168" s="69">
        <v>44355.61599537037</v>
      </c>
      <c r="K3168">
        <f>AVERAGE(H3167:H3171)</f>
        <v>163.9371803</v>
      </c>
      <c r="L3168">
        <f>STDEV(H3167:H3171)</f>
        <v>121.2882286</v>
      </c>
      <c r="M3168" s="70">
        <v>280.558581860175</v>
      </c>
      <c r="N3168" s="70">
        <v>280.558581860175</v>
      </c>
      <c r="O3168" s="70">
        <v>7.85668990993533</v>
      </c>
      <c r="P3168" s="70">
        <v>7.85668990993533</v>
      </c>
    </row>
    <row r="3169" hidden="1">
      <c r="A3169" s="67" t="s">
        <v>3929</v>
      </c>
      <c r="B3169" s="67" t="s">
        <v>268</v>
      </c>
      <c r="C3169" s="68">
        <v>0.1</v>
      </c>
      <c r="D3169" s="68">
        <v>0.1</v>
      </c>
      <c r="E3169" s="68">
        <v>8.0</v>
      </c>
      <c r="F3169" s="68">
        <v>2.0</v>
      </c>
      <c r="G3169" s="68">
        <v>1.91733387600337</v>
      </c>
      <c r="H3169" s="68">
        <v>95.0451215347455</v>
      </c>
      <c r="I3169" s="69">
        <v>44355.616689814815</v>
      </c>
      <c r="J3169" s="69">
        <v>44355.62296296296</v>
      </c>
      <c r="K3169">
        <f>AVERAGE(H3167:H3171)</f>
        <v>163.9371803</v>
      </c>
      <c r="L3169">
        <f>STDEV(H3167:H3171)</f>
        <v>121.2882286</v>
      </c>
      <c r="M3169" s="70">
        <v>95.0451215347455</v>
      </c>
      <c r="N3169" s="70">
        <v>95.0451215347455</v>
      </c>
      <c r="O3169" s="70">
        <v>1.91733387600337</v>
      </c>
      <c r="P3169" s="70">
        <v>1.91733387600337</v>
      </c>
    </row>
    <row r="3170" hidden="1">
      <c r="A3170" s="67" t="s">
        <v>3930</v>
      </c>
      <c r="B3170" s="67" t="s">
        <v>268</v>
      </c>
      <c r="C3170" s="68">
        <v>0.1</v>
      </c>
      <c r="D3170" s="68">
        <v>0.1</v>
      </c>
      <c r="E3170" s="68">
        <v>8.0</v>
      </c>
      <c r="F3170" s="68">
        <v>3.0</v>
      </c>
      <c r="G3170" s="68">
        <v>2.63887578269689</v>
      </c>
      <c r="H3170" s="68">
        <v>4.13488737133798</v>
      </c>
      <c r="I3170" s="69">
        <v>44355.62366898148</v>
      </c>
      <c r="J3170" s="69">
        <v>44355.623761574076</v>
      </c>
      <c r="K3170">
        <f>AVERAGE(H3167:H3171)</f>
        <v>163.9371803</v>
      </c>
      <c r="L3170">
        <f>STDEV(H3167:H3171)</f>
        <v>121.2882286</v>
      </c>
      <c r="M3170" s="70">
        <v>4.13488737133798</v>
      </c>
      <c r="N3170" s="70">
        <v>4.13488737133798</v>
      </c>
      <c r="O3170" s="70">
        <v>2.63887578269689</v>
      </c>
      <c r="P3170" s="70">
        <v>2.63887578269689</v>
      </c>
    </row>
    <row r="3171" hidden="1">
      <c r="A3171" s="67" t="s">
        <v>3931</v>
      </c>
      <c r="B3171" s="67" t="s">
        <v>268</v>
      </c>
      <c r="C3171" s="68">
        <v>0.1</v>
      </c>
      <c r="D3171" s="68">
        <v>0.1</v>
      </c>
      <c r="E3171" s="68">
        <v>8.0</v>
      </c>
      <c r="F3171" s="68">
        <v>4.0</v>
      </c>
      <c r="G3171" s="68">
        <v>8.11160972071884</v>
      </c>
      <c r="H3171" s="68">
        <v>285.851286569384</v>
      </c>
      <c r="I3171" s="69">
        <v>44355.624456018515</v>
      </c>
      <c r="J3171" s="69">
        <v>44355.624606481484</v>
      </c>
      <c r="K3171">
        <f>AVERAGE(H3167:H3171)</f>
        <v>163.9371803</v>
      </c>
      <c r="L3171">
        <f>STDEV(H3167:H3171)</f>
        <v>121.2882286</v>
      </c>
      <c r="M3171" s="70">
        <v>285.851286569384</v>
      </c>
      <c r="N3171" s="70">
        <v>285.851286569384</v>
      </c>
      <c r="O3171" s="70">
        <v>8.11160972071884</v>
      </c>
      <c r="P3171" s="70">
        <v>8.11160972071884</v>
      </c>
    </row>
    <row r="3172" hidden="1">
      <c r="A3172" s="67" t="s">
        <v>3932</v>
      </c>
      <c r="B3172" s="67" t="s">
        <v>268</v>
      </c>
      <c r="C3172" s="68">
        <v>0.1</v>
      </c>
      <c r="D3172" s="68">
        <v>0.25</v>
      </c>
      <c r="E3172" s="68">
        <v>8.0</v>
      </c>
      <c r="F3172" s="68">
        <v>0.0</v>
      </c>
      <c r="G3172" s="68">
        <v>2.74218069070261</v>
      </c>
      <c r="H3172" s="68">
        <v>109.651254162238</v>
      </c>
      <c r="I3172" s="69">
        <v>44355.62530092592</v>
      </c>
      <c r="J3172" s="69">
        <v>44355.628020833334</v>
      </c>
      <c r="K3172">
        <f>AVERAGE(H3172:H3176)</f>
        <v>159.7419196</v>
      </c>
      <c r="L3172">
        <f>STDEV(H3172:H3176)</f>
        <v>114.7951195</v>
      </c>
      <c r="M3172" s="70">
        <v>109.651254162238</v>
      </c>
      <c r="N3172" s="70">
        <v>109.651254162238</v>
      </c>
      <c r="O3172" s="70">
        <v>2.74218069070261</v>
      </c>
      <c r="P3172" s="70">
        <v>2.74218069070261</v>
      </c>
    </row>
    <row r="3173" hidden="1">
      <c r="A3173" s="67" t="s">
        <v>3933</v>
      </c>
      <c r="B3173" s="67" t="s">
        <v>268</v>
      </c>
      <c r="C3173" s="68">
        <v>0.1</v>
      </c>
      <c r="D3173" s="68">
        <v>0.25</v>
      </c>
      <c r="E3173" s="68">
        <v>8.0</v>
      </c>
      <c r="F3173" s="68">
        <v>1.0</v>
      </c>
      <c r="G3173" s="68">
        <v>8.35766514687201</v>
      </c>
      <c r="H3173" s="68">
        <v>290.055914731231</v>
      </c>
      <c r="I3173" s="69">
        <v>44355.62871527778</v>
      </c>
      <c r="J3173" s="69">
        <v>44355.62972222222</v>
      </c>
      <c r="K3173">
        <f>AVERAGE(H3172:H3176)</f>
        <v>159.7419196</v>
      </c>
      <c r="L3173">
        <f>STDEV(H3172:H3176)</f>
        <v>114.7951195</v>
      </c>
      <c r="M3173" s="70">
        <v>290.055914731231</v>
      </c>
      <c r="N3173" s="70">
        <v>290.055914731231</v>
      </c>
      <c r="O3173" s="70">
        <v>8.35766514687201</v>
      </c>
      <c r="P3173" s="70">
        <v>8.35766514687201</v>
      </c>
    </row>
    <row r="3174" hidden="1">
      <c r="A3174" s="67" t="s">
        <v>3934</v>
      </c>
      <c r="B3174" s="67" t="s">
        <v>268</v>
      </c>
      <c r="C3174" s="68">
        <v>0.1</v>
      </c>
      <c r="D3174" s="68">
        <v>0.25</v>
      </c>
      <c r="E3174" s="68">
        <v>8.0</v>
      </c>
      <c r="F3174" s="68">
        <v>2.0</v>
      </c>
      <c r="G3174" s="68">
        <v>6.55391374556007</v>
      </c>
      <c r="H3174" s="68">
        <v>248.767095968574</v>
      </c>
      <c r="I3174" s="69">
        <v>44355.630428240744</v>
      </c>
      <c r="J3174" s="69">
        <v>44355.63081018518</v>
      </c>
      <c r="K3174">
        <f>AVERAGE(H3172:H3176)</f>
        <v>159.7419196</v>
      </c>
      <c r="L3174">
        <f>STDEV(H3172:H3176)</f>
        <v>114.7951195</v>
      </c>
      <c r="M3174" s="70">
        <v>248.767095968574</v>
      </c>
      <c r="N3174" s="70">
        <v>248.767095968574</v>
      </c>
      <c r="O3174" s="70">
        <v>6.55391374556007</v>
      </c>
      <c r="P3174" s="70">
        <v>6.55391374556007</v>
      </c>
    </row>
    <row r="3175" hidden="1">
      <c r="A3175" s="67" t="s">
        <v>3935</v>
      </c>
      <c r="B3175" s="67" t="s">
        <v>268</v>
      </c>
      <c r="C3175" s="68">
        <v>0.1</v>
      </c>
      <c r="D3175" s="68">
        <v>0.25</v>
      </c>
      <c r="E3175" s="68">
        <v>8.0</v>
      </c>
      <c r="F3175" s="68">
        <v>3.0</v>
      </c>
      <c r="G3175" s="68">
        <v>0.647604310813093</v>
      </c>
      <c r="H3175" s="68">
        <v>1.04724298538336</v>
      </c>
      <c r="I3175" s="69">
        <v>44355.631516203706</v>
      </c>
      <c r="J3175" s="69">
        <v>44355.63413194445</v>
      </c>
      <c r="K3175">
        <f>AVERAGE(H3172:H3176)</f>
        <v>159.7419196</v>
      </c>
      <c r="L3175">
        <f>STDEV(H3172:H3176)</f>
        <v>114.7951195</v>
      </c>
      <c r="M3175" s="70">
        <v>1.04724298538336</v>
      </c>
      <c r="N3175" s="70">
        <v>1.04724298538336</v>
      </c>
      <c r="O3175" s="70">
        <v>0.647604310813093</v>
      </c>
      <c r="P3175" s="70">
        <v>0.647604310813093</v>
      </c>
    </row>
    <row r="3176" hidden="1">
      <c r="A3176" s="67" t="s">
        <v>3936</v>
      </c>
      <c r="B3176" s="67" t="s">
        <v>268</v>
      </c>
      <c r="C3176" s="68">
        <v>0.1</v>
      </c>
      <c r="D3176" s="68">
        <v>0.25</v>
      </c>
      <c r="E3176" s="68">
        <v>8.0</v>
      </c>
      <c r="F3176" s="68">
        <v>4.0</v>
      </c>
      <c r="G3176" s="68">
        <v>3.2777222640976</v>
      </c>
      <c r="H3176" s="68">
        <v>149.188090276671</v>
      </c>
      <c r="I3176" s="69">
        <v>44355.63483796296</v>
      </c>
      <c r="J3176" s="69">
        <v>44355.65125</v>
      </c>
      <c r="K3176">
        <f>AVERAGE(H3172:H3176)</f>
        <v>159.7419196</v>
      </c>
      <c r="L3176">
        <f>STDEV(H3172:H3176)</f>
        <v>114.7951195</v>
      </c>
      <c r="M3176" s="70">
        <v>149.188090276671</v>
      </c>
      <c r="N3176" s="70">
        <v>149.188090276671</v>
      </c>
      <c r="O3176" s="70">
        <v>3.2777222640976</v>
      </c>
      <c r="P3176" s="70">
        <v>3.2777222640976</v>
      </c>
    </row>
    <row r="3177" hidden="1">
      <c r="A3177" s="67" t="s">
        <v>3937</v>
      </c>
      <c r="B3177" s="67" t="s">
        <v>268</v>
      </c>
      <c r="C3177" s="68">
        <v>0.1</v>
      </c>
      <c r="D3177" s="68">
        <v>0.5</v>
      </c>
      <c r="E3177" s="68">
        <v>8.0</v>
      </c>
      <c r="F3177" s="68">
        <v>0.0</v>
      </c>
      <c r="G3177" s="68">
        <v>0.712515710862965</v>
      </c>
      <c r="H3177" s="68">
        <v>0.94934804346618</v>
      </c>
      <c r="I3177" s="69">
        <v>44355.65194444444</v>
      </c>
      <c r="J3177" s="69">
        <v>44355.65217592593</v>
      </c>
      <c r="K3177">
        <f>AVERAGE(H3177:H3181)</f>
        <v>82.06675513</v>
      </c>
      <c r="L3177">
        <f>STDEV(H3177:H3181)</f>
        <v>84.79598724</v>
      </c>
      <c r="M3177" s="70">
        <v>0.94934804346618</v>
      </c>
      <c r="N3177" s="70">
        <v>0.94934804346618</v>
      </c>
      <c r="O3177" s="70">
        <v>0.712515710862965</v>
      </c>
      <c r="P3177" s="70">
        <v>0.712515710862965</v>
      </c>
    </row>
    <row r="3178" hidden="1">
      <c r="A3178" s="67" t="s">
        <v>3938</v>
      </c>
      <c r="B3178" s="67" t="s">
        <v>268</v>
      </c>
      <c r="C3178" s="68">
        <v>0.1</v>
      </c>
      <c r="D3178" s="68">
        <v>0.5</v>
      </c>
      <c r="E3178" s="68">
        <v>8.0</v>
      </c>
      <c r="F3178" s="68">
        <v>1.0</v>
      </c>
      <c r="G3178" s="68">
        <v>4.01129072026018</v>
      </c>
      <c r="H3178" s="68">
        <v>178.229725517621</v>
      </c>
      <c r="I3178" s="69">
        <v>44355.65288194444</v>
      </c>
      <c r="J3178" s="69">
        <v>44355.718090277776</v>
      </c>
      <c r="K3178">
        <f>AVERAGE(H3177:H3181)</f>
        <v>82.06675513</v>
      </c>
      <c r="L3178">
        <f>STDEV(H3177:H3181)</f>
        <v>84.79598724</v>
      </c>
      <c r="M3178" s="70">
        <v>178.229725517621</v>
      </c>
      <c r="N3178" s="70">
        <v>178.229725517621</v>
      </c>
      <c r="O3178" s="70">
        <v>4.01129072026018</v>
      </c>
      <c r="P3178" s="70">
        <v>4.01129072026018</v>
      </c>
    </row>
    <row r="3179" hidden="1">
      <c r="A3179" s="67" t="s">
        <v>3939</v>
      </c>
      <c r="B3179" s="67" t="s">
        <v>268</v>
      </c>
      <c r="C3179" s="68">
        <v>0.1</v>
      </c>
      <c r="D3179" s="68">
        <v>0.5</v>
      </c>
      <c r="E3179" s="68">
        <v>8.0</v>
      </c>
      <c r="F3179" s="68">
        <v>2.0</v>
      </c>
      <c r="G3179" s="68">
        <v>4.76175231870075</v>
      </c>
      <c r="H3179" s="68">
        <v>160.776199755782</v>
      </c>
      <c r="I3179" s="69">
        <v>44355.7187962963</v>
      </c>
      <c r="J3179" s="69">
        <v>44355.7190162037</v>
      </c>
      <c r="K3179">
        <f>AVERAGE(H3177:H3181)</f>
        <v>82.06675513</v>
      </c>
      <c r="L3179">
        <f>STDEV(H3177:H3181)</f>
        <v>84.79598724</v>
      </c>
      <c r="M3179" s="70">
        <v>160.776199755782</v>
      </c>
      <c r="N3179" s="70">
        <v>160.776199755782</v>
      </c>
      <c r="O3179" s="70">
        <v>4.76175231870075</v>
      </c>
      <c r="P3179" s="70">
        <v>4.76175231870075</v>
      </c>
    </row>
    <row r="3180" hidden="1">
      <c r="A3180" s="67" t="s">
        <v>3940</v>
      </c>
      <c r="B3180" s="67" t="s">
        <v>268</v>
      </c>
      <c r="C3180" s="68">
        <v>0.1</v>
      </c>
      <c r="D3180" s="68">
        <v>0.5</v>
      </c>
      <c r="E3180" s="68">
        <v>8.0</v>
      </c>
      <c r="F3180" s="68">
        <v>3.0</v>
      </c>
      <c r="G3180" s="68">
        <v>0.739421948270547</v>
      </c>
      <c r="H3180" s="68">
        <v>0.95542451385423</v>
      </c>
      <c r="I3180" s="69">
        <v>44355.71971064815</v>
      </c>
      <c r="J3180" s="69">
        <v>44355.71991898148</v>
      </c>
      <c r="K3180">
        <f>AVERAGE(H3177:H3181)</f>
        <v>82.06675513</v>
      </c>
      <c r="L3180">
        <f>STDEV(H3177:H3181)</f>
        <v>84.79598724</v>
      </c>
      <c r="M3180" s="70">
        <v>0.95542451385423</v>
      </c>
      <c r="N3180" s="70">
        <v>0.95542451385423</v>
      </c>
      <c r="O3180" s="70">
        <v>0.739421948270547</v>
      </c>
      <c r="P3180" s="70">
        <v>0.739421948270547</v>
      </c>
    </row>
    <row r="3181" hidden="1">
      <c r="A3181" s="67" t="s">
        <v>3941</v>
      </c>
      <c r="B3181" s="67" t="s">
        <v>268</v>
      </c>
      <c r="C3181" s="68">
        <v>0.1</v>
      </c>
      <c r="D3181" s="68">
        <v>0.5</v>
      </c>
      <c r="E3181" s="68">
        <v>8.0</v>
      </c>
      <c r="F3181" s="68">
        <v>4.0</v>
      </c>
      <c r="G3181" s="68">
        <v>1.3507722819561</v>
      </c>
      <c r="H3181" s="68">
        <v>69.4230778280268</v>
      </c>
      <c r="I3181" s="69">
        <v>44355.720613425925</v>
      </c>
      <c r="J3181" s="69">
        <v>44355.721724537034</v>
      </c>
      <c r="K3181">
        <f>AVERAGE(H3177:H3181)</f>
        <v>82.06675513</v>
      </c>
      <c r="L3181">
        <f>STDEV(H3177:H3181)</f>
        <v>84.79598724</v>
      </c>
      <c r="M3181" s="70">
        <v>69.4230778280268</v>
      </c>
      <c r="N3181" s="70">
        <v>69.4230778280268</v>
      </c>
      <c r="O3181" s="70">
        <v>1.3507722819561</v>
      </c>
      <c r="P3181" s="70">
        <v>1.3507722819561</v>
      </c>
    </row>
    <row r="3182" hidden="1">
      <c r="A3182" s="67" t="s">
        <v>3942</v>
      </c>
      <c r="B3182" s="67" t="s">
        <v>268</v>
      </c>
      <c r="C3182" s="68">
        <v>0.1</v>
      </c>
      <c r="D3182" s="68">
        <v>0.75</v>
      </c>
      <c r="E3182" s="68">
        <v>8.0</v>
      </c>
      <c r="F3182" s="68">
        <v>0.0</v>
      </c>
      <c r="G3182" s="68">
        <v>4.96604647557325</v>
      </c>
      <c r="H3182" s="68">
        <v>213.158750322446</v>
      </c>
      <c r="I3182" s="69">
        <v>44355.72241898148</v>
      </c>
      <c r="J3182" s="69">
        <v>44355.72539351852</v>
      </c>
      <c r="K3182">
        <f>AVERAGE(H3182:H3186)</f>
        <v>114.873619</v>
      </c>
      <c r="L3182">
        <f>STDEV(H3182:H3186)</f>
        <v>82.04813766</v>
      </c>
      <c r="M3182" s="70">
        <v>213.158750322446</v>
      </c>
      <c r="N3182" s="70">
        <v>213.158750322446</v>
      </c>
      <c r="O3182" s="70">
        <v>4.96604647557325</v>
      </c>
      <c r="P3182" s="70">
        <v>4.96604647557325</v>
      </c>
    </row>
    <row r="3183" hidden="1">
      <c r="A3183" s="67" t="s">
        <v>3943</v>
      </c>
      <c r="B3183" s="67" t="s">
        <v>268</v>
      </c>
      <c r="C3183" s="68">
        <v>0.1</v>
      </c>
      <c r="D3183" s="68">
        <v>0.75</v>
      </c>
      <c r="E3183" s="68">
        <v>8.0</v>
      </c>
      <c r="F3183" s="68">
        <v>1.0</v>
      </c>
      <c r="G3183" s="68">
        <v>0.736192093514763</v>
      </c>
      <c r="H3183" s="68">
        <v>0.950544336758399</v>
      </c>
      <c r="I3183" s="69">
        <v>44355.72609953704</v>
      </c>
      <c r="J3183" s="69">
        <v>44355.7262962963</v>
      </c>
      <c r="K3183">
        <f>AVERAGE(H3182:H3186)</f>
        <v>114.873619</v>
      </c>
      <c r="L3183">
        <f>STDEV(H3182:H3186)</f>
        <v>82.04813766</v>
      </c>
      <c r="M3183" s="70">
        <v>0.950544336758399</v>
      </c>
      <c r="N3183" s="70">
        <v>0.950544336758399</v>
      </c>
      <c r="O3183" s="70">
        <v>0.736192093514763</v>
      </c>
      <c r="P3183" s="70">
        <v>0.736192093514763</v>
      </c>
    </row>
    <row r="3184" hidden="1">
      <c r="A3184" s="67" t="s">
        <v>3944</v>
      </c>
      <c r="B3184" s="67" t="s">
        <v>268</v>
      </c>
      <c r="C3184" s="68">
        <v>0.1</v>
      </c>
      <c r="D3184" s="68">
        <v>0.75</v>
      </c>
      <c r="E3184" s="68">
        <v>8.0</v>
      </c>
      <c r="F3184" s="68">
        <v>2.0</v>
      </c>
      <c r="G3184" s="68">
        <v>2.48827350719733</v>
      </c>
      <c r="H3184" s="68">
        <v>131.803019410388</v>
      </c>
      <c r="I3184" s="69">
        <v>44355.727002314816</v>
      </c>
      <c r="J3184" s="69">
        <v>44355.727222222224</v>
      </c>
      <c r="K3184">
        <f>AVERAGE(H3182:H3186)</f>
        <v>114.873619</v>
      </c>
      <c r="L3184">
        <f>STDEV(H3182:H3186)</f>
        <v>82.04813766</v>
      </c>
      <c r="M3184" s="70">
        <v>131.803019410388</v>
      </c>
      <c r="N3184" s="70">
        <v>131.803019410388</v>
      </c>
      <c r="O3184" s="70">
        <v>2.48827350719733</v>
      </c>
      <c r="P3184" s="70">
        <v>2.48827350719733</v>
      </c>
    </row>
    <row r="3185" hidden="1">
      <c r="A3185" s="67" t="s">
        <v>3945</v>
      </c>
      <c r="B3185" s="67" t="s">
        <v>268</v>
      </c>
      <c r="C3185" s="68">
        <v>0.1</v>
      </c>
      <c r="D3185" s="68">
        <v>0.75</v>
      </c>
      <c r="E3185" s="68">
        <v>8.0</v>
      </c>
      <c r="F3185" s="68">
        <v>3.0</v>
      </c>
      <c r="G3185" s="68">
        <v>3.62021637566269</v>
      </c>
      <c r="H3185" s="68">
        <v>158.95883642398</v>
      </c>
      <c r="I3185" s="69">
        <v>44355.72792824074</v>
      </c>
      <c r="J3185" s="69">
        <v>44355.766168981485</v>
      </c>
      <c r="K3185">
        <f>AVERAGE(H3182:H3186)</f>
        <v>114.873619</v>
      </c>
      <c r="L3185">
        <f>STDEV(H3182:H3186)</f>
        <v>82.04813766</v>
      </c>
      <c r="M3185" s="70">
        <v>158.95883642398</v>
      </c>
      <c r="N3185" s="70">
        <v>158.95883642398</v>
      </c>
      <c r="O3185" s="70">
        <v>3.62021637566269</v>
      </c>
      <c r="P3185" s="70">
        <v>3.62021637566269</v>
      </c>
    </row>
    <row r="3186" hidden="1">
      <c r="A3186" s="67" t="s">
        <v>3946</v>
      </c>
      <c r="B3186" s="67" t="s">
        <v>268</v>
      </c>
      <c r="C3186" s="68">
        <v>0.1</v>
      </c>
      <c r="D3186" s="68">
        <v>0.75</v>
      </c>
      <c r="E3186" s="68">
        <v>8.0</v>
      </c>
      <c r="F3186" s="68">
        <v>4.0</v>
      </c>
      <c r="G3186" s="68">
        <v>1.35202678106678</v>
      </c>
      <c r="H3186" s="68">
        <v>69.4969443457134</v>
      </c>
      <c r="I3186" s="69">
        <v>44355.766863425924</v>
      </c>
      <c r="J3186" s="69">
        <v>44355.767916666664</v>
      </c>
      <c r="K3186">
        <f>AVERAGE(H3182:H3186)</f>
        <v>114.873619</v>
      </c>
      <c r="L3186">
        <f>STDEV(H3182:H3186)</f>
        <v>82.04813766</v>
      </c>
      <c r="M3186" s="70">
        <v>69.4969443457134</v>
      </c>
      <c r="N3186" s="70">
        <v>69.4969443457134</v>
      </c>
      <c r="O3186" s="70">
        <v>1.35202678106678</v>
      </c>
      <c r="P3186" s="70">
        <v>1.35202678106678</v>
      </c>
    </row>
    <row r="3187" hidden="1">
      <c r="A3187" s="67" t="s">
        <v>3947</v>
      </c>
      <c r="B3187" s="67" t="s">
        <v>268</v>
      </c>
      <c r="C3187" s="68">
        <v>0.1</v>
      </c>
      <c r="D3187" s="68">
        <v>1.0</v>
      </c>
      <c r="E3187" s="68">
        <v>8.0</v>
      </c>
      <c r="F3187" s="68">
        <v>0.0</v>
      </c>
      <c r="G3187" s="68">
        <v>0.712997756536142</v>
      </c>
      <c r="H3187" s="68">
        <v>0.950093966860787</v>
      </c>
      <c r="I3187" s="69">
        <v>44355.76862268519</v>
      </c>
      <c r="J3187" s="69">
        <v>44355.768854166665</v>
      </c>
      <c r="K3187">
        <f>AVERAGE(H3187:H3191)</f>
        <v>106.3189269</v>
      </c>
      <c r="L3187">
        <f>STDEV(H3187:H3191)</f>
        <v>122.1295883</v>
      </c>
      <c r="M3187" s="70">
        <v>0.950093966860787</v>
      </c>
      <c r="N3187" s="70">
        <v>0.950093966860787</v>
      </c>
      <c r="O3187" s="70">
        <v>0.712997756536142</v>
      </c>
      <c r="P3187" s="70">
        <v>0.712997756536142</v>
      </c>
    </row>
    <row r="3188" hidden="1">
      <c r="A3188" s="67" t="s">
        <v>3948</v>
      </c>
      <c r="B3188" s="67" t="s">
        <v>268</v>
      </c>
      <c r="C3188" s="68">
        <v>0.1</v>
      </c>
      <c r="D3188" s="68">
        <v>1.0</v>
      </c>
      <c r="E3188" s="68">
        <v>8.0</v>
      </c>
      <c r="F3188" s="68">
        <v>1.0</v>
      </c>
      <c r="G3188" s="68">
        <v>0.655117364154116</v>
      </c>
      <c r="H3188" s="68">
        <v>1.21501270278872</v>
      </c>
      <c r="I3188" s="69">
        <v>44355.76956018519</v>
      </c>
      <c r="J3188" s="69">
        <v>44355.7703587963</v>
      </c>
      <c r="K3188">
        <f>AVERAGE(H3187:H3191)</f>
        <v>106.3189269</v>
      </c>
      <c r="L3188">
        <f>STDEV(H3187:H3191)</f>
        <v>122.1295883</v>
      </c>
      <c r="M3188" s="70">
        <v>1.21501270278872</v>
      </c>
      <c r="N3188" s="70">
        <v>1.21501270278872</v>
      </c>
      <c r="O3188" s="70">
        <v>0.655117364154116</v>
      </c>
      <c r="P3188" s="70">
        <v>0.655117364154116</v>
      </c>
    </row>
    <row r="3189" hidden="1">
      <c r="A3189" s="67" t="s">
        <v>3949</v>
      </c>
      <c r="B3189" s="67" t="s">
        <v>268</v>
      </c>
      <c r="C3189" s="68">
        <v>0.1</v>
      </c>
      <c r="D3189" s="68">
        <v>1.0</v>
      </c>
      <c r="E3189" s="68">
        <v>8.0</v>
      </c>
      <c r="F3189" s="68">
        <v>2.0</v>
      </c>
      <c r="G3189" s="68">
        <v>4.15628592089855</v>
      </c>
      <c r="H3189" s="68">
        <v>177.165889504436</v>
      </c>
      <c r="I3189" s="69">
        <v>44355.77106481481</v>
      </c>
      <c r="J3189" s="69">
        <v>44355.82369212963</v>
      </c>
      <c r="K3189">
        <f>AVERAGE(H3187:H3191)</f>
        <v>106.3189269</v>
      </c>
      <c r="L3189">
        <f>STDEV(H3187:H3191)</f>
        <v>122.1295883</v>
      </c>
      <c r="M3189" s="70">
        <v>177.165889504436</v>
      </c>
      <c r="N3189" s="70">
        <v>177.165889504436</v>
      </c>
      <c r="O3189" s="70">
        <v>4.15628592089855</v>
      </c>
      <c r="P3189" s="70">
        <v>4.15628592089855</v>
      </c>
    </row>
    <row r="3190" hidden="1">
      <c r="A3190" s="67" t="s">
        <v>3950</v>
      </c>
      <c r="B3190" s="67" t="s">
        <v>268</v>
      </c>
      <c r="C3190" s="68">
        <v>0.1</v>
      </c>
      <c r="D3190" s="68">
        <v>1.0</v>
      </c>
      <c r="E3190" s="68">
        <v>8.0</v>
      </c>
      <c r="F3190" s="68">
        <v>3.0</v>
      </c>
      <c r="G3190" s="68">
        <v>7.97936848460313</v>
      </c>
      <c r="H3190" s="68">
        <v>282.776438423787</v>
      </c>
      <c r="I3190" s="69">
        <v>44355.82439814815</v>
      </c>
      <c r="J3190" s="69">
        <v>44355.824641203704</v>
      </c>
      <c r="K3190">
        <f>AVERAGE(H3187:H3191)</f>
        <v>106.3189269</v>
      </c>
      <c r="L3190">
        <f>STDEV(H3187:H3191)</f>
        <v>122.1295883</v>
      </c>
      <c r="M3190" s="70">
        <v>282.776438423787</v>
      </c>
      <c r="N3190" s="70">
        <v>282.776438423787</v>
      </c>
      <c r="O3190" s="70">
        <v>7.97936848460313</v>
      </c>
      <c r="P3190" s="70">
        <v>7.97936848460313</v>
      </c>
    </row>
    <row r="3191" hidden="1">
      <c r="A3191" s="67" t="s">
        <v>3951</v>
      </c>
      <c r="B3191" s="67" t="s">
        <v>268</v>
      </c>
      <c r="C3191" s="68">
        <v>0.1</v>
      </c>
      <c r="D3191" s="68">
        <v>1.0</v>
      </c>
      <c r="E3191" s="68">
        <v>8.0</v>
      </c>
      <c r="F3191" s="68">
        <v>4.0</v>
      </c>
      <c r="G3191" s="68">
        <v>1.35169134501324</v>
      </c>
      <c r="H3191" s="68">
        <v>69.4871999436822</v>
      </c>
      <c r="I3191" s="69">
        <v>44355.82534722222</v>
      </c>
      <c r="J3191" s="69">
        <v>44355.82642361111</v>
      </c>
      <c r="K3191">
        <f>AVERAGE(H3187:H3191)</f>
        <v>106.3189269</v>
      </c>
      <c r="L3191">
        <f>STDEV(H3187:H3191)</f>
        <v>122.1295883</v>
      </c>
      <c r="M3191" s="70">
        <v>69.4871999436822</v>
      </c>
      <c r="N3191" s="70">
        <v>69.4871999436822</v>
      </c>
      <c r="O3191" s="70">
        <v>1.35169134501324</v>
      </c>
      <c r="P3191" s="70">
        <v>1.35169134501324</v>
      </c>
    </row>
    <row r="3192" hidden="1">
      <c r="A3192" s="67" t="s">
        <v>3952</v>
      </c>
      <c r="B3192" s="67" t="s">
        <v>268</v>
      </c>
      <c r="C3192" s="68">
        <v>0.25</v>
      </c>
      <c r="D3192" s="68">
        <v>0.1</v>
      </c>
      <c r="E3192" s="68">
        <v>8.0</v>
      </c>
      <c r="F3192" s="68">
        <v>0.0</v>
      </c>
      <c r="G3192" s="68">
        <v>0.71205655889852</v>
      </c>
      <c r="H3192" s="68">
        <v>0.948977832482219</v>
      </c>
      <c r="I3192" s="69">
        <v>44355.82712962963</v>
      </c>
      <c r="J3192" s="69">
        <v>44355.82734953704</v>
      </c>
      <c r="K3192">
        <f>AVERAGE(H3192:H3196)</f>
        <v>127.540427</v>
      </c>
      <c r="L3192">
        <f>STDEV(H3192:H3196)</f>
        <v>121.9498267</v>
      </c>
      <c r="M3192" s="70">
        <v>0.948977832482219</v>
      </c>
      <c r="N3192" s="70">
        <v>0.948977832482219</v>
      </c>
      <c r="O3192" s="70">
        <v>0.71205655889852</v>
      </c>
      <c r="P3192" s="70">
        <v>0.71205655889852</v>
      </c>
    </row>
    <row r="3193" hidden="1">
      <c r="A3193" s="67" t="s">
        <v>3953</v>
      </c>
      <c r="B3193" s="67" t="s">
        <v>268</v>
      </c>
      <c r="C3193" s="68">
        <v>0.25</v>
      </c>
      <c r="D3193" s="68">
        <v>0.1</v>
      </c>
      <c r="E3193" s="68">
        <v>8.0</v>
      </c>
      <c r="F3193" s="68">
        <v>1.0</v>
      </c>
      <c r="G3193" s="68">
        <v>1.7093782413279</v>
      </c>
      <c r="H3193" s="68">
        <v>26.9281221947579</v>
      </c>
      <c r="I3193" s="69">
        <v>44355.828055555554</v>
      </c>
      <c r="J3193" s="69">
        <v>44355.828668981485</v>
      </c>
      <c r="K3193">
        <f>AVERAGE(H3192:H3196)</f>
        <v>127.540427</v>
      </c>
      <c r="L3193">
        <f>STDEV(H3192:H3196)</f>
        <v>121.9498267</v>
      </c>
      <c r="M3193" s="70">
        <v>26.9281221947579</v>
      </c>
      <c r="N3193" s="70">
        <v>26.9281221947579</v>
      </c>
      <c r="O3193" s="70">
        <v>1.7093782413279</v>
      </c>
      <c r="P3193" s="70">
        <v>1.7093782413279</v>
      </c>
    </row>
    <row r="3194" hidden="1">
      <c r="A3194" s="67" t="s">
        <v>3954</v>
      </c>
      <c r="B3194" s="67" t="s">
        <v>268</v>
      </c>
      <c r="C3194" s="68">
        <v>0.25</v>
      </c>
      <c r="D3194" s="68">
        <v>0.1</v>
      </c>
      <c r="E3194" s="68">
        <v>8.0</v>
      </c>
      <c r="F3194" s="68">
        <v>2.0</v>
      </c>
      <c r="G3194" s="68">
        <v>4.53769455159882</v>
      </c>
      <c r="H3194" s="68">
        <v>159.346443649493</v>
      </c>
      <c r="I3194" s="69">
        <v>44355.829375</v>
      </c>
      <c r="J3194" s="69">
        <v>44355.829780092594</v>
      </c>
      <c r="K3194">
        <f>AVERAGE(H3192:H3196)</f>
        <v>127.540427</v>
      </c>
      <c r="L3194">
        <f>STDEV(H3192:H3196)</f>
        <v>121.9498267</v>
      </c>
      <c r="M3194" s="70">
        <v>159.346443649493</v>
      </c>
      <c r="N3194" s="70">
        <v>159.346443649493</v>
      </c>
      <c r="O3194" s="70">
        <v>4.53769455159882</v>
      </c>
      <c r="P3194" s="70">
        <v>4.53769455159882</v>
      </c>
    </row>
    <row r="3195" hidden="1">
      <c r="A3195" s="67" t="s">
        <v>3955</v>
      </c>
      <c r="B3195" s="67" t="s">
        <v>268</v>
      </c>
      <c r="C3195" s="68">
        <v>0.25</v>
      </c>
      <c r="D3195" s="68">
        <v>0.1</v>
      </c>
      <c r="E3195" s="68">
        <v>8.0</v>
      </c>
      <c r="F3195" s="68">
        <v>3.0</v>
      </c>
      <c r="G3195" s="68">
        <v>2.95258836993735</v>
      </c>
      <c r="H3195" s="68">
        <v>143.884979371658</v>
      </c>
      <c r="I3195" s="69">
        <v>44355.83048611111</v>
      </c>
      <c r="J3195" s="69">
        <v>44355.89003472222</v>
      </c>
      <c r="K3195">
        <f>AVERAGE(H3192:H3196)</f>
        <v>127.540427</v>
      </c>
      <c r="L3195">
        <f>STDEV(H3192:H3196)</f>
        <v>121.9498267</v>
      </c>
      <c r="M3195" s="70">
        <v>143.884979371658</v>
      </c>
      <c r="N3195" s="70">
        <v>143.884979371658</v>
      </c>
      <c r="O3195" s="70">
        <v>2.95258836993735</v>
      </c>
      <c r="P3195" s="70">
        <v>2.95258836993735</v>
      </c>
    </row>
    <row r="3196" hidden="1">
      <c r="A3196" s="67" t="s">
        <v>3956</v>
      </c>
      <c r="B3196" s="67" t="s">
        <v>268</v>
      </c>
      <c r="C3196" s="68">
        <v>0.25</v>
      </c>
      <c r="D3196" s="68">
        <v>0.1</v>
      </c>
      <c r="E3196" s="68">
        <v>8.0</v>
      </c>
      <c r="F3196" s="68">
        <v>4.0</v>
      </c>
      <c r="G3196" s="68">
        <v>9.28011452020477</v>
      </c>
      <c r="H3196" s="68">
        <v>306.593611838273</v>
      </c>
      <c r="I3196" s="69">
        <v>44355.89074074074</v>
      </c>
      <c r="J3196" s="69">
        <v>44355.891180555554</v>
      </c>
      <c r="K3196">
        <f>AVERAGE(H3192:H3196)</f>
        <v>127.540427</v>
      </c>
      <c r="L3196">
        <f>STDEV(H3192:H3196)</f>
        <v>121.9498267</v>
      </c>
      <c r="M3196" s="70">
        <v>306.593611838273</v>
      </c>
      <c r="N3196" s="70">
        <v>306.593611838273</v>
      </c>
      <c r="O3196" s="70">
        <v>9.28011452020477</v>
      </c>
      <c r="P3196" s="70">
        <v>9.28011452020477</v>
      </c>
    </row>
    <row r="3197" hidden="1">
      <c r="A3197" s="67" t="s">
        <v>3957</v>
      </c>
      <c r="B3197" s="67" t="s">
        <v>268</v>
      </c>
      <c r="C3197" s="68">
        <v>0.25</v>
      </c>
      <c r="D3197" s="68">
        <v>0.25</v>
      </c>
      <c r="E3197" s="68">
        <v>8.0</v>
      </c>
      <c r="F3197" s="68">
        <v>0.0</v>
      </c>
      <c r="G3197" s="68">
        <v>0.712515710862965</v>
      </c>
      <c r="H3197" s="68">
        <v>0.94934804346618</v>
      </c>
      <c r="I3197" s="69">
        <v>44355.89188657407</v>
      </c>
      <c r="J3197" s="69">
        <v>44355.89210648148</v>
      </c>
      <c r="K3197">
        <f>AVERAGE(H3197:H3201)</f>
        <v>110.3669298</v>
      </c>
      <c r="L3197">
        <f>STDEV(H3197:H3201)</f>
        <v>107.7950338</v>
      </c>
      <c r="M3197" s="70">
        <v>0.94934804346618</v>
      </c>
      <c r="N3197" s="70">
        <v>0.94934804346618</v>
      </c>
      <c r="O3197" s="70">
        <v>0.712515710862965</v>
      </c>
      <c r="P3197" s="70">
        <v>0.712515710862965</v>
      </c>
    </row>
    <row r="3198" hidden="1">
      <c r="A3198" s="67" t="s">
        <v>3958</v>
      </c>
      <c r="B3198" s="67" t="s">
        <v>268</v>
      </c>
      <c r="C3198" s="68">
        <v>0.25</v>
      </c>
      <c r="D3198" s="68">
        <v>0.25</v>
      </c>
      <c r="E3198" s="68">
        <v>8.0</v>
      </c>
      <c r="F3198" s="68">
        <v>1.0</v>
      </c>
      <c r="G3198" s="68">
        <v>0.738388919616822</v>
      </c>
      <c r="H3198" s="68">
        <v>0.954404004182583</v>
      </c>
      <c r="I3198" s="69">
        <v>44355.8928125</v>
      </c>
      <c r="J3198" s="69">
        <v>44355.893009259256</v>
      </c>
      <c r="K3198">
        <f>AVERAGE(H3197:H3201)</f>
        <v>110.3669298</v>
      </c>
      <c r="L3198">
        <f>STDEV(H3197:H3201)</f>
        <v>107.7950338</v>
      </c>
      <c r="M3198" s="70">
        <v>0.954404004182583</v>
      </c>
      <c r="N3198" s="70">
        <v>0.954404004182583</v>
      </c>
      <c r="O3198" s="70">
        <v>0.738388919616822</v>
      </c>
      <c r="P3198" s="70">
        <v>0.738388919616822</v>
      </c>
    </row>
    <row r="3199" hidden="1">
      <c r="A3199" s="67" t="s">
        <v>3959</v>
      </c>
      <c r="B3199" s="67" t="s">
        <v>268</v>
      </c>
      <c r="C3199" s="68">
        <v>0.25</v>
      </c>
      <c r="D3199" s="68">
        <v>0.25</v>
      </c>
      <c r="E3199" s="68">
        <v>8.0</v>
      </c>
      <c r="F3199" s="68">
        <v>2.0</v>
      </c>
      <c r="G3199" s="68">
        <v>6.38997338825364</v>
      </c>
      <c r="H3199" s="68">
        <v>249.277545727391</v>
      </c>
      <c r="I3199" s="69">
        <v>44355.89371527778</v>
      </c>
      <c r="J3199" s="69">
        <v>44355.894780092596</v>
      </c>
      <c r="K3199">
        <f>AVERAGE(H3197:H3201)</f>
        <v>110.3669298</v>
      </c>
      <c r="L3199">
        <f>STDEV(H3197:H3201)</f>
        <v>107.7950338</v>
      </c>
      <c r="M3199" s="70">
        <v>249.277545727391</v>
      </c>
      <c r="N3199" s="70">
        <v>249.277545727391</v>
      </c>
      <c r="O3199" s="70">
        <v>6.38997338825364</v>
      </c>
      <c r="P3199" s="70">
        <v>6.38997338825364</v>
      </c>
    </row>
    <row r="3200" hidden="1">
      <c r="A3200" s="67" t="s">
        <v>3960</v>
      </c>
      <c r="B3200" s="67" t="s">
        <v>268</v>
      </c>
      <c r="C3200" s="68">
        <v>0.25</v>
      </c>
      <c r="D3200" s="68">
        <v>0.25</v>
      </c>
      <c r="E3200" s="68">
        <v>8.0</v>
      </c>
      <c r="F3200" s="68">
        <v>3.0</v>
      </c>
      <c r="G3200" s="68">
        <v>3.12103333218755</v>
      </c>
      <c r="H3200" s="68">
        <v>145.528370979778</v>
      </c>
      <c r="I3200" s="69">
        <v>44355.89548611111</v>
      </c>
      <c r="J3200" s="69">
        <v>44355.966840277775</v>
      </c>
      <c r="K3200">
        <f>AVERAGE(H3197:H3201)</f>
        <v>110.3669298</v>
      </c>
      <c r="L3200">
        <f>STDEV(H3197:H3201)</f>
        <v>107.7950338</v>
      </c>
      <c r="M3200" s="70">
        <v>145.528370979778</v>
      </c>
      <c r="N3200" s="70">
        <v>145.528370979778</v>
      </c>
      <c r="O3200" s="70">
        <v>3.12103333218755</v>
      </c>
      <c r="P3200" s="70">
        <v>3.12103333218755</v>
      </c>
    </row>
    <row r="3201" hidden="1">
      <c r="A3201" s="67" t="s">
        <v>3961</v>
      </c>
      <c r="B3201" s="67" t="s">
        <v>268</v>
      </c>
      <c r="C3201" s="68">
        <v>0.25</v>
      </c>
      <c r="D3201" s="68">
        <v>0.25</v>
      </c>
      <c r="E3201" s="68">
        <v>8.0</v>
      </c>
      <c r="F3201" s="68">
        <v>4.0</v>
      </c>
      <c r="G3201" s="68">
        <v>4.95412374415906</v>
      </c>
      <c r="H3201" s="68">
        <v>155.124980405851</v>
      </c>
      <c r="I3201" s="69">
        <v>44355.9675462963</v>
      </c>
      <c r="J3201" s="69">
        <v>44355.96765046296</v>
      </c>
      <c r="K3201">
        <f>AVERAGE(H3197:H3201)</f>
        <v>110.3669298</v>
      </c>
      <c r="L3201">
        <f>STDEV(H3197:H3201)</f>
        <v>107.7950338</v>
      </c>
      <c r="M3201" s="70">
        <v>155.124980405851</v>
      </c>
      <c r="N3201" s="70">
        <v>155.124980405851</v>
      </c>
      <c r="O3201" s="70">
        <v>4.95412374415906</v>
      </c>
      <c r="P3201" s="70">
        <v>4.95412374415906</v>
      </c>
    </row>
    <row r="3202" hidden="1">
      <c r="A3202" s="67" t="s">
        <v>3962</v>
      </c>
      <c r="B3202" s="67" t="s">
        <v>268</v>
      </c>
      <c r="C3202" s="68">
        <v>0.25</v>
      </c>
      <c r="D3202" s="68">
        <v>0.5</v>
      </c>
      <c r="E3202" s="68">
        <v>8.0</v>
      </c>
      <c r="F3202" s="68">
        <v>0.0</v>
      </c>
      <c r="G3202" s="68">
        <v>1.08182500887364</v>
      </c>
      <c r="H3202" s="68">
        <v>1.45203428376343</v>
      </c>
      <c r="I3202" s="69">
        <v>44355.968356481484</v>
      </c>
      <c r="J3202" s="69">
        <v>44355.96847222222</v>
      </c>
      <c r="K3202">
        <f>AVERAGE(H3202:H3206)</f>
        <v>51.2135582</v>
      </c>
      <c r="L3202">
        <f>STDEV(H3202:H3206)</f>
        <v>77.72309053</v>
      </c>
      <c r="M3202" s="70">
        <v>1.45203428376343</v>
      </c>
      <c r="N3202" s="70">
        <v>1.45203428376343</v>
      </c>
      <c r="O3202" s="70">
        <v>1.08182500887364</v>
      </c>
      <c r="P3202" s="70">
        <v>1.08182500887364</v>
      </c>
    </row>
    <row r="3203" hidden="1">
      <c r="A3203" s="67" t="s">
        <v>3963</v>
      </c>
      <c r="B3203" s="67" t="s">
        <v>268</v>
      </c>
      <c r="C3203" s="68">
        <v>0.25</v>
      </c>
      <c r="D3203" s="68">
        <v>0.5</v>
      </c>
      <c r="E3203" s="68">
        <v>8.0</v>
      </c>
      <c r="F3203" s="68">
        <v>1.0</v>
      </c>
      <c r="G3203" s="68">
        <v>4.07712310216296</v>
      </c>
      <c r="H3203" s="68">
        <v>180.105417953251</v>
      </c>
      <c r="I3203" s="69">
        <v>44355.96917824074</v>
      </c>
      <c r="J3203" s="69">
        <v>44356.02967592593</v>
      </c>
      <c r="K3203">
        <f>AVERAGE(H3202:H3206)</f>
        <v>51.2135582</v>
      </c>
      <c r="L3203">
        <f>STDEV(H3202:H3206)</f>
        <v>77.72309053</v>
      </c>
      <c r="M3203" s="70">
        <v>180.105417953251</v>
      </c>
      <c r="N3203" s="70">
        <v>180.105417953251</v>
      </c>
      <c r="O3203" s="70">
        <v>4.07712310216296</v>
      </c>
      <c r="P3203" s="70">
        <v>4.07712310216296</v>
      </c>
    </row>
    <row r="3204" hidden="1">
      <c r="A3204" s="67" t="s">
        <v>3964</v>
      </c>
      <c r="B3204" s="67" t="s">
        <v>268</v>
      </c>
      <c r="C3204" s="68">
        <v>0.25</v>
      </c>
      <c r="D3204" s="68">
        <v>0.5</v>
      </c>
      <c r="E3204" s="68">
        <v>8.0</v>
      </c>
      <c r="F3204" s="68">
        <v>2.0</v>
      </c>
      <c r="G3204" s="68">
        <v>1.3507722819561</v>
      </c>
      <c r="H3204" s="68">
        <v>69.4230778280268</v>
      </c>
      <c r="I3204" s="69">
        <v>44356.030381944445</v>
      </c>
      <c r="J3204" s="69">
        <v>44356.03152777778</v>
      </c>
      <c r="K3204">
        <f>AVERAGE(H3202:H3206)</f>
        <v>51.2135582</v>
      </c>
      <c r="L3204">
        <f>STDEV(H3202:H3206)</f>
        <v>77.72309053</v>
      </c>
      <c r="M3204" s="70">
        <v>69.4230778280268</v>
      </c>
      <c r="N3204" s="70">
        <v>69.4230778280268</v>
      </c>
      <c r="O3204" s="70">
        <v>1.3507722819561</v>
      </c>
      <c r="P3204" s="70">
        <v>1.3507722819561</v>
      </c>
    </row>
    <row r="3205" hidden="1">
      <c r="A3205" s="67" t="s">
        <v>3965</v>
      </c>
      <c r="B3205" s="67" t="s">
        <v>268</v>
      </c>
      <c r="C3205" s="68">
        <v>0.25</v>
      </c>
      <c r="D3205" s="68">
        <v>0.5</v>
      </c>
      <c r="E3205" s="68">
        <v>8.0</v>
      </c>
      <c r="F3205" s="68">
        <v>3.0</v>
      </c>
      <c r="G3205" s="68">
        <v>2.64145420487137</v>
      </c>
      <c r="H3205" s="68">
        <v>4.1380101737941</v>
      </c>
      <c r="I3205" s="69">
        <v>44356.03223379629</v>
      </c>
      <c r="J3205" s="69">
        <v>44356.03233796296</v>
      </c>
      <c r="K3205">
        <f>AVERAGE(H3202:H3206)</f>
        <v>51.2135582</v>
      </c>
      <c r="L3205">
        <f>STDEV(H3202:H3206)</f>
        <v>77.72309053</v>
      </c>
      <c r="M3205" s="70">
        <v>4.1380101737941</v>
      </c>
      <c r="N3205" s="70">
        <v>4.1380101737941</v>
      </c>
      <c r="O3205" s="70">
        <v>2.64145420487137</v>
      </c>
      <c r="P3205" s="70">
        <v>2.64145420487137</v>
      </c>
    </row>
    <row r="3206" hidden="1">
      <c r="A3206" s="67" t="s">
        <v>3966</v>
      </c>
      <c r="B3206" s="67" t="s">
        <v>268</v>
      </c>
      <c r="C3206" s="68">
        <v>0.25</v>
      </c>
      <c r="D3206" s="68">
        <v>0.5</v>
      </c>
      <c r="E3206" s="68">
        <v>8.0</v>
      </c>
      <c r="F3206" s="68">
        <v>4.0</v>
      </c>
      <c r="G3206" s="68">
        <v>0.712368747006467</v>
      </c>
      <c r="H3206" s="68">
        <v>0.949250738237319</v>
      </c>
      <c r="I3206" s="69">
        <v>44356.03304398148</v>
      </c>
      <c r="J3206" s="69">
        <v>44356.03328703704</v>
      </c>
      <c r="K3206">
        <f>AVERAGE(H3202:H3206)</f>
        <v>51.2135582</v>
      </c>
      <c r="L3206">
        <f>STDEV(H3202:H3206)</f>
        <v>77.72309053</v>
      </c>
      <c r="M3206" s="70">
        <v>0.949250738237319</v>
      </c>
      <c r="N3206" s="70">
        <v>0.949250738237319</v>
      </c>
      <c r="O3206" s="70">
        <v>0.712368747006467</v>
      </c>
      <c r="P3206" s="70">
        <v>0.712368747006467</v>
      </c>
    </row>
    <row r="3207" hidden="1">
      <c r="A3207" s="67" t="s">
        <v>3967</v>
      </c>
      <c r="B3207" s="67" t="s">
        <v>268</v>
      </c>
      <c r="C3207" s="68">
        <v>0.25</v>
      </c>
      <c r="D3207" s="68">
        <v>0.75</v>
      </c>
      <c r="E3207" s="68">
        <v>8.0</v>
      </c>
      <c r="F3207" s="68">
        <v>0.0</v>
      </c>
      <c r="G3207" s="68">
        <v>2.26849983912729</v>
      </c>
      <c r="H3207" s="68">
        <v>108.120524478336</v>
      </c>
      <c r="I3207" s="69">
        <v>44356.03399305556</v>
      </c>
      <c r="J3207" s="69">
        <v>44356.08709490741</v>
      </c>
      <c r="K3207">
        <f>AVERAGE(H3207:H3211)</f>
        <v>169.6002515</v>
      </c>
      <c r="L3207">
        <f>STDEV(H3207:H3211)</f>
        <v>116.5986752</v>
      </c>
      <c r="M3207" s="70">
        <v>108.120524478336</v>
      </c>
      <c r="N3207" s="70">
        <v>108.120524478336</v>
      </c>
      <c r="O3207" s="70">
        <v>2.26849983912729</v>
      </c>
      <c r="P3207" s="70">
        <v>2.26849983912729</v>
      </c>
    </row>
    <row r="3208" hidden="1">
      <c r="A3208" s="67" t="s">
        <v>3968</v>
      </c>
      <c r="B3208" s="67" t="s">
        <v>268</v>
      </c>
      <c r="C3208" s="68">
        <v>0.25</v>
      </c>
      <c r="D3208" s="68">
        <v>0.75</v>
      </c>
      <c r="E3208" s="68">
        <v>8.0</v>
      </c>
      <c r="F3208" s="68">
        <v>1.0</v>
      </c>
      <c r="G3208" s="68">
        <v>1.71779916634903</v>
      </c>
      <c r="H3208" s="68">
        <v>27.9027602783713</v>
      </c>
      <c r="I3208" s="69">
        <v>44356.087800925925</v>
      </c>
      <c r="J3208" s="69">
        <v>44356.088472222225</v>
      </c>
      <c r="K3208">
        <f>AVERAGE(H3207:H3211)</f>
        <v>169.6002515</v>
      </c>
      <c r="L3208">
        <f>STDEV(H3207:H3211)</f>
        <v>116.5986752</v>
      </c>
      <c r="M3208" s="70">
        <v>27.9027602783713</v>
      </c>
      <c r="N3208" s="70">
        <v>27.9027602783713</v>
      </c>
      <c r="O3208" s="70">
        <v>1.71779916634903</v>
      </c>
      <c r="P3208" s="70">
        <v>1.71779916634903</v>
      </c>
    </row>
    <row r="3209" hidden="1">
      <c r="A3209" s="67" t="s">
        <v>3969</v>
      </c>
      <c r="B3209" s="67" t="s">
        <v>268</v>
      </c>
      <c r="C3209" s="68">
        <v>0.25</v>
      </c>
      <c r="D3209" s="68">
        <v>0.75</v>
      </c>
      <c r="E3209" s="68">
        <v>8.0</v>
      </c>
      <c r="F3209" s="68">
        <v>2.0</v>
      </c>
      <c r="G3209" s="68">
        <v>8.40740419874332</v>
      </c>
      <c r="H3209" s="68">
        <v>290.42795778103</v>
      </c>
      <c r="I3209" s="69">
        <v>44356.08917824074</v>
      </c>
      <c r="J3209" s="69">
        <v>44356.089733796296</v>
      </c>
      <c r="K3209">
        <f>AVERAGE(H3207:H3211)</f>
        <v>169.6002515</v>
      </c>
      <c r="L3209">
        <f>STDEV(H3207:H3211)</f>
        <v>116.5986752</v>
      </c>
      <c r="M3209" s="70">
        <v>290.42795778103</v>
      </c>
      <c r="N3209" s="70">
        <v>290.42795778103</v>
      </c>
      <c r="O3209" s="70">
        <v>8.40740419874332</v>
      </c>
      <c r="P3209" s="70">
        <v>8.40740419874332</v>
      </c>
    </row>
    <row r="3210" hidden="1">
      <c r="A3210" s="67" t="s">
        <v>3970</v>
      </c>
      <c r="B3210" s="67" t="s">
        <v>268</v>
      </c>
      <c r="C3210" s="68">
        <v>0.25</v>
      </c>
      <c r="D3210" s="68">
        <v>0.75</v>
      </c>
      <c r="E3210" s="68">
        <v>8.0</v>
      </c>
      <c r="F3210" s="68">
        <v>3.0</v>
      </c>
      <c r="G3210" s="68">
        <v>8.35300488282808</v>
      </c>
      <c r="H3210" s="68">
        <v>289.93627555117</v>
      </c>
      <c r="I3210" s="69">
        <v>44356.09042824074</v>
      </c>
      <c r="J3210" s="69">
        <v>44356.09148148148</v>
      </c>
      <c r="K3210">
        <f>AVERAGE(H3207:H3211)</f>
        <v>169.6002515</v>
      </c>
      <c r="L3210">
        <f>STDEV(H3207:H3211)</f>
        <v>116.5986752</v>
      </c>
      <c r="M3210" s="70">
        <v>289.93627555117</v>
      </c>
      <c r="N3210" s="70">
        <v>289.93627555117</v>
      </c>
      <c r="O3210" s="70">
        <v>8.35300488282808</v>
      </c>
      <c r="P3210" s="70">
        <v>8.35300488282808</v>
      </c>
    </row>
    <row r="3211" hidden="1">
      <c r="A3211" s="67" t="s">
        <v>3971</v>
      </c>
      <c r="B3211" s="67" t="s">
        <v>268</v>
      </c>
      <c r="C3211" s="68">
        <v>0.25</v>
      </c>
      <c r="D3211" s="68">
        <v>0.75</v>
      </c>
      <c r="E3211" s="68">
        <v>8.0</v>
      </c>
      <c r="F3211" s="68">
        <v>4.0</v>
      </c>
      <c r="G3211" s="68">
        <v>2.48310381595354</v>
      </c>
      <c r="H3211" s="68">
        <v>131.613739253939</v>
      </c>
      <c r="I3211" s="69">
        <v>44356.0921875</v>
      </c>
      <c r="J3211" s="69">
        <v>44356.09243055555</v>
      </c>
      <c r="K3211">
        <f>AVERAGE(H3207:H3211)</f>
        <v>169.6002515</v>
      </c>
      <c r="L3211">
        <f>STDEV(H3207:H3211)</f>
        <v>116.5986752</v>
      </c>
      <c r="M3211" s="70">
        <v>131.613739253939</v>
      </c>
      <c r="N3211" s="70">
        <v>131.613739253939</v>
      </c>
      <c r="O3211" s="70">
        <v>2.48310381595354</v>
      </c>
      <c r="P3211" s="70">
        <v>2.48310381595354</v>
      </c>
    </row>
    <row r="3212" hidden="1">
      <c r="A3212" s="67" t="s">
        <v>3972</v>
      </c>
      <c r="B3212" s="67" t="s">
        <v>268</v>
      </c>
      <c r="C3212" s="68">
        <v>0.25</v>
      </c>
      <c r="D3212" s="68">
        <v>1.0</v>
      </c>
      <c r="E3212" s="68">
        <v>8.0</v>
      </c>
      <c r="F3212" s="68">
        <v>0.0</v>
      </c>
      <c r="G3212" s="68">
        <v>0.319096105615425</v>
      </c>
      <c r="H3212" s="68">
        <v>0.408517979006142</v>
      </c>
      <c r="I3212" s="69">
        <v>44356.093125</v>
      </c>
      <c r="J3212" s="69">
        <v>44356.093194444446</v>
      </c>
      <c r="K3212">
        <f>AVERAGE(H3212:H3216)</f>
        <v>104.0692073</v>
      </c>
      <c r="L3212">
        <f>STDEV(H3212:H3216)</f>
        <v>101.3845826</v>
      </c>
      <c r="M3212" s="70">
        <v>0.408517979006142</v>
      </c>
      <c r="N3212" s="70">
        <v>0.408517979006142</v>
      </c>
      <c r="O3212" s="70">
        <v>0.319096105615425</v>
      </c>
      <c r="P3212" s="70">
        <v>0.319096105615425</v>
      </c>
    </row>
    <row r="3213" hidden="1">
      <c r="A3213" s="67" t="s">
        <v>3973</v>
      </c>
      <c r="B3213" s="67" t="s">
        <v>268</v>
      </c>
      <c r="C3213" s="68">
        <v>0.25</v>
      </c>
      <c r="D3213" s="68">
        <v>1.0</v>
      </c>
      <c r="E3213" s="68">
        <v>8.0</v>
      </c>
      <c r="F3213" s="68">
        <v>1.0</v>
      </c>
      <c r="G3213" s="68">
        <v>5.81640775898001</v>
      </c>
      <c r="H3213" s="68">
        <v>237.5795501564</v>
      </c>
      <c r="I3213" s="69">
        <v>44356.09388888889</v>
      </c>
      <c r="J3213" s="69">
        <v>44356.095046296294</v>
      </c>
      <c r="K3213">
        <f>AVERAGE(H3212:H3216)</f>
        <v>104.0692073</v>
      </c>
      <c r="L3213">
        <f>STDEV(H3212:H3216)</f>
        <v>101.3845826</v>
      </c>
      <c r="M3213" s="70">
        <v>237.5795501564</v>
      </c>
      <c r="N3213" s="70">
        <v>237.5795501564</v>
      </c>
      <c r="O3213" s="70">
        <v>5.81640775898001</v>
      </c>
      <c r="P3213" s="70">
        <v>5.81640775898001</v>
      </c>
    </row>
    <row r="3214" hidden="1">
      <c r="A3214" s="67" t="s">
        <v>3974</v>
      </c>
      <c r="B3214" s="67" t="s">
        <v>268</v>
      </c>
      <c r="C3214" s="68">
        <v>0.25</v>
      </c>
      <c r="D3214" s="68">
        <v>1.0</v>
      </c>
      <c r="E3214" s="68">
        <v>8.0</v>
      </c>
      <c r="F3214" s="68">
        <v>2.0</v>
      </c>
      <c r="G3214" s="68">
        <v>3.13050929603889</v>
      </c>
      <c r="H3214" s="68">
        <v>146.376378247875</v>
      </c>
      <c r="I3214" s="69">
        <v>44356.09575231482</v>
      </c>
      <c r="J3214" s="69">
        <v>44356.15709490741</v>
      </c>
      <c r="K3214">
        <f>AVERAGE(H3212:H3216)</f>
        <v>104.0692073</v>
      </c>
      <c r="L3214">
        <f>STDEV(H3212:H3216)</f>
        <v>101.3845826</v>
      </c>
      <c r="M3214" s="70">
        <v>146.376378247875</v>
      </c>
      <c r="N3214" s="70">
        <v>146.376378247875</v>
      </c>
      <c r="O3214" s="70">
        <v>3.13050929603889</v>
      </c>
      <c r="P3214" s="70">
        <v>3.13050929603889</v>
      </c>
    </row>
    <row r="3215" hidden="1">
      <c r="A3215" s="67" t="s">
        <v>3975</v>
      </c>
      <c r="B3215" s="67" t="s">
        <v>268</v>
      </c>
      <c r="C3215" s="68">
        <v>0.25</v>
      </c>
      <c r="D3215" s="68">
        <v>1.0</v>
      </c>
      <c r="E3215" s="68">
        <v>8.0</v>
      </c>
      <c r="F3215" s="68">
        <v>3.0</v>
      </c>
      <c r="G3215" s="68">
        <v>2.64804552822738</v>
      </c>
      <c r="H3215" s="68">
        <v>4.14886586724848</v>
      </c>
      <c r="I3215" s="69">
        <v>44356.157800925925</v>
      </c>
      <c r="J3215" s="69">
        <v>44356.15789351852</v>
      </c>
      <c r="K3215">
        <f>AVERAGE(H3212:H3216)</f>
        <v>104.0692073</v>
      </c>
      <c r="L3215">
        <f>STDEV(H3212:H3216)</f>
        <v>101.3845826</v>
      </c>
      <c r="M3215" s="70">
        <v>4.14886586724848</v>
      </c>
      <c r="N3215" s="70">
        <v>4.14886586724848</v>
      </c>
      <c r="O3215" s="70">
        <v>2.64804552822738</v>
      </c>
      <c r="P3215" s="70">
        <v>2.64804552822738</v>
      </c>
    </row>
    <row r="3216" hidden="1">
      <c r="A3216" s="67" t="s">
        <v>3976</v>
      </c>
      <c r="B3216" s="67" t="s">
        <v>268</v>
      </c>
      <c r="C3216" s="68">
        <v>0.25</v>
      </c>
      <c r="D3216" s="68">
        <v>1.0</v>
      </c>
      <c r="E3216" s="68">
        <v>8.0</v>
      </c>
      <c r="F3216" s="68">
        <v>4.0</v>
      </c>
      <c r="G3216" s="68">
        <v>2.48886360240445</v>
      </c>
      <c r="H3216" s="68">
        <v>131.832724366884</v>
      </c>
      <c r="I3216" s="69">
        <v>44356.15859953704</v>
      </c>
      <c r="J3216" s="69">
        <v>44356.158842592595</v>
      </c>
      <c r="K3216">
        <f>AVERAGE(H3212:H3216)</f>
        <v>104.0692073</v>
      </c>
      <c r="L3216">
        <f>STDEV(H3212:H3216)</f>
        <v>101.3845826</v>
      </c>
      <c r="M3216" s="70">
        <v>131.832724366884</v>
      </c>
      <c r="N3216" s="70">
        <v>131.832724366884</v>
      </c>
      <c r="O3216" s="70">
        <v>2.48886360240445</v>
      </c>
      <c r="P3216" s="70">
        <v>2.48886360240445</v>
      </c>
    </row>
    <row r="3217" hidden="1">
      <c r="A3217" s="67" t="s">
        <v>3977</v>
      </c>
      <c r="B3217" s="67" t="s">
        <v>268</v>
      </c>
      <c r="C3217" s="68">
        <v>0.5</v>
      </c>
      <c r="D3217" s="68">
        <v>0.1</v>
      </c>
      <c r="E3217" s="68">
        <v>8.0</v>
      </c>
      <c r="F3217" s="68">
        <v>0.0</v>
      </c>
      <c r="G3217" s="68">
        <v>3.30670897951699</v>
      </c>
      <c r="H3217" s="68">
        <v>157.585374575711</v>
      </c>
      <c r="I3217" s="69">
        <v>44356.15954861111</v>
      </c>
      <c r="J3217" s="69">
        <v>44356.196284722224</v>
      </c>
      <c r="K3217">
        <f>AVERAGE(H3217:H3221)</f>
        <v>135.0757409</v>
      </c>
      <c r="L3217">
        <f>STDEV(H3217:H3221)</f>
        <v>75.54753494</v>
      </c>
      <c r="M3217" s="70">
        <v>157.585374575711</v>
      </c>
      <c r="N3217" s="70">
        <v>157.585374575711</v>
      </c>
      <c r="O3217" s="70">
        <v>3.30670897951699</v>
      </c>
      <c r="P3217" s="70">
        <v>3.30670897951699</v>
      </c>
    </row>
    <row r="3218" hidden="1">
      <c r="A3218" s="67" t="s">
        <v>3978</v>
      </c>
      <c r="B3218" s="67" t="s">
        <v>268</v>
      </c>
      <c r="C3218" s="68">
        <v>0.5</v>
      </c>
      <c r="D3218" s="68">
        <v>0.1</v>
      </c>
      <c r="E3218" s="68">
        <v>8.0</v>
      </c>
      <c r="F3218" s="68">
        <v>1.0</v>
      </c>
      <c r="G3218" s="68">
        <v>4.13652148316059</v>
      </c>
      <c r="H3218" s="68">
        <v>184.533504416241</v>
      </c>
      <c r="I3218" s="69">
        <v>44356.19699074074</v>
      </c>
      <c r="J3218" s="69">
        <v>44356.20398148148</v>
      </c>
      <c r="K3218">
        <f>AVERAGE(H3217:H3221)</f>
        <v>135.0757409</v>
      </c>
      <c r="L3218">
        <f>STDEV(H3217:H3221)</f>
        <v>75.54753494</v>
      </c>
      <c r="M3218" s="70">
        <v>184.533504416241</v>
      </c>
      <c r="N3218" s="70">
        <v>184.533504416241</v>
      </c>
      <c r="O3218" s="70">
        <v>4.13652148316059</v>
      </c>
      <c r="P3218" s="70">
        <v>4.13652148316059</v>
      </c>
    </row>
    <row r="3219" hidden="1">
      <c r="A3219" s="67" t="s">
        <v>3979</v>
      </c>
      <c r="B3219" s="67" t="s">
        <v>268</v>
      </c>
      <c r="C3219" s="68">
        <v>0.5</v>
      </c>
      <c r="D3219" s="68">
        <v>0.1</v>
      </c>
      <c r="E3219" s="68">
        <v>8.0</v>
      </c>
      <c r="F3219" s="68">
        <v>2.0</v>
      </c>
      <c r="G3219" s="68">
        <v>4.79051382898971</v>
      </c>
      <c r="H3219" s="68">
        <v>161.340164333754</v>
      </c>
      <c r="I3219" s="69">
        <v>44356.20469907407</v>
      </c>
      <c r="J3219" s="69">
        <v>44356.20491898148</v>
      </c>
      <c r="K3219">
        <f>AVERAGE(H3217:H3221)</f>
        <v>135.0757409</v>
      </c>
      <c r="L3219">
        <f>STDEV(H3217:H3221)</f>
        <v>75.54753494</v>
      </c>
      <c r="M3219" s="70">
        <v>161.340164333754</v>
      </c>
      <c r="N3219" s="70">
        <v>161.340164333754</v>
      </c>
      <c r="O3219" s="70">
        <v>4.79051382898971</v>
      </c>
      <c r="P3219" s="70">
        <v>4.79051382898971</v>
      </c>
    </row>
    <row r="3220" hidden="1">
      <c r="A3220" s="67" t="s">
        <v>3980</v>
      </c>
      <c r="B3220" s="67" t="s">
        <v>268</v>
      </c>
      <c r="C3220" s="68">
        <v>0.5</v>
      </c>
      <c r="D3220" s="68">
        <v>0.1</v>
      </c>
      <c r="E3220" s="68">
        <v>8.0</v>
      </c>
      <c r="F3220" s="68">
        <v>3.0</v>
      </c>
      <c r="G3220" s="68">
        <v>4.12704170176459</v>
      </c>
      <c r="H3220" s="68">
        <v>170.701794501191</v>
      </c>
      <c r="I3220" s="69">
        <v>44356.205625</v>
      </c>
      <c r="J3220" s="69">
        <v>44356.205879629626</v>
      </c>
      <c r="K3220">
        <f>AVERAGE(H3217:H3221)</f>
        <v>135.0757409</v>
      </c>
      <c r="L3220">
        <f>STDEV(H3217:H3221)</f>
        <v>75.54753494</v>
      </c>
      <c r="M3220" s="70">
        <v>170.701794501191</v>
      </c>
      <c r="N3220" s="70">
        <v>170.701794501191</v>
      </c>
      <c r="O3220" s="70">
        <v>4.12704170176459</v>
      </c>
      <c r="P3220" s="70">
        <v>4.12704170176459</v>
      </c>
    </row>
    <row r="3221" hidden="1">
      <c r="A3221" s="67" t="s">
        <v>3981</v>
      </c>
      <c r="B3221" s="67" t="s">
        <v>268</v>
      </c>
      <c r="C3221" s="68">
        <v>0.5</v>
      </c>
      <c r="D3221" s="68">
        <v>0.1</v>
      </c>
      <c r="E3221" s="68">
        <v>8.0</v>
      </c>
      <c r="F3221" s="68">
        <v>4.0</v>
      </c>
      <c r="G3221" s="68">
        <v>0.656249635439365</v>
      </c>
      <c r="H3221" s="68">
        <v>1.21786654964525</v>
      </c>
      <c r="I3221" s="69">
        <v>44356.20658564815</v>
      </c>
      <c r="J3221" s="69">
        <v>44356.207395833335</v>
      </c>
      <c r="K3221">
        <f>AVERAGE(H3217:H3221)</f>
        <v>135.0757409</v>
      </c>
      <c r="L3221">
        <f>STDEV(H3217:H3221)</f>
        <v>75.54753494</v>
      </c>
      <c r="M3221" s="70">
        <v>1.21786654964525</v>
      </c>
      <c r="N3221" s="70">
        <v>1.21786654964525</v>
      </c>
      <c r="O3221" s="70">
        <v>0.656249635439365</v>
      </c>
      <c r="P3221" s="70">
        <v>0.656249635439365</v>
      </c>
    </row>
    <row r="3222" hidden="1">
      <c r="A3222" s="67" t="s">
        <v>3982</v>
      </c>
      <c r="B3222" s="67" t="s">
        <v>268</v>
      </c>
      <c r="C3222" s="68">
        <v>0.5</v>
      </c>
      <c r="D3222" s="68">
        <v>0.25</v>
      </c>
      <c r="E3222" s="68">
        <v>8.0</v>
      </c>
      <c r="F3222" s="68">
        <v>0.0</v>
      </c>
      <c r="G3222" s="68">
        <v>4.7541941793525</v>
      </c>
      <c r="H3222" s="68">
        <v>207.48225195988</v>
      </c>
      <c r="I3222" s="69">
        <v>44356.20810185185</v>
      </c>
      <c r="J3222" s="69">
        <v>44356.21255787037</v>
      </c>
      <c r="K3222">
        <f>AVERAGE(H3222:H3226)</f>
        <v>77.29576434</v>
      </c>
      <c r="L3222">
        <f>STDEV(H3222:H3226)</f>
        <v>99.31145279</v>
      </c>
      <c r="M3222" s="70">
        <v>207.48225195988</v>
      </c>
      <c r="N3222" s="70">
        <v>207.48225195988</v>
      </c>
      <c r="O3222" s="70">
        <v>4.7541941793525</v>
      </c>
      <c r="P3222" s="70">
        <v>4.7541941793525</v>
      </c>
    </row>
    <row r="3223" hidden="1">
      <c r="A3223" s="67" t="s">
        <v>3983</v>
      </c>
      <c r="B3223" s="67" t="s">
        <v>268</v>
      </c>
      <c r="C3223" s="68">
        <v>0.5</v>
      </c>
      <c r="D3223" s="68">
        <v>0.25</v>
      </c>
      <c r="E3223" s="68">
        <v>8.0</v>
      </c>
      <c r="F3223" s="68">
        <v>1.0</v>
      </c>
      <c r="G3223" s="68">
        <v>3.71892962344835</v>
      </c>
      <c r="H3223" s="68">
        <v>161.308602759057</v>
      </c>
      <c r="I3223" s="69">
        <v>44356.21326388889</v>
      </c>
      <c r="J3223" s="69">
        <v>44356.25215277778</v>
      </c>
      <c r="K3223">
        <f>AVERAGE(H3222:H3226)</f>
        <v>77.29576434</v>
      </c>
      <c r="L3223">
        <f>STDEV(H3222:H3226)</f>
        <v>99.31145279</v>
      </c>
      <c r="M3223" s="70">
        <v>161.308602759057</v>
      </c>
      <c r="N3223" s="70">
        <v>161.308602759057</v>
      </c>
      <c r="O3223" s="70">
        <v>3.71892962344835</v>
      </c>
      <c r="P3223" s="70">
        <v>3.71892962344835</v>
      </c>
    </row>
    <row r="3224" hidden="1">
      <c r="A3224" s="67" t="s">
        <v>3984</v>
      </c>
      <c r="B3224" s="67" t="s">
        <v>268</v>
      </c>
      <c r="C3224" s="68">
        <v>0.5</v>
      </c>
      <c r="D3224" s="68">
        <v>0.25</v>
      </c>
      <c r="E3224" s="68">
        <v>8.0</v>
      </c>
      <c r="F3224" s="68">
        <v>2.0</v>
      </c>
      <c r="G3224" s="68">
        <v>1.21437453905074</v>
      </c>
      <c r="H3224" s="68">
        <v>15.9085939614324</v>
      </c>
      <c r="I3224" s="69">
        <v>44356.25287037037</v>
      </c>
      <c r="J3224" s="69">
        <v>44356.25300925926</v>
      </c>
      <c r="K3224">
        <f>AVERAGE(H3222:H3226)</f>
        <v>77.29576434</v>
      </c>
      <c r="L3224">
        <f>STDEV(H3222:H3226)</f>
        <v>99.31145279</v>
      </c>
      <c r="M3224" s="70">
        <v>15.9085939614324</v>
      </c>
      <c r="N3224" s="70">
        <v>15.9085939614324</v>
      </c>
      <c r="O3224" s="70">
        <v>1.21437453905074</v>
      </c>
      <c r="P3224" s="70">
        <v>1.21437453905074</v>
      </c>
    </row>
    <row r="3225" hidden="1">
      <c r="A3225" s="67" t="s">
        <v>3985</v>
      </c>
      <c r="B3225" s="67" t="s">
        <v>268</v>
      </c>
      <c r="C3225" s="68">
        <v>0.5</v>
      </c>
      <c r="D3225" s="68">
        <v>0.25</v>
      </c>
      <c r="E3225" s="68">
        <v>8.0</v>
      </c>
      <c r="F3225" s="68">
        <v>3.0</v>
      </c>
      <c r="G3225" s="68">
        <v>0.6584157011064</v>
      </c>
      <c r="H3225" s="68">
        <v>1.21976131495193</v>
      </c>
      <c r="I3225" s="69">
        <v>44356.25372685185</v>
      </c>
      <c r="J3225" s="69">
        <v>44356.254525462966</v>
      </c>
      <c r="K3225">
        <f>AVERAGE(H3222:H3226)</f>
        <v>77.29576434</v>
      </c>
      <c r="L3225">
        <f>STDEV(H3222:H3226)</f>
        <v>99.31145279</v>
      </c>
      <c r="M3225" s="70">
        <v>1.21976131495193</v>
      </c>
      <c r="N3225" s="70">
        <v>1.21976131495193</v>
      </c>
      <c r="O3225" s="70">
        <v>0.6584157011064</v>
      </c>
      <c r="P3225" s="70">
        <v>0.6584157011064</v>
      </c>
    </row>
    <row r="3226" hidden="1">
      <c r="A3226" s="67" t="s">
        <v>3986</v>
      </c>
      <c r="B3226" s="67" t="s">
        <v>268</v>
      </c>
      <c r="C3226" s="68">
        <v>0.5</v>
      </c>
      <c r="D3226" s="68">
        <v>0.25</v>
      </c>
      <c r="E3226" s="68">
        <v>8.0</v>
      </c>
      <c r="F3226" s="68">
        <v>4.0</v>
      </c>
      <c r="G3226" s="68">
        <v>0.467489314643222</v>
      </c>
      <c r="H3226" s="68">
        <v>0.559611722484267</v>
      </c>
      <c r="I3226" s="69">
        <v>44356.25523148148</v>
      </c>
      <c r="J3226" s="69">
        <v>44356.25540509259</v>
      </c>
      <c r="K3226">
        <f>AVERAGE(H3222:H3226)</f>
        <v>77.29576434</v>
      </c>
      <c r="L3226">
        <f>STDEV(H3222:H3226)</f>
        <v>99.31145279</v>
      </c>
      <c r="M3226" s="70">
        <v>0.559611722484267</v>
      </c>
      <c r="N3226" s="70">
        <v>0.559611722484267</v>
      </c>
      <c r="O3226" s="70">
        <v>0.467489314643222</v>
      </c>
      <c r="P3226" s="70">
        <v>0.467489314643222</v>
      </c>
    </row>
    <row r="3227" hidden="1">
      <c r="A3227" s="67" t="s">
        <v>3987</v>
      </c>
      <c r="B3227" s="67" t="s">
        <v>268</v>
      </c>
      <c r="C3227" s="68">
        <v>0.5</v>
      </c>
      <c r="D3227" s="68">
        <v>0.5</v>
      </c>
      <c r="E3227" s="68">
        <v>8.0</v>
      </c>
      <c r="F3227" s="68">
        <v>0.0</v>
      </c>
      <c r="G3227" s="68">
        <v>1.80741958155314</v>
      </c>
      <c r="H3227" s="68">
        <v>91.653999418574</v>
      </c>
      <c r="I3227" s="69">
        <v>44356.25611111111</v>
      </c>
      <c r="J3227" s="69">
        <v>44356.269166666665</v>
      </c>
      <c r="K3227">
        <f>AVERAGE(H3227:H3231)</f>
        <v>182.3342524</v>
      </c>
      <c r="L3227">
        <f>STDEV(H3227:H3231)</f>
        <v>90.02686147</v>
      </c>
      <c r="M3227" s="70">
        <v>91.653999418574</v>
      </c>
      <c r="N3227" s="70">
        <v>91.653999418574</v>
      </c>
      <c r="O3227" s="70">
        <v>1.80741958155314</v>
      </c>
      <c r="P3227" s="70">
        <v>1.80741958155314</v>
      </c>
    </row>
    <row r="3228" hidden="1">
      <c r="A3228" s="67" t="s">
        <v>3988</v>
      </c>
      <c r="B3228" s="67" t="s">
        <v>268</v>
      </c>
      <c r="C3228" s="68">
        <v>0.5</v>
      </c>
      <c r="D3228" s="68">
        <v>0.5</v>
      </c>
      <c r="E3228" s="68">
        <v>8.0</v>
      </c>
      <c r="F3228" s="68">
        <v>1.0</v>
      </c>
      <c r="G3228" s="68">
        <v>2.44795432360425</v>
      </c>
      <c r="H3228" s="68">
        <v>110.074239523522</v>
      </c>
      <c r="I3228" s="69">
        <v>44356.26987268519</v>
      </c>
      <c r="J3228" s="69">
        <v>44356.29721064815</v>
      </c>
      <c r="K3228">
        <f>AVERAGE(H3227:H3231)</f>
        <v>182.3342524</v>
      </c>
      <c r="L3228">
        <f>STDEV(H3227:H3231)</f>
        <v>90.02686147</v>
      </c>
      <c r="M3228" s="70">
        <v>110.074239523522</v>
      </c>
      <c r="N3228" s="70">
        <v>110.074239523522</v>
      </c>
      <c r="O3228" s="70">
        <v>2.44795432360425</v>
      </c>
      <c r="P3228" s="70">
        <v>2.44795432360425</v>
      </c>
    </row>
    <row r="3229" hidden="1">
      <c r="A3229" s="67" t="s">
        <v>3989</v>
      </c>
      <c r="B3229" s="67" t="s">
        <v>268</v>
      </c>
      <c r="C3229" s="68">
        <v>0.5</v>
      </c>
      <c r="D3229" s="68">
        <v>0.5</v>
      </c>
      <c r="E3229" s="68">
        <v>8.0</v>
      </c>
      <c r="F3229" s="68">
        <v>2.0</v>
      </c>
      <c r="G3229" s="68">
        <v>8.30583990126663</v>
      </c>
      <c r="H3229" s="68">
        <v>289.116512483272</v>
      </c>
      <c r="I3229" s="69">
        <v>44356.29791666667</v>
      </c>
      <c r="J3229" s="69">
        <v>44356.29887731482</v>
      </c>
      <c r="K3229">
        <f>AVERAGE(H3227:H3231)</f>
        <v>182.3342524</v>
      </c>
      <c r="L3229">
        <f>STDEV(H3227:H3231)</f>
        <v>90.02686147</v>
      </c>
      <c r="M3229" s="70">
        <v>289.116512483272</v>
      </c>
      <c r="N3229" s="70">
        <v>289.116512483272</v>
      </c>
      <c r="O3229" s="70">
        <v>8.30583990126663</v>
      </c>
      <c r="P3229" s="70">
        <v>8.30583990126663</v>
      </c>
    </row>
    <row r="3230" hidden="1">
      <c r="A3230" s="67" t="s">
        <v>3990</v>
      </c>
      <c r="B3230" s="67" t="s">
        <v>268</v>
      </c>
      <c r="C3230" s="68">
        <v>0.5</v>
      </c>
      <c r="D3230" s="68">
        <v>0.5</v>
      </c>
      <c r="E3230" s="68">
        <v>8.0</v>
      </c>
      <c r="F3230" s="68">
        <v>3.0</v>
      </c>
      <c r="G3230" s="68">
        <v>5.00542539694841</v>
      </c>
      <c r="H3230" s="68">
        <v>155.661024500316</v>
      </c>
      <c r="I3230" s="69">
        <v>44356.29958333333</v>
      </c>
      <c r="J3230" s="69">
        <v>44356.299675925926</v>
      </c>
      <c r="K3230">
        <f>AVERAGE(H3227:H3231)</f>
        <v>182.3342524</v>
      </c>
      <c r="L3230">
        <f>STDEV(H3227:H3231)</f>
        <v>90.02686147</v>
      </c>
      <c r="M3230" s="70">
        <v>155.661024500316</v>
      </c>
      <c r="N3230" s="70">
        <v>155.661024500316</v>
      </c>
      <c r="O3230" s="70">
        <v>5.00542539694841</v>
      </c>
      <c r="P3230" s="70">
        <v>5.00542539694841</v>
      </c>
    </row>
    <row r="3231" hidden="1">
      <c r="A3231" s="67" t="s">
        <v>3991</v>
      </c>
      <c r="B3231" s="67" t="s">
        <v>268</v>
      </c>
      <c r="C3231" s="68">
        <v>0.5</v>
      </c>
      <c r="D3231" s="68">
        <v>0.5</v>
      </c>
      <c r="E3231" s="68">
        <v>8.0</v>
      </c>
      <c r="F3231" s="68">
        <v>4.0</v>
      </c>
      <c r="G3231" s="68">
        <v>6.98658836447753</v>
      </c>
      <c r="H3231" s="68">
        <v>265.165485930613</v>
      </c>
      <c r="I3231" s="69">
        <v>44356.30037037037</v>
      </c>
      <c r="J3231" s="69">
        <v>44356.30101851852</v>
      </c>
      <c r="K3231">
        <f>AVERAGE(H3227:H3231)</f>
        <v>182.3342524</v>
      </c>
      <c r="L3231">
        <f>STDEV(H3227:H3231)</f>
        <v>90.02686147</v>
      </c>
      <c r="M3231" s="70">
        <v>265.165485930613</v>
      </c>
      <c r="N3231" s="70">
        <v>265.165485930613</v>
      </c>
      <c r="O3231" s="70">
        <v>6.98658836447753</v>
      </c>
      <c r="P3231" s="70">
        <v>6.98658836447753</v>
      </c>
    </row>
    <row r="3232" hidden="1">
      <c r="A3232" s="67" t="s">
        <v>3992</v>
      </c>
      <c r="B3232" s="67" t="s">
        <v>268</v>
      </c>
      <c r="C3232" s="68">
        <v>0.5</v>
      </c>
      <c r="D3232" s="68">
        <v>0.75</v>
      </c>
      <c r="E3232" s="68">
        <v>8.0</v>
      </c>
      <c r="F3232" s="68">
        <v>0.0</v>
      </c>
      <c r="G3232" s="68">
        <v>4.02455636095641</v>
      </c>
      <c r="H3232" s="68">
        <v>147.577273137698</v>
      </c>
      <c r="I3232" s="69">
        <v>44356.301724537036</v>
      </c>
      <c r="J3232" s="69">
        <v>44356.30273148148</v>
      </c>
      <c r="K3232">
        <f>AVERAGE(H3232:H3236)</f>
        <v>266.335133</v>
      </c>
      <c r="L3232">
        <f>STDEV(H3232:H3236)</f>
        <v>334.968514</v>
      </c>
      <c r="M3232" s="70">
        <v>147.577273137698</v>
      </c>
      <c r="N3232" s="70">
        <v>147.577273137698</v>
      </c>
      <c r="O3232" s="70">
        <v>4.02455636095641</v>
      </c>
      <c r="P3232" s="70">
        <v>4.02455636095641</v>
      </c>
    </row>
    <row r="3233" hidden="1">
      <c r="A3233" s="67" t="s">
        <v>3993</v>
      </c>
      <c r="B3233" s="67" t="s">
        <v>268</v>
      </c>
      <c r="C3233" s="68">
        <v>0.5</v>
      </c>
      <c r="D3233" s="68">
        <v>0.75</v>
      </c>
      <c r="E3233" s="68">
        <v>8.0</v>
      </c>
      <c r="F3233" s="68">
        <v>1.0</v>
      </c>
      <c r="G3233" s="68">
        <v>5.05049141965232</v>
      </c>
      <c r="H3233" s="68">
        <v>211.617696741211</v>
      </c>
      <c r="I3233" s="69">
        <v>44356.3034375</v>
      </c>
      <c r="J3233" s="69">
        <v>44356.306493055556</v>
      </c>
      <c r="K3233">
        <f>AVERAGE(H3232:H3236)</f>
        <v>266.335133</v>
      </c>
      <c r="L3233">
        <f>STDEV(H3232:H3236)</f>
        <v>334.968514</v>
      </c>
      <c r="M3233" s="70">
        <v>211.617696741211</v>
      </c>
      <c r="N3233" s="70">
        <v>211.617696741211</v>
      </c>
      <c r="O3233" s="70">
        <v>5.05049141965232</v>
      </c>
      <c r="P3233" s="70">
        <v>5.05049141965232</v>
      </c>
    </row>
    <row r="3234" hidden="1">
      <c r="A3234" s="67" t="s">
        <v>3994</v>
      </c>
      <c r="B3234" s="67" t="s">
        <v>268</v>
      </c>
      <c r="C3234" s="68">
        <v>0.5</v>
      </c>
      <c r="D3234" s="68">
        <v>0.75</v>
      </c>
      <c r="E3234" s="68">
        <v>8.0</v>
      </c>
      <c r="F3234" s="68">
        <v>2.0</v>
      </c>
      <c r="G3234" s="68">
        <v>69.1298443530986</v>
      </c>
      <c r="H3234" s="68">
        <v>849.763849683435</v>
      </c>
      <c r="I3234" s="69">
        <v>44356.30719907407</v>
      </c>
      <c r="J3234" s="69">
        <v>44356.30721064815</v>
      </c>
      <c r="K3234">
        <f>AVERAGE(H3232:H3236)</f>
        <v>266.335133</v>
      </c>
      <c r="L3234">
        <f>STDEV(H3232:H3236)</f>
        <v>334.968514</v>
      </c>
      <c r="M3234" s="70">
        <v>849.763849683435</v>
      </c>
      <c r="N3234" s="70">
        <v>849.763849683435</v>
      </c>
      <c r="O3234" s="70">
        <v>69.1298443530986</v>
      </c>
      <c r="P3234" s="70">
        <v>69.1298443530986</v>
      </c>
    </row>
    <row r="3235" hidden="1">
      <c r="A3235" s="67" t="s">
        <v>3995</v>
      </c>
      <c r="B3235" s="67" t="s">
        <v>268</v>
      </c>
      <c r="C3235" s="68">
        <v>0.5</v>
      </c>
      <c r="D3235" s="68">
        <v>0.75</v>
      </c>
      <c r="E3235" s="68">
        <v>8.0</v>
      </c>
      <c r="F3235" s="68">
        <v>3.0</v>
      </c>
      <c r="G3235" s="68">
        <v>0.736192093514763</v>
      </c>
      <c r="H3235" s="68">
        <v>0.950544336758399</v>
      </c>
      <c r="I3235" s="69">
        <v>44356.307916666665</v>
      </c>
      <c r="J3235" s="69">
        <v>44356.30810185185</v>
      </c>
      <c r="K3235">
        <f>AVERAGE(H3232:H3236)</f>
        <v>266.335133</v>
      </c>
      <c r="L3235">
        <f>STDEV(H3232:H3236)</f>
        <v>334.968514</v>
      </c>
      <c r="M3235" s="70">
        <v>0.950544336758399</v>
      </c>
      <c r="N3235" s="70">
        <v>0.950544336758399</v>
      </c>
      <c r="O3235" s="70">
        <v>0.736192093514763</v>
      </c>
      <c r="P3235" s="70">
        <v>0.736192093514763</v>
      </c>
    </row>
    <row r="3236" hidden="1">
      <c r="A3236" s="67" t="s">
        <v>3996</v>
      </c>
      <c r="B3236" s="67" t="s">
        <v>268</v>
      </c>
      <c r="C3236" s="68">
        <v>0.5</v>
      </c>
      <c r="D3236" s="68">
        <v>0.75</v>
      </c>
      <c r="E3236" s="68">
        <v>8.0</v>
      </c>
      <c r="F3236" s="68">
        <v>4.0</v>
      </c>
      <c r="G3236" s="68">
        <v>2.39265432211206</v>
      </c>
      <c r="H3236" s="68">
        <v>121.766301156126</v>
      </c>
      <c r="I3236" s="69">
        <v>44356.30880787037</v>
      </c>
      <c r="J3236" s="69">
        <v>44356.34643518519</v>
      </c>
      <c r="K3236">
        <f>AVERAGE(H3232:H3236)</f>
        <v>266.335133</v>
      </c>
      <c r="L3236">
        <f>STDEV(H3232:H3236)</f>
        <v>334.968514</v>
      </c>
      <c r="M3236" s="70">
        <v>121.766301156126</v>
      </c>
      <c r="N3236" s="70">
        <v>121.766301156126</v>
      </c>
      <c r="O3236" s="70">
        <v>2.39265432211206</v>
      </c>
      <c r="P3236" s="70">
        <v>2.39265432211206</v>
      </c>
    </row>
    <row r="3237" hidden="1">
      <c r="A3237" s="67" t="s">
        <v>3997</v>
      </c>
      <c r="B3237" s="67" t="s">
        <v>268</v>
      </c>
      <c r="C3237" s="68">
        <v>0.5</v>
      </c>
      <c r="D3237" s="68">
        <v>1.0</v>
      </c>
      <c r="E3237" s="68">
        <v>8.0</v>
      </c>
      <c r="F3237" s="68">
        <v>0.0</v>
      </c>
      <c r="G3237" s="68">
        <v>2.32608053223439</v>
      </c>
      <c r="H3237" s="68">
        <v>93.0067596921977</v>
      </c>
      <c r="I3237" s="69">
        <v>44356.3471412037</v>
      </c>
      <c r="J3237" s="69">
        <v>44356.35078703704</v>
      </c>
      <c r="K3237">
        <f>AVERAGE(H3237:H3241)</f>
        <v>126.9914703</v>
      </c>
      <c r="L3237">
        <f>STDEV(H3237:H3241)</f>
        <v>90.9635449</v>
      </c>
      <c r="M3237" s="70">
        <v>93.0067596921977</v>
      </c>
      <c r="N3237" s="70">
        <v>93.0067596921977</v>
      </c>
      <c r="O3237" s="70">
        <v>2.32608053223439</v>
      </c>
      <c r="P3237" s="70">
        <v>2.32608053223439</v>
      </c>
    </row>
    <row r="3238" hidden="1">
      <c r="A3238" s="67" t="s">
        <v>3998</v>
      </c>
      <c r="B3238" s="67" t="s">
        <v>268</v>
      </c>
      <c r="C3238" s="68">
        <v>0.5</v>
      </c>
      <c r="D3238" s="68">
        <v>1.0</v>
      </c>
      <c r="E3238" s="68">
        <v>8.0</v>
      </c>
      <c r="F3238" s="68">
        <v>1.0</v>
      </c>
      <c r="G3238" s="68">
        <v>3.48967216056925</v>
      </c>
      <c r="H3238" s="68">
        <v>159.99938875052</v>
      </c>
      <c r="I3238" s="69">
        <v>44356.351493055554</v>
      </c>
      <c r="J3238" s="69">
        <v>44356.38034722222</v>
      </c>
      <c r="K3238">
        <f>AVERAGE(H3237:H3241)</f>
        <v>126.9914703</v>
      </c>
      <c r="L3238">
        <f>STDEV(H3237:H3241)</f>
        <v>90.9635449</v>
      </c>
      <c r="M3238" s="70">
        <v>159.99938875052</v>
      </c>
      <c r="N3238" s="70">
        <v>159.99938875052</v>
      </c>
      <c r="O3238" s="70">
        <v>3.48967216056925</v>
      </c>
      <c r="P3238" s="70">
        <v>3.48967216056925</v>
      </c>
    </row>
    <row r="3239" hidden="1">
      <c r="A3239" s="67" t="s">
        <v>3999</v>
      </c>
      <c r="B3239" s="67" t="s">
        <v>268</v>
      </c>
      <c r="C3239" s="68">
        <v>0.5</v>
      </c>
      <c r="D3239" s="68">
        <v>1.0</v>
      </c>
      <c r="E3239" s="68">
        <v>8.0</v>
      </c>
      <c r="F3239" s="68">
        <v>2.0</v>
      </c>
      <c r="G3239" s="68">
        <v>2.48724842367287</v>
      </c>
      <c r="H3239" s="68">
        <v>131.763980207444</v>
      </c>
      <c r="I3239" s="69">
        <v>44356.381053240744</v>
      </c>
      <c r="J3239" s="69">
        <v>44356.381273148145</v>
      </c>
      <c r="K3239">
        <f>AVERAGE(H3237:H3241)</f>
        <v>126.9914703</v>
      </c>
      <c r="L3239">
        <f>STDEV(H3237:H3241)</f>
        <v>90.9635449</v>
      </c>
      <c r="M3239" s="70">
        <v>131.763980207444</v>
      </c>
      <c r="N3239" s="70">
        <v>131.763980207444</v>
      </c>
      <c r="O3239" s="70">
        <v>2.48724842367287</v>
      </c>
      <c r="P3239" s="70">
        <v>2.48724842367287</v>
      </c>
    </row>
    <row r="3240" hidden="1">
      <c r="A3240" s="67" t="s">
        <v>4000</v>
      </c>
      <c r="B3240" s="67" t="s">
        <v>268</v>
      </c>
      <c r="C3240" s="68">
        <v>0.5</v>
      </c>
      <c r="D3240" s="68">
        <v>1.0</v>
      </c>
      <c r="E3240" s="68">
        <v>8.0</v>
      </c>
      <c r="F3240" s="68">
        <v>3.0</v>
      </c>
      <c r="G3240" s="68">
        <v>0.736192093514763</v>
      </c>
      <c r="H3240" s="68">
        <v>0.950544336758399</v>
      </c>
      <c r="I3240" s="69">
        <v>44356.38197916667</v>
      </c>
      <c r="J3240" s="69">
        <v>44356.38217592592</v>
      </c>
      <c r="K3240">
        <f>AVERAGE(H3237:H3241)</f>
        <v>126.9914703</v>
      </c>
      <c r="L3240">
        <f>STDEV(H3237:H3241)</f>
        <v>90.9635449</v>
      </c>
      <c r="M3240" s="70">
        <v>0.950544336758399</v>
      </c>
      <c r="N3240" s="70">
        <v>0.950544336758399</v>
      </c>
      <c r="O3240" s="70">
        <v>0.736192093514763</v>
      </c>
      <c r="P3240" s="70">
        <v>0.736192093514763</v>
      </c>
    </row>
    <row r="3241" hidden="1">
      <c r="A3241" s="67" t="s">
        <v>4001</v>
      </c>
      <c r="B3241" s="67" t="s">
        <v>268</v>
      </c>
      <c r="C3241" s="68">
        <v>0.5</v>
      </c>
      <c r="D3241" s="68">
        <v>1.0</v>
      </c>
      <c r="E3241" s="68">
        <v>8.0</v>
      </c>
      <c r="F3241" s="68">
        <v>4.0</v>
      </c>
      <c r="G3241" s="68">
        <v>6.2677419958712</v>
      </c>
      <c r="H3241" s="68">
        <v>249.236678393713</v>
      </c>
      <c r="I3241" s="69">
        <v>44356.382881944446</v>
      </c>
      <c r="J3241" s="69">
        <v>44356.38369212963</v>
      </c>
      <c r="K3241">
        <f>AVERAGE(H3237:H3241)</f>
        <v>126.9914703</v>
      </c>
      <c r="L3241">
        <f>STDEV(H3237:H3241)</f>
        <v>90.9635449</v>
      </c>
      <c r="M3241" s="70">
        <v>249.236678393713</v>
      </c>
      <c r="N3241" s="70">
        <v>249.236678393713</v>
      </c>
      <c r="O3241" s="70">
        <v>6.2677419958712</v>
      </c>
      <c r="P3241" s="70">
        <v>6.2677419958712</v>
      </c>
    </row>
    <row r="3242" hidden="1">
      <c r="A3242" s="67" t="s">
        <v>4002</v>
      </c>
      <c r="B3242" s="67" t="s">
        <v>268</v>
      </c>
      <c r="C3242" s="68">
        <v>0.75</v>
      </c>
      <c r="D3242" s="68">
        <v>0.1</v>
      </c>
      <c r="E3242" s="68">
        <v>8.0</v>
      </c>
      <c r="F3242" s="68">
        <v>0.0</v>
      </c>
      <c r="G3242" s="68">
        <v>4.36097239168601</v>
      </c>
      <c r="H3242" s="68">
        <v>215.854566584211</v>
      </c>
      <c r="I3242" s="69">
        <v>44356.38439814815</v>
      </c>
      <c r="J3242" s="69">
        <v>44356.38642361111</v>
      </c>
      <c r="K3242">
        <f>AVERAGE(H3242:H3246)</f>
        <v>115.0858057</v>
      </c>
      <c r="L3242">
        <f>STDEV(H3242:H3246)</f>
        <v>94.76982358</v>
      </c>
      <c r="M3242" s="70">
        <v>215.854566584211</v>
      </c>
      <c r="N3242" s="70">
        <v>215.854566584211</v>
      </c>
      <c r="O3242" s="70">
        <v>4.36097239168601</v>
      </c>
      <c r="P3242" s="70">
        <v>4.36097239168601</v>
      </c>
    </row>
    <row r="3243" hidden="1">
      <c r="A3243" s="67" t="s">
        <v>4003</v>
      </c>
      <c r="B3243" s="67" t="s">
        <v>268</v>
      </c>
      <c r="C3243" s="68">
        <v>0.75</v>
      </c>
      <c r="D3243" s="68">
        <v>0.1</v>
      </c>
      <c r="E3243" s="68">
        <v>8.0</v>
      </c>
      <c r="F3243" s="68">
        <v>1.0</v>
      </c>
      <c r="G3243" s="68">
        <v>1.72808654258932</v>
      </c>
      <c r="H3243" s="68">
        <v>27.8956859182966</v>
      </c>
      <c r="I3243" s="69">
        <v>44356.38712962963</v>
      </c>
      <c r="J3243" s="69">
        <v>44356.387777777774</v>
      </c>
      <c r="K3243">
        <f>AVERAGE(H3242:H3246)</f>
        <v>115.0858057</v>
      </c>
      <c r="L3243">
        <f>STDEV(H3242:H3246)</f>
        <v>94.76982358</v>
      </c>
      <c r="M3243" s="70">
        <v>27.8956859182966</v>
      </c>
      <c r="N3243" s="70">
        <v>27.8956859182966</v>
      </c>
      <c r="O3243" s="70">
        <v>1.72808654258932</v>
      </c>
      <c r="P3243" s="70">
        <v>1.72808654258932</v>
      </c>
    </row>
    <row r="3244" hidden="1">
      <c r="A3244" s="67" t="s">
        <v>4004</v>
      </c>
      <c r="B3244" s="67" t="s">
        <v>268</v>
      </c>
      <c r="C3244" s="68">
        <v>0.75</v>
      </c>
      <c r="D3244" s="68">
        <v>0.1</v>
      </c>
      <c r="E3244" s="68">
        <v>8.0</v>
      </c>
      <c r="F3244" s="68">
        <v>2.0</v>
      </c>
      <c r="G3244" s="68">
        <v>0.738388919616822</v>
      </c>
      <c r="H3244" s="68">
        <v>0.954404004182583</v>
      </c>
      <c r="I3244" s="69">
        <v>44356.3884837963</v>
      </c>
      <c r="J3244" s="69">
        <v>44356.38868055555</v>
      </c>
      <c r="K3244">
        <f>AVERAGE(H3242:H3246)</f>
        <v>115.0858057</v>
      </c>
      <c r="L3244">
        <f>STDEV(H3242:H3246)</f>
        <v>94.76982358</v>
      </c>
      <c r="M3244" s="70">
        <v>0.954404004182583</v>
      </c>
      <c r="N3244" s="70">
        <v>0.954404004182583</v>
      </c>
      <c r="O3244" s="70">
        <v>0.738388919616822</v>
      </c>
      <c r="P3244" s="70">
        <v>0.738388919616822</v>
      </c>
    </row>
    <row r="3245" hidden="1">
      <c r="A3245" s="67" t="s">
        <v>4005</v>
      </c>
      <c r="B3245" s="67" t="s">
        <v>268</v>
      </c>
      <c r="C3245" s="68">
        <v>0.75</v>
      </c>
      <c r="D3245" s="68">
        <v>0.1</v>
      </c>
      <c r="E3245" s="68">
        <v>8.0</v>
      </c>
      <c r="F3245" s="68">
        <v>3.0</v>
      </c>
      <c r="G3245" s="68">
        <v>4.55295375095751</v>
      </c>
      <c r="H3245" s="68">
        <v>171.973236955383</v>
      </c>
      <c r="I3245" s="69">
        <v>44356.389386574076</v>
      </c>
      <c r="J3245" s="69">
        <v>44356.38945601852</v>
      </c>
      <c r="K3245">
        <f>AVERAGE(H3242:H3246)</f>
        <v>115.0858057</v>
      </c>
      <c r="L3245">
        <f>STDEV(H3242:H3246)</f>
        <v>94.76982358</v>
      </c>
      <c r="M3245" s="70">
        <v>171.973236955383</v>
      </c>
      <c r="N3245" s="70">
        <v>171.973236955383</v>
      </c>
      <c r="O3245" s="70">
        <v>4.55295375095751</v>
      </c>
      <c r="P3245" s="70">
        <v>4.55295375095751</v>
      </c>
    </row>
    <row r="3246" hidden="1">
      <c r="A3246" s="67" t="s">
        <v>4006</v>
      </c>
      <c r="B3246" s="67" t="s">
        <v>268</v>
      </c>
      <c r="C3246" s="68">
        <v>0.75</v>
      </c>
      <c r="D3246" s="68">
        <v>0.1</v>
      </c>
      <c r="E3246" s="68">
        <v>8.0</v>
      </c>
      <c r="F3246" s="68">
        <v>4.0</v>
      </c>
      <c r="G3246" s="68">
        <v>3.5219701903409</v>
      </c>
      <c r="H3246" s="68">
        <v>158.751135220616</v>
      </c>
      <c r="I3246" s="69">
        <v>44356.39015046296</v>
      </c>
      <c r="J3246" s="69">
        <v>44356.43299768519</v>
      </c>
      <c r="K3246">
        <f>AVERAGE(H3242:H3246)</f>
        <v>115.0858057</v>
      </c>
      <c r="L3246">
        <f>STDEV(H3242:H3246)</f>
        <v>94.76982358</v>
      </c>
      <c r="M3246" s="70">
        <v>158.751135220616</v>
      </c>
      <c r="N3246" s="70">
        <v>158.751135220616</v>
      </c>
      <c r="O3246" s="70">
        <v>3.5219701903409</v>
      </c>
      <c r="P3246" s="70">
        <v>3.5219701903409</v>
      </c>
    </row>
    <row r="3247" hidden="1">
      <c r="A3247" s="67" t="s">
        <v>4007</v>
      </c>
      <c r="B3247" s="67" t="s">
        <v>268</v>
      </c>
      <c r="C3247" s="68">
        <v>0.75</v>
      </c>
      <c r="D3247" s="68">
        <v>0.25</v>
      </c>
      <c r="E3247" s="68">
        <v>8.0</v>
      </c>
      <c r="F3247" s="68">
        <v>0.0</v>
      </c>
      <c r="G3247" s="68">
        <v>3.67924603118945</v>
      </c>
      <c r="H3247" s="68">
        <v>168.339159187159</v>
      </c>
      <c r="I3247" s="69">
        <v>44356.43369212963</v>
      </c>
      <c r="J3247" s="69">
        <v>44356.496770833335</v>
      </c>
      <c r="K3247">
        <f>AVERAGE(H3247:H3251)</f>
        <v>92.63877498</v>
      </c>
      <c r="L3247">
        <f>STDEV(H3247:H3251)</f>
        <v>84.8043441</v>
      </c>
      <c r="M3247" s="70">
        <v>168.339159187159</v>
      </c>
      <c r="N3247" s="70">
        <v>168.339159187159</v>
      </c>
      <c r="O3247" s="70">
        <v>3.67924603118945</v>
      </c>
      <c r="P3247" s="70">
        <v>3.67924603118945</v>
      </c>
    </row>
    <row r="3248" hidden="1">
      <c r="A3248" s="67" t="s">
        <v>4008</v>
      </c>
      <c r="B3248" s="67" t="s">
        <v>268</v>
      </c>
      <c r="C3248" s="68">
        <v>0.75</v>
      </c>
      <c r="D3248" s="68">
        <v>0.25</v>
      </c>
      <c r="E3248" s="68">
        <v>8.0</v>
      </c>
      <c r="F3248" s="68">
        <v>1.0</v>
      </c>
      <c r="G3248" s="68">
        <v>0.712515710862965</v>
      </c>
      <c r="H3248" s="68">
        <v>0.94934804346618</v>
      </c>
      <c r="I3248" s="69">
        <v>44356.49747685185</v>
      </c>
      <c r="J3248" s="69">
        <v>44356.49769675926</v>
      </c>
      <c r="K3248">
        <f>AVERAGE(H3247:H3251)</f>
        <v>92.63877498</v>
      </c>
      <c r="L3248">
        <f>STDEV(H3247:H3251)</f>
        <v>84.8043441</v>
      </c>
      <c r="M3248" s="70">
        <v>0.94934804346618</v>
      </c>
      <c r="N3248" s="70">
        <v>0.94934804346618</v>
      </c>
      <c r="O3248" s="70">
        <v>0.712515710862965</v>
      </c>
      <c r="P3248" s="70">
        <v>0.712515710862965</v>
      </c>
    </row>
    <row r="3249" hidden="1">
      <c r="A3249" s="67" t="s">
        <v>4009</v>
      </c>
      <c r="B3249" s="67" t="s">
        <v>268</v>
      </c>
      <c r="C3249" s="68">
        <v>0.75</v>
      </c>
      <c r="D3249" s="68">
        <v>0.25</v>
      </c>
      <c r="E3249" s="68">
        <v>8.0</v>
      </c>
      <c r="F3249" s="68">
        <v>2.0</v>
      </c>
      <c r="G3249" s="68">
        <v>0.739421948270547</v>
      </c>
      <c r="H3249" s="68">
        <v>0.95542451385423</v>
      </c>
      <c r="I3249" s="69">
        <v>44356.498402777775</v>
      </c>
      <c r="J3249" s="69">
        <v>44356.49859953704</v>
      </c>
      <c r="K3249">
        <f>AVERAGE(H3247:H3251)</f>
        <v>92.63877498</v>
      </c>
      <c r="L3249">
        <f>STDEV(H3247:H3251)</f>
        <v>84.8043441</v>
      </c>
      <c r="M3249" s="70">
        <v>0.95542451385423</v>
      </c>
      <c r="N3249" s="70">
        <v>0.95542451385423</v>
      </c>
      <c r="O3249" s="70">
        <v>0.739421948270547</v>
      </c>
      <c r="P3249" s="70">
        <v>0.739421948270547</v>
      </c>
    </row>
    <row r="3250" hidden="1">
      <c r="A3250" s="67" t="s">
        <v>4010</v>
      </c>
      <c r="B3250" s="67" t="s">
        <v>268</v>
      </c>
      <c r="C3250" s="68">
        <v>0.75</v>
      </c>
      <c r="D3250" s="68">
        <v>0.25</v>
      </c>
      <c r="E3250" s="68">
        <v>8.0</v>
      </c>
      <c r="F3250" s="68">
        <v>3.0</v>
      </c>
      <c r="G3250" s="68">
        <v>2.49024255419838</v>
      </c>
      <c r="H3250" s="68">
        <v>131.86163765886</v>
      </c>
      <c r="I3250" s="69">
        <v>44356.499293981484</v>
      </c>
      <c r="J3250" s="69">
        <v>44356.49952546296</v>
      </c>
      <c r="K3250">
        <f>AVERAGE(H3247:H3251)</f>
        <v>92.63877498</v>
      </c>
      <c r="L3250">
        <f>STDEV(H3247:H3251)</f>
        <v>84.8043441</v>
      </c>
      <c r="M3250" s="70">
        <v>131.86163765886</v>
      </c>
      <c r="N3250" s="70">
        <v>131.86163765886</v>
      </c>
      <c r="O3250" s="70">
        <v>2.49024255419838</v>
      </c>
      <c r="P3250" s="70">
        <v>2.49024255419838</v>
      </c>
    </row>
    <row r="3251" hidden="1">
      <c r="A3251" s="67" t="s">
        <v>4011</v>
      </c>
      <c r="B3251" s="67" t="s">
        <v>268</v>
      </c>
      <c r="C3251" s="68">
        <v>0.75</v>
      </c>
      <c r="D3251" s="68">
        <v>0.25</v>
      </c>
      <c r="E3251" s="68">
        <v>8.0</v>
      </c>
      <c r="F3251" s="68">
        <v>4.0</v>
      </c>
      <c r="G3251" s="68">
        <v>4.77768105433788</v>
      </c>
      <c r="H3251" s="68">
        <v>161.088305480721</v>
      </c>
      <c r="I3251" s="69">
        <v>44356.500231481485</v>
      </c>
      <c r="J3251" s="69">
        <v>44356.500451388885</v>
      </c>
      <c r="K3251">
        <f>AVERAGE(H3247:H3251)</f>
        <v>92.63877498</v>
      </c>
      <c r="L3251">
        <f>STDEV(H3247:H3251)</f>
        <v>84.8043441</v>
      </c>
      <c r="M3251" s="70">
        <v>161.088305480721</v>
      </c>
      <c r="N3251" s="70">
        <v>161.088305480721</v>
      </c>
      <c r="O3251" s="70">
        <v>4.77768105433788</v>
      </c>
      <c r="P3251" s="70">
        <v>4.77768105433788</v>
      </c>
    </row>
    <row r="3252" hidden="1">
      <c r="A3252" s="67" t="s">
        <v>4012</v>
      </c>
      <c r="B3252" s="67" t="s">
        <v>268</v>
      </c>
      <c r="C3252" s="68">
        <v>0.75</v>
      </c>
      <c r="D3252" s="68">
        <v>0.5</v>
      </c>
      <c r="E3252" s="68">
        <v>8.0</v>
      </c>
      <c r="F3252" s="68">
        <v>0.0</v>
      </c>
      <c r="G3252" s="68">
        <v>1.72475548067148</v>
      </c>
      <c r="H3252" s="68">
        <v>28.1163444929484</v>
      </c>
      <c r="I3252" s="69">
        <v>44356.50115740741</v>
      </c>
      <c r="J3252" s="69">
        <v>44356.50179398148</v>
      </c>
      <c r="K3252">
        <f>AVERAGE(H3252:H3256)</f>
        <v>81.37356112</v>
      </c>
      <c r="L3252">
        <f>STDEV(H3252:H3256)</f>
        <v>100.1502712</v>
      </c>
      <c r="M3252" s="70">
        <v>28.1163444929484</v>
      </c>
      <c r="N3252" s="70">
        <v>28.1163444929484</v>
      </c>
      <c r="O3252" s="70">
        <v>1.72475548067148</v>
      </c>
      <c r="P3252" s="70">
        <v>1.72475548067148</v>
      </c>
    </row>
    <row r="3253" hidden="1">
      <c r="A3253" s="67" t="s">
        <v>4013</v>
      </c>
      <c r="B3253" s="67" t="s">
        <v>268</v>
      </c>
      <c r="C3253" s="68">
        <v>0.75</v>
      </c>
      <c r="D3253" s="68">
        <v>0.5</v>
      </c>
      <c r="E3253" s="68">
        <v>8.0</v>
      </c>
      <c r="F3253" s="68">
        <v>1.0</v>
      </c>
      <c r="G3253" s="68">
        <v>3.46464227251694</v>
      </c>
      <c r="H3253" s="68">
        <v>158.151449678783</v>
      </c>
      <c r="I3253" s="69">
        <v>44356.5025</v>
      </c>
      <c r="J3253" s="69">
        <v>44356.55173611111</v>
      </c>
      <c r="K3253">
        <f>AVERAGE(H3252:H3256)</f>
        <v>81.37356112</v>
      </c>
      <c r="L3253">
        <f>STDEV(H3252:H3256)</f>
        <v>100.1502712</v>
      </c>
      <c r="M3253" s="70">
        <v>158.151449678783</v>
      </c>
      <c r="N3253" s="70">
        <v>158.151449678783</v>
      </c>
      <c r="O3253" s="70">
        <v>3.46464227251694</v>
      </c>
      <c r="P3253" s="70">
        <v>3.46464227251694</v>
      </c>
    </row>
    <row r="3254" hidden="1">
      <c r="A3254" s="67" t="s">
        <v>4014</v>
      </c>
      <c r="B3254" s="67" t="s">
        <v>268</v>
      </c>
      <c r="C3254" s="68">
        <v>0.75</v>
      </c>
      <c r="D3254" s="68">
        <v>0.5</v>
      </c>
      <c r="E3254" s="68">
        <v>8.0</v>
      </c>
      <c r="F3254" s="68">
        <v>2.0</v>
      </c>
      <c r="G3254" s="68">
        <v>0.738388919616822</v>
      </c>
      <c r="H3254" s="68">
        <v>0.954404004182583</v>
      </c>
      <c r="I3254" s="69">
        <v>44356.55244212963</v>
      </c>
      <c r="J3254" s="69">
        <v>44356.55262731481</v>
      </c>
      <c r="K3254">
        <f>AVERAGE(H3252:H3256)</f>
        <v>81.37356112</v>
      </c>
      <c r="L3254">
        <f>STDEV(H3252:H3256)</f>
        <v>100.1502712</v>
      </c>
      <c r="M3254" s="70">
        <v>0.954404004182583</v>
      </c>
      <c r="N3254" s="70">
        <v>0.954404004182583</v>
      </c>
      <c r="O3254" s="70">
        <v>0.738388919616822</v>
      </c>
      <c r="P3254" s="70">
        <v>0.738388919616822</v>
      </c>
    </row>
    <row r="3255" hidden="1">
      <c r="A3255" s="67" t="s">
        <v>4015</v>
      </c>
      <c r="B3255" s="67" t="s">
        <v>268</v>
      </c>
      <c r="C3255" s="68">
        <v>0.75</v>
      </c>
      <c r="D3255" s="68">
        <v>0.5</v>
      </c>
      <c r="E3255" s="68">
        <v>8.0</v>
      </c>
      <c r="F3255" s="68">
        <v>3.0</v>
      </c>
      <c r="G3255" s="68">
        <v>4.9384887841159</v>
      </c>
      <c r="H3255" s="68">
        <v>217.765317082699</v>
      </c>
      <c r="I3255" s="69">
        <v>44356.55333333334</v>
      </c>
      <c r="J3255" s="69">
        <v>44356.55616898148</v>
      </c>
      <c r="K3255">
        <f>AVERAGE(H3252:H3256)</f>
        <v>81.37356112</v>
      </c>
      <c r="L3255">
        <f>STDEV(H3252:H3256)</f>
        <v>100.1502712</v>
      </c>
      <c r="M3255" s="70">
        <v>217.765317082699</v>
      </c>
      <c r="N3255" s="70">
        <v>217.765317082699</v>
      </c>
      <c r="O3255" s="70">
        <v>4.9384887841159</v>
      </c>
      <c r="P3255" s="70">
        <v>4.9384887841159</v>
      </c>
    </row>
    <row r="3256" hidden="1">
      <c r="A3256" s="67" t="s">
        <v>4016</v>
      </c>
      <c r="B3256" s="67" t="s">
        <v>268</v>
      </c>
      <c r="C3256" s="68">
        <v>0.75</v>
      </c>
      <c r="D3256" s="68">
        <v>0.5</v>
      </c>
      <c r="E3256" s="68">
        <v>8.0</v>
      </c>
      <c r="F3256" s="68">
        <v>4.0</v>
      </c>
      <c r="G3256" s="68">
        <v>1.09881660702641</v>
      </c>
      <c r="H3256" s="68">
        <v>1.88029031681283</v>
      </c>
      <c r="I3256" s="69">
        <v>44356.556875</v>
      </c>
      <c r="J3256" s="69">
        <v>44356.556909722225</v>
      </c>
      <c r="K3256">
        <f>AVERAGE(H3252:H3256)</f>
        <v>81.37356112</v>
      </c>
      <c r="L3256">
        <f>STDEV(H3252:H3256)</f>
        <v>100.1502712</v>
      </c>
      <c r="M3256" s="70">
        <v>1.88029031681283</v>
      </c>
      <c r="N3256" s="70">
        <v>1.88029031681283</v>
      </c>
      <c r="O3256" s="70">
        <v>1.09881660702641</v>
      </c>
      <c r="P3256" s="70">
        <v>1.09881660702641</v>
      </c>
    </row>
    <row r="3257" hidden="1">
      <c r="A3257" s="67" t="s">
        <v>4017</v>
      </c>
      <c r="B3257" s="67" t="s">
        <v>268</v>
      </c>
      <c r="C3257" s="68">
        <v>0.75</v>
      </c>
      <c r="D3257" s="68">
        <v>0.75</v>
      </c>
      <c r="E3257" s="68">
        <v>8.0</v>
      </c>
      <c r="F3257" s="68">
        <v>0.0</v>
      </c>
      <c r="G3257" s="68">
        <v>1.73171204529161</v>
      </c>
      <c r="H3257" s="68">
        <v>27.9020391813628</v>
      </c>
      <c r="I3257" s="69">
        <v>44356.557604166665</v>
      </c>
      <c r="J3257" s="69">
        <v>44356.558229166665</v>
      </c>
      <c r="K3257">
        <f>AVERAGE(H3257:H3261)</f>
        <v>42.76495214</v>
      </c>
      <c r="L3257">
        <f>STDEV(H3257:H3261)</f>
        <v>79.45541956</v>
      </c>
      <c r="M3257" s="70">
        <v>27.9020391813628</v>
      </c>
      <c r="N3257" s="70">
        <v>27.9020391813628</v>
      </c>
      <c r="O3257" s="70">
        <v>1.73171204529161</v>
      </c>
      <c r="P3257" s="70">
        <v>1.73171204529161</v>
      </c>
    </row>
    <row r="3258" hidden="1">
      <c r="A3258" s="67" t="s">
        <v>4018</v>
      </c>
      <c r="B3258" s="67" t="s">
        <v>268</v>
      </c>
      <c r="C3258" s="68">
        <v>0.75</v>
      </c>
      <c r="D3258" s="68">
        <v>0.75</v>
      </c>
      <c r="E3258" s="68">
        <v>8.0</v>
      </c>
      <c r="F3258" s="68">
        <v>1.0</v>
      </c>
      <c r="G3258" s="68">
        <v>4.22944337174172</v>
      </c>
      <c r="H3258" s="68">
        <v>183.346076395178</v>
      </c>
      <c r="I3258" s="69">
        <v>44356.55892361111</v>
      </c>
      <c r="J3258" s="69">
        <v>44356.61486111111</v>
      </c>
      <c r="K3258">
        <f>AVERAGE(H3257:H3261)</f>
        <v>42.76495214</v>
      </c>
      <c r="L3258">
        <f>STDEV(H3257:H3261)</f>
        <v>79.45541956</v>
      </c>
      <c r="M3258" s="70">
        <v>183.346076395178</v>
      </c>
      <c r="N3258" s="70">
        <v>183.346076395178</v>
      </c>
      <c r="O3258" s="70">
        <v>4.22944337174172</v>
      </c>
      <c r="P3258" s="70">
        <v>4.22944337174172</v>
      </c>
    </row>
    <row r="3259" hidden="1">
      <c r="A3259" s="67" t="s">
        <v>4019</v>
      </c>
      <c r="B3259" s="67" t="s">
        <v>268</v>
      </c>
      <c r="C3259" s="68">
        <v>0.75</v>
      </c>
      <c r="D3259" s="68">
        <v>0.75</v>
      </c>
      <c r="E3259" s="68">
        <v>8.0</v>
      </c>
      <c r="F3259" s="68">
        <v>2.0</v>
      </c>
      <c r="G3259" s="68">
        <v>0.656826151843901</v>
      </c>
      <c r="H3259" s="68">
        <v>1.21758279997119</v>
      </c>
      <c r="I3259" s="69">
        <v>44356.61556712963</v>
      </c>
      <c r="J3259" s="69">
        <v>44356.61635416667</v>
      </c>
      <c r="K3259">
        <f>AVERAGE(H3257:H3261)</f>
        <v>42.76495214</v>
      </c>
      <c r="L3259">
        <f>STDEV(H3257:H3261)</f>
        <v>79.45541956</v>
      </c>
      <c r="M3259" s="70">
        <v>1.21758279997119</v>
      </c>
      <c r="N3259" s="70">
        <v>1.21758279997119</v>
      </c>
      <c r="O3259" s="70">
        <v>0.656826151843901</v>
      </c>
      <c r="P3259" s="70">
        <v>0.656826151843901</v>
      </c>
    </row>
    <row r="3260" hidden="1">
      <c r="A3260" s="67" t="s">
        <v>4020</v>
      </c>
      <c r="B3260" s="67" t="s">
        <v>268</v>
      </c>
      <c r="C3260" s="68">
        <v>0.75</v>
      </c>
      <c r="D3260" s="68">
        <v>0.75</v>
      </c>
      <c r="E3260" s="68">
        <v>8.0</v>
      </c>
      <c r="F3260" s="68">
        <v>3.0</v>
      </c>
      <c r="G3260" s="68">
        <v>0.319096105615425</v>
      </c>
      <c r="H3260" s="68">
        <v>0.408517979006142</v>
      </c>
      <c r="I3260" s="69">
        <v>44356.617060185185</v>
      </c>
      <c r="J3260" s="69">
        <v>44356.617118055554</v>
      </c>
      <c r="K3260">
        <f>AVERAGE(H3257:H3261)</f>
        <v>42.76495214</v>
      </c>
      <c r="L3260">
        <f>STDEV(H3257:H3261)</f>
        <v>79.45541956</v>
      </c>
      <c r="M3260" s="70">
        <v>0.408517979006142</v>
      </c>
      <c r="N3260" s="70">
        <v>0.408517979006142</v>
      </c>
      <c r="O3260" s="70">
        <v>0.319096105615425</v>
      </c>
      <c r="P3260" s="70">
        <v>0.319096105615425</v>
      </c>
    </row>
    <row r="3261" hidden="1">
      <c r="A3261" s="67" t="s">
        <v>4021</v>
      </c>
      <c r="B3261" s="67" t="s">
        <v>268</v>
      </c>
      <c r="C3261" s="68">
        <v>0.75</v>
      </c>
      <c r="D3261" s="68">
        <v>0.75</v>
      </c>
      <c r="E3261" s="68">
        <v>8.0</v>
      </c>
      <c r="F3261" s="68">
        <v>4.0</v>
      </c>
      <c r="G3261" s="68">
        <v>0.736192093514763</v>
      </c>
      <c r="H3261" s="68">
        <v>0.950544336758399</v>
      </c>
      <c r="I3261" s="69">
        <v>44356.61782407408</v>
      </c>
      <c r="J3261" s="69">
        <v>44356.61803240741</v>
      </c>
      <c r="K3261">
        <f>AVERAGE(H3257:H3261)</f>
        <v>42.76495214</v>
      </c>
      <c r="L3261">
        <f>STDEV(H3257:H3261)</f>
        <v>79.45541956</v>
      </c>
      <c r="M3261" s="70">
        <v>0.950544336758399</v>
      </c>
      <c r="N3261" s="70">
        <v>0.950544336758399</v>
      </c>
      <c r="O3261" s="70">
        <v>0.736192093514763</v>
      </c>
      <c r="P3261" s="70">
        <v>0.736192093514763</v>
      </c>
    </row>
    <row r="3262" hidden="1">
      <c r="A3262" s="67" t="s">
        <v>4022</v>
      </c>
      <c r="B3262" s="67" t="s">
        <v>268</v>
      </c>
      <c r="C3262" s="68">
        <v>0.75</v>
      </c>
      <c r="D3262" s="68">
        <v>1.0</v>
      </c>
      <c r="E3262" s="68">
        <v>8.0</v>
      </c>
      <c r="F3262" s="68">
        <v>0.0</v>
      </c>
      <c r="G3262" s="68">
        <v>3.63294749860213</v>
      </c>
      <c r="H3262" s="68">
        <v>158.063169862656</v>
      </c>
      <c r="I3262" s="69">
        <v>44356.618726851855</v>
      </c>
      <c r="J3262" s="69">
        <v>44356.665972222225</v>
      </c>
      <c r="K3262">
        <f>AVERAGE(H3262:H3266)</f>
        <v>71.70177833</v>
      </c>
      <c r="L3262">
        <f>STDEV(H3262:H3266)</f>
        <v>90.94294007</v>
      </c>
      <c r="M3262" s="70">
        <v>158.063169862656</v>
      </c>
      <c r="N3262" s="70">
        <v>158.063169862656</v>
      </c>
      <c r="O3262" s="70">
        <v>3.63294749860213</v>
      </c>
      <c r="P3262" s="70">
        <v>3.63294749860213</v>
      </c>
    </row>
    <row r="3263" hidden="1">
      <c r="A3263" s="67" t="s">
        <v>4023</v>
      </c>
      <c r="B3263" s="67" t="s">
        <v>268</v>
      </c>
      <c r="C3263" s="68">
        <v>0.75</v>
      </c>
      <c r="D3263" s="68">
        <v>1.0</v>
      </c>
      <c r="E3263" s="68">
        <v>8.0</v>
      </c>
      <c r="F3263" s="68">
        <v>1.0</v>
      </c>
      <c r="G3263" s="68">
        <v>1.21593702315599</v>
      </c>
      <c r="H3263" s="68">
        <v>15.9223138572581</v>
      </c>
      <c r="I3263" s="69">
        <v>44356.66667824074</v>
      </c>
      <c r="J3263" s="69">
        <v>44356.66680555556</v>
      </c>
      <c r="K3263">
        <f>AVERAGE(H3262:H3266)</f>
        <v>71.70177833</v>
      </c>
      <c r="L3263">
        <f>STDEV(H3262:H3266)</f>
        <v>90.94294007</v>
      </c>
      <c r="M3263" s="70">
        <v>15.9223138572581</v>
      </c>
      <c r="N3263" s="70">
        <v>15.9223138572581</v>
      </c>
      <c r="O3263" s="70">
        <v>1.21593702315599</v>
      </c>
      <c r="P3263" s="70">
        <v>1.21593702315599</v>
      </c>
    </row>
    <row r="3264" hidden="1">
      <c r="A3264" s="67" t="s">
        <v>4024</v>
      </c>
      <c r="B3264" s="67" t="s">
        <v>268</v>
      </c>
      <c r="C3264" s="68">
        <v>0.75</v>
      </c>
      <c r="D3264" s="68">
        <v>1.0</v>
      </c>
      <c r="E3264" s="68">
        <v>8.0</v>
      </c>
      <c r="F3264" s="68">
        <v>2.0</v>
      </c>
      <c r="G3264" s="68">
        <v>3.74050836034666</v>
      </c>
      <c r="H3264" s="68">
        <v>183.165621023596</v>
      </c>
      <c r="I3264" s="69">
        <v>44356.66751157407</v>
      </c>
      <c r="J3264" s="69">
        <v>44356.672685185185</v>
      </c>
      <c r="K3264">
        <f>AVERAGE(H3262:H3266)</f>
        <v>71.70177833</v>
      </c>
      <c r="L3264">
        <f>STDEV(H3262:H3266)</f>
        <v>90.94294007</v>
      </c>
      <c r="M3264" s="70">
        <v>183.165621023596</v>
      </c>
      <c r="N3264" s="70">
        <v>183.165621023596</v>
      </c>
      <c r="O3264" s="70">
        <v>3.74050836034666</v>
      </c>
      <c r="P3264" s="70">
        <v>3.74050836034666</v>
      </c>
    </row>
    <row r="3265" hidden="1">
      <c r="A3265" s="67" t="s">
        <v>4025</v>
      </c>
      <c r="B3265" s="67" t="s">
        <v>268</v>
      </c>
      <c r="C3265" s="68">
        <v>0.75</v>
      </c>
      <c r="D3265" s="68">
        <v>1.0</v>
      </c>
      <c r="E3265" s="68">
        <v>8.0</v>
      </c>
      <c r="F3265" s="68">
        <v>3.0</v>
      </c>
      <c r="G3265" s="68">
        <v>0.712647031637279</v>
      </c>
      <c r="H3265" s="68">
        <v>0.949268918176112</v>
      </c>
      <c r="I3265" s="69">
        <v>44356.6733912037</v>
      </c>
      <c r="J3265" s="69">
        <v>44356.67361111111</v>
      </c>
      <c r="K3265">
        <f>AVERAGE(H3262:H3266)</f>
        <v>71.70177833</v>
      </c>
      <c r="L3265">
        <f>STDEV(H3262:H3266)</f>
        <v>90.94294007</v>
      </c>
      <c r="M3265" s="70">
        <v>0.949268918176112</v>
      </c>
      <c r="N3265" s="70">
        <v>0.949268918176112</v>
      </c>
      <c r="O3265" s="70">
        <v>0.712647031637279</v>
      </c>
      <c r="P3265" s="70">
        <v>0.712647031637279</v>
      </c>
    </row>
    <row r="3266" hidden="1">
      <c r="A3266" s="67" t="s">
        <v>4026</v>
      </c>
      <c r="B3266" s="67" t="s">
        <v>268</v>
      </c>
      <c r="C3266" s="68">
        <v>0.75</v>
      </c>
      <c r="D3266" s="68">
        <v>1.0</v>
      </c>
      <c r="E3266" s="68">
        <v>8.0</v>
      </c>
      <c r="F3266" s="68">
        <v>4.0</v>
      </c>
      <c r="G3266" s="68">
        <v>0.319096105615425</v>
      </c>
      <c r="H3266" s="68">
        <v>0.408517979006142</v>
      </c>
      <c r="I3266" s="69">
        <v>44356.67431712963</v>
      </c>
      <c r="J3266" s="69">
        <v>44356.674375</v>
      </c>
      <c r="K3266">
        <f>AVERAGE(H3262:H3266)</f>
        <v>71.70177833</v>
      </c>
      <c r="L3266">
        <f>STDEV(H3262:H3266)</f>
        <v>90.94294007</v>
      </c>
      <c r="M3266" s="70">
        <v>0.408517979006142</v>
      </c>
      <c r="N3266" s="70">
        <v>0.408517979006142</v>
      </c>
      <c r="O3266" s="70">
        <v>0.319096105615425</v>
      </c>
      <c r="P3266" s="70">
        <v>0.319096105615425</v>
      </c>
    </row>
    <row r="3267" hidden="1">
      <c r="A3267" s="67" t="s">
        <v>4027</v>
      </c>
      <c r="B3267" s="67" t="s">
        <v>268</v>
      </c>
      <c r="C3267" s="68">
        <v>1.0</v>
      </c>
      <c r="D3267" s="68">
        <v>0.1</v>
      </c>
      <c r="E3267" s="68">
        <v>8.0</v>
      </c>
      <c r="F3267" s="68">
        <v>0.0</v>
      </c>
      <c r="G3267" s="68">
        <v>0.319096105615425</v>
      </c>
      <c r="H3267" s="68">
        <v>0.408517979006142</v>
      </c>
      <c r="I3267" s="69">
        <v>44356.67508101852</v>
      </c>
      <c r="J3267" s="69">
        <v>44356.67512731482</v>
      </c>
      <c r="K3267">
        <f>AVERAGE(H3267:H3271)</f>
        <v>94.01381445</v>
      </c>
      <c r="L3267">
        <f>STDEV(H3267:H3271)</f>
        <v>76.04618375</v>
      </c>
      <c r="M3267" s="70">
        <v>0.408517979006142</v>
      </c>
      <c r="N3267" s="70">
        <v>0.408517979006142</v>
      </c>
      <c r="O3267" s="70">
        <v>0.319096105615425</v>
      </c>
      <c r="P3267" s="70">
        <v>0.319096105615425</v>
      </c>
    </row>
    <row r="3268" hidden="1">
      <c r="A3268" s="67" t="s">
        <v>4028</v>
      </c>
      <c r="B3268" s="67" t="s">
        <v>268</v>
      </c>
      <c r="C3268" s="68">
        <v>1.0</v>
      </c>
      <c r="D3268" s="68">
        <v>0.1</v>
      </c>
      <c r="E3268" s="68">
        <v>8.0</v>
      </c>
      <c r="F3268" s="68">
        <v>1.0</v>
      </c>
      <c r="G3268" s="68">
        <v>1.72548160696841</v>
      </c>
      <c r="H3268" s="68">
        <v>27.8662841110001</v>
      </c>
      <c r="I3268" s="69">
        <v>44356.675833333335</v>
      </c>
      <c r="J3268" s="69">
        <v>44356.67650462963</v>
      </c>
      <c r="K3268">
        <f>AVERAGE(H3267:H3271)</f>
        <v>94.01381445</v>
      </c>
      <c r="L3268">
        <f>STDEV(H3267:H3271)</f>
        <v>76.04618375</v>
      </c>
      <c r="M3268" s="70">
        <v>27.8662841110001</v>
      </c>
      <c r="N3268" s="70">
        <v>27.8662841110001</v>
      </c>
      <c r="O3268" s="70">
        <v>1.72548160696841</v>
      </c>
      <c r="P3268" s="70">
        <v>1.72548160696841</v>
      </c>
    </row>
    <row r="3269" hidden="1">
      <c r="A3269" s="67" t="s">
        <v>4029</v>
      </c>
      <c r="B3269" s="67" t="s">
        <v>268</v>
      </c>
      <c r="C3269" s="68">
        <v>1.0</v>
      </c>
      <c r="D3269" s="68">
        <v>0.1</v>
      </c>
      <c r="E3269" s="68">
        <v>8.0</v>
      </c>
      <c r="F3269" s="68">
        <v>2.0</v>
      </c>
      <c r="G3269" s="68">
        <v>3.26639710151757</v>
      </c>
      <c r="H3269" s="68">
        <v>163.992028485231</v>
      </c>
      <c r="I3269" s="69">
        <v>44356.677199074074</v>
      </c>
      <c r="J3269" s="69">
        <v>44356.688472222224</v>
      </c>
      <c r="K3269">
        <f>AVERAGE(H3267:H3271)</f>
        <v>94.01381445</v>
      </c>
      <c r="L3269">
        <f>STDEV(H3267:H3271)</f>
        <v>76.04618375</v>
      </c>
      <c r="M3269" s="70">
        <v>163.992028485231</v>
      </c>
      <c r="N3269" s="70">
        <v>163.992028485231</v>
      </c>
      <c r="O3269" s="70">
        <v>3.26639710151757</v>
      </c>
      <c r="P3269" s="70">
        <v>3.26639710151757</v>
      </c>
    </row>
    <row r="3270" hidden="1">
      <c r="A3270" s="67" t="s">
        <v>4030</v>
      </c>
      <c r="B3270" s="67" t="s">
        <v>268</v>
      </c>
      <c r="C3270" s="68">
        <v>1.0</v>
      </c>
      <c r="D3270" s="68">
        <v>0.1</v>
      </c>
      <c r="E3270" s="68">
        <v>8.0</v>
      </c>
      <c r="F3270" s="68">
        <v>3.0</v>
      </c>
      <c r="G3270" s="68">
        <v>3.63817580464268</v>
      </c>
      <c r="H3270" s="68">
        <v>162.009019542778</v>
      </c>
      <c r="I3270" s="69">
        <v>44356.68917824074</v>
      </c>
      <c r="J3270" s="69">
        <v>44356.73266203704</v>
      </c>
      <c r="K3270">
        <f>AVERAGE(H3267:H3271)</f>
        <v>94.01381445</v>
      </c>
      <c r="L3270">
        <f>STDEV(H3267:H3271)</f>
        <v>76.04618375</v>
      </c>
      <c r="M3270" s="70">
        <v>162.009019542778</v>
      </c>
      <c r="N3270" s="70">
        <v>162.009019542778</v>
      </c>
      <c r="O3270" s="70">
        <v>3.63817580464268</v>
      </c>
      <c r="P3270" s="70">
        <v>3.63817580464268</v>
      </c>
    </row>
    <row r="3271" hidden="1">
      <c r="A3271" s="67" t="s">
        <v>4031</v>
      </c>
      <c r="B3271" s="67" t="s">
        <v>268</v>
      </c>
      <c r="C3271" s="68">
        <v>1.0</v>
      </c>
      <c r="D3271" s="68">
        <v>0.1</v>
      </c>
      <c r="E3271" s="68">
        <v>8.0</v>
      </c>
      <c r="F3271" s="68">
        <v>4.0</v>
      </c>
      <c r="G3271" s="68">
        <v>4.19513815267797</v>
      </c>
      <c r="H3271" s="68">
        <v>115.793222145536</v>
      </c>
      <c r="I3271" s="69">
        <v>44356.73336805555</v>
      </c>
      <c r="J3271" s="69">
        <v>44356.73342592592</v>
      </c>
      <c r="K3271">
        <f>AVERAGE(H3267:H3271)</f>
        <v>94.01381445</v>
      </c>
      <c r="L3271">
        <f>STDEV(H3267:H3271)</f>
        <v>76.04618375</v>
      </c>
      <c r="M3271" s="70">
        <v>115.793222145536</v>
      </c>
      <c r="N3271" s="70">
        <v>115.793222145536</v>
      </c>
      <c r="O3271" s="70">
        <v>4.19513815267797</v>
      </c>
      <c r="P3271" s="70">
        <v>4.19513815267797</v>
      </c>
    </row>
    <row r="3272" hidden="1">
      <c r="A3272" s="67" t="s">
        <v>4032</v>
      </c>
      <c r="B3272" s="67" t="s">
        <v>268</v>
      </c>
      <c r="C3272" s="68">
        <v>1.0</v>
      </c>
      <c r="D3272" s="68">
        <v>0.25</v>
      </c>
      <c r="E3272" s="68">
        <v>8.0</v>
      </c>
      <c r="F3272" s="68">
        <v>0.0</v>
      </c>
      <c r="G3272" s="68">
        <v>4.08886958853911</v>
      </c>
      <c r="H3272" s="68">
        <v>190.973241262811</v>
      </c>
      <c r="I3272" s="69">
        <v>44356.734131944446</v>
      </c>
      <c r="J3272" s="69">
        <v>44356.77107638889</v>
      </c>
      <c r="K3272">
        <f>AVERAGE(H3272:H3276)</f>
        <v>110.469209</v>
      </c>
      <c r="L3272">
        <f>STDEV(H3272:H3276)</f>
        <v>71.8751624</v>
      </c>
      <c r="M3272" s="70">
        <v>190.973241262811</v>
      </c>
      <c r="N3272" s="70">
        <v>190.973241262811</v>
      </c>
      <c r="O3272" s="70">
        <v>4.08886958853911</v>
      </c>
      <c r="P3272" s="70">
        <v>4.08886958853911</v>
      </c>
    </row>
    <row r="3273" hidden="1">
      <c r="A3273" s="67" t="s">
        <v>4033</v>
      </c>
      <c r="B3273" s="67" t="s">
        <v>268</v>
      </c>
      <c r="C3273" s="68">
        <v>1.0</v>
      </c>
      <c r="D3273" s="68">
        <v>0.25</v>
      </c>
      <c r="E3273" s="68">
        <v>8.0</v>
      </c>
      <c r="F3273" s="68">
        <v>1.0</v>
      </c>
      <c r="G3273" s="68">
        <v>1.68019035656125</v>
      </c>
      <c r="H3273" s="68">
        <v>73.6077321064922</v>
      </c>
      <c r="I3273" s="69">
        <v>44356.77177083334</v>
      </c>
      <c r="J3273" s="69">
        <v>44356.77329861111</v>
      </c>
      <c r="K3273">
        <f>AVERAGE(H3272:H3276)</f>
        <v>110.469209</v>
      </c>
      <c r="L3273">
        <f>STDEV(H3272:H3276)</f>
        <v>71.8751624</v>
      </c>
      <c r="M3273" s="70">
        <v>73.6077321064922</v>
      </c>
      <c r="N3273" s="70">
        <v>73.6077321064922</v>
      </c>
      <c r="O3273" s="70">
        <v>1.68019035656125</v>
      </c>
      <c r="P3273" s="70">
        <v>1.68019035656125</v>
      </c>
    </row>
    <row r="3274" hidden="1">
      <c r="A3274" s="67" t="s">
        <v>4034</v>
      </c>
      <c r="B3274" s="67" t="s">
        <v>268</v>
      </c>
      <c r="C3274" s="68">
        <v>1.0</v>
      </c>
      <c r="D3274" s="68">
        <v>0.25</v>
      </c>
      <c r="E3274" s="68">
        <v>8.0</v>
      </c>
      <c r="F3274" s="68">
        <v>2.0</v>
      </c>
      <c r="G3274" s="68">
        <v>5.04069348178243</v>
      </c>
      <c r="H3274" s="68">
        <v>171.900939595933</v>
      </c>
      <c r="I3274" s="69">
        <v>44356.77400462963</v>
      </c>
      <c r="J3274" s="69">
        <v>44356.77412037037</v>
      </c>
      <c r="K3274">
        <f>AVERAGE(H3272:H3276)</f>
        <v>110.469209</v>
      </c>
      <c r="L3274">
        <f>STDEV(H3272:H3276)</f>
        <v>71.8751624</v>
      </c>
      <c r="M3274" s="70">
        <v>171.900939595933</v>
      </c>
      <c r="N3274" s="70">
        <v>171.900939595933</v>
      </c>
      <c r="O3274" s="70">
        <v>5.04069348178243</v>
      </c>
      <c r="P3274" s="70">
        <v>5.04069348178243</v>
      </c>
    </row>
    <row r="3275" hidden="1">
      <c r="A3275" s="67" t="s">
        <v>4035</v>
      </c>
      <c r="B3275" s="67" t="s">
        <v>268</v>
      </c>
      <c r="C3275" s="68">
        <v>1.0</v>
      </c>
      <c r="D3275" s="68">
        <v>0.25</v>
      </c>
      <c r="E3275" s="68">
        <v>8.0</v>
      </c>
      <c r="F3275" s="68">
        <v>3.0</v>
      </c>
      <c r="G3275" s="68">
        <v>1.21546693384922</v>
      </c>
      <c r="H3275" s="68">
        <v>15.9182118408278</v>
      </c>
      <c r="I3275" s="69">
        <v>44356.77481481482</v>
      </c>
      <c r="J3275" s="69">
        <v>44356.7749537037</v>
      </c>
      <c r="K3275">
        <f>AVERAGE(H3272:H3276)</f>
        <v>110.469209</v>
      </c>
      <c r="L3275">
        <f>STDEV(H3272:H3276)</f>
        <v>71.8751624</v>
      </c>
      <c r="M3275" s="70">
        <v>15.9182118408278</v>
      </c>
      <c r="N3275" s="70">
        <v>15.9182118408278</v>
      </c>
      <c r="O3275" s="70">
        <v>1.21546693384922</v>
      </c>
      <c r="P3275" s="70">
        <v>1.21546693384922</v>
      </c>
    </row>
    <row r="3276" hidden="1">
      <c r="A3276" s="67" t="s">
        <v>4036</v>
      </c>
      <c r="B3276" s="67" t="s">
        <v>268</v>
      </c>
      <c r="C3276" s="68">
        <v>1.0</v>
      </c>
      <c r="D3276" s="68">
        <v>0.25</v>
      </c>
      <c r="E3276" s="68">
        <v>8.0</v>
      </c>
      <c r="F3276" s="68">
        <v>4.0</v>
      </c>
      <c r="G3276" s="68">
        <v>2.8494738952656</v>
      </c>
      <c r="H3276" s="68">
        <v>99.9459204263642</v>
      </c>
      <c r="I3276" s="69">
        <v>44356.775659722225</v>
      </c>
      <c r="J3276" s="69">
        <v>44356.777025462965</v>
      </c>
      <c r="K3276">
        <f>AVERAGE(H3272:H3276)</f>
        <v>110.469209</v>
      </c>
      <c r="L3276">
        <f>STDEV(H3272:H3276)</f>
        <v>71.8751624</v>
      </c>
      <c r="M3276" s="70">
        <v>99.9459204263642</v>
      </c>
      <c r="N3276" s="70">
        <v>99.9459204263642</v>
      </c>
      <c r="O3276" s="70">
        <v>2.8494738952656</v>
      </c>
      <c r="P3276" s="70">
        <v>2.8494738952656</v>
      </c>
    </row>
    <row r="3277" hidden="1">
      <c r="A3277" s="67" t="s">
        <v>4037</v>
      </c>
      <c r="B3277" s="67" t="s">
        <v>268</v>
      </c>
      <c r="C3277" s="68">
        <v>1.0</v>
      </c>
      <c r="D3277" s="68">
        <v>0.5</v>
      </c>
      <c r="E3277" s="68">
        <v>8.0</v>
      </c>
      <c r="F3277" s="68">
        <v>0.0</v>
      </c>
      <c r="G3277" s="68">
        <v>1.21492982122998</v>
      </c>
      <c r="H3277" s="68">
        <v>15.9138292822944</v>
      </c>
      <c r="I3277" s="69">
        <v>44356.77773148148</v>
      </c>
      <c r="J3277" s="69">
        <v>44356.7778587963</v>
      </c>
      <c r="K3277">
        <f>AVERAGE(H3277:H3281)</f>
        <v>113.3549859</v>
      </c>
      <c r="L3277">
        <f>STDEV(H3277:H3281)</f>
        <v>97.10233333</v>
      </c>
      <c r="M3277" s="70">
        <v>15.9138292822944</v>
      </c>
      <c r="N3277" s="70">
        <v>15.9138292822944</v>
      </c>
      <c r="O3277" s="70">
        <v>1.21492982122998</v>
      </c>
      <c r="P3277" s="70">
        <v>1.21492982122998</v>
      </c>
    </row>
    <row r="3278" hidden="1">
      <c r="A3278" s="67" t="s">
        <v>4038</v>
      </c>
      <c r="B3278" s="67" t="s">
        <v>268</v>
      </c>
      <c r="C3278" s="68">
        <v>1.0</v>
      </c>
      <c r="D3278" s="68">
        <v>0.5</v>
      </c>
      <c r="E3278" s="68">
        <v>8.0</v>
      </c>
      <c r="F3278" s="68">
        <v>1.0</v>
      </c>
      <c r="G3278" s="68">
        <v>4.18829156786232</v>
      </c>
      <c r="H3278" s="68">
        <v>194.630621892337</v>
      </c>
      <c r="I3278" s="69">
        <v>44356.77856481481</v>
      </c>
      <c r="J3278" s="69">
        <v>44356.781851851854</v>
      </c>
      <c r="K3278">
        <f>AVERAGE(H3277:H3281)</f>
        <v>113.3549859</v>
      </c>
      <c r="L3278">
        <f>STDEV(H3277:H3281)</f>
        <v>97.10233333</v>
      </c>
      <c r="M3278" s="70">
        <v>194.630621892337</v>
      </c>
      <c r="N3278" s="70">
        <v>194.630621892337</v>
      </c>
      <c r="O3278" s="70">
        <v>4.18829156786232</v>
      </c>
      <c r="P3278" s="70">
        <v>4.18829156786232</v>
      </c>
    </row>
    <row r="3279" hidden="1">
      <c r="A3279" s="67" t="s">
        <v>4039</v>
      </c>
      <c r="B3279" s="67" t="s">
        <v>268</v>
      </c>
      <c r="C3279" s="68">
        <v>1.0</v>
      </c>
      <c r="D3279" s="68">
        <v>0.5</v>
      </c>
      <c r="E3279" s="68">
        <v>8.0</v>
      </c>
      <c r="F3279" s="68">
        <v>2.0</v>
      </c>
      <c r="G3279" s="68">
        <v>6.55476766379396</v>
      </c>
      <c r="H3279" s="68">
        <v>197.659751308844</v>
      </c>
      <c r="I3279" s="69">
        <v>44356.78255787037</v>
      </c>
      <c r="J3279" s="69">
        <v>44356.78277777778</v>
      </c>
      <c r="K3279">
        <f>AVERAGE(H3277:H3281)</f>
        <v>113.3549859</v>
      </c>
      <c r="L3279">
        <f>STDEV(H3277:H3281)</f>
        <v>97.10233333</v>
      </c>
      <c r="M3279" s="70">
        <v>197.659751308844</v>
      </c>
      <c r="N3279" s="70">
        <v>197.659751308844</v>
      </c>
      <c r="O3279" s="70">
        <v>6.55476766379396</v>
      </c>
      <c r="P3279" s="70">
        <v>6.55476766379396</v>
      </c>
    </row>
    <row r="3280" hidden="1">
      <c r="A3280" s="67" t="s">
        <v>4040</v>
      </c>
      <c r="B3280" s="67" t="s">
        <v>268</v>
      </c>
      <c r="C3280" s="68">
        <v>1.0</v>
      </c>
      <c r="D3280" s="68">
        <v>0.5</v>
      </c>
      <c r="E3280" s="68">
        <v>8.0</v>
      </c>
      <c r="F3280" s="68">
        <v>3.0</v>
      </c>
      <c r="G3280" s="68">
        <v>3.42522360957291</v>
      </c>
      <c r="H3280" s="68">
        <v>157.343587663489</v>
      </c>
      <c r="I3280" s="69">
        <v>44356.783472222225</v>
      </c>
      <c r="J3280" s="69">
        <v>44356.83423611111</v>
      </c>
      <c r="K3280">
        <f>AVERAGE(H3277:H3281)</f>
        <v>113.3549859</v>
      </c>
      <c r="L3280">
        <f>STDEV(H3277:H3281)</f>
        <v>97.10233333</v>
      </c>
      <c r="M3280" s="70">
        <v>157.343587663489</v>
      </c>
      <c r="N3280" s="70">
        <v>157.343587663489</v>
      </c>
      <c r="O3280" s="70">
        <v>3.42522360957291</v>
      </c>
      <c r="P3280" s="70">
        <v>3.42522360957291</v>
      </c>
    </row>
    <row r="3281" hidden="1">
      <c r="A3281" s="67" t="s">
        <v>4041</v>
      </c>
      <c r="B3281" s="67" t="s">
        <v>268</v>
      </c>
      <c r="C3281" s="68">
        <v>1.0</v>
      </c>
      <c r="D3281" s="68">
        <v>0.5</v>
      </c>
      <c r="E3281" s="68">
        <v>8.0</v>
      </c>
      <c r="F3281" s="68">
        <v>4.0</v>
      </c>
      <c r="G3281" s="68">
        <v>0.654726217698471</v>
      </c>
      <c r="H3281" s="68">
        <v>1.22713929004384</v>
      </c>
      <c r="I3281" s="69">
        <v>44356.83494212963</v>
      </c>
      <c r="J3281" s="69">
        <v>44356.835648148146</v>
      </c>
      <c r="K3281">
        <f>AVERAGE(H3277:H3281)</f>
        <v>113.3549859</v>
      </c>
      <c r="L3281">
        <f>STDEV(H3277:H3281)</f>
        <v>97.10233333</v>
      </c>
      <c r="M3281" s="70">
        <v>1.22713929004384</v>
      </c>
      <c r="N3281" s="70">
        <v>1.22713929004384</v>
      </c>
      <c r="O3281" s="70">
        <v>0.654726217698471</v>
      </c>
      <c r="P3281" s="70">
        <v>0.654726217698471</v>
      </c>
    </row>
    <row r="3282" hidden="1">
      <c r="A3282" s="67" t="s">
        <v>4042</v>
      </c>
      <c r="B3282" s="67" t="s">
        <v>268</v>
      </c>
      <c r="C3282" s="68">
        <v>1.0</v>
      </c>
      <c r="D3282" s="68">
        <v>0.75</v>
      </c>
      <c r="E3282" s="68">
        <v>8.0</v>
      </c>
      <c r="F3282" s="68">
        <v>0.0</v>
      </c>
      <c r="G3282" s="68">
        <v>0.464894846971917</v>
      </c>
      <c r="H3282" s="68">
        <v>0.557163520855061</v>
      </c>
      <c r="I3282" s="69">
        <v>44385.144375</v>
      </c>
      <c r="J3282" s="69">
        <v>44385.14469907407</v>
      </c>
      <c r="K3282">
        <f>AVERAGE(H3282:H3286)</f>
        <v>96.04121611</v>
      </c>
      <c r="L3282">
        <f>STDEV(H3282:H3286)</f>
        <v>91.22403401</v>
      </c>
      <c r="M3282" s="70">
        <v>0.557163520855061</v>
      </c>
      <c r="N3282" s="70">
        <v>0.557163520855061</v>
      </c>
      <c r="O3282" s="70">
        <v>0.464894846971917</v>
      </c>
      <c r="P3282" s="70">
        <v>0.464894846971917</v>
      </c>
    </row>
    <row r="3283" hidden="1">
      <c r="A3283" s="67" t="s">
        <v>4043</v>
      </c>
      <c r="B3283" s="67" t="s">
        <v>268</v>
      </c>
      <c r="C3283" s="68">
        <v>1.0</v>
      </c>
      <c r="D3283" s="68">
        <v>0.75</v>
      </c>
      <c r="E3283" s="68">
        <v>8.0</v>
      </c>
      <c r="F3283" s="68">
        <v>1.0</v>
      </c>
      <c r="G3283" s="68">
        <v>4.20384384258104</v>
      </c>
      <c r="H3283" s="68">
        <v>115.922020546068</v>
      </c>
      <c r="I3283" s="69">
        <v>44385.14539351852</v>
      </c>
      <c r="J3283" s="69">
        <v>44385.145474537036</v>
      </c>
      <c r="K3283">
        <f>AVERAGE(H3282:H3286)</f>
        <v>96.04121611</v>
      </c>
      <c r="L3283">
        <f>STDEV(H3282:H3286)</f>
        <v>91.22403401</v>
      </c>
      <c r="M3283" s="70">
        <v>115.922020546068</v>
      </c>
      <c r="N3283" s="70">
        <v>115.922020546068</v>
      </c>
      <c r="O3283" s="70">
        <v>4.20384384258104</v>
      </c>
      <c r="P3283" s="70">
        <v>4.20384384258104</v>
      </c>
    </row>
    <row r="3284" hidden="1">
      <c r="A3284" s="67" t="s">
        <v>4044</v>
      </c>
      <c r="B3284" s="67" t="s">
        <v>268</v>
      </c>
      <c r="C3284" s="68">
        <v>1.0</v>
      </c>
      <c r="D3284" s="68">
        <v>0.75</v>
      </c>
      <c r="E3284" s="68">
        <v>8.0</v>
      </c>
      <c r="F3284" s="68">
        <v>2.0</v>
      </c>
      <c r="G3284" s="68">
        <v>0.657798982587418</v>
      </c>
      <c r="H3284" s="68">
        <v>1.22040931013093</v>
      </c>
      <c r="I3284" s="69">
        <v>44385.14616898148</v>
      </c>
      <c r="J3284" s="69">
        <v>44385.147881944446</v>
      </c>
      <c r="K3284">
        <f>AVERAGE(H3282:H3286)</f>
        <v>96.04121611</v>
      </c>
      <c r="L3284">
        <f>STDEV(H3282:H3286)</f>
        <v>91.22403401</v>
      </c>
      <c r="M3284" s="70">
        <v>1.22040931013093</v>
      </c>
      <c r="N3284" s="70">
        <v>1.22040931013093</v>
      </c>
      <c r="O3284" s="70">
        <v>0.657798982587418</v>
      </c>
      <c r="P3284" s="70">
        <v>0.657798982587418</v>
      </c>
    </row>
    <row r="3285" hidden="1">
      <c r="A3285" s="67" t="s">
        <v>4045</v>
      </c>
      <c r="B3285" s="67" t="s">
        <v>268</v>
      </c>
      <c r="C3285" s="68">
        <v>1.0</v>
      </c>
      <c r="D3285" s="68">
        <v>0.75</v>
      </c>
      <c r="E3285" s="68">
        <v>8.0</v>
      </c>
      <c r="F3285" s="68">
        <v>3.0</v>
      </c>
      <c r="G3285" s="68">
        <v>7.961947018656</v>
      </c>
      <c r="H3285" s="68">
        <v>192.691822651539</v>
      </c>
      <c r="I3285" s="69">
        <v>44385.14857638889</v>
      </c>
      <c r="J3285" s="69">
        <v>44385.14863425926</v>
      </c>
      <c r="K3285">
        <f>AVERAGE(H3282:H3286)</f>
        <v>96.04121611</v>
      </c>
      <c r="L3285">
        <f>STDEV(H3282:H3286)</f>
        <v>91.22403401</v>
      </c>
      <c r="M3285" s="70">
        <v>192.691822651539</v>
      </c>
      <c r="N3285" s="70">
        <v>192.691822651539</v>
      </c>
      <c r="O3285" s="70">
        <v>7.961947018656</v>
      </c>
      <c r="P3285" s="70">
        <v>7.961947018656</v>
      </c>
    </row>
    <row r="3286" hidden="1">
      <c r="A3286" s="67" t="s">
        <v>4046</v>
      </c>
      <c r="B3286" s="67" t="s">
        <v>268</v>
      </c>
      <c r="C3286" s="68">
        <v>1.0</v>
      </c>
      <c r="D3286" s="68">
        <v>0.75</v>
      </c>
      <c r="E3286" s="68">
        <v>8.0</v>
      </c>
      <c r="F3286" s="68">
        <v>4.0</v>
      </c>
      <c r="G3286" s="68">
        <v>3.76037502983335</v>
      </c>
      <c r="H3286" s="68">
        <v>169.814664518049</v>
      </c>
      <c r="I3286" s="69">
        <v>44385.1493287037</v>
      </c>
      <c r="J3286" s="69">
        <v>44385.29655092592</v>
      </c>
      <c r="K3286">
        <f>AVERAGE(H3282:H3286)</f>
        <v>96.04121611</v>
      </c>
      <c r="L3286">
        <f>STDEV(H3282:H3286)</f>
        <v>91.22403401</v>
      </c>
      <c r="M3286" s="70">
        <v>169.814664518049</v>
      </c>
      <c r="N3286" s="70">
        <v>169.814664518049</v>
      </c>
      <c r="O3286" s="70">
        <v>3.76037502983335</v>
      </c>
      <c r="P3286" s="70">
        <v>3.76037502983335</v>
      </c>
    </row>
    <row r="3287" hidden="1">
      <c r="A3287" s="67" t="s">
        <v>4047</v>
      </c>
      <c r="B3287" s="67" t="s">
        <v>268</v>
      </c>
      <c r="C3287" s="68">
        <v>1.0</v>
      </c>
      <c r="D3287" s="68">
        <v>1.0</v>
      </c>
      <c r="E3287" s="68">
        <v>8.0</v>
      </c>
      <c r="F3287" s="68">
        <v>0.0</v>
      </c>
      <c r="G3287" s="68">
        <v>0.73722706430504</v>
      </c>
      <c r="H3287" s="68">
        <v>0.951560817488761</v>
      </c>
      <c r="I3287" s="69">
        <v>44356.83635416667</v>
      </c>
      <c r="J3287" s="69">
        <v>44356.8365625</v>
      </c>
      <c r="K3287">
        <f>AVERAGE(H3287:H3291)</f>
        <v>100.6202114</v>
      </c>
      <c r="L3287">
        <f>STDEV(H3287:H3291)</f>
        <v>91.97077453</v>
      </c>
      <c r="M3287" s="70">
        <v>0.951560817488761</v>
      </c>
      <c r="N3287" s="70">
        <v>0.951560817488761</v>
      </c>
      <c r="O3287" s="70">
        <v>0.73722706430504</v>
      </c>
      <c r="P3287" s="70">
        <v>0.73722706430504</v>
      </c>
    </row>
    <row r="3288" hidden="1">
      <c r="A3288" s="67" t="s">
        <v>4048</v>
      </c>
      <c r="B3288" s="67" t="s">
        <v>268</v>
      </c>
      <c r="C3288" s="68">
        <v>1.0</v>
      </c>
      <c r="D3288" s="68">
        <v>1.0</v>
      </c>
      <c r="E3288" s="68">
        <v>8.0</v>
      </c>
      <c r="F3288" s="68">
        <v>1.0</v>
      </c>
      <c r="G3288" s="68">
        <v>3.82587725415536</v>
      </c>
      <c r="H3288" s="68">
        <v>165.241492084846</v>
      </c>
      <c r="I3288" s="69">
        <v>44356.83725694445</v>
      </c>
      <c r="J3288" s="69">
        <v>44356.86386574074</v>
      </c>
      <c r="K3288">
        <f>AVERAGE(H3287:H3291)</f>
        <v>100.6202114</v>
      </c>
      <c r="L3288">
        <f>STDEV(H3287:H3291)</f>
        <v>91.97077453</v>
      </c>
      <c r="M3288" s="70">
        <v>165.241492084846</v>
      </c>
      <c r="N3288" s="70">
        <v>165.241492084846</v>
      </c>
      <c r="O3288" s="70">
        <v>3.82587725415536</v>
      </c>
      <c r="P3288" s="70">
        <v>3.82587725415536</v>
      </c>
    </row>
    <row r="3289" hidden="1">
      <c r="A3289" s="67" t="s">
        <v>4049</v>
      </c>
      <c r="B3289" s="67" t="s">
        <v>268</v>
      </c>
      <c r="C3289" s="68">
        <v>1.0</v>
      </c>
      <c r="D3289" s="68">
        <v>1.0</v>
      </c>
      <c r="E3289" s="68">
        <v>8.0</v>
      </c>
      <c r="F3289" s="68">
        <v>2.0</v>
      </c>
      <c r="G3289" s="68">
        <v>3.6534409625592</v>
      </c>
      <c r="H3289" s="68">
        <v>147.774975847952</v>
      </c>
      <c r="I3289" s="69">
        <v>44356.86457175926</v>
      </c>
      <c r="J3289" s="69">
        <v>44356.865208333336</v>
      </c>
      <c r="K3289">
        <f>AVERAGE(H3287:H3291)</f>
        <v>100.6202114</v>
      </c>
      <c r="L3289">
        <f>STDEV(H3287:H3291)</f>
        <v>91.97077453</v>
      </c>
      <c r="M3289" s="70">
        <v>147.774975847952</v>
      </c>
      <c r="N3289" s="70">
        <v>147.774975847952</v>
      </c>
      <c r="O3289" s="70">
        <v>3.6534409625592</v>
      </c>
      <c r="P3289" s="70">
        <v>3.6534409625592</v>
      </c>
    </row>
    <row r="3290" hidden="1">
      <c r="A3290" s="67" t="s">
        <v>4050</v>
      </c>
      <c r="B3290" s="67" t="s">
        <v>268</v>
      </c>
      <c r="C3290" s="68">
        <v>1.0</v>
      </c>
      <c r="D3290" s="68">
        <v>1.0</v>
      </c>
      <c r="E3290" s="68">
        <v>8.0</v>
      </c>
      <c r="F3290" s="68">
        <v>3.0</v>
      </c>
      <c r="G3290" s="68">
        <v>0.656520435272242</v>
      </c>
      <c r="H3290" s="68">
        <v>1.21803430612041</v>
      </c>
      <c r="I3290" s="69">
        <v>44356.86591435185</v>
      </c>
      <c r="J3290" s="69">
        <v>44356.866689814815</v>
      </c>
      <c r="K3290">
        <f>AVERAGE(H3287:H3291)</f>
        <v>100.6202114</v>
      </c>
      <c r="L3290">
        <f>STDEV(H3287:H3291)</f>
        <v>91.97077453</v>
      </c>
      <c r="M3290" s="70">
        <v>1.21803430612041</v>
      </c>
      <c r="N3290" s="70">
        <v>1.21803430612041</v>
      </c>
      <c r="O3290" s="70">
        <v>0.656520435272242</v>
      </c>
      <c r="P3290" s="70">
        <v>0.656520435272242</v>
      </c>
    </row>
    <row r="3291" hidden="1">
      <c r="A3291" s="67" t="s">
        <v>4051</v>
      </c>
      <c r="B3291" s="67" t="s">
        <v>268</v>
      </c>
      <c r="C3291" s="68">
        <v>1.0</v>
      </c>
      <c r="D3291" s="68">
        <v>1.0</v>
      </c>
      <c r="E3291" s="68">
        <v>8.0</v>
      </c>
      <c r="F3291" s="68">
        <v>4.0</v>
      </c>
      <c r="G3291" s="68">
        <v>4.01212283749124</v>
      </c>
      <c r="H3291" s="68">
        <v>187.914993726584</v>
      </c>
      <c r="I3291" s="69">
        <v>44356.86739583333</v>
      </c>
      <c r="J3291" s="69">
        <v>44356.87082175926</v>
      </c>
      <c r="K3291">
        <f>AVERAGE(H3287:H3291)</f>
        <v>100.6202114</v>
      </c>
      <c r="L3291">
        <f>STDEV(H3287:H3291)</f>
        <v>91.97077453</v>
      </c>
      <c r="M3291" s="70">
        <v>187.914993726584</v>
      </c>
      <c r="N3291" s="70">
        <v>187.914993726584</v>
      </c>
      <c r="O3291" s="70">
        <v>4.01212283749124</v>
      </c>
      <c r="P3291" s="70">
        <v>4.01212283749124</v>
      </c>
    </row>
    <row r="3292" hidden="1">
      <c r="A3292" s="67" t="s">
        <v>4052</v>
      </c>
      <c r="B3292" s="67" t="s">
        <v>519</v>
      </c>
      <c r="C3292" s="68">
        <v>0.1</v>
      </c>
      <c r="D3292" s="68">
        <v>0.1</v>
      </c>
      <c r="E3292" s="68">
        <v>8.0</v>
      </c>
      <c r="F3292" s="68">
        <v>0.0</v>
      </c>
      <c r="G3292" s="68">
        <v>8.7834378059608</v>
      </c>
      <c r="H3292" s="68">
        <v>230.715900343985</v>
      </c>
      <c r="I3292" s="69">
        <v>44356.87152777778</v>
      </c>
      <c r="J3292" s="69">
        <v>44356.87157407407</v>
      </c>
      <c r="K3292">
        <f>AVERAGE(H3292:H3296)</f>
        <v>143.655191</v>
      </c>
      <c r="L3292">
        <f>STDEV(H3292:H3296)</f>
        <v>113.1991905</v>
      </c>
      <c r="M3292" s="70">
        <v>230.715900343985</v>
      </c>
      <c r="N3292" s="70">
        <v>230.715900343985</v>
      </c>
      <c r="O3292" s="70">
        <v>8.7834378059608</v>
      </c>
      <c r="P3292" s="70">
        <v>8.7834378059608</v>
      </c>
    </row>
    <row r="3293" hidden="1">
      <c r="A3293" s="67" t="s">
        <v>4053</v>
      </c>
      <c r="B3293" s="67" t="s">
        <v>519</v>
      </c>
      <c r="C3293" s="68">
        <v>0.1</v>
      </c>
      <c r="D3293" s="68">
        <v>0.1</v>
      </c>
      <c r="E3293" s="68">
        <v>8.0</v>
      </c>
      <c r="F3293" s="68">
        <v>1.0</v>
      </c>
      <c r="G3293" s="68">
        <v>1.6667676016851</v>
      </c>
      <c r="H3293" s="68">
        <v>68.2521050717198</v>
      </c>
      <c r="I3293" s="69">
        <v>44356.87226851852</v>
      </c>
      <c r="J3293" s="69">
        <v>44356.88180555555</v>
      </c>
      <c r="K3293">
        <f>AVERAGE(H3292:H3296)</f>
        <v>143.655191</v>
      </c>
      <c r="L3293">
        <f>STDEV(H3292:H3296)</f>
        <v>113.1991905</v>
      </c>
      <c r="M3293" s="70">
        <v>68.2521050717198</v>
      </c>
      <c r="N3293" s="70">
        <v>68.2521050717198</v>
      </c>
      <c r="O3293" s="70">
        <v>1.6667676016851</v>
      </c>
      <c r="P3293" s="70">
        <v>1.6667676016851</v>
      </c>
    </row>
    <row r="3294" hidden="1">
      <c r="A3294" s="67" t="s">
        <v>4054</v>
      </c>
      <c r="B3294" s="67" t="s">
        <v>519</v>
      </c>
      <c r="C3294" s="68">
        <v>0.1</v>
      </c>
      <c r="D3294" s="68">
        <v>0.1</v>
      </c>
      <c r="E3294" s="68">
        <v>8.0</v>
      </c>
      <c r="F3294" s="68">
        <v>2.0</v>
      </c>
      <c r="G3294" s="68">
        <v>2.90817404531441</v>
      </c>
      <c r="H3294" s="68">
        <v>140.07337622368</v>
      </c>
      <c r="I3294" s="69">
        <v>44356.88251157408</v>
      </c>
      <c r="J3294" s="69">
        <v>44356.90719907408</v>
      </c>
      <c r="K3294">
        <f>AVERAGE(H3292:H3296)</f>
        <v>143.655191</v>
      </c>
      <c r="L3294">
        <f>STDEV(H3292:H3296)</f>
        <v>113.1991905</v>
      </c>
      <c r="M3294" s="70">
        <v>140.07337622368</v>
      </c>
      <c r="N3294" s="70">
        <v>140.07337622368</v>
      </c>
      <c r="O3294" s="70">
        <v>2.90817404531441</v>
      </c>
      <c r="P3294" s="70">
        <v>2.90817404531441</v>
      </c>
    </row>
    <row r="3295" hidden="1">
      <c r="A3295" s="67" t="s">
        <v>4055</v>
      </c>
      <c r="B3295" s="67" t="s">
        <v>519</v>
      </c>
      <c r="C3295" s="68">
        <v>0.1</v>
      </c>
      <c r="D3295" s="68">
        <v>0.1</v>
      </c>
      <c r="E3295" s="68">
        <v>8.0</v>
      </c>
      <c r="F3295" s="68">
        <v>3.0</v>
      </c>
      <c r="G3295" s="68">
        <v>7.9330201182678</v>
      </c>
      <c r="H3295" s="68">
        <v>277.359066365113</v>
      </c>
      <c r="I3295" s="69">
        <v>44356.907905092594</v>
      </c>
      <c r="J3295" s="69">
        <v>44356.90982638889</v>
      </c>
      <c r="K3295">
        <f>AVERAGE(H3292:H3296)</f>
        <v>143.655191</v>
      </c>
      <c r="L3295">
        <f>STDEV(H3292:H3296)</f>
        <v>113.1991905</v>
      </c>
      <c r="M3295" s="70">
        <v>277.359066365113</v>
      </c>
      <c r="N3295" s="70">
        <v>277.359066365113</v>
      </c>
      <c r="O3295" s="70">
        <v>7.9330201182678</v>
      </c>
      <c r="P3295" s="70">
        <v>7.9330201182678</v>
      </c>
    </row>
    <row r="3296" hidden="1">
      <c r="A3296" s="67" t="s">
        <v>4056</v>
      </c>
      <c r="B3296" s="67" t="s">
        <v>519</v>
      </c>
      <c r="C3296" s="68">
        <v>0.1</v>
      </c>
      <c r="D3296" s="68">
        <v>0.1</v>
      </c>
      <c r="E3296" s="68">
        <v>8.0</v>
      </c>
      <c r="F3296" s="68">
        <v>4.0</v>
      </c>
      <c r="G3296" s="68">
        <v>1.09487060506055</v>
      </c>
      <c r="H3296" s="68">
        <v>1.87550721349451</v>
      </c>
      <c r="I3296" s="69">
        <v>44356.910532407404</v>
      </c>
      <c r="J3296" s="69">
        <v>44356.91056712963</v>
      </c>
      <c r="K3296">
        <f>AVERAGE(H3292:H3296)</f>
        <v>143.655191</v>
      </c>
      <c r="L3296">
        <f>STDEV(H3292:H3296)</f>
        <v>113.1991905</v>
      </c>
      <c r="M3296" s="70">
        <v>1.87550721349451</v>
      </c>
      <c r="N3296" s="70">
        <v>1.87550721349451</v>
      </c>
      <c r="O3296" s="70">
        <v>1.09487060506055</v>
      </c>
      <c r="P3296" s="70">
        <v>1.09487060506055</v>
      </c>
    </row>
    <row r="3297" hidden="1">
      <c r="A3297" s="67" t="s">
        <v>4057</v>
      </c>
      <c r="B3297" s="67" t="s">
        <v>519</v>
      </c>
      <c r="C3297" s="68">
        <v>0.1</v>
      </c>
      <c r="D3297" s="68">
        <v>0.25</v>
      </c>
      <c r="E3297" s="68">
        <v>8.0</v>
      </c>
      <c r="F3297" s="68">
        <v>0.0</v>
      </c>
      <c r="G3297" s="68">
        <v>0.84548789308218</v>
      </c>
      <c r="H3297" s="68">
        <v>1.14526909868345</v>
      </c>
      <c r="I3297" s="69">
        <v>44356.91127314815</v>
      </c>
      <c r="J3297" s="69">
        <v>44356.91148148148</v>
      </c>
      <c r="K3297">
        <f>AVERAGE(H3297:H3301)</f>
        <v>87.16202916</v>
      </c>
      <c r="L3297">
        <f>STDEV(H3297:H3301)</f>
        <v>123.9771196</v>
      </c>
      <c r="M3297" s="70">
        <v>1.14526909868345</v>
      </c>
      <c r="N3297" s="70">
        <v>1.14526909868345</v>
      </c>
      <c r="O3297" s="70">
        <v>0.84548789308218</v>
      </c>
      <c r="P3297" s="70">
        <v>0.84548789308218</v>
      </c>
    </row>
    <row r="3298" hidden="1">
      <c r="A3298" s="67" t="s">
        <v>4058</v>
      </c>
      <c r="B3298" s="67" t="s">
        <v>519</v>
      </c>
      <c r="C3298" s="68">
        <v>0.1</v>
      </c>
      <c r="D3298" s="68">
        <v>0.25</v>
      </c>
      <c r="E3298" s="68">
        <v>8.0</v>
      </c>
      <c r="F3298" s="68">
        <v>1.0</v>
      </c>
      <c r="G3298" s="68">
        <v>2.64397974277779</v>
      </c>
      <c r="H3298" s="68">
        <v>4.14308284676004</v>
      </c>
      <c r="I3298" s="69">
        <v>44356.9121875</v>
      </c>
      <c r="J3298" s="69">
        <v>44356.91226851852</v>
      </c>
      <c r="K3298">
        <f>AVERAGE(H3297:H3301)</f>
        <v>87.16202916</v>
      </c>
      <c r="L3298">
        <f>STDEV(H3297:H3301)</f>
        <v>123.9771196</v>
      </c>
      <c r="M3298" s="70">
        <v>4.14308284676004</v>
      </c>
      <c r="N3298" s="70">
        <v>4.14308284676004</v>
      </c>
      <c r="O3298" s="70">
        <v>2.64397974277779</v>
      </c>
      <c r="P3298" s="70">
        <v>2.64397974277779</v>
      </c>
    </row>
    <row r="3299" hidden="1">
      <c r="A3299" s="67" t="s">
        <v>4059</v>
      </c>
      <c r="B3299" s="67" t="s">
        <v>519</v>
      </c>
      <c r="C3299" s="68">
        <v>0.1</v>
      </c>
      <c r="D3299" s="68">
        <v>0.25</v>
      </c>
      <c r="E3299" s="68">
        <v>8.0</v>
      </c>
      <c r="F3299" s="68">
        <v>2.0</v>
      </c>
      <c r="G3299" s="68">
        <v>7.90936749400053</v>
      </c>
      <c r="H3299" s="68">
        <v>275.303329539393</v>
      </c>
      <c r="I3299" s="69">
        <v>44356.91297453704</v>
      </c>
      <c r="J3299" s="69">
        <v>44356.9140625</v>
      </c>
      <c r="K3299">
        <f>AVERAGE(H3297:H3301)</f>
        <v>87.16202916</v>
      </c>
      <c r="L3299">
        <f>STDEV(H3297:H3301)</f>
        <v>123.9771196</v>
      </c>
      <c r="M3299" s="70">
        <v>275.303329539393</v>
      </c>
      <c r="N3299" s="70">
        <v>275.303329539393</v>
      </c>
      <c r="O3299" s="70">
        <v>7.90936749400053</v>
      </c>
      <c r="P3299" s="70">
        <v>7.90936749400053</v>
      </c>
    </row>
    <row r="3300" hidden="1">
      <c r="A3300" s="67" t="s">
        <v>4060</v>
      </c>
      <c r="B3300" s="67" t="s">
        <v>519</v>
      </c>
      <c r="C3300" s="68">
        <v>0.1</v>
      </c>
      <c r="D3300" s="68">
        <v>0.25</v>
      </c>
      <c r="E3300" s="68">
        <v>8.0</v>
      </c>
      <c r="F3300" s="68">
        <v>3.0</v>
      </c>
      <c r="G3300" s="68">
        <v>0.724995165366209</v>
      </c>
      <c r="H3300" s="68">
        <v>1.41666209174568</v>
      </c>
      <c r="I3300" s="69">
        <v>44356.914768518516</v>
      </c>
      <c r="J3300" s="69">
        <v>44356.9158912037</v>
      </c>
      <c r="K3300">
        <f>AVERAGE(H3297:H3301)</f>
        <v>87.16202916</v>
      </c>
      <c r="L3300">
        <f>STDEV(H3297:H3301)</f>
        <v>123.9771196</v>
      </c>
      <c r="M3300" s="70">
        <v>1.41666209174568</v>
      </c>
      <c r="N3300" s="70">
        <v>1.41666209174568</v>
      </c>
      <c r="O3300" s="70">
        <v>0.724995165366209</v>
      </c>
      <c r="P3300" s="70">
        <v>0.724995165366209</v>
      </c>
    </row>
    <row r="3301" hidden="1">
      <c r="A3301" s="67" t="s">
        <v>4061</v>
      </c>
      <c r="B3301" s="67" t="s">
        <v>519</v>
      </c>
      <c r="C3301" s="68">
        <v>0.1</v>
      </c>
      <c r="D3301" s="68">
        <v>0.25</v>
      </c>
      <c r="E3301" s="68">
        <v>8.0</v>
      </c>
      <c r="F3301" s="68">
        <v>4.0</v>
      </c>
      <c r="G3301" s="68">
        <v>3.32465042636734</v>
      </c>
      <c r="H3301" s="68">
        <v>153.801802222629</v>
      </c>
      <c r="I3301" s="69">
        <v>44356.916597222225</v>
      </c>
      <c r="J3301" s="69">
        <v>44356.96519675926</v>
      </c>
      <c r="K3301">
        <f>AVERAGE(H3297:H3301)</f>
        <v>87.16202916</v>
      </c>
      <c r="L3301">
        <f>STDEV(H3297:H3301)</f>
        <v>123.9771196</v>
      </c>
      <c r="M3301" s="70">
        <v>153.801802222629</v>
      </c>
      <c r="N3301" s="70">
        <v>153.801802222629</v>
      </c>
      <c r="O3301" s="70">
        <v>3.32465042636734</v>
      </c>
      <c r="P3301" s="70">
        <v>3.32465042636734</v>
      </c>
    </row>
    <row r="3302" hidden="1">
      <c r="A3302" s="67" t="s">
        <v>4062</v>
      </c>
      <c r="B3302" s="67" t="s">
        <v>519</v>
      </c>
      <c r="C3302" s="68">
        <v>0.1</v>
      </c>
      <c r="D3302" s="68">
        <v>0.5</v>
      </c>
      <c r="E3302" s="68">
        <v>8.0</v>
      </c>
      <c r="F3302" s="68">
        <v>0.0</v>
      </c>
      <c r="G3302" s="68">
        <v>1.43213694789124</v>
      </c>
      <c r="H3302" s="68">
        <v>22.4686990896326</v>
      </c>
      <c r="I3302" s="69">
        <v>44356.965891203705</v>
      </c>
      <c r="J3302" s="69">
        <v>44356.96613425926</v>
      </c>
      <c r="K3302">
        <f>AVERAGE(H3302:H3306)</f>
        <v>170.0473574</v>
      </c>
      <c r="L3302">
        <f>STDEV(H3302:H3306)</f>
        <v>94.49676503</v>
      </c>
      <c r="M3302" s="70">
        <v>22.4686990896326</v>
      </c>
      <c r="N3302" s="70">
        <v>22.4686990896326</v>
      </c>
      <c r="O3302" s="70">
        <v>1.43213694789124</v>
      </c>
      <c r="P3302" s="70">
        <v>1.43213694789124</v>
      </c>
    </row>
    <row r="3303" hidden="1">
      <c r="A3303" s="67" t="s">
        <v>4063</v>
      </c>
      <c r="B3303" s="67" t="s">
        <v>519</v>
      </c>
      <c r="C3303" s="68">
        <v>0.1</v>
      </c>
      <c r="D3303" s="68">
        <v>0.5</v>
      </c>
      <c r="E3303" s="68">
        <v>8.0</v>
      </c>
      <c r="F3303" s="68">
        <v>1.0</v>
      </c>
      <c r="G3303" s="68">
        <v>3.03481396180365</v>
      </c>
      <c r="H3303" s="68">
        <v>151.174100173847</v>
      </c>
      <c r="I3303" s="69">
        <v>44357.730833333335</v>
      </c>
      <c r="J3303" s="69">
        <v>44357.820925925924</v>
      </c>
      <c r="K3303">
        <f>AVERAGE(H3302:H3306)</f>
        <v>170.0473574</v>
      </c>
      <c r="L3303">
        <f>STDEV(H3302:H3306)</f>
        <v>94.49676503</v>
      </c>
      <c r="M3303" s="70">
        <v>151.174100173847</v>
      </c>
      <c r="N3303" s="70">
        <v>151.174100173847</v>
      </c>
      <c r="O3303" s="70">
        <v>3.03481396180365</v>
      </c>
      <c r="P3303" s="70">
        <v>3.03481396180365</v>
      </c>
    </row>
    <row r="3304" hidden="1">
      <c r="A3304" s="67" t="s">
        <v>4064</v>
      </c>
      <c r="B3304" s="67" t="s">
        <v>519</v>
      </c>
      <c r="C3304" s="68">
        <v>0.1</v>
      </c>
      <c r="D3304" s="68">
        <v>0.5</v>
      </c>
      <c r="E3304" s="68">
        <v>8.0</v>
      </c>
      <c r="F3304" s="68">
        <v>2.0</v>
      </c>
      <c r="G3304" s="68">
        <v>9.04295717520833</v>
      </c>
      <c r="H3304" s="68">
        <v>216.959382750367</v>
      </c>
      <c r="I3304" s="69">
        <v>44357.82164351852</v>
      </c>
      <c r="J3304" s="69">
        <v>44357.82177083333</v>
      </c>
      <c r="K3304">
        <f>AVERAGE(H3302:H3306)</f>
        <v>170.0473574</v>
      </c>
      <c r="L3304">
        <f>STDEV(H3302:H3306)</f>
        <v>94.49676503</v>
      </c>
      <c r="M3304" s="70">
        <v>216.959382750367</v>
      </c>
      <c r="N3304" s="70">
        <v>216.959382750367</v>
      </c>
      <c r="O3304" s="70">
        <v>9.04295717520833</v>
      </c>
      <c r="P3304" s="70">
        <v>9.04295717520833</v>
      </c>
    </row>
    <row r="3305" hidden="1">
      <c r="A3305" s="67" t="s">
        <v>4065</v>
      </c>
      <c r="B3305" s="67" t="s">
        <v>519</v>
      </c>
      <c r="C3305" s="68">
        <v>0.1</v>
      </c>
      <c r="D3305" s="68">
        <v>0.5</v>
      </c>
      <c r="E3305" s="68">
        <v>8.0</v>
      </c>
      <c r="F3305" s="68">
        <v>3.0</v>
      </c>
      <c r="G3305" s="68">
        <v>7.59316911171214</v>
      </c>
      <c r="H3305" s="68">
        <v>275.845898927076</v>
      </c>
      <c r="I3305" s="69">
        <v>44357.82247685185</v>
      </c>
      <c r="J3305" s="69">
        <v>44357.82273148148</v>
      </c>
      <c r="K3305">
        <f>AVERAGE(H3302:H3306)</f>
        <v>170.0473574</v>
      </c>
      <c r="L3305">
        <f>STDEV(H3302:H3306)</f>
        <v>94.49676503</v>
      </c>
      <c r="M3305" s="70">
        <v>275.845898927076</v>
      </c>
      <c r="N3305" s="70">
        <v>275.845898927076</v>
      </c>
      <c r="O3305" s="70">
        <v>7.59316911171214</v>
      </c>
      <c r="P3305" s="70">
        <v>7.59316911171214</v>
      </c>
    </row>
    <row r="3306" hidden="1">
      <c r="A3306" s="67" t="s">
        <v>4066</v>
      </c>
      <c r="B3306" s="67" t="s">
        <v>519</v>
      </c>
      <c r="C3306" s="68">
        <v>0.1</v>
      </c>
      <c r="D3306" s="68">
        <v>0.5</v>
      </c>
      <c r="E3306" s="68">
        <v>8.0</v>
      </c>
      <c r="F3306" s="68">
        <v>4.0</v>
      </c>
      <c r="G3306" s="68">
        <v>5.17933664807435</v>
      </c>
      <c r="H3306" s="68">
        <v>183.78870606154</v>
      </c>
      <c r="I3306" s="69">
        <v>44357.823425925926</v>
      </c>
      <c r="J3306" s="69">
        <v>44357.823483796295</v>
      </c>
      <c r="K3306">
        <f>AVERAGE(H3302:H3306)</f>
        <v>170.0473574</v>
      </c>
      <c r="L3306">
        <f>STDEV(H3302:H3306)</f>
        <v>94.49676503</v>
      </c>
      <c r="M3306" s="70">
        <v>183.78870606154</v>
      </c>
      <c r="N3306" s="70">
        <v>183.78870606154</v>
      </c>
      <c r="O3306" s="70">
        <v>5.17933664807435</v>
      </c>
      <c r="P3306" s="70">
        <v>5.17933664807435</v>
      </c>
    </row>
    <row r="3307" hidden="1">
      <c r="A3307" s="67" t="s">
        <v>4067</v>
      </c>
      <c r="B3307" s="67" t="s">
        <v>519</v>
      </c>
      <c r="C3307" s="68">
        <v>0.1</v>
      </c>
      <c r="D3307" s="68">
        <v>0.75</v>
      </c>
      <c r="E3307" s="68">
        <v>8.0</v>
      </c>
      <c r="F3307" s="68">
        <v>0.0</v>
      </c>
      <c r="G3307" s="68">
        <v>5.71682728861855</v>
      </c>
      <c r="H3307" s="68">
        <v>227.738960108939</v>
      </c>
      <c r="I3307" s="69">
        <v>44357.82417824074</v>
      </c>
      <c r="J3307" s="69">
        <v>44357.84490740741</v>
      </c>
      <c r="K3307">
        <f>AVERAGE(H3307:H3311)</f>
        <v>103.5682713</v>
      </c>
      <c r="L3307">
        <f>STDEV(H3307:H3311)</f>
        <v>78.70632327</v>
      </c>
      <c r="M3307" s="70">
        <v>227.738960108939</v>
      </c>
      <c r="N3307" s="70">
        <v>227.738960108939</v>
      </c>
      <c r="O3307" s="70">
        <v>5.71682728861855</v>
      </c>
      <c r="P3307" s="70">
        <v>5.71682728861855</v>
      </c>
    </row>
    <row r="3308" hidden="1">
      <c r="A3308" s="67" t="s">
        <v>4068</v>
      </c>
      <c r="B3308" s="67" t="s">
        <v>519</v>
      </c>
      <c r="C3308" s="68">
        <v>0.1</v>
      </c>
      <c r="D3308" s="68">
        <v>0.75</v>
      </c>
      <c r="E3308" s="68">
        <v>8.0</v>
      </c>
      <c r="F3308" s="68">
        <v>1.0</v>
      </c>
      <c r="G3308" s="68">
        <v>1.35192462201667</v>
      </c>
      <c r="H3308" s="68">
        <v>69.4726201775444</v>
      </c>
      <c r="I3308" s="69">
        <v>44357.845613425925</v>
      </c>
      <c r="J3308" s="69">
        <v>44357.84667824074</v>
      </c>
      <c r="K3308">
        <f>AVERAGE(H3307:H3311)</f>
        <v>103.5682713</v>
      </c>
      <c r="L3308">
        <f>STDEV(H3307:H3311)</f>
        <v>78.70632327</v>
      </c>
      <c r="M3308" s="70">
        <v>69.4726201775444</v>
      </c>
      <c r="N3308" s="70">
        <v>69.4726201775444</v>
      </c>
      <c r="O3308" s="70">
        <v>1.35192462201667</v>
      </c>
      <c r="P3308" s="70">
        <v>1.35192462201667</v>
      </c>
    </row>
    <row r="3309" hidden="1">
      <c r="A3309" s="67" t="s">
        <v>4069</v>
      </c>
      <c r="B3309" s="67" t="s">
        <v>519</v>
      </c>
      <c r="C3309" s="68">
        <v>0.1</v>
      </c>
      <c r="D3309" s="68">
        <v>0.75</v>
      </c>
      <c r="E3309" s="68">
        <v>8.0</v>
      </c>
      <c r="F3309" s="68">
        <v>2.0</v>
      </c>
      <c r="G3309" s="68">
        <v>2.75663992351555</v>
      </c>
      <c r="H3309" s="68">
        <v>125.526694277376</v>
      </c>
      <c r="I3309" s="69">
        <v>44357.84738425926</v>
      </c>
      <c r="J3309" s="69">
        <v>44357.847650462965</v>
      </c>
      <c r="K3309">
        <f>AVERAGE(H3307:H3311)</f>
        <v>103.5682713</v>
      </c>
      <c r="L3309">
        <f>STDEV(H3307:H3311)</f>
        <v>78.70632327</v>
      </c>
      <c r="M3309" s="70">
        <v>125.526694277376</v>
      </c>
      <c r="N3309" s="70">
        <v>125.526694277376</v>
      </c>
      <c r="O3309" s="70">
        <v>2.75663992351555</v>
      </c>
      <c r="P3309" s="70">
        <v>2.75663992351555</v>
      </c>
    </row>
    <row r="3310" hidden="1">
      <c r="A3310" s="67" t="s">
        <v>4070</v>
      </c>
      <c r="B3310" s="67" t="s">
        <v>519</v>
      </c>
      <c r="C3310" s="68">
        <v>0.1</v>
      </c>
      <c r="D3310" s="68">
        <v>0.75</v>
      </c>
      <c r="E3310" s="68">
        <v>8.0</v>
      </c>
      <c r="F3310" s="68">
        <v>3.0</v>
      </c>
      <c r="G3310" s="68">
        <v>1.47145744040387</v>
      </c>
      <c r="H3310" s="68">
        <v>20.7192151828399</v>
      </c>
      <c r="I3310" s="69">
        <v>44357.848344907405</v>
      </c>
      <c r="J3310" s="69">
        <v>44357.84836805556</v>
      </c>
      <c r="K3310">
        <f>AVERAGE(H3307:H3311)</f>
        <v>103.5682713</v>
      </c>
      <c r="L3310">
        <f>STDEV(H3307:H3311)</f>
        <v>78.70632327</v>
      </c>
      <c r="M3310" s="70">
        <v>20.7192151828399</v>
      </c>
      <c r="N3310" s="70">
        <v>20.7192151828399</v>
      </c>
      <c r="O3310" s="70">
        <v>1.47145744040387</v>
      </c>
      <c r="P3310" s="70">
        <v>1.47145744040387</v>
      </c>
    </row>
    <row r="3311" hidden="1">
      <c r="A3311" s="67" t="s">
        <v>4071</v>
      </c>
      <c r="B3311" s="67" t="s">
        <v>519</v>
      </c>
      <c r="C3311" s="68">
        <v>0.1</v>
      </c>
      <c r="D3311" s="68">
        <v>0.75</v>
      </c>
      <c r="E3311" s="68">
        <v>8.0</v>
      </c>
      <c r="F3311" s="68">
        <v>4.0</v>
      </c>
      <c r="G3311" s="68">
        <v>1.76596849936463</v>
      </c>
      <c r="H3311" s="68">
        <v>74.3838668193125</v>
      </c>
      <c r="I3311" s="69">
        <v>44357.849074074074</v>
      </c>
      <c r="J3311" s="69">
        <v>44357.865115740744</v>
      </c>
      <c r="K3311">
        <f>AVERAGE(H3307:H3311)</f>
        <v>103.5682713</v>
      </c>
      <c r="L3311">
        <f>STDEV(H3307:H3311)</f>
        <v>78.70632327</v>
      </c>
      <c r="M3311" s="70">
        <v>74.3838668193125</v>
      </c>
      <c r="N3311" s="70">
        <v>74.3838668193125</v>
      </c>
      <c r="O3311" s="70">
        <v>1.76596849936463</v>
      </c>
      <c r="P3311" s="70">
        <v>1.76596849936463</v>
      </c>
    </row>
    <row r="3312" hidden="1">
      <c r="A3312" s="67" t="s">
        <v>4072</v>
      </c>
      <c r="B3312" s="67" t="s">
        <v>519</v>
      </c>
      <c r="C3312" s="68">
        <v>0.1</v>
      </c>
      <c r="D3312" s="68">
        <v>1.0</v>
      </c>
      <c r="E3312" s="68">
        <v>8.0</v>
      </c>
      <c r="F3312" s="68">
        <v>0.0</v>
      </c>
      <c r="G3312" s="68">
        <v>2.64397974277779</v>
      </c>
      <c r="H3312" s="68">
        <v>4.14308284676004</v>
      </c>
      <c r="I3312" s="69">
        <v>44357.86582175926</v>
      </c>
      <c r="J3312" s="69">
        <v>44357.86591435185</v>
      </c>
      <c r="K3312">
        <f>AVERAGE(H3312:H3316)</f>
        <v>107.5801059</v>
      </c>
      <c r="L3312">
        <f>STDEV(H3312:H3316)</f>
        <v>87.47370559</v>
      </c>
      <c r="M3312" s="70">
        <v>4.14308284676004</v>
      </c>
      <c r="N3312" s="70">
        <v>4.14308284676004</v>
      </c>
      <c r="O3312" s="70">
        <v>2.64397974277779</v>
      </c>
      <c r="P3312" s="70">
        <v>2.64397974277779</v>
      </c>
    </row>
    <row r="3313" hidden="1">
      <c r="A3313" s="67" t="s">
        <v>4073</v>
      </c>
      <c r="B3313" s="67" t="s">
        <v>519</v>
      </c>
      <c r="C3313" s="68">
        <v>0.1</v>
      </c>
      <c r="D3313" s="68">
        <v>1.0</v>
      </c>
      <c r="E3313" s="68">
        <v>8.0</v>
      </c>
      <c r="F3313" s="68">
        <v>1.0</v>
      </c>
      <c r="G3313" s="68">
        <v>4.4695799596726</v>
      </c>
      <c r="H3313" s="68">
        <v>170.274374725911</v>
      </c>
      <c r="I3313" s="69">
        <v>44357.86662037037</v>
      </c>
      <c r="J3313" s="69">
        <v>44357.86667824074</v>
      </c>
      <c r="K3313">
        <f>AVERAGE(H3312:H3316)</f>
        <v>107.5801059</v>
      </c>
      <c r="L3313">
        <f>STDEV(H3312:H3316)</f>
        <v>87.47370559</v>
      </c>
      <c r="M3313" s="70">
        <v>170.274374725911</v>
      </c>
      <c r="N3313" s="70">
        <v>170.274374725911</v>
      </c>
      <c r="O3313" s="70">
        <v>4.4695799596726</v>
      </c>
      <c r="P3313" s="70">
        <v>4.4695799596726</v>
      </c>
    </row>
    <row r="3314" hidden="1">
      <c r="A3314" s="67" t="s">
        <v>4074</v>
      </c>
      <c r="B3314" s="67" t="s">
        <v>519</v>
      </c>
      <c r="C3314" s="68">
        <v>0.1</v>
      </c>
      <c r="D3314" s="68">
        <v>1.0</v>
      </c>
      <c r="E3314" s="68">
        <v>8.0</v>
      </c>
      <c r="F3314" s="68">
        <v>2.0</v>
      </c>
      <c r="G3314" s="68">
        <v>3.09503445543351</v>
      </c>
      <c r="H3314" s="68">
        <v>146.631288941481</v>
      </c>
      <c r="I3314" s="69">
        <v>44357.86738425926</v>
      </c>
      <c r="J3314" s="69">
        <v>44357.92157407408</v>
      </c>
      <c r="K3314">
        <f>AVERAGE(H3312:H3316)</f>
        <v>107.5801059</v>
      </c>
      <c r="L3314">
        <f>STDEV(H3312:H3316)</f>
        <v>87.47370559</v>
      </c>
      <c r="M3314" s="70">
        <v>146.631288941481</v>
      </c>
      <c r="N3314" s="70">
        <v>146.631288941481</v>
      </c>
      <c r="O3314" s="70">
        <v>3.09503445543351</v>
      </c>
      <c r="P3314" s="70">
        <v>3.09503445543351</v>
      </c>
    </row>
    <row r="3315" hidden="1">
      <c r="A3315" s="67" t="s">
        <v>4075</v>
      </c>
      <c r="B3315" s="67" t="s">
        <v>519</v>
      </c>
      <c r="C3315" s="68">
        <v>0.1</v>
      </c>
      <c r="D3315" s="68">
        <v>1.0</v>
      </c>
      <c r="E3315" s="68">
        <v>8.0</v>
      </c>
      <c r="F3315" s="68">
        <v>3.0</v>
      </c>
      <c r="G3315" s="68">
        <v>4.3724121690101</v>
      </c>
      <c r="H3315" s="68">
        <v>193.427014890103</v>
      </c>
      <c r="I3315" s="69">
        <v>44357.92228009259</v>
      </c>
      <c r="J3315" s="69">
        <v>44357.926458333335</v>
      </c>
      <c r="K3315">
        <f>AVERAGE(H3312:H3316)</f>
        <v>107.5801059</v>
      </c>
      <c r="L3315">
        <f>STDEV(H3312:H3316)</f>
        <v>87.47370559</v>
      </c>
      <c r="M3315" s="70">
        <v>193.427014890103</v>
      </c>
      <c r="N3315" s="70">
        <v>193.427014890103</v>
      </c>
      <c r="O3315" s="70">
        <v>4.3724121690101</v>
      </c>
      <c r="P3315" s="70">
        <v>4.3724121690101</v>
      </c>
    </row>
    <row r="3316" hidden="1">
      <c r="A3316" s="67" t="s">
        <v>4076</v>
      </c>
      <c r="B3316" s="67" t="s">
        <v>519</v>
      </c>
      <c r="C3316" s="68">
        <v>0.1</v>
      </c>
      <c r="D3316" s="68">
        <v>1.0</v>
      </c>
      <c r="E3316" s="68">
        <v>8.0</v>
      </c>
      <c r="F3316" s="68">
        <v>4.0</v>
      </c>
      <c r="G3316" s="68">
        <v>1.1674350079624</v>
      </c>
      <c r="H3316" s="68">
        <v>23.4247678788536</v>
      </c>
      <c r="I3316" s="69">
        <v>44357.92716435185</v>
      </c>
      <c r="J3316" s="69">
        <v>44357.92737268518</v>
      </c>
      <c r="K3316">
        <f>AVERAGE(H3312:H3316)</f>
        <v>107.5801059</v>
      </c>
      <c r="L3316">
        <f>STDEV(H3312:H3316)</f>
        <v>87.47370559</v>
      </c>
      <c r="M3316" s="70">
        <v>23.4247678788536</v>
      </c>
      <c r="N3316" s="70">
        <v>23.4247678788536</v>
      </c>
      <c r="O3316" s="70">
        <v>1.1674350079624</v>
      </c>
      <c r="P3316" s="70">
        <v>1.1674350079624</v>
      </c>
    </row>
    <row r="3317" hidden="1">
      <c r="A3317" s="67" t="s">
        <v>4077</v>
      </c>
      <c r="B3317" s="67" t="s">
        <v>519</v>
      </c>
      <c r="C3317" s="68">
        <v>0.25</v>
      </c>
      <c r="D3317" s="68">
        <v>0.1</v>
      </c>
      <c r="E3317" s="68">
        <v>8.0</v>
      </c>
      <c r="F3317" s="68">
        <v>0.0</v>
      </c>
      <c r="G3317" s="68">
        <v>5.75572992105759</v>
      </c>
      <c r="H3317" s="68">
        <v>223.727723487209</v>
      </c>
      <c r="I3317" s="69">
        <v>44357.928078703706</v>
      </c>
      <c r="J3317" s="69">
        <v>44357.93195601852</v>
      </c>
      <c r="K3317">
        <f>AVERAGE(H3317:H3321)</f>
        <v>125.9051261</v>
      </c>
      <c r="L3317">
        <f>STDEV(H3317:H3321)</f>
        <v>84.86057541</v>
      </c>
      <c r="M3317" s="70">
        <v>223.727723487209</v>
      </c>
      <c r="N3317" s="70">
        <v>223.727723487209</v>
      </c>
      <c r="O3317" s="70">
        <v>5.75572992105759</v>
      </c>
      <c r="P3317" s="70">
        <v>5.75572992105759</v>
      </c>
    </row>
    <row r="3318" hidden="1">
      <c r="A3318" s="67" t="s">
        <v>4078</v>
      </c>
      <c r="B3318" s="67" t="s">
        <v>519</v>
      </c>
      <c r="C3318" s="68">
        <v>0.25</v>
      </c>
      <c r="D3318" s="68">
        <v>0.1</v>
      </c>
      <c r="E3318" s="68">
        <v>8.0</v>
      </c>
      <c r="F3318" s="68">
        <v>1.0</v>
      </c>
      <c r="G3318" s="68">
        <v>1.82398958931889</v>
      </c>
      <c r="H3318" s="68">
        <v>90.8947155016102</v>
      </c>
      <c r="I3318" s="69">
        <v>44357.932662037034</v>
      </c>
      <c r="J3318" s="69">
        <v>44357.94144675926</v>
      </c>
      <c r="K3318">
        <f>AVERAGE(H3317:H3321)</f>
        <v>125.9051261</v>
      </c>
      <c r="L3318">
        <f>STDEV(H3317:H3321)</f>
        <v>84.86057541</v>
      </c>
      <c r="M3318" s="70">
        <v>90.8947155016102</v>
      </c>
      <c r="N3318" s="70">
        <v>90.8947155016102</v>
      </c>
      <c r="O3318" s="70">
        <v>1.82398958931889</v>
      </c>
      <c r="P3318" s="70">
        <v>1.82398958931889</v>
      </c>
    </row>
    <row r="3319" hidden="1">
      <c r="A3319" s="67" t="s">
        <v>4079</v>
      </c>
      <c r="B3319" s="67" t="s">
        <v>519</v>
      </c>
      <c r="C3319" s="68">
        <v>0.25</v>
      </c>
      <c r="D3319" s="68">
        <v>0.1</v>
      </c>
      <c r="E3319" s="68">
        <v>8.0</v>
      </c>
      <c r="F3319" s="68">
        <v>2.0</v>
      </c>
      <c r="G3319" s="68">
        <v>4.4695799596726</v>
      </c>
      <c r="H3319" s="68">
        <v>170.274374725911</v>
      </c>
      <c r="I3319" s="69">
        <v>44357.94215277778</v>
      </c>
      <c r="J3319" s="69">
        <v>44357.94222222222</v>
      </c>
      <c r="K3319">
        <f>AVERAGE(H3317:H3321)</f>
        <v>125.9051261</v>
      </c>
      <c r="L3319">
        <f>STDEV(H3317:H3321)</f>
        <v>84.86057541</v>
      </c>
      <c r="M3319" s="70">
        <v>170.274374725911</v>
      </c>
      <c r="N3319" s="70">
        <v>170.274374725911</v>
      </c>
      <c r="O3319" s="70">
        <v>4.4695799596726</v>
      </c>
      <c r="P3319" s="70">
        <v>4.4695799596726</v>
      </c>
    </row>
    <row r="3320" hidden="1">
      <c r="A3320" s="67" t="s">
        <v>4080</v>
      </c>
      <c r="B3320" s="67" t="s">
        <v>519</v>
      </c>
      <c r="C3320" s="68">
        <v>0.25</v>
      </c>
      <c r="D3320" s="68">
        <v>0.1</v>
      </c>
      <c r="E3320" s="68">
        <v>8.0</v>
      </c>
      <c r="F3320" s="68">
        <v>3.0</v>
      </c>
      <c r="G3320" s="68">
        <v>0.466597356277295</v>
      </c>
      <c r="H3320" s="68">
        <v>0.558853344729073</v>
      </c>
      <c r="I3320" s="69">
        <v>44357.942928240744</v>
      </c>
      <c r="J3320" s="69">
        <v>44357.94310185185</v>
      </c>
      <c r="K3320">
        <f>AVERAGE(H3317:H3321)</f>
        <v>125.9051261</v>
      </c>
      <c r="L3320">
        <f>STDEV(H3317:H3321)</f>
        <v>84.86057541</v>
      </c>
      <c r="M3320" s="70">
        <v>0.558853344729073</v>
      </c>
      <c r="N3320" s="70">
        <v>0.558853344729073</v>
      </c>
      <c r="O3320" s="70">
        <v>0.466597356277295</v>
      </c>
      <c r="P3320" s="70">
        <v>0.466597356277295</v>
      </c>
    </row>
    <row r="3321" hidden="1">
      <c r="A3321" s="67" t="s">
        <v>4081</v>
      </c>
      <c r="B3321" s="67" t="s">
        <v>519</v>
      </c>
      <c r="C3321" s="68">
        <v>0.25</v>
      </c>
      <c r="D3321" s="68">
        <v>0.1</v>
      </c>
      <c r="E3321" s="68">
        <v>8.0</v>
      </c>
      <c r="F3321" s="68">
        <v>4.0</v>
      </c>
      <c r="G3321" s="68">
        <v>3.29900662958682</v>
      </c>
      <c r="H3321" s="68">
        <v>144.069963264489</v>
      </c>
      <c r="I3321" s="69">
        <v>44357.94380787037</v>
      </c>
      <c r="J3321" s="69">
        <v>44357.96229166666</v>
      </c>
      <c r="K3321">
        <f>AVERAGE(H3317:H3321)</f>
        <v>125.9051261</v>
      </c>
      <c r="L3321">
        <f>STDEV(H3317:H3321)</f>
        <v>84.86057541</v>
      </c>
      <c r="M3321" s="70">
        <v>144.069963264489</v>
      </c>
      <c r="N3321" s="70">
        <v>144.069963264489</v>
      </c>
      <c r="O3321" s="70">
        <v>3.29900662958682</v>
      </c>
      <c r="P3321" s="70">
        <v>3.29900662958682</v>
      </c>
    </row>
    <row r="3322" hidden="1">
      <c r="A3322" s="67" t="s">
        <v>4082</v>
      </c>
      <c r="B3322" s="67" t="s">
        <v>519</v>
      </c>
      <c r="C3322" s="68">
        <v>0.25</v>
      </c>
      <c r="D3322" s="68">
        <v>0.25</v>
      </c>
      <c r="E3322" s="68">
        <v>8.0</v>
      </c>
      <c r="F3322" s="68">
        <v>0.0</v>
      </c>
      <c r="G3322" s="68">
        <v>3.55252791462122</v>
      </c>
      <c r="H3322" s="68">
        <v>160.268986929823</v>
      </c>
      <c r="I3322" s="69">
        <v>44357.96299768519</v>
      </c>
      <c r="J3322" s="69">
        <v>44357.97267361111</v>
      </c>
      <c r="K3322">
        <f>AVERAGE(H3322:H3326)</f>
        <v>143.4957983</v>
      </c>
      <c r="L3322">
        <f>STDEV(H3322:H3326)</f>
        <v>42.25671972</v>
      </c>
      <c r="M3322" s="70">
        <v>160.268986929823</v>
      </c>
      <c r="N3322" s="70">
        <v>160.268986929823</v>
      </c>
      <c r="O3322" s="70">
        <v>3.55252791462122</v>
      </c>
      <c r="P3322" s="70">
        <v>3.55252791462122</v>
      </c>
    </row>
    <row r="3323" hidden="1">
      <c r="A3323" s="67" t="s">
        <v>4083</v>
      </c>
      <c r="B3323" s="67" t="s">
        <v>519</v>
      </c>
      <c r="C3323" s="68">
        <v>0.25</v>
      </c>
      <c r="D3323" s="68">
        <v>0.25</v>
      </c>
      <c r="E3323" s="68">
        <v>8.0</v>
      </c>
      <c r="F3323" s="68">
        <v>1.0</v>
      </c>
      <c r="G3323" s="68">
        <v>6.30373733710607</v>
      </c>
      <c r="H3323" s="68">
        <v>168.253617741821</v>
      </c>
      <c r="I3323" s="69">
        <v>44357.97337962963</v>
      </c>
      <c r="J3323" s="69">
        <v>44357.97356481481</v>
      </c>
      <c r="K3323">
        <f>AVERAGE(H3322:H3326)</f>
        <v>143.4957983</v>
      </c>
      <c r="L3323">
        <f>STDEV(H3322:H3326)</f>
        <v>42.25671972</v>
      </c>
      <c r="M3323" s="70">
        <v>168.253617741821</v>
      </c>
      <c r="N3323" s="70">
        <v>168.253617741821</v>
      </c>
      <c r="O3323" s="70">
        <v>6.30373733710607</v>
      </c>
      <c r="P3323" s="70">
        <v>6.30373733710607</v>
      </c>
    </row>
    <row r="3324" hidden="1">
      <c r="A3324" s="67" t="s">
        <v>4084</v>
      </c>
      <c r="B3324" s="67" t="s">
        <v>519</v>
      </c>
      <c r="C3324" s="68">
        <v>0.25</v>
      </c>
      <c r="D3324" s="68">
        <v>0.25</v>
      </c>
      <c r="E3324" s="68">
        <v>8.0</v>
      </c>
      <c r="F3324" s="68">
        <v>2.0</v>
      </c>
      <c r="G3324" s="68">
        <v>3.42106773485525</v>
      </c>
      <c r="H3324" s="68">
        <v>171.44079037982</v>
      </c>
      <c r="I3324" s="69">
        <v>44357.974270833336</v>
      </c>
      <c r="J3324" s="69">
        <v>44358.00730324074</v>
      </c>
      <c r="K3324">
        <f>AVERAGE(H3322:H3326)</f>
        <v>143.4957983</v>
      </c>
      <c r="L3324">
        <f>STDEV(H3322:H3326)</f>
        <v>42.25671972</v>
      </c>
      <c r="M3324" s="70">
        <v>171.44079037982</v>
      </c>
      <c r="N3324" s="70">
        <v>171.44079037982</v>
      </c>
      <c r="O3324" s="70">
        <v>3.42106773485525</v>
      </c>
      <c r="P3324" s="70">
        <v>3.42106773485525</v>
      </c>
    </row>
    <row r="3325" hidden="1">
      <c r="A3325" s="67" t="s">
        <v>4085</v>
      </c>
      <c r="B3325" s="67" t="s">
        <v>519</v>
      </c>
      <c r="C3325" s="68">
        <v>0.25</v>
      </c>
      <c r="D3325" s="68">
        <v>0.25</v>
      </c>
      <c r="E3325" s="68">
        <v>8.0</v>
      </c>
      <c r="F3325" s="68">
        <v>3.0</v>
      </c>
      <c r="G3325" s="68">
        <v>4.379198125651</v>
      </c>
      <c r="H3325" s="68">
        <v>147.83369945931</v>
      </c>
      <c r="I3325" s="69">
        <v>44358.00800925926</v>
      </c>
      <c r="J3325" s="69">
        <v>44358.00811342592</v>
      </c>
      <c r="K3325">
        <f>AVERAGE(H3322:H3326)</f>
        <v>143.4957983</v>
      </c>
      <c r="L3325">
        <f>STDEV(H3322:H3326)</f>
        <v>42.25671972</v>
      </c>
      <c r="M3325" s="70">
        <v>147.83369945931</v>
      </c>
      <c r="N3325" s="70">
        <v>147.83369945931</v>
      </c>
      <c r="O3325" s="70">
        <v>4.379198125651</v>
      </c>
      <c r="P3325" s="70">
        <v>4.379198125651</v>
      </c>
    </row>
    <row r="3326" hidden="1">
      <c r="A3326" s="67" t="s">
        <v>4086</v>
      </c>
      <c r="B3326" s="67" t="s">
        <v>519</v>
      </c>
      <c r="C3326" s="68">
        <v>0.25</v>
      </c>
      <c r="D3326" s="68">
        <v>0.25</v>
      </c>
      <c r="E3326" s="68">
        <v>8.0</v>
      </c>
      <c r="F3326" s="68">
        <v>4.0</v>
      </c>
      <c r="G3326" s="68">
        <v>1.3533982400938</v>
      </c>
      <c r="H3326" s="68">
        <v>69.6818971877366</v>
      </c>
      <c r="I3326" s="69">
        <v>44358.00881944445</v>
      </c>
      <c r="J3326" s="69">
        <v>44358.009988425925</v>
      </c>
      <c r="K3326">
        <f>AVERAGE(H3322:H3326)</f>
        <v>143.4957983</v>
      </c>
      <c r="L3326">
        <f>STDEV(H3322:H3326)</f>
        <v>42.25671972</v>
      </c>
      <c r="M3326" s="70">
        <v>69.6818971877366</v>
      </c>
      <c r="N3326" s="70">
        <v>69.6818971877366</v>
      </c>
      <c r="O3326" s="70">
        <v>1.3533982400938</v>
      </c>
      <c r="P3326" s="70">
        <v>1.3533982400938</v>
      </c>
    </row>
    <row r="3327" hidden="1">
      <c r="A3327" s="67" t="s">
        <v>4087</v>
      </c>
      <c r="B3327" s="67" t="s">
        <v>519</v>
      </c>
      <c r="C3327" s="68">
        <v>0.25</v>
      </c>
      <c r="D3327" s="68">
        <v>0.5</v>
      </c>
      <c r="E3327" s="68">
        <v>8.0</v>
      </c>
      <c r="F3327" s="68">
        <v>0.0</v>
      </c>
      <c r="G3327" s="68">
        <v>1.36772879819817</v>
      </c>
      <c r="H3327" s="68">
        <v>70.0767144738989</v>
      </c>
      <c r="I3327" s="69">
        <v>44358.01069444444</v>
      </c>
      <c r="J3327" s="69">
        <v>44358.011828703704</v>
      </c>
      <c r="K3327">
        <f>AVERAGE(H3327:H3331)</f>
        <v>132.1384183</v>
      </c>
      <c r="L3327">
        <f>STDEV(H3327:H3331)</f>
        <v>93.53999566</v>
      </c>
      <c r="M3327" s="70">
        <v>70.0767144738989</v>
      </c>
      <c r="N3327" s="70">
        <v>70.0767144738989</v>
      </c>
      <c r="O3327" s="70">
        <v>1.36772879819817</v>
      </c>
      <c r="P3327" s="70">
        <v>1.36772879819817</v>
      </c>
    </row>
    <row r="3328" hidden="1">
      <c r="A3328" s="67" t="s">
        <v>4088</v>
      </c>
      <c r="B3328" s="67" t="s">
        <v>519</v>
      </c>
      <c r="C3328" s="68">
        <v>0.25</v>
      </c>
      <c r="D3328" s="68">
        <v>0.5</v>
      </c>
      <c r="E3328" s="68">
        <v>8.0</v>
      </c>
      <c r="F3328" s="68">
        <v>1.0</v>
      </c>
      <c r="G3328" s="68">
        <v>7.39508662462583</v>
      </c>
      <c r="H3328" s="68">
        <v>215.634590325856</v>
      </c>
      <c r="I3328" s="69">
        <v>44358.01252314815</v>
      </c>
      <c r="J3328" s="69">
        <v>44358.01262731481</v>
      </c>
      <c r="K3328">
        <f>AVERAGE(H3327:H3331)</f>
        <v>132.1384183</v>
      </c>
      <c r="L3328">
        <f>STDEV(H3327:H3331)</f>
        <v>93.53999566</v>
      </c>
      <c r="M3328" s="70">
        <v>215.634590325856</v>
      </c>
      <c r="N3328" s="70">
        <v>215.634590325856</v>
      </c>
      <c r="O3328" s="70">
        <v>7.39508662462583</v>
      </c>
      <c r="P3328" s="70">
        <v>7.39508662462583</v>
      </c>
    </row>
    <row r="3329" hidden="1">
      <c r="A3329" s="67" t="s">
        <v>4089</v>
      </c>
      <c r="B3329" s="67" t="s">
        <v>519</v>
      </c>
      <c r="C3329" s="68">
        <v>0.25</v>
      </c>
      <c r="D3329" s="68">
        <v>0.5</v>
      </c>
      <c r="E3329" s="68">
        <v>8.0</v>
      </c>
      <c r="F3329" s="68">
        <v>2.0</v>
      </c>
      <c r="G3329" s="68">
        <v>3.45781612411646</v>
      </c>
      <c r="H3329" s="68">
        <v>167.262364077766</v>
      </c>
      <c r="I3329" s="69">
        <v>44358.013333333336</v>
      </c>
      <c r="J3329" s="69">
        <v>44358.08278935185</v>
      </c>
      <c r="K3329">
        <f>AVERAGE(H3327:H3331)</f>
        <v>132.1384183</v>
      </c>
      <c r="L3329">
        <f>STDEV(H3327:H3331)</f>
        <v>93.53999566</v>
      </c>
      <c r="M3329" s="70">
        <v>167.262364077766</v>
      </c>
      <c r="N3329" s="70">
        <v>167.262364077766</v>
      </c>
      <c r="O3329" s="70">
        <v>3.45781612411646</v>
      </c>
      <c r="P3329" s="70">
        <v>3.45781612411646</v>
      </c>
    </row>
    <row r="3330" hidden="1">
      <c r="A3330" s="67" t="s">
        <v>4090</v>
      </c>
      <c r="B3330" s="67" t="s">
        <v>519</v>
      </c>
      <c r="C3330" s="68">
        <v>0.25</v>
      </c>
      <c r="D3330" s="68">
        <v>0.5</v>
      </c>
      <c r="E3330" s="68">
        <v>8.0</v>
      </c>
      <c r="F3330" s="68">
        <v>3.0</v>
      </c>
      <c r="G3330" s="68">
        <v>0.46573691433333</v>
      </c>
      <c r="H3330" s="68">
        <v>0.557375274032344</v>
      </c>
      <c r="I3330" s="69">
        <v>44358.08349537037</v>
      </c>
      <c r="J3330" s="69">
        <v>44358.08366898148</v>
      </c>
      <c r="K3330">
        <f>AVERAGE(H3327:H3331)</f>
        <v>132.1384183</v>
      </c>
      <c r="L3330">
        <f>STDEV(H3327:H3331)</f>
        <v>93.53999566</v>
      </c>
      <c r="M3330" s="70">
        <v>0.557375274032344</v>
      </c>
      <c r="N3330" s="70">
        <v>0.557375274032344</v>
      </c>
      <c r="O3330" s="70">
        <v>0.46573691433333</v>
      </c>
      <c r="P3330" s="70">
        <v>0.46573691433333</v>
      </c>
    </row>
    <row r="3331" hidden="1">
      <c r="A3331" s="67" t="s">
        <v>4091</v>
      </c>
      <c r="B3331" s="67" t="s">
        <v>519</v>
      </c>
      <c r="C3331" s="68">
        <v>0.25</v>
      </c>
      <c r="D3331" s="68">
        <v>0.5</v>
      </c>
      <c r="E3331" s="68">
        <v>8.0</v>
      </c>
      <c r="F3331" s="68">
        <v>4.0</v>
      </c>
      <c r="G3331" s="68">
        <v>7.91363500499804</v>
      </c>
      <c r="H3331" s="68">
        <v>207.161047405857</v>
      </c>
      <c r="I3331" s="69">
        <v>44358.084375</v>
      </c>
      <c r="J3331" s="69">
        <v>44358.08456018518</v>
      </c>
      <c r="K3331">
        <f>AVERAGE(H3327:H3331)</f>
        <v>132.1384183</v>
      </c>
      <c r="L3331">
        <f>STDEV(H3327:H3331)</f>
        <v>93.53999566</v>
      </c>
      <c r="M3331" s="70">
        <v>207.161047405857</v>
      </c>
      <c r="N3331" s="70">
        <v>207.161047405857</v>
      </c>
      <c r="O3331" s="70">
        <v>7.91363500499804</v>
      </c>
      <c r="P3331" s="70">
        <v>7.91363500499804</v>
      </c>
    </row>
    <row r="3332" hidden="1">
      <c r="A3332" s="67" t="s">
        <v>4092</v>
      </c>
      <c r="B3332" s="67" t="s">
        <v>519</v>
      </c>
      <c r="C3332" s="68">
        <v>0.25</v>
      </c>
      <c r="D3332" s="68">
        <v>0.75</v>
      </c>
      <c r="E3332" s="68">
        <v>8.0</v>
      </c>
      <c r="F3332" s="68">
        <v>0.0</v>
      </c>
      <c r="G3332" s="68">
        <v>6.98186253104704</v>
      </c>
      <c r="H3332" s="68">
        <v>202.668950304721</v>
      </c>
      <c r="I3332" s="69">
        <v>44358.08526620371</v>
      </c>
      <c r="J3332" s="69">
        <v>44358.085335648146</v>
      </c>
      <c r="K3332">
        <f>AVERAGE(H3332:H3336)</f>
        <v>120.6926194</v>
      </c>
      <c r="L3332">
        <f>STDEV(H3332:H3336)</f>
        <v>80.60704141</v>
      </c>
      <c r="M3332" s="70">
        <v>202.668950304721</v>
      </c>
      <c r="N3332" s="70">
        <v>202.668950304721</v>
      </c>
      <c r="O3332" s="70">
        <v>6.98186253104704</v>
      </c>
      <c r="P3332" s="70">
        <v>6.98186253104704</v>
      </c>
    </row>
    <row r="3333" hidden="1">
      <c r="A3333" s="67" t="s">
        <v>4093</v>
      </c>
      <c r="B3333" s="67" t="s">
        <v>519</v>
      </c>
      <c r="C3333" s="68">
        <v>0.25</v>
      </c>
      <c r="D3333" s="68">
        <v>0.75</v>
      </c>
      <c r="E3333" s="68">
        <v>8.0</v>
      </c>
      <c r="F3333" s="68">
        <v>1.0</v>
      </c>
      <c r="G3333" s="68">
        <v>3.69048880538908</v>
      </c>
      <c r="H3333" s="68">
        <v>168.852127525263</v>
      </c>
      <c r="I3333" s="69">
        <v>44358.08604166667</v>
      </c>
      <c r="J3333" s="69">
        <v>44358.13978009259</v>
      </c>
      <c r="K3333">
        <f>AVERAGE(H3332:H3336)</f>
        <v>120.6926194</v>
      </c>
      <c r="L3333">
        <f>STDEV(H3332:H3336)</f>
        <v>80.60704141</v>
      </c>
      <c r="M3333" s="70">
        <v>168.852127525263</v>
      </c>
      <c r="N3333" s="70">
        <v>168.852127525263</v>
      </c>
      <c r="O3333" s="70">
        <v>3.69048880538908</v>
      </c>
      <c r="P3333" s="70">
        <v>3.69048880538908</v>
      </c>
    </row>
    <row r="3334" hidden="1">
      <c r="A3334" s="67" t="s">
        <v>4094</v>
      </c>
      <c r="B3334" s="67" t="s">
        <v>519</v>
      </c>
      <c r="C3334" s="68">
        <v>0.25</v>
      </c>
      <c r="D3334" s="68">
        <v>0.75</v>
      </c>
      <c r="E3334" s="68">
        <v>8.0</v>
      </c>
      <c r="F3334" s="68">
        <v>2.0</v>
      </c>
      <c r="G3334" s="68">
        <v>1.08003107792068</v>
      </c>
      <c r="H3334" s="68">
        <v>1.4496465043047</v>
      </c>
      <c r="I3334" s="69">
        <v>44358.14048611111</v>
      </c>
      <c r="J3334" s="69">
        <v>44358.140601851854</v>
      </c>
      <c r="K3334">
        <f>AVERAGE(H3332:H3336)</f>
        <v>120.6926194</v>
      </c>
      <c r="L3334">
        <f>STDEV(H3332:H3336)</f>
        <v>80.60704141</v>
      </c>
      <c r="M3334" s="70">
        <v>1.4496465043047</v>
      </c>
      <c r="N3334" s="70">
        <v>1.4496465043047</v>
      </c>
      <c r="O3334" s="70">
        <v>1.08003107792068</v>
      </c>
      <c r="P3334" s="70">
        <v>1.08003107792068</v>
      </c>
    </row>
    <row r="3335" hidden="1">
      <c r="A3335" s="67" t="s">
        <v>4095</v>
      </c>
      <c r="B3335" s="67" t="s">
        <v>519</v>
      </c>
      <c r="C3335" s="68">
        <v>0.25</v>
      </c>
      <c r="D3335" s="68">
        <v>0.75</v>
      </c>
      <c r="E3335" s="68">
        <v>8.0</v>
      </c>
      <c r="F3335" s="68">
        <v>3.0</v>
      </c>
      <c r="G3335" s="68">
        <v>3.03858329419061</v>
      </c>
      <c r="H3335" s="68">
        <v>151.799637510162</v>
      </c>
      <c r="I3335" s="69">
        <v>44358.14129629629</v>
      </c>
      <c r="J3335" s="69">
        <v>44358.14469907407</v>
      </c>
      <c r="K3335">
        <f>AVERAGE(H3332:H3336)</f>
        <v>120.6926194</v>
      </c>
      <c r="L3335">
        <f>STDEV(H3332:H3336)</f>
        <v>80.60704141</v>
      </c>
      <c r="M3335" s="70">
        <v>151.799637510162</v>
      </c>
      <c r="N3335" s="70">
        <v>151.799637510162</v>
      </c>
      <c r="O3335" s="70">
        <v>3.03858329419061</v>
      </c>
      <c r="P3335" s="70">
        <v>3.03858329419061</v>
      </c>
    </row>
    <row r="3336" hidden="1">
      <c r="A3336" s="67" t="s">
        <v>4096</v>
      </c>
      <c r="B3336" s="67" t="s">
        <v>519</v>
      </c>
      <c r="C3336" s="68">
        <v>0.25</v>
      </c>
      <c r="D3336" s="68">
        <v>0.75</v>
      </c>
      <c r="E3336" s="68">
        <v>8.0</v>
      </c>
      <c r="F3336" s="68">
        <v>4.0</v>
      </c>
      <c r="G3336" s="68">
        <v>1.53331770227593</v>
      </c>
      <c r="H3336" s="68">
        <v>78.6927350519412</v>
      </c>
      <c r="I3336" s="69">
        <v>44358.14539351852</v>
      </c>
      <c r="J3336" s="69">
        <v>44358.14576388889</v>
      </c>
      <c r="K3336">
        <f>AVERAGE(H3332:H3336)</f>
        <v>120.6926194</v>
      </c>
      <c r="L3336">
        <f>STDEV(H3332:H3336)</f>
        <v>80.60704141</v>
      </c>
      <c r="M3336" s="70">
        <v>78.6927350519412</v>
      </c>
      <c r="N3336" s="70">
        <v>78.6927350519412</v>
      </c>
      <c r="O3336" s="70">
        <v>1.53331770227593</v>
      </c>
      <c r="P3336" s="70">
        <v>1.53331770227593</v>
      </c>
    </row>
    <row r="3337" hidden="1">
      <c r="A3337" s="67" t="s">
        <v>4097</v>
      </c>
      <c r="B3337" s="67" t="s">
        <v>519</v>
      </c>
      <c r="C3337" s="68">
        <v>0.25</v>
      </c>
      <c r="D3337" s="68">
        <v>1.0</v>
      </c>
      <c r="E3337" s="68">
        <v>8.0</v>
      </c>
      <c r="F3337" s="68">
        <v>0.0</v>
      </c>
      <c r="G3337" s="68">
        <v>4.20121427146959</v>
      </c>
      <c r="H3337" s="68">
        <v>194.782754854399</v>
      </c>
      <c r="I3337" s="69">
        <v>44358.146469907406</v>
      </c>
      <c r="J3337" s="69">
        <v>44358.14747685185</v>
      </c>
      <c r="K3337">
        <f>AVERAGE(H3337:H3341)</f>
        <v>167.5433825</v>
      </c>
      <c r="L3337">
        <f>STDEV(H3337:H3341)</f>
        <v>50.48624206</v>
      </c>
      <c r="M3337" s="70">
        <v>194.782754854399</v>
      </c>
      <c r="N3337" s="70">
        <v>194.782754854399</v>
      </c>
      <c r="O3337" s="70">
        <v>4.20121427146959</v>
      </c>
      <c r="P3337" s="70">
        <v>4.20121427146959</v>
      </c>
    </row>
    <row r="3338" hidden="1">
      <c r="A3338" s="67" t="s">
        <v>4098</v>
      </c>
      <c r="B3338" s="67" t="s">
        <v>519</v>
      </c>
      <c r="C3338" s="68">
        <v>0.25</v>
      </c>
      <c r="D3338" s="68">
        <v>1.0</v>
      </c>
      <c r="E3338" s="68">
        <v>8.0</v>
      </c>
      <c r="F3338" s="68">
        <v>1.0</v>
      </c>
      <c r="G3338" s="68">
        <v>1.52238548697082</v>
      </c>
      <c r="H3338" s="68">
        <v>84.6373138955708</v>
      </c>
      <c r="I3338" s="69">
        <v>44358.14818287037</v>
      </c>
      <c r="J3338" s="69">
        <v>44358.151921296296</v>
      </c>
      <c r="K3338">
        <f>AVERAGE(H3337:H3341)</f>
        <v>167.5433825</v>
      </c>
      <c r="L3338">
        <f>STDEV(H3337:H3341)</f>
        <v>50.48624206</v>
      </c>
      <c r="M3338" s="70">
        <v>84.6373138955708</v>
      </c>
      <c r="N3338" s="70">
        <v>84.6373138955708</v>
      </c>
      <c r="O3338" s="70">
        <v>1.52238548697082</v>
      </c>
      <c r="P3338" s="70">
        <v>1.52238548697082</v>
      </c>
    </row>
    <row r="3339" hidden="1">
      <c r="A3339" s="67" t="s">
        <v>4099</v>
      </c>
      <c r="B3339" s="67" t="s">
        <v>519</v>
      </c>
      <c r="C3339" s="68">
        <v>0.25</v>
      </c>
      <c r="D3339" s="68">
        <v>1.0</v>
      </c>
      <c r="E3339" s="68">
        <v>8.0</v>
      </c>
      <c r="F3339" s="68">
        <v>2.0</v>
      </c>
      <c r="G3339" s="68">
        <v>5.54698928135937</v>
      </c>
      <c r="H3339" s="68">
        <v>171.791299043723</v>
      </c>
      <c r="I3339" s="69">
        <v>44358.15262731481</v>
      </c>
      <c r="J3339" s="69">
        <v>44358.152766203704</v>
      </c>
      <c r="K3339">
        <f>AVERAGE(H3337:H3341)</f>
        <v>167.5433825</v>
      </c>
      <c r="L3339">
        <f>STDEV(H3337:H3341)</f>
        <v>50.48624206</v>
      </c>
      <c r="M3339" s="70">
        <v>171.791299043723</v>
      </c>
      <c r="N3339" s="70">
        <v>171.791299043723</v>
      </c>
      <c r="O3339" s="70">
        <v>5.54698928135937</v>
      </c>
      <c r="P3339" s="70">
        <v>5.54698928135937</v>
      </c>
    </row>
    <row r="3340" hidden="1">
      <c r="A3340" s="67" t="s">
        <v>4100</v>
      </c>
      <c r="B3340" s="67" t="s">
        <v>519</v>
      </c>
      <c r="C3340" s="68">
        <v>0.25</v>
      </c>
      <c r="D3340" s="68">
        <v>1.0</v>
      </c>
      <c r="E3340" s="68">
        <v>8.0</v>
      </c>
      <c r="F3340" s="68">
        <v>3.0</v>
      </c>
      <c r="G3340" s="68">
        <v>3.50618294170977</v>
      </c>
      <c r="H3340" s="68">
        <v>168.352444340193</v>
      </c>
      <c r="I3340" s="69">
        <v>44358.15347222222</v>
      </c>
      <c r="J3340" s="69">
        <v>44358.2022337963</v>
      </c>
      <c r="K3340">
        <f>AVERAGE(H3337:H3341)</f>
        <v>167.5433825</v>
      </c>
      <c r="L3340">
        <f>STDEV(H3337:H3341)</f>
        <v>50.48624206</v>
      </c>
      <c r="M3340" s="70">
        <v>168.352444340193</v>
      </c>
      <c r="N3340" s="70">
        <v>168.352444340193</v>
      </c>
      <c r="O3340" s="70">
        <v>3.50618294170977</v>
      </c>
      <c r="P3340" s="70">
        <v>3.50618294170977</v>
      </c>
    </row>
    <row r="3341" hidden="1">
      <c r="A3341" s="67" t="s">
        <v>4101</v>
      </c>
      <c r="B3341" s="67" t="s">
        <v>519</v>
      </c>
      <c r="C3341" s="68">
        <v>0.25</v>
      </c>
      <c r="D3341" s="68">
        <v>1.0</v>
      </c>
      <c r="E3341" s="68">
        <v>8.0</v>
      </c>
      <c r="F3341" s="68">
        <v>4.0</v>
      </c>
      <c r="G3341" s="68">
        <v>9.12512637934778</v>
      </c>
      <c r="H3341" s="68">
        <v>218.153100494577</v>
      </c>
      <c r="I3341" s="69">
        <v>44358.202939814815</v>
      </c>
      <c r="J3341" s="69">
        <v>44358.203055555554</v>
      </c>
      <c r="K3341">
        <f>AVERAGE(H3337:H3341)</f>
        <v>167.5433825</v>
      </c>
      <c r="L3341">
        <f>STDEV(H3337:H3341)</f>
        <v>50.48624206</v>
      </c>
      <c r="M3341" s="70">
        <v>218.153100494577</v>
      </c>
      <c r="N3341" s="70">
        <v>218.153100494577</v>
      </c>
      <c r="O3341" s="70">
        <v>9.12512637934778</v>
      </c>
      <c r="P3341" s="70">
        <v>9.12512637934778</v>
      </c>
    </row>
    <row r="3342" hidden="1">
      <c r="A3342" s="67" t="s">
        <v>4102</v>
      </c>
      <c r="B3342" s="67" t="s">
        <v>519</v>
      </c>
      <c r="C3342" s="68">
        <v>0.5</v>
      </c>
      <c r="D3342" s="68">
        <v>0.1</v>
      </c>
      <c r="E3342" s="68">
        <v>8.0</v>
      </c>
      <c r="F3342" s="68">
        <v>0.0</v>
      </c>
      <c r="G3342" s="68">
        <v>2.12200833741332</v>
      </c>
      <c r="H3342" s="68">
        <v>102.90627853339</v>
      </c>
      <c r="I3342" s="69">
        <v>44358.20376157408</v>
      </c>
      <c r="J3342" s="69">
        <v>44358.21344907407</v>
      </c>
      <c r="K3342">
        <f>AVERAGE(H3342:H3346)</f>
        <v>140.5734254</v>
      </c>
      <c r="L3342">
        <f>STDEV(H3342:H3346)</f>
        <v>51.48175189</v>
      </c>
      <c r="M3342" s="70">
        <v>102.90627853339</v>
      </c>
      <c r="N3342" s="70">
        <v>102.90627853339</v>
      </c>
      <c r="O3342" s="70">
        <v>2.12200833741332</v>
      </c>
      <c r="P3342" s="70">
        <v>2.12200833741332</v>
      </c>
    </row>
    <row r="3343" hidden="1">
      <c r="A3343" s="67" t="s">
        <v>4103</v>
      </c>
      <c r="B3343" s="67" t="s">
        <v>519</v>
      </c>
      <c r="C3343" s="68">
        <v>0.5</v>
      </c>
      <c r="D3343" s="68">
        <v>0.1</v>
      </c>
      <c r="E3343" s="68">
        <v>8.0</v>
      </c>
      <c r="F3343" s="68">
        <v>1.0</v>
      </c>
      <c r="G3343" s="68">
        <v>3.53422680002785</v>
      </c>
      <c r="H3343" s="68">
        <v>162.285261653219</v>
      </c>
      <c r="I3343" s="69">
        <v>44358.21414351852</v>
      </c>
      <c r="J3343" s="69">
        <v>44358.22386574074</v>
      </c>
      <c r="K3343">
        <f>AVERAGE(H3342:H3346)</f>
        <v>140.5734254</v>
      </c>
      <c r="L3343">
        <f>STDEV(H3342:H3346)</f>
        <v>51.48175189</v>
      </c>
      <c r="M3343" s="70">
        <v>162.285261653219</v>
      </c>
      <c r="N3343" s="70">
        <v>162.285261653219</v>
      </c>
      <c r="O3343" s="70">
        <v>3.53422680002785</v>
      </c>
      <c r="P3343" s="70">
        <v>3.53422680002785</v>
      </c>
    </row>
    <row r="3344" hidden="1">
      <c r="A3344" s="67" t="s">
        <v>4104</v>
      </c>
      <c r="B3344" s="67" t="s">
        <v>519</v>
      </c>
      <c r="C3344" s="68">
        <v>0.5</v>
      </c>
      <c r="D3344" s="68">
        <v>0.1</v>
      </c>
      <c r="E3344" s="68">
        <v>8.0</v>
      </c>
      <c r="F3344" s="68">
        <v>2.0</v>
      </c>
      <c r="G3344" s="68">
        <v>1.43559173156676</v>
      </c>
      <c r="H3344" s="68">
        <v>70.642990198295</v>
      </c>
      <c r="I3344" s="69">
        <v>44358.22457175926</v>
      </c>
      <c r="J3344" s="69">
        <v>44358.22530092593</v>
      </c>
      <c r="K3344">
        <f>AVERAGE(H3342:H3346)</f>
        <v>140.5734254</v>
      </c>
      <c r="L3344">
        <f>STDEV(H3342:H3346)</f>
        <v>51.48175189</v>
      </c>
      <c r="M3344" s="70">
        <v>70.642990198295</v>
      </c>
      <c r="N3344" s="70">
        <v>70.642990198295</v>
      </c>
      <c r="O3344" s="70">
        <v>1.43559173156676</v>
      </c>
      <c r="P3344" s="70">
        <v>1.43559173156676</v>
      </c>
    </row>
    <row r="3345" hidden="1">
      <c r="A3345" s="67" t="s">
        <v>4105</v>
      </c>
      <c r="B3345" s="67" t="s">
        <v>519</v>
      </c>
      <c r="C3345" s="68">
        <v>0.5</v>
      </c>
      <c r="D3345" s="68">
        <v>0.1</v>
      </c>
      <c r="E3345" s="68">
        <v>8.0</v>
      </c>
      <c r="F3345" s="68">
        <v>3.0</v>
      </c>
      <c r="G3345" s="68">
        <v>4.31570373897632</v>
      </c>
      <c r="H3345" s="68">
        <v>175.367098770979</v>
      </c>
      <c r="I3345" s="69">
        <v>44358.226018518515</v>
      </c>
      <c r="J3345" s="69">
        <v>44358.22702546296</v>
      </c>
      <c r="K3345">
        <f>AVERAGE(H3342:H3346)</f>
        <v>140.5734254</v>
      </c>
      <c r="L3345">
        <f>STDEV(H3342:H3346)</f>
        <v>51.48175189</v>
      </c>
      <c r="M3345" s="70">
        <v>175.367098770979</v>
      </c>
      <c r="N3345" s="70">
        <v>175.367098770979</v>
      </c>
      <c r="O3345" s="70">
        <v>4.31570373897632</v>
      </c>
      <c r="P3345" s="70">
        <v>4.31570373897632</v>
      </c>
    </row>
    <row r="3346" hidden="1">
      <c r="A3346" s="67" t="s">
        <v>4106</v>
      </c>
      <c r="B3346" s="67" t="s">
        <v>519</v>
      </c>
      <c r="C3346" s="68">
        <v>0.5</v>
      </c>
      <c r="D3346" s="68">
        <v>0.1</v>
      </c>
      <c r="E3346" s="68">
        <v>8.0</v>
      </c>
      <c r="F3346" s="68">
        <v>4.0</v>
      </c>
      <c r="G3346" s="68">
        <v>4.74549806849576</v>
      </c>
      <c r="H3346" s="68">
        <v>191.665497686311</v>
      </c>
      <c r="I3346" s="69">
        <v>44358.22773148148</v>
      </c>
      <c r="J3346" s="69">
        <v>44358.22949074074</v>
      </c>
      <c r="K3346">
        <f>AVERAGE(H3342:H3346)</f>
        <v>140.5734254</v>
      </c>
      <c r="L3346">
        <f>STDEV(H3342:H3346)</f>
        <v>51.48175189</v>
      </c>
      <c r="M3346" s="70">
        <v>191.665497686311</v>
      </c>
      <c r="N3346" s="70">
        <v>191.665497686311</v>
      </c>
      <c r="O3346" s="70">
        <v>4.74549806849576</v>
      </c>
      <c r="P3346" s="70">
        <v>4.74549806849576</v>
      </c>
    </row>
    <row r="3347" hidden="1">
      <c r="A3347" s="67" t="s">
        <v>4107</v>
      </c>
      <c r="B3347" s="67" t="s">
        <v>519</v>
      </c>
      <c r="C3347" s="68">
        <v>0.5</v>
      </c>
      <c r="D3347" s="68">
        <v>0.25</v>
      </c>
      <c r="E3347" s="68">
        <v>8.0</v>
      </c>
      <c r="F3347" s="68">
        <v>0.0</v>
      </c>
      <c r="G3347" s="68">
        <v>2.77960773352364</v>
      </c>
      <c r="H3347" s="68">
        <v>132.033923318097</v>
      </c>
      <c r="I3347" s="69">
        <v>44358.23019675926</v>
      </c>
      <c r="J3347" s="69">
        <v>44358.235127314816</v>
      </c>
      <c r="K3347">
        <f>AVERAGE(H3347:H3351)</f>
        <v>151.3562154</v>
      </c>
      <c r="L3347">
        <f>STDEV(H3347:H3351)</f>
        <v>40.06280828</v>
      </c>
      <c r="M3347" s="70">
        <v>132.033923318097</v>
      </c>
      <c r="N3347" s="70">
        <v>132.033923318097</v>
      </c>
      <c r="O3347" s="70">
        <v>2.77960773352364</v>
      </c>
      <c r="P3347" s="70">
        <v>2.77960773352364</v>
      </c>
    </row>
    <row r="3348" hidden="1">
      <c r="A3348" s="67" t="s">
        <v>4108</v>
      </c>
      <c r="B3348" s="67" t="s">
        <v>519</v>
      </c>
      <c r="C3348" s="68">
        <v>0.5</v>
      </c>
      <c r="D3348" s="68">
        <v>0.25</v>
      </c>
      <c r="E3348" s="68">
        <v>8.0</v>
      </c>
      <c r="F3348" s="68">
        <v>1.0</v>
      </c>
      <c r="G3348" s="68">
        <v>4.09659613288611</v>
      </c>
      <c r="H3348" s="68">
        <v>153.478809459277</v>
      </c>
      <c r="I3348" s="69">
        <v>44358.23583333333</v>
      </c>
      <c r="J3348" s="69">
        <v>44358.23609953704</v>
      </c>
      <c r="K3348">
        <f>AVERAGE(H3347:H3351)</f>
        <v>151.3562154</v>
      </c>
      <c r="L3348">
        <f>STDEV(H3347:H3351)</f>
        <v>40.06280828</v>
      </c>
      <c r="M3348" s="70">
        <v>153.478809459277</v>
      </c>
      <c r="N3348" s="70">
        <v>153.478809459277</v>
      </c>
      <c r="O3348" s="70">
        <v>4.09659613288611</v>
      </c>
      <c r="P3348" s="70">
        <v>4.09659613288611</v>
      </c>
    </row>
    <row r="3349" hidden="1">
      <c r="A3349" s="67" t="s">
        <v>4109</v>
      </c>
      <c r="B3349" s="67" t="s">
        <v>519</v>
      </c>
      <c r="C3349" s="68">
        <v>0.5</v>
      </c>
      <c r="D3349" s="68">
        <v>0.25</v>
      </c>
      <c r="E3349" s="68">
        <v>8.0</v>
      </c>
      <c r="F3349" s="68">
        <v>2.0</v>
      </c>
      <c r="G3349" s="68">
        <v>2.53606476581064</v>
      </c>
      <c r="H3349" s="68">
        <v>94.9514110593077</v>
      </c>
      <c r="I3349" s="69">
        <v>44358.236805555556</v>
      </c>
      <c r="J3349" s="69">
        <v>44358.237349537034</v>
      </c>
      <c r="K3349">
        <f>AVERAGE(H3347:H3351)</f>
        <v>151.3562154</v>
      </c>
      <c r="L3349">
        <f>STDEV(H3347:H3351)</f>
        <v>40.06280828</v>
      </c>
      <c r="M3349" s="70">
        <v>94.9514110593077</v>
      </c>
      <c r="N3349" s="70">
        <v>94.9514110593077</v>
      </c>
      <c r="O3349" s="70">
        <v>2.53606476581064</v>
      </c>
      <c r="P3349" s="70">
        <v>2.53606476581064</v>
      </c>
    </row>
    <row r="3350" hidden="1">
      <c r="A3350" s="67" t="s">
        <v>4110</v>
      </c>
      <c r="B3350" s="67" t="s">
        <v>519</v>
      </c>
      <c r="C3350" s="68">
        <v>0.5</v>
      </c>
      <c r="D3350" s="68">
        <v>0.25</v>
      </c>
      <c r="E3350" s="68">
        <v>8.0</v>
      </c>
      <c r="F3350" s="68">
        <v>3.0</v>
      </c>
      <c r="G3350" s="68">
        <v>7.47367208223123</v>
      </c>
      <c r="H3350" s="68">
        <v>196.874679287666</v>
      </c>
      <c r="I3350" s="69">
        <v>44358.23805555556</v>
      </c>
      <c r="J3350" s="69">
        <v>44358.23820601852</v>
      </c>
      <c r="K3350">
        <f>AVERAGE(H3347:H3351)</f>
        <v>151.3562154</v>
      </c>
      <c r="L3350">
        <f>STDEV(H3347:H3351)</f>
        <v>40.06280828</v>
      </c>
      <c r="M3350" s="70">
        <v>196.874679287666</v>
      </c>
      <c r="N3350" s="70">
        <v>196.874679287666</v>
      </c>
      <c r="O3350" s="70">
        <v>7.47367208223123</v>
      </c>
      <c r="P3350" s="70">
        <v>7.47367208223123</v>
      </c>
    </row>
    <row r="3351" hidden="1">
      <c r="A3351" s="67" t="s">
        <v>4111</v>
      </c>
      <c r="B3351" s="67" t="s">
        <v>519</v>
      </c>
      <c r="C3351" s="68">
        <v>0.5</v>
      </c>
      <c r="D3351" s="68">
        <v>0.25</v>
      </c>
      <c r="E3351" s="68">
        <v>8.0</v>
      </c>
      <c r="F3351" s="68">
        <v>4.0</v>
      </c>
      <c r="G3351" s="68">
        <v>3.36965311794056</v>
      </c>
      <c r="H3351" s="68">
        <v>179.442253646415</v>
      </c>
      <c r="I3351" s="69">
        <v>44358.238912037035</v>
      </c>
      <c r="J3351" s="69">
        <v>44358.265231481484</v>
      </c>
      <c r="K3351">
        <f>AVERAGE(H3347:H3351)</f>
        <v>151.3562154</v>
      </c>
      <c r="L3351">
        <f>STDEV(H3347:H3351)</f>
        <v>40.06280828</v>
      </c>
      <c r="M3351" s="70">
        <v>179.442253646415</v>
      </c>
      <c r="N3351" s="70">
        <v>179.442253646415</v>
      </c>
      <c r="O3351" s="70">
        <v>3.36965311794056</v>
      </c>
      <c r="P3351" s="70">
        <v>3.36965311794056</v>
      </c>
    </row>
    <row r="3352" hidden="1">
      <c r="A3352" s="67" t="s">
        <v>4112</v>
      </c>
      <c r="B3352" s="67" t="s">
        <v>519</v>
      </c>
      <c r="C3352" s="68">
        <v>0.5</v>
      </c>
      <c r="D3352" s="68">
        <v>0.5</v>
      </c>
      <c r="E3352" s="68">
        <v>8.0</v>
      </c>
      <c r="F3352" s="68">
        <v>0.0</v>
      </c>
      <c r="G3352" s="68">
        <v>3.02899311206509</v>
      </c>
      <c r="H3352" s="68">
        <v>134.669189735914</v>
      </c>
      <c r="I3352" s="69">
        <v>44358.2659375</v>
      </c>
      <c r="J3352" s="69">
        <v>44358.26672453704</v>
      </c>
      <c r="K3352">
        <f>AVERAGE(H3352:H3356)</f>
        <v>87.25147125</v>
      </c>
      <c r="L3352">
        <f>STDEV(H3352:H3356)</f>
        <v>81.54757226</v>
      </c>
      <c r="M3352" s="70">
        <v>134.669189735914</v>
      </c>
      <c r="N3352" s="70">
        <v>134.669189735914</v>
      </c>
      <c r="O3352" s="70">
        <v>3.02899311206509</v>
      </c>
      <c r="P3352" s="70">
        <v>3.02899311206509</v>
      </c>
    </row>
    <row r="3353" hidden="1">
      <c r="A3353" s="67" t="s">
        <v>4113</v>
      </c>
      <c r="B3353" s="67" t="s">
        <v>519</v>
      </c>
      <c r="C3353" s="68">
        <v>0.5</v>
      </c>
      <c r="D3353" s="68">
        <v>0.5</v>
      </c>
      <c r="E3353" s="68">
        <v>8.0</v>
      </c>
      <c r="F3353" s="68">
        <v>1.0</v>
      </c>
      <c r="G3353" s="68">
        <v>3.17570891933999</v>
      </c>
      <c r="H3353" s="68">
        <v>122.627330281231</v>
      </c>
      <c r="I3353" s="69">
        <v>44358.26741898148</v>
      </c>
      <c r="J3353" s="69">
        <v>44358.26767361111</v>
      </c>
      <c r="K3353">
        <f>AVERAGE(H3352:H3356)</f>
        <v>87.25147125</v>
      </c>
      <c r="L3353">
        <f>STDEV(H3352:H3356)</f>
        <v>81.54757226</v>
      </c>
      <c r="M3353" s="70">
        <v>122.627330281231</v>
      </c>
      <c r="N3353" s="70">
        <v>122.627330281231</v>
      </c>
      <c r="O3353" s="70">
        <v>3.17570891933999</v>
      </c>
      <c r="P3353" s="70">
        <v>3.17570891933999</v>
      </c>
    </row>
    <row r="3354" hidden="1">
      <c r="A3354" s="67" t="s">
        <v>4114</v>
      </c>
      <c r="B3354" s="67" t="s">
        <v>519</v>
      </c>
      <c r="C3354" s="68">
        <v>0.5</v>
      </c>
      <c r="D3354" s="68">
        <v>0.5</v>
      </c>
      <c r="E3354" s="68">
        <v>8.0</v>
      </c>
      <c r="F3354" s="68">
        <v>2.0</v>
      </c>
      <c r="G3354" s="68">
        <v>0.466302059947925</v>
      </c>
      <c r="H3354" s="68">
        <v>0.558605536113522</v>
      </c>
      <c r="I3354" s="69">
        <v>44358.26836805556</v>
      </c>
      <c r="J3354" s="69">
        <v>44358.268541666665</v>
      </c>
      <c r="K3354">
        <f>AVERAGE(H3352:H3356)</f>
        <v>87.25147125</v>
      </c>
      <c r="L3354">
        <f>STDEV(H3352:H3356)</f>
        <v>81.54757226</v>
      </c>
      <c r="M3354" s="70">
        <v>0.558605536113522</v>
      </c>
      <c r="N3354" s="70">
        <v>0.558605536113522</v>
      </c>
      <c r="O3354" s="70">
        <v>0.466302059947925</v>
      </c>
      <c r="P3354" s="70">
        <v>0.466302059947925</v>
      </c>
    </row>
    <row r="3355" hidden="1">
      <c r="A3355" s="67" t="s">
        <v>4115</v>
      </c>
      <c r="B3355" s="67" t="s">
        <v>519</v>
      </c>
      <c r="C3355" s="68">
        <v>0.5</v>
      </c>
      <c r="D3355" s="68">
        <v>0.5</v>
      </c>
      <c r="E3355" s="68">
        <v>8.0</v>
      </c>
      <c r="F3355" s="68">
        <v>3.0</v>
      </c>
      <c r="G3355" s="68">
        <v>0.71205655889852</v>
      </c>
      <c r="H3355" s="68">
        <v>0.948977832482219</v>
      </c>
      <c r="I3355" s="69">
        <v>44358.26924768519</v>
      </c>
      <c r="J3355" s="69">
        <v>44358.269479166665</v>
      </c>
      <c r="K3355">
        <f>AVERAGE(H3352:H3356)</f>
        <v>87.25147125</v>
      </c>
      <c r="L3355">
        <f>STDEV(H3352:H3356)</f>
        <v>81.54757226</v>
      </c>
      <c r="M3355" s="70">
        <v>0.948977832482219</v>
      </c>
      <c r="N3355" s="70">
        <v>0.948977832482219</v>
      </c>
      <c r="O3355" s="70">
        <v>0.71205655889852</v>
      </c>
      <c r="P3355" s="70">
        <v>0.71205655889852</v>
      </c>
    </row>
    <row r="3356" hidden="1">
      <c r="A3356" s="67" t="s">
        <v>4116</v>
      </c>
      <c r="B3356" s="67" t="s">
        <v>519</v>
      </c>
      <c r="C3356" s="68">
        <v>0.5</v>
      </c>
      <c r="D3356" s="68">
        <v>0.5</v>
      </c>
      <c r="E3356" s="68">
        <v>8.0</v>
      </c>
      <c r="F3356" s="68">
        <v>4.0</v>
      </c>
      <c r="G3356" s="68">
        <v>3.87348601858587</v>
      </c>
      <c r="H3356" s="68">
        <v>177.453252843331</v>
      </c>
      <c r="I3356" s="69">
        <v>44358.27017361111</v>
      </c>
      <c r="J3356" s="69">
        <v>44358.34142361111</v>
      </c>
      <c r="K3356">
        <f>AVERAGE(H3352:H3356)</f>
        <v>87.25147125</v>
      </c>
      <c r="L3356">
        <f>STDEV(H3352:H3356)</f>
        <v>81.54757226</v>
      </c>
      <c r="M3356" s="70">
        <v>177.453252843331</v>
      </c>
      <c r="N3356" s="70">
        <v>177.453252843331</v>
      </c>
      <c r="O3356" s="70">
        <v>3.87348601858587</v>
      </c>
      <c r="P3356" s="70">
        <v>3.87348601858587</v>
      </c>
    </row>
    <row r="3357" hidden="1">
      <c r="A3357" s="67" t="s">
        <v>4117</v>
      </c>
      <c r="B3357" s="67" t="s">
        <v>519</v>
      </c>
      <c r="C3357" s="68">
        <v>0.5</v>
      </c>
      <c r="D3357" s="68">
        <v>0.75</v>
      </c>
      <c r="E3357" s="68">
        <v>8.0</v>
      </c>
      <c r="F3357" s="68">
        <v>0.0</v>
      </c>
      <c r="G3357" s="68">
        <v>0.552250188964668</v>
      </c>
      <c r="H3357" s="68">
        <v>2.55075129893407</v>
      </c>
      <c r="I3357" s="69">
        <v>44358.34212962963</v>
      </c>
      <c r="J3357" s="69">
        <v>44358.34373842592</v>
      </c>
      <c r="K3357">
        <f>AVERAGE(H3357:H3361)</f>
        <v>132.5067201</v>
      </c>
      <c r="L3357">
        <f>STDEV(H3357:H3361)</f>
        <v>81.42596753</v>
      </c>
      <c r="M3357" s="70">
        <v>2.55075129893407</v>
      </c>
      <c r="N3357" s="70">
        <v>2.55075129893407</v>
      </c>
      <c r="O3357" s="70">
        <v>0.552250188964668</v>
      </c>
      <c r="P3357" s="70">
        <v>0.552250188964668</v>
      </c>
    </row>
    <row r="3358" hidden="1">
      <c r="A3358" s="67" t="s">
        <v>4118</v>
      </c>
      <c r="B3358" s="67" t="s">
        <v>519</v>
      </c>
      <c r="C3358" s="68">
        <v>0.5</v>
      </c>
      <c r="D3358" s="68">
        <v>0.75</v>
      </c>
      <c r="E3358" s="68">
        <v>8.0</v>
      </c>
      <c r="F3358" s="68">
        <v>1.0</v>
      </c>
      <c r="G3358" s="68">
        <v>2.50116697534713</v>
      </c>
      <c r="H3358" s="68">
        <v>132.458666467733</v>
      </c>
      <c r="I3358" s="69">
        <v>44358.34443287037</v>
      </c>
      <c r="J3358" s="69">
        <v>44358.34465277778</v>
      </c>
      <c r="K3358">
        <f>AVERAGE(H3357:H3361)</f>
        <v>132.5067201</v>
      </c>
      <c r="L3358">
        <f>STDEV(H3357:H3361)</f>
        <v>81.42596753</v>
      </c>
      <c r="M3358" s="70">
        <v>132.458666467733</v>
      </c>
      <c r="N3358" s="70">
        <v>132.458666467733</v>
      </c>
      <c r="O3358" s="70">
        <v>2.50116697534713</v>
      </c>
      <c r="P3358" s="70">
        <v>2.50116697534713</v>
      </c>
    </row>
    <row r="3359" hidden="1">
      <c r="A3359" s="67" t="s">
        <v>4119</v>
      </c>
      <c r="B3359" s="67" t="s">
        <v>519</v>
      </c>
      <c r="C3359" s="68">
        <v>0.5</v>
      </c>
      <c r="D3359" s="68">
        <v>0.75</v>
      </c>
      <c r="E3359" s="68">
        <v>8.0</v>
      </c>
      <c r="F3359" s="68">
        <v>2.0</v>
      </c>
      <c r="G3359" s="68">
        <v>9.15004393124462</v>
      </c>
      <c r="H3359" s="68">
        <v>218.254082244838</v>
      </c>
      <c r="I3359" s="69">
        <v>44358.345358796294</v>
      </c>
      <c r="J3359" s="69">
        <v>44358.34547453704</v>
      </c>
      <c r="K3359">
        <f>AVERAGE(H3357:H3361)</f>
        <v>132.5067201</v>
      </c>
      <c r="L3359">
        <f>STDEV(H3357:H3361)</f>
        <v>81.42596753</v>
      </c>
      <c r="M3359" s="70">
        <v>218.254082244838</v>
      </c>
      <c r="N3359" s="70">
        <v>218.254082244838</v>
      </c>
      <c r="O3359" s="70">
        <v>9.15004393124462</v>
      </c>
      <c r="P3359" s="70">
        <v>9.15004393124462</v>
      </c>
    </row>
    <row r="3360" hidden="1">
      <c r="A3360" s="67" t="s">
        <v>4120</v>
      </c>
      <c r="B3360" s="67" t="s">
        <v>519</v>
      </c>
      <c r="C3360" s="68">
        <v>0.5</v>
      </c>
      <c r="D3360" s="68">
        <v>0.75</v>
      </c>
      <c r="E3360" s="68">
        <v>8.0</v>
      </c>
      <c r="F3360" s="68">
        <v>3.0</v>
      </c>
      <c r="G3360" s="68">
        <v>3.42684316557439</v>
      </c>
      <c r="H3360" s="68">
        <v>129.137398124852</v>
      </c>
      <c r="I3360" s="69">
        <v>44358.34616898148</v>
      </c>
      <c r="J3360" s="69">
        <v>44358.34663194444</v>
      </c>
      <c r="K3360">
        <f>AVERAGE(H3357:H3361)</f>
        <v>132.5067201</v>
      </c>
      <c r="L3360">
        <f>STDEV(H3357:H3361)</f>
        <v>81.42596753</v>
      </c>
      <c r="M3360" s="70">
        <v>129.137398124852</v>
      </c>
      <c r="N3360" s="70">
        <v>129.137398124852</v>
      </c>
      <c r="O3360" s="70">
        <v>3.42684316557439</v>
      </c>
      <c r="P3360" s="70">
        <v>3.42684316557439</v>
      </c>
    </row>
    <row r="3361" hidden="1">
      <c r="A3361" s="67" t="s">
        <v>4121</v>
      </c>
      <c r="B3361" s="67" t="s">
        <v>519</v>
      </c>
      <c r="C3361" s="68">
        <v>0.5</v>
      </c>
      <c r="D3361" s="68">
        <v>0.75</v>
      </c>
      <c r="E3361" s="68">
        <v>8.0</v>
      </c>
      <c r="F3361" s="68">
        <v>4.0</v>
      </c>
      <c r="G3361" s="68">
        <v>3.88311300679908</v>
      </c>
      <c r="H3361" s="68">
        <v>180.132702213348</v>
      </c>
      <c r="I3361" s="69">
        <v>44358.347337962965</v>
      </c>
      <c r="J3361" s="69">
        <v>44358.402708333335</v>
      </c>
      <c r="K3361">
        <f>AVERAGE(H3357:H3361)</f>
        <v>132.5067201</v>
      </c>
      <c r="L3361">
        <f>STDEV(H3357:H3361)</f>
        <v>81.42596753</v>
      </c>
      <c r="M3361" s="70">
        <v>180.132702213348</v>
      </c>
      <c r="N3361" s="70">
        <v>180.132702213348</v>
      </c>
      <c r="O3361" s="70">
        <v>3.88311300679908</v>
      </c>
      <c r="P3361" s="70">
        <v>3.88311300679908</v>
      </c>
    </row>
    <row r="3362" hidden="1">
      <c r="A3362" s="67" t="s">
        <v>4122</v>
      </c>
      <c r="B3362" s="67" t="s">
        <v>519</v>
      </c>
      <c r="C3362" s="68">
        <v>0.5</v>
      </c>
      <c r="D3362" s="68">
        <v>1.0</v>
      </c>
      <c r="E3362" s="68">
        <v>8.0</v>
      </c>
      <c r="F3362" s="68">
        <v>0.0</v>
      </c>
      <c r="G3362" s="68">
        <v>3.60242902326628</v>
      </c>
      <c r="H3362" s="68">
        <v>172.218712964109</v>
      </c>
      <c r="I3362" s="69">
        <v>44358.40341435185</v>
      </c>
      <c r="J3362" s="69">
        <v>44358.45689814815</v>
      </c>
      <c r="K3362">
        <f>AVERAGE(H3362:H3366)</f>
        <v>124.1077117</v>
      </c>
      <c r="L3362">
        <f>STDEV(H3362:H3366)</f>
        <v>87.33141096</v>
      </c>
      <c r="M3362" s="70">
        <v>172.218712964109</v>
      </c>
      <c r="N3362" s="70">
        <v>172.218712964109</v>
      </c>
      <c r="O3362" s="70">
        <v>3.60242902326628</v>
      </c>
      <c r="P3362" s="70">
        <v>3.60242902326628</v>
      </c>
    </row>
    <row r="3363" hidden="1">
      <c r="A3363" s="67" t="s">
        <v>4123</v>
      </c>
      <c r="B3363" s="67" t="s">
        <v>519</v>
      </c>
      <c r="C3363" s="68">
        <v>0.5</v>
      </c>
      <c r="D3363" s="68">
        <v>1.0</v>
      </c>
      <c r="E3363" s="68">
        <v>8.0</v>
      </c>
      <c r="F3363" s="68">
        <v>1.0</v>
      </c>
      <c r="G3363" s="68">
        <v>0.696332658760867</v>
      </c>
      <c r="H3363" s="68">
        <v>0.915935142035601</v>
      </c>
      <c r="I3363" s="69">
        <v>44358.457604166666</v>
      </c>
      <c r="J3363" s="69">
        <v>44358.457824074074</v>
      </c>
      <c r="K3363">
        <f>AVERAGE(H3362:H3366)</f>
        <v>124.1077117</v>
      </c>
      <c r="L3363">
        <f>STDEV(H3362:H3366)</f>
        <v>87.33141096</v>
      </c>
      <c r="M3363" s="70">
        <v>0.915935142035601</v>
      </c>
      <c r="N3363" s="70">
        <v>0.915935142035601</v>
      </c>
      <c r="O3363" s="70">
        <v>0.696332658760867</v>
      </c>
      <c r="P3363" s="70">
        <v>0.696332658760867</v>
      </c>
    </row>
    <row r="3364" hidden="1">
      <c r="A3364" s="67" t="s">
        <v>4124</v>
      </c>
      <c r="B3364" s="67" t="s">
        <v>519</v>
      </c>
      <c r="C3364" s="68">
        <v>0.5</v>
      </c>
      <c r="D3364" s="68">
        <v>1.0</v>
      </c>
      <c r="E3364" s="68">
        <v>8.0</v>
      </c>
      <c r="F3364" s="68">
        <v>2.0</v>
      </c>
      <c r="G3364" s="68">
        <v>9.17356208025279</v>
      </c>
      <c r="H3364" s="68">
        <v>218.757685414698</v>
      </c>
      <c r="I3364" s="69">
        <v>44358.45853009259</v>
      </c>
      <c r="J3364" s="69">
        <v>44358.458645833336</v>
      </c>
      <c r="K3364">
        <f>AVERAGE(H3362:H3366)</f>
        <v>124.1077117</v>
      </c>
      <c r="L3364">
        <f>STDEV(H3362:H3366)</f>
        <v>87.33141096</v>
      </c>
      <c r="M3364" s="70">
        <v>218.757685414698</v>
      </c>
      <c r="N3364" s="70">
        <v>218.757685414698</v>
      </c>
      <c r="O3364" s="70">
        <v>9.17356208025279</v>
      </c>
      <c r="P3364" s="70">
        <v>9.17356208025279</v>
      </c>
    </row>
    <row r="3365" hidden="1">
      <c r="A3365" s="67" t="s">
        <v>4125</v>
      </c>
      <c r="B3365" s="67" t="s">
        <v>519</v>
      </c>
      <c r="C3365" s="68">
        <v>0.5</v>
      </c>
      <c r="D3365" s="68">
        <v>1.0</v>
      </c>
      <c r="E3365" s="68">
        <v>8.0</v>
      </c>
      <c r="F3365" s="68">
        <v>3.0</v>
      </c>
      <c r="G3365" s="68">
        <v>4.75947678786836</v>
      </c>
      <c r="H3365" s="68">
        <v>158.289718077003</v>
      </c>
      <c r="I3365" s="69">
        <v>44358.459340277775</v>
      </c>
      <c r="J3365" s="69">
        <v>44358.45952546296</v>
      </c>
      <c r="K3365">
        <f>AVERAGE(H3362:H3366)</f>
        <v>124.1077117</v>
      </c>
      <c r="L3365">
        <f>STDEV(H3362:H3366)</f>
        <v>87.33141096</v>
      </c>
      <c r="M3365" s="70">
        <v>158.289718077003</v>
      </c>
      <c r="N3365" s="70">
        <v>158.289718077003</v>
      </c>
      <c r="O3365" s="70">
        <v>4.75947678786836</v>
      </c>
      <c r="P3365" s="70">
        <v>4.75947678786836</v>
      </c>
    </row>
    <row r="3366" hidden="1">
      <c r="A3366" s="67" t="s">
        <v>4126</v>
      </c>
      <c r="B3366" s="67" t="s">
        <v>519</v>
      </c>
      <c r="C3366" s="68">
        <v>0.5</v>
      </c>
      <c r="D3366" s="68">
        <v>1.0</v>
      </c>
      <c r="E3366" s="68">
        <v>8.0</v>
      </c>
      <c r="F3366" s="68">
        <v>4.0</v>
      </c>
      <c r="G3366" s="68">
        <v>1.37085430676844</v>
      </c>
      <c r="H3366" s="68">
        <v>70.3565068391874</v>
      </c>
      <c r="I3366" s="69">
        <v>44358.460231481484</v>
      </c>
      <c r="J3366" s="69">
        <v>44358.46134259259</v>
      </c>
      <c r="K3366">
        <f>AVERAGE(H3362:H3366)</f>
        <v>124.1077117</v>
      </c>
      <c r="L3366">
        <f>STDEV(H3362:H3366)</f>
        <v>87.33141096</v>
      </c>
      <c r="M3366" s="70">
        <v>70.3565068391874</v>
      </c>
      <c r="N3366" s="70">
        <v>70.3565068391874</v>
      </c>
      <c r="O3366" s="70">
        <v>1.37085430676844</v>
      </c>
      <c r="P3366" s="70">
        <v>1.37085430676844</v>
      </c>
    </row>
    <row r="3367" hidden="1">
      <c r="A3367" s="67" t="s">
        <v>4127</v>
      </c>
      <c r="B3367" s="67" t="s">
        <v>519</v>
      </c>
      <c r="C3367" s="68">
        <v>0.75</v>
      </c>
      <c r="D3367" s="68">
        <v>0.1</v>
      </c>
      <c r="E3367" s="68">
        <v>8.0</v>
      </c>
      <c r="F3367" s="68">
        <v>0.0</v>
      </c>
      <c r="G3367" s="68">
        <v>1.46027523935151</v>
      </c>
      <c r="H3367" s="68">
        <v>23.7194491629085</v>
      </c>
      <c r="I3367" s="69">
        <v>44358.46204861111</v>
      </c>
      <c r="J3367" s="69">
        <v>44358.46240740741</v>
      </c>
      <c r="K3367">
        <f>AVERAGE(H3367:H3371)</f>
        <v>116.5709663</v>
      </c>
      <c r="L3367">
        <f>STDEV(H3367:H3371)</f>
        <v>100.1011154</v>
      </c>
      <c r="M3367" s="70">
        <v>23.7194491629085</v>
      </c>
      <c r="N3367" s="70">
        <v>23.7194491629085</v>
      </c>
      <c r="O3367" s="70">
        <v>1.46027523935151</v>
      </c>
      <c r="P3367" s="70">
        <v>1.46027523935151</v>
      </c>
    </row>
    <row r="3368" hidden="1">
      <c r="A3368" s="67" t="s">
        <v>4128</v>
      </c>
      <c r="B3368" s="67" t="s">
        <v>519</v>
      </c>
      <c r="C3368" s="68">
        <v>0.75</v>
      </c>
      <c r="D3368" s="68">
        <v>0.1</v>
      </c>
      <c r="E3368" s="68">
        <v>8.0</v>
      </c>
      <c r="F3368" s="68">
        <v>1.0</v>
      </c>
      <c r="G3368" s="68">
        <v>5.19697928591699</v>
      </c>
      <c r="H3368" s="68">
        <v>201.091948155341</v>
      </c>
      <c r="I3368" s="69">
        <v>44358.463113425925</v>
      </c>
      <c r="J3368" s="69">
        <v>44358.46517361111</v>
      </c>
      <c r="K3368">
        <f>AVERAGE(H3367:H3371)</f>
        <v>116.5709663</v>
      </c>
      <c r="L3368">
        <f>STDEV(H3367:H3371)</f>
        <v>100.1011154</v>
      </c>
      <c r="M3368" s="70">
        <v>201.091948155341</v>
      </c>
      <c r="N3368" s="70">
        <v>201.091948155341</v>
      </c>
      <c r="O3368" s="70">
        <v>5.19697928591699</v>
      </c>
      <c r="P3368" s="70">
        <v>5.19697928591699</v>
      </c>
    </row>
    <row r="3369" hidden="1">
      <c r="A3369" s="67" t="s">
        <v>4129</v>
      </c>
      <c r="B3369" s="67" t="s">
        <v>519</v>
      </c>
      <c r="C3369" s="68">
        <v>0.75</v>
      </c>
      <c r="D3369" s="68">
        <v>0.1</v>
      </c>
      <c r="E3369" s="68">
        <v>8.0</v>
      </c>
      <c r="F3369" s="68">
        <v>2.0</v>
      </c>
      <c r="G3369" s="68">
        <v>0.428677380474465</v>
      </c>
      <c r="H3369" s="68">
        <v>0.506290173629484</v>
      </c>
      <c r="I3369" s="69">
        <v>44358.46587962963</v>
      </c>
      <c r="J3369" s="69">
        <v>44358.46601851852</v>
      </c>
      <c r="K3369">
        <f>AVERAGE(H3367:H3371)</f>
        <v>116.5709663</v>
      </c>
      <c r="L3369">
        <f>STDEV(H3367:H3371)</f>
        <v>100.1011154</v>
      </c>
      <c r="M3369" s="70">
        <v>0.506290173629484</v>
      </c>
      <c r="N3369" s="70">
        <v>0.506290173629484</v>
      </c>
      <c r="O3369" s="70">
        <v>0.428677380474465</v>
      </c>
      <c r="P3369" s="70">
        <v>0.428677380474465</v>
      </c>
    </row>
    <row r="3370" hidden="1">
      <c r="A3370" s="67" t="s">
        <v>4130</v>
      </c>
      <c r="B3370" s="67" t="s">
        <v>519</v>
      </c>
      <c r="C3370" s="68">
        <v>0.75</v>
      </c>
      <c r="D3370" s="68">
        <v>0.1</v>
      </c>
      <c r="E3370" s="68">
        <v>8.0</v>
      </c>
      <c r="F3370" s="68">
        <v>3.0</v>
      </c>
      <c r="G3370" s="68">
        <v>9.1424665552577</v>
      </c>
      <c r="H3370" s="68">
        <v>218.187090716639</v>
      </c>
      <c r="I3370" s="69">
        <v>44358.46671296296</v>
      </c>
      <c r="J3370" s="69">
        <v>44358.466828703706</v>
      </c>
      <c r="K3370">
        <f>AVERAGE(H3367:H3371)</f>
        <v>116.5709663</v>
      </c>
      <c r="L3370">
        <f>STDEV(H3367:H3371)</f>
        <v>100.1011154</v>
      </c>
      <c r="M3370" s="70">
        <v>218.187090716639</v>
      </c>
      <c r="N3370" s="70">
        <v>218.187090716639</v>
      </c>
      <c r="O3370" s="70">
        <v>9.1424665552577</v>
      </c>
      <c r="P3370" s="70">
        <v>9.1424665552577</v>
      </c>
    </row>
    <row r="3371" hidden="1">
      <c r="A3371" s="67" t="s">
        <v>4131</v>
      </c>
      <c r="B3371" s="67" t="s">
        <v>519</v>
      </c>
      <c r="C3371" s="68">
        <v>0.75</v>
      </c>
      <c r="D3371" s="68">
        <v>0.1</v>
      </c>
      <c r="E3371" s="68">
        <v>8.0</v>
      </c>
      <c r="F3371" s="68">
        <v>4.0</v>
      </c>
      <c r="G3371" s="68">
        <v>2.82838226990452</v>
      </c>
      <c r="H3371" s="68">
        <v>139.350053135938</v>
      </c>
      <c r="I3371" s="69">
        <v>44358.46753472222</v>
      </c>
      <c r="J3371" s="69">
        <v>44358.52920138889</v>
      </c>
      <c r="K3371">
        <f>AVERAGE(H3367:H3371)</f>
        <v>116.5709663</v>
      </c>
      <c r="L3371">
        <f>STDEV(H3367:H3371)</f>
        <v>100.1011154</v>
      </c>
      <c r="M3371" s="70">
        <v>139.350053135938</v>
      </c>
      <c r="N3371" s="70">
        <v>139.350053135938</v>
      </c>
      <c r="O3371" s="70">
        <v>2.82838226990452</v>
      </c>
      <c r="P3371" s="70">
        <v>2.82838226990452</v>
      </c>
    </row>
    <row r="3372" hidden="1">
      <c r="A3372" s="67" t="s">
        <v>4132</v>
      </c>
      <c r="B3372" s="67" t="s">
        <v>519</v>
      </c>
      <c r="C3372" s="68">
        <v>0.75</v>
      </c>
      <c r="D3372" s="68">
        <v>0.25</v>
      </c>
      <c r="E3372" s="68">
        <v>8.0</v>
      </c>
      <c r="F3372" s="68">
        <v>0.0</v>
      </c>
      <c r="G3372" s="68">
        <v>3.36123367936496</v>
      </c>
      <c r="H3372" s="68">
        <v>168.280878709501</v>
      </c>
      <c r="I3372" s="69">
        <v>44358.52989583334</v>
      </c>
      <c r="J3372" s="69">
        <v>44358.567928240744</v>
      </c>
      <c r="K3372">
        <f>AVERAGE(H3372:H3376)</f>
        <v>103.0828791</v>
      </c>
      <c r="L3372">
        <f>STDEV(H3372:H3376)</f>
        <v>95.17183788</v>
      </c>
      <c r="M3372" s="70">
        <v>168.280878709501</v>
      </c>
      <c r="N3372" s="70">
        <v>168.280878709501</v>
      </c>
      <c r="O3372" s="70">
        <v>3.36123367936496</v>
      </c>
      <c r="P3372" s="70">
        <v>3.36123367936496</v>
      </c>
    </row>
    <row r="3373" hidden="1">
      <c r="A3373" s="67" t="s">
        <v>4133</v>
      </c>
      <c r="B3373" s="67" t="s">
        <v>519</v>
      </c>
      <c r="C3373" s="68">
        <v>0.75</v>
      </c>
      <c r="D3373" s="68">
        <v>0.25</v>
      </c>
      <c r="E3373" s="68">
        <v>8.0</v>
      </c>
      <c r="F3373" s="68">
        <v>1.0</v>
      </c>
      <c r="G3373" s="68">
        <v>0.377122200830523</v>
      </c>
      <c r="H3373" s="68">
        <v>0.481571843316758</v>
      </c>
      <c r="I3373" s="69">
        <v>44358.56863425926</v>
      </c>
      <c r="J3373" s="69">
        <v>44358.56872685185</v>
      </c>
      <c r="K3373">
        <f>AVERAGE(H3372:H3376)</f>
        <v>103.0828791</v>
      </c>
      <c r="L3373">
        <f>STDEV(H3372:H3376)</f>
        <v>95.17183788</v>
      </c>
      <c r="M3373" s="70">
        <v>0.481571843316758</v>
      </c>
      <c r="N3373" s="70">
        <v>0.481571843316758</v>
      </c>
      <c r="O3373" s="70">
        <v>0.377122200830523</v>
      </c>
      <c r="P3373" s="70">
        <v>0.377122200830523</v>
      </c>
    </row>
    <row r="3374" hidden="1">
      <c r="A3374" s="67" t="s">
        <v>4134</v>
      </c>
      <c r="B3374" s="67" t="s">
        <v>519</v>
      </c>
      <c r="C3374" s="68">
        <v>0.75</v>
      </c>
      <c r="D3374" s="68">
        <v>0.25</v>
      </c>
      <c r="E3374" s="68">
        <v>8.0</v>
      </c>
      <c r="F3374" s="68">
        <v>2.0</v>
      </c>
      <c r="G3374" s="68">
        <v>3.45163975522741</v>
      </c>
      <c r="H3374" s="68">
        <v>147.619740385549</v>
      </c>
      <c r="I3374" s="69">
        <v>44358.56943287037</v>
      </c>
      <c r="J3374" s="69">
        <v>44358.573287037034</v>
      </c>
      <c r="K3374">
        <f>AVERAGE(H3372:H3376)</f>
        <v>103.0828791</v>
      </c>
      <c r="L3374">
        <f>STDEV(H3372:H3376)</f>
        <v>95.17183788</v>
      </c>
      <c r="M3374" s="70">
        <v>147.619740385549</v>
      </c>
      <c r="N3374" s="70">
        <v>147.619740385549</v>
      </c>
      <c r="O3374" s="70">
        <v>3.45163975522741</v>
      </c>
      <c r="P3374" s="70">
        <v>3.45163975522741</v>
      </c>
    </row>
    <row r="3375" hidden="1">
      <c r="A3375" s="67" t="s">
        <v>4135</v>
      </c>
      <c r="B3375" s="67" t="s">
        <v>519</v>
      </c>
      <c r="C3375" s="68">
        <v>0.75</v>
      </c>
      <c r="D3375" s="68">
        <v>0.25</v>
      </c>
      <c r="E3375" s="68">
        <v>8.0</v>
      </c>
      <c r="F3375" s="68">
        <v>3.0</v>
      </c>
      <c r="G3375" s="68">
        <v>0.697479442714497</v>
      </c>
      <c r="H3375" s="68">
        <v>0.916072669891321</v>
      </c>
      <c r="I3375" s="69">
        <v>44358.57399305556</v>
      </c>
      <c r="J3375" s="69">
        <v>44358.57420138889</v>
      </c>
      <c r="K3375">
        <f>AVERAGE(H3372:H3376)</f>
        <v>103.0828791</v>
      </c>
      <c r="L3375">
        <f>STDEV(H3372:H3376)</f>
        <v>95.17183788</v>
      </c>
      <c r="M3375" s="70">
        <v>0.916072669891321</v>
      </c>
      <c r="N3375" s="70">
        <v>0.916072669891321</v>
      </c>
      <c r="O3375" s="70">
        <v>0.697479442714497</v>
      </c>
      <c r="P3375" s="70">
        <v>0.697479442714497</v>
      </c>
    </row>
    <row r="3376" hidden="1">
      <c r="A3376" s="67" t="s">
        <v>4136</v>
      </c>
      <c r="B3376" s="67" t="s">
        <v>519</v>
      </c>
      <c r="C3376" s="68">
        <v>0.75</v>
      </c>
      <c r="D3376" s="68">
        <v>0.25</v>
      </c>
      <c r="E3376" s="68">
        <v>8.0</v>
      </c>
      <c r="F3376" s="68">
        <v>4.0</v>
      </c>
      <c r="G3376" s="68">
        <v>7.57650081248015</v>
      </c>
      <c r="H3376" s="68">
        <v>198.116131965443</v>
      </c>
      <c r="I3376" s="69">
        <v>44358.574907407405</v>
      </c>
      <c r="J3376" s="69">
        <v>44358.57506944444</v>
      </c>
      <c r="K3376">
        <f>AVERAGE(H3372:H3376)</f>
        <v>103.0828791</v>
      </c>
      <c r="L3376">
        <f>STDEV(H3372:H3376)</f>
        <v>95.17183788</v>
      </c>
      <c r="M3376" s="70">
        <v>198.116131965443</v>
      </c>
      <c r="N3376" s="70">
        <v>198.116131965443</v>
      </c>
      <c r="O3376" s="70">
        <v>7.57650081248015</v>
      </c>
      <c r="P3376" s="70">
        <v>7.57650081248015</v>
      </c>
    </row>
    <row r="3377" hidden="1">
      <c r="A3377" s="67" t="s">
        <v>4137</v>
      </c>
      <c r="B3377" s="67" t="s">
        <v>519</v>
      </c>
      <c r="C3377" s="68">
        <v>0.75</v>
      </c>
      <c r="D3377" s="68">
        <v>0.5</v>
      </c>
      <c r="E3377" s="68">
        <v>8.0</v>
      </c>
      <c r="F3377" s="68">
        <v>0.0</v>
      </c>
      <c r="G3377" s="68">
        <v>1.2578047444284</v>
      </c>
      <c r="H3377" s="68">
        <v>73.4383857472491</v>
      </c>
      <c r="I3377" s="69">
        <v>44358.57576388889</v>
      </c>
      <c r="J3377" s="69">
        <v>44358.57775462963</v>
      </c>
      <c r="K3377">
        <f>AVERAGE(H3377:H3381)</f>
        <v>142.0536779</v>
      </c>
      <c r="L3377">
        <f>STDEV(H3377:H3381)</f>
        <v>104.8897719</v>
      </c>
      <c r="M3377" s="70">
        <v>73.4383857472491</v>
      </c>
      <c r="N3377" s="70">
        <v>73.4383857472491</v>
      </c>
      <c r="O3377" s="70">
        <v>1.2578047444284</v>
      </c>
      <c r="P3377" s="70">
        <v>1.2578047444284</v>
      </c>
    </row>
    <row r="3378" hidden="1">
      <c r="A3378" s="67" t="s">
        <v>4138</v>
      </c>
      <c r="B3378" s="67" t="s">
        <v>519</v>
      </c>
      <c r="C3378" s="68">
        <v>0.75</v>
      </c>
      <c r="D3378" s="68">
        <v>0.5</v>
      </c>
      <c r="E3378" s="68">
        <v>8.0</v>
      </c>
      <c r="F3378" s="68">
        <v>1.0</v>
      </c>
      <c r="G3378" s="68">
        <v>3.34233029784222</v>
      </c>
      <c r="H3378" s="68">
        <v>161.928063034747</v>
      </c>
      <c r="I3378" s="69">
        <v>44358.57844907408</v>
      </c>
      <c r="J3378" s="69">
        <v>44358.638819444444</v>
      </c>
      <c r="K3378">
        <f>AVERAGE(H3377:H3381)</f>
        <v>142.0536779</v>
      </c>
      <c r="L3378">
        <f>STDEV(H3377:H3381)</f>
        <v>104.8897719</v>
      </c>
      <c r="M3378" s="70">
        <v>161.928063034747</v>
      </c>
      <c r="N3378" s="70">
        <v>161.928063034747</v>
      </c>
      <c r="O3378" s="70">
        <v>3.34233029784222</v>
      </c>
      <c r="P3378" s="70">
        <v>3.34233029784222</v>
      </c>
    </row>
    <row r="3379" hidden="1">
      <c r="A3379" s="67" t="s">
        <v>4139</v>
      </c>
      <c r="B3379" s="67" t="s">
        <v>519</v>
      </c>
      <c r="C3379" s="68">
        <v>0.75</v>
      </c>
      <c r="D3379" s="68">
        <v>0.5</v>
      </c>
      <c r="E3379" s="68">
        <v>8.0</v>
      </c>
      <c r="F3379" s="68">
        <v>2.0</v>
      </c>
      <c r="G3379" s="68">
        <v>9.13864405572006</v>
      </c>
      <c r="H3379" s="68">
        <v>218.320535978261</v>
      </c>
      <c r="I3379" s="69">
        <v>44358.63952546296</v>
      </c>
      <c r="J3379" s="69">
        <v>44358.63962962963</v>
      </c>
      <c r="K3379">
        <f>AVERAGE(H3377:H3381)</f>
        <v>142.0536779</v>
      </c>
      <c r="L3379">
        <f>STDEV(H3377:H3381)</f>
        <v>104.8897719</v>
      </c>
      <c r="M3379" s="70">
        <v>218.320535978261</v>
      </c>
      <c r="N3379" s="70">
        <v>218.320535978261</v>
      </c>
      <c r="O3379" s="70">
        <v>9.13864405572006</v>
      </c>
      <c r="P3379" s="70">
        <v>9.13864405572006</v>
      </c>
    </row>
    <row r="3380" hidden="1">
      <c r="A3380" s="67" t="s">
        <v>4140</v>
      </c>
      <c r="B3380" s="67" t="s">
        <v>519</v>
      </c>
      <c r="C3380" s="68">
        <v>0.75</v>
      </c>
      <c r="D3380" s="68">
        <v>0.5</v>
      </c>
      <c r="E3380" s="68">
        <v>8.0</v>
      </c>
      <c r="F3380" s="68">
        <v>3.0</v>
      </c>
      <c r="G3380" s="68">
        <v>0.317145370870006</v>
      </c>
      <c r="H3380" s="68">
        <v>0.406115963760371</v>
      </c>
      <c r="I3380" s="69">
        <v>44358.640335648146</v>
      </c>
      <c r="J3380" s="69">
        <v>44358.640393518515</v>
      </c>
      <c r="K3380">
        <f>AVERAGE(H3377:H3381)</f>
        <v>142.0536779</v>
      </c>
      <c r="L3380">
        <f>STDEV(H3377:H3381)</f>
        <v>104.8897719</v>
      </c>
      <c r="M3380" s="70">
        <v>0.406115963760371</v>
      </c>
      <c r="N3380" s="70">
        <v>0.406115963760371</v>
      </c>
      <c r="O3380" s="70">
        <v>0.317145370870006</v>
      </c>
      <c r="P3380" s="70">
        <v>0.317145370870006</v>
      </c>
    </row>
    <row r="3381" hidden="1">
      <c r="A3381" s="67" t="s">
        <v>4141</v>
      </c>
      <c r="B3381" s="67" t="s">
        <v>519</v>
      </c>
      <c r="C3381" s="68">
        <v>0.75</v>
      </c>
      <c r="D3381" s="68">
        <v>0.5</v>
      </c>
      <c r="E3381" s="68">
        <v>8.0</v>
      </c>
      <c r="F3381" s="68">
        <v>4.0</v>
      </c>
      <c r="G3381" s="68">
        <v>8.7206604370592</v>
      </c>
      <c r="H3381" s="68">
        <v>256.175288787539</v>
      </c>
      <c r="I3381" s="69">
        <v>44358.64108796296</v>
      </c>
      <c r="J3381" s="69">
        <v>44358.64129629629</v>
      </c>
      <c r="K3381">
        <f>AVERAGE(H3377:H3381)</f>
        <v>142.0536779</v>
      </c>
      <c r="L3381">
        <f>STDEV(H3377:H3381)</f>
        <v>104.8897719</v>
      </c>
      <c r="M3381" s="70">
        <v>256.175288787539</v>
      </c>
      <c r="N3381" s="70">
        <v>256.175288787539</v>
      </c>
      <c r="O3381" s="70">
        <v>8.7206604370592</v>
      </c>
      <c r="P3381" s="70">
        <v>8.7206604370592</v>
      </c>
    </row>
    <row r="3382" hidden="1">
      <c r="A3382" s="67" t="s">
        <v>4142</v>
      </c>
      <c r="B3382" s="67" t="s">
        <v>519</v>
      </c>
      <c r="C3382" s="68">
        <v>0.75</v>
      </c>
      <c r="D3382" s="68">
        <v>0.75</v>
      </c>
      <c r="E3382" s="68">
        <v>8.0</v>
      </c>
      <c r="F3382" s="68">
        <v>0.0</v>
      </c>
      <c r="G3382" s="68">
        <v>3.07662433270677</v>
      </c>
      <c r="H3382" s="68">
        <v>157.897182121917</v>
      </c>
      <c r="I3382" s="69">
        <v>44358.64200231482</v>
      </c>
      <c r="J3382" s="69">
        <v>44358.74694444444</v>
      </c>
      <c r="K3382">
        <f>AVERAGE(H3382:H3386)</f>
        <v>130.1234333</v>
      </c>
      <c r="L3382">
        <f>STDEV(H3382:H3386)</f>
        <v>72.70116906</v>
      </c>
      <c r="M3382" s="70">
        <v>157.897182121917</v>
      </c>
      <c r="N3382" s="70">
        <v>157.897182121917</v>
      </c>
      <c r="O3382" s="70">
        <v>3.07662433270677</v>
      </c>
      <c r="P3382" s="70">
        <v>3.07662433270677</v>
      </c>
    </row>
    <row r="3383" hidden="1">
      <c r="A3383" s="67" t="s">
        <v>4143</v>
      </c>
      <c r="B3383" s="67" t="s">
        <v>519</v>
      </c>
      <c r="C3383" s="68">
        <v>0.75</v>
      </c>
      <c r="D3383" s="68">
        <v>0.75</v>
      </c>
      <c r="E3383" s="68">
        <v>8.0</v>
      </c>
      <c r="F3383" s="68">
        <v>1.0</v>
      </c>
      <c r="G3383" s="68">
        <v>0.428177041117305</v>
      </c>
      <c r="H3383" s="68">
        <v>0.512722137496427</v>
      </c>
      <c r="I3383" s="69">
        <v>44358.74765046296</v>
      </c>
      <c r="J3383" s="69">
        <v>44358.747766203705</v>
      </c>
      <c r="K3383">
        <f>AVERAGE(H3382:H3386)</f>
        <v>130.1234333</v>
      </c>
      <c r="L3383">
        <f>STDEV(H3382:H3386)</f>
        <v>72.70116906</v>
      </c>
      <c r="M3383" s="70">
        <v>0.512722137496427</v>
      </c>
      <c r="N3383" s="70">
        <v>0.512722137496427</v>
      </c>
      <c r="O3383" s="70">
        <v>0.428177041117305</v>
      </c>
      <c r="P3383" s="70">
        <v>0.428177041117305</v>
      </c>
    </row>
    <row r="3384" hidden="1">
      <c r="A3384" s="67" t="s">
        <v>4144</v>
      </c>
      <c r="B3384" s="67" t="s">
        <v>519</v>
      </c>
      <c r="C3384" s="68">
        <v>0.75</v>
      </c>
      <c r="D3384" s="68">
        <v>0.75</v>
      </c>
      <c r="E3384" s="68">
        <v>8.0</v>
      </c>
      <c r="F3384" s="68">
        <v>2.0</v>
      </c>
      <c r="G3384" s="68">
        <v>5.61373682180086</v>
      </c>
      <c r="H3384" s="68">
        <v>170.849491913532</v>
      </c>
      <c r="I3384" s="69">
        <v>44358.74847222222</v>
      </c>
      <c r="J3384" s="69">
        <v>44358.74862268518</v>
      </c>
      <c r="K3384">
        <f>AVERAGE(H3382:H3386)</f>
        <v>130.1234333</v>
      </c>
      <c r="L3384">
        <f>STDEV(H3382:H3386)</f>
        <v>72.70116906</v>
      </c>
      <c r="M3384" s="70">
        <v>170.849491913532</v>
      </c>
      <c r="N3384" s="70">
        <v>170.849491913532</v>
      </c>
      <c r="O3384" s="70">
        <v>5.61373682180086</v>
      </c>
      <c r="P3384" s="70">
        <v>5.61373682180086</v>
      </c>
    </row>
    <row r="3385" hidden="1">
      <c r="A3385" s="67" t="s">
        <v>4145</v>
      </c>
      <c r="B3385" s="67" t="s">
        <v>519</v>
      </c>
      <c r="C3385" s="68">
        <v>0.75</v>
      </c>
      <c r="D3385" s="68">
        <v>0.75</v>
      </c>
      <c r="E3385" s="68">
        <v>8.0</v>
      </c>
      <c r="F3385" s="68">
        <v>3.0</v>
      </c>
      <c r="G3385" s="68">
        <v>4.17214547221633</v>
      </c>
      <c r="H3385" s="68">
        <v>155.90189765337</v>
      </c>
      <c r="I3385" s="69">
        <v>44358.74931712963</v>
      </c>
      <c r="J3385" s="69">
        <v>44358.74966435185</v>
      </c>
      <c r="K3385">
        <f>AVERAGE(H3382:H3386)</f>
        <v>130.1234333</v>
      </c>
      <c r="L3385">
        <f>STDEV(H3382:H3386)</f>
        <v>72.70116906</v>
      </c>
      <c r="M3385" s="70">
        <v>155.90189765337</v>
      </c>
      <c r="N3385" s="70">
        <v>155.90189765337</v>
      </c>
      <c r="O3385" s="70">
        <v>4.17214547221633</v>
      </c>
      <c r="P3385" s="70">
        <v>4.17214547221633</v>
      </c>
    </row>
    <row r="3386" hidden="1">
      <c r="A3386" s="67" t="s">
        <v>4146</v>
      </c>
      <c r="B3386" s="67" t="s">
        <v>519</v>
      </c>
      <c r="C3386" s="68">
        <v>0.75</v>
      </c>
      <c r="D3386" s="68">
        <v>0.75</v>
      </c>
      <c r="E3386" s="68">
        <v>8.0</v>
      </c>
      <c r="F3386" s="68">
        <v>4.0</v>
      </c>
      <c r="G3386" s="68">
        <v>5.28123567178148</v>
      </c>
      <c r="H3386" s="68">
        <v>165.455872862412</v>
      </c>
      <c r="I3386" s="69">
        <v>44358.75037037037</v>
      </c>
      <c r="J3386" s="69">
        <v>44358.750625</v>
      </c>
      <c r="K3386">
        <f>AVERAGE(H3382:H3386)</f>
        <v>130.1234333</v>
      </c>
      <c r="L3386">
        <f>STDEV(H3382:H3386)</f>
        <v>72.70116906</v>
      </c>
      <c r="M3386" s="70">
        <v>165.455872862412</v>
      </c>
      <c r="N3386" s="70">
        <v>165.455872862412</v>
      </c>
      <c r="O3386" s="70">
        <v>5.28123567178148</v>
      </c>
      <c r="P3386" s="70">
        <v>5.28123567178148</v>
      </c>
    </row>
    <row r="3387" hidden="1">
      <c r="A3387" s="67" t="s">
        <v>4147</v>
      </c>
      <c r="B3387" s="67" t="s">
        <v>519</v>
      </c>
      <c r="C3387" s="68">
        <v>0.75</v>
      </c>
      <c r="D3387" s="68">
        <v>1.0</v>
      </c>
      <c r="E3387" s="68">
        <v>8.0</v>
      </c>
      <c r="F3387" s="68">
        <v>0.0</v>
      </c>
      <c r="G3387" s="68">
        <v>0.605796069277834</v>
      </c>
      <c r="H3387" s="68">
        <v>0.78415021430854</v>
      </c>
      <c r="I3387" s="69">
        <v>44358.75133101852</v>
      </c>
      <c r="J3387" s="69">
        <v>44358.75189814815</v>
      </c>
      <c r="K3387">
        <f>AVERAGE(H3387:H3391)</f>
        <v>121.2898919</v>
      </c>
      <c r="L3387">
        <f>STDEV(H3387:H3391)</f>
        <v>117.5626907</v>
      </c>
      <c r="M3387" s="70">
        <v>0.78415021430854</v>
      </c>
      <c r="N3387" s="70">
        <v>0.78415021430854</v>
      </c>
      <c r="O3387" s="70">
        <v>0.605796069277834</v>
      </c>
      <c r="P3387" s="70">
        <v>0.605796069277834</v>
      </c>
    </row>
    <row r="3388" hidden="1">
      <c r="A3388" s="67" t="s">
        <v>4148</v>
      </c>
      <c r="B3388" s="67" t="s">
        <v>519</v>
      </c>
      <c r="C3388" s="68">
        <v>0.75</v>
      </c>
      <c r="D3388" s="68">
        <v>1.0</v>
      </c>
      <c r="E3388" s="68">
        <v>8.0</v>
      </c>
      <c r="F3388" s="68">
        <v>1.0</v>
      </c>
      <c r="G3388" s="68">
        <v>5.42725857649203</v>
      </c>
      <c r="H3388" s="68">
        <v>169.841663022302</v>
      </c>
      <c r="I3388" s="69">
        <v>44358.752604166664</v>
      </c>
      <c r="J3388" s="69">
        <v>44358.752754629626</v>
      </c>
      <c r="K3388">
        <f>AVERAGE(H3387:H3391)</f>
        <v>121.2898919</v>
      </c>
      <c r="L3388">
        <f>STDEV(H3387:H3391)</f>
        <v>117.5626907</v>
      </c>
      <c r="M3388" s="70">
        <v>169.841663022302</v>
      </c>
      <c r="N3388" s="70">
        <v>169.841663022302</v>
      </c>
      <c r="O3388" s="70">
        <v>5.42725857649203</v>
      </c>
      <c r="P3388" s="70">
        <v>5.42725857649203</v>
      </c>
    </row>
    <row r="3389" hidden="1">
      <c r="A3389" s="67" t="s">
        <v>4149</v>
      </c>
      <c r="B3389" s="67" t="s">
        <v>519</v>
      </c>
      <c r="C3389" s="68">
        <v>0.75</v>
      </c>
      <c r="D3389" s="68">
        <v>1.0</v>
      </c>
      <c r="E3389" s="68">
        <v>8.0</v>
      </c>
      <c r="F3389" s="68">
        <v>2.0</v>
      </c>
      <c r="G3389" s="68">
        <v>0.667643729556087</v>
      </c>
      <c r="H3389" s="68">
        <v>1.34391789960717</v>
      </c>
      <c r="I3389" s="69">
        <v>44358.75346064815</v>
      </c>
      <c r="J3389" s="69">
        <v>44358.75349537037</v>
      </c>
      <c r="K3389">
        <f>AVERAGE(H3387:H3391)</f>
        <v>121.2898919</v>
      </c>
      <c r="L3389">
        <f>STDEV(H3387:H3391)</f>
        <v>117.5626907</v>
      </c>
      <c r="M3389" s="70">
        <v>1.34391789960717</v>
      </c>
      <c r="N3389" s="70">
        <v>1.34391789960717</v>
      </c>
      <c r="O3389" s="70">
        <v>0.667643729556087</v>
      </c>
      <c r="P3389" s="70">
        <v>0.667643729556087</v>
      </c>
    </row>
    <row r="3390" hidden="1">
      <c r="A3390" s="67" t="s">
        <v>4150</v>
      </c>
      <c r="B3390" s="67" t="s">
        <v>519</v>
      </c>
      <c r="C3390" s="68">
        <v>0.75</v>
      </c>
      <c r="D3390" s="68">
        <v>1.0</v>
      </c>
      <c r="E3390" s="68">
        <v>8.0</v>
      </c>
      <c r="F3390" s="68">
        <v>3.0</v>
      </c>
      <c r="G3390" s="68">
        <v>3.37567193604368</v>
      </c>
      <c r="H3390" s="68">
        <v>164.300249096549</v>
      </c>
      <c r="I3390" s="69">
        <v>44358.75420138889</v>
      </c>
      <c r="J3390" s="69">
        <v>44358.84234953704</v>
      </c>
      <c r="K3390">
        <f>AVERAGE(H3387:H3391)</f>
        <v>121.2898919</v>
      </c>
      <c r="L3390">
        <f>STDEV(H3387:H3391)</f>
        <v>117.5626907</v>
      </c>
      <c r="M3390" s="70">
        <v>164.300249096549</v>
      </c>
      <c r="N3390" s="70">
        <v>164.300249096549</v>
      </c>
      <c r="O3390" s="70">
        <v>3.37567193604368</v>
      </c>
      <c r="P3390" s="70">
        <v>3.37567193604368</v>
      </c>
    </row>
    <row r="3391" hidden="1">
      <c r="A3391" s="67" t="s">
        <v>4151</v>
      </c>
      <c r="B3391" s="67" t="s">
        <v>519</v>
      </c>
      <c r="C3391" s="68">
        <v>0.75</v>
      </c>
      <c r="D3391" s="68">
        <v>1.0</v>
      </c>
      <c r="E3391" s="68">
        <v>8.0</v>
      </c>
      <c r="F3391" s="68">
        <v>4.0</v>
      </c>
      <c r="G3391" s="68">
        <v>13.6363346640233</v>
      </c>
      <c r="H3391" s="68">
        <v>270.179479309566</v>
      </c>
      <c r="I3391" s="69">
        <v>44358.84305555555</v>
      </c>
      <c r="J3391" s="69">
        <v>44358.84311342592</v>
      </c>
      <c r="K3391">
        <f>AVERAGE(H3387:H3391)</f>
        <v>121.2898919</v>
      </c>
      <c r="L3391">
        <f>STDEV(H3387:H3391)</f>
        <v>117.5626907</v>
      </c>
      <c r="M3391" s="70">
        <v>270.179479309566</v>
      </c>
      <c r="N3391" s="70">
        <v>270.179479309566</v>
      </c>
      <c r="O3391" s="70">
        <v>13.6363346640233</v>
      </c>
      <c r="P3391" s="70">
        <v>13.6363346640233</v>
      </c>
    </row>
    <row r="3392" hidden="1">
      <c r="A3392" s="67" t="s">
        <v>4152</v>
      </c>
      <c r="B3392" s="67" t="s">
        <v>519</v>
      </c>
      <c r="C3392" s="68">
        <v>1.0</v>
      </c>
      <c r="D3392" s="68">
        <v>0.1</v>
      </c>
      <c r="E3392" s="68">
        <v>8.0</v>
      </c>
      <c r="F3392" s="68">
        <v>0.0</v>
      </c>
      <c r="G3392" s="68">
        <v>0.468280983021366</v>
      </c>
      <c r="H3392" s="68">
        <v>1.14635784977225</v>
      </c>
      <c r="I3392" s="69">
        <v>44358.843819444446</v>
      </c>
      <c r="J3392" s="69">
        <v>44358.84449074074</v>
      </c>
      <c r="K3392">
        <f>AVERAGE(H3392:H3396)</f>
        <v>101.4016805</v>
      </c>
      <c r="L3392">
        <f>STDEV(H3392:H3396)</f>
        <v>93.63787763</v>
      </c>
      <c r="M3392" s="70">
        <v>1.14635784977225</v>
      </c>
      <c r="N3392" s="70">
        <v>1.14635784977225</v>
      </c>
      <c r="O3392" s="70">
        <v>0.468280983021366</v>
      </c>
      <c r="P3392" s="70">
        <v>0.468280983021366</v>
      </c>
    </row>
    <row r="3393" hidden="1">
      <c r="A3393" s="67" t="s">
        <v>4153</v>
      </c>
      <c r="B3393" s="67" t="s">
        <v>519</v>
      </c>
      <c r="C3393" s="68">
        <v>1.0</v>
      </c>
      <c r="D3393" s="68">
        <v>0.1</v>
      </c>
      <c r="E3393" s="68">
        <v>8.0</v>
      </c>
      <c r="F3393" s="68">
        <v>1.0</v>
      </c>
      <c r="G3393" s="68">
        <v>0.281355052496836</v>
      </c>
      <c r="H3393" s="68">
        <v>0.349444721074364</v>
      </c>
      <c r="I3393" s="69">
        <v>44358.84519675926</v>
      </c>
      <c r="J3393" s="69">
        <v>44358.845289351855</v>
      </c>
      <c r="K3393">
        <f>AVERAGE(H3392:H3396)</f>
        <v>101.4016805</v>
      </c>
      <c r="L3393">
        <f>STDEV(H3392:H3396)</f>
        <v>93.63787763</v>
      </c>
      <c r="M3393" s="70">
        <v>0.349444721074364</v>
      </c>
      <c r="N3393" s="70">
        <v>0.349444721074364</v>
      </c>
      <c r="O3393" s="70">
        <v>0.281355052496836</v>
      </c>
      <c r="P3393" s="70">
        <v>0.281355052496836</v>
      </c>
    </row>
    <row r="3394" hidden="1">
      <c r="A3394" s="67" t="s">
        <v>4154</v>
      </c>
      <c r="B3394" s="67" t="s">
        <v>519</v>
      </c>
      <c r="C3394" s="68">
        <v>1.0</v>
      </c>
      <c r="D3394" s="68">
        <v>0.1</v>
      </c>
      <c r="E3394" s="68">
        <v>8.0</v>
      </c>
      <c r="F3394" s="68">
        <v>2.0</v>
      </c>
      <c r="G3394" s="68">
        <v>4.23226947629539</v>
      </c>
      <c r="H3394" s="68">
        <v>165.235621767603</v>
      </c>
      <c r="I3394" s="69">
        <v>44358.84599537037</v>
      </c>
      <c r="J3394" s="69">
        <v>44358.861134259256</v>
      </c>
      <c r="K3394">
        <f>AVERAGE(H3392:H3396)</f>
        <v>101.4016805</v>
      </c>
      <c r="L3394">
        <f>STDEV(H3392:H3396)</f>
        <v>93.63787763</v>
      </c>
      <c r="M3394" s="70">
        <v>165.235621767603</v>
      </c>
      <c r="N3394" s="70">
        <v>165.235621767603</v>
      </c>
      <c r="O3394" s="70">
        <v>4.23226947629539</v>
      </c>
      <c r="P3394" s="70">
        <v>4.23226947629539</v>
      </c>
    </row>
    <row r="3395" hidden="1">
      <c r="A3395" s="67" t="s">
        <v>4155</v>
      </c>
      <c r="B3395" s="67" t="s">
        <v>519</v>
      </c>
      <c r="C3395" s="68">
        <v>1.0</v>
      </c>
      <c r="D3395" s="68">
        <v>0.1</v>
      </c>
      <c r="E3395" s="68">
        <v>8.0</v>
      </c>
      <c r="F3395" s="68">
        <v>3.0</v>
      </c>
      <c r="G3395" s="68">
        <v>2.62407021552229</v>
      </c>
      <c r="H3395" s="68">
        <v>144.788393869043</v>
      </c>
      <c r="I3395" s="69">
        <v>44358.86185185185</v>
      </c>
      <c r="J3395" s="69">
        <v>44358.889398148145</v>
      </c>
      <c r="K3395">
        <f>AVERAGE(H3392:H3396)</f>
        <v>101.4016805</v>
      </c>
      <c r="L3395">
        <f>STDEV(H3392:H3396)</f>
        <v>93.63787763</v>
      </c>
      <c r="M3395" s="70">
        <v>144.788393869043</v>
      </c>
      <c r="N3395" s="70">
        <v>144.788393869043</v>
      </c>
      <c r="O3395" s="70">
        <v>2.62407021552229</v>
      </c>
      <c r="P3395" s="70">
        <v>2.62407021552229</v>
      </c>
    </row>
    <row r="3396" hidden="1">
      <c r="A3396" s="67" t="s">
        <v>4156</v>
      </c>
      <c r="B3396" s="67" t="s">
        <v>519</v>
      </c>
      <c r="C3396" s="68">
        <v>1.0</v>
      </c>
      <c r="D3396" s="68">
        <v>0.1</v>
      </c>
      <c r="E3396" s="68">
        <v>8.0</v>
      </c>
      <c r="F3396" s="68">
        <v>4.0</v>
      </c>
      <c r="G3396" s="68">
        <v>7.34357722951709</v>
      </c>
      <c r="H3396" s="68">
        <v>195.488584379198</v>
      </c>
      <c r="I3396" s="69">
        <v>44358.89010416667</v>
      </c>
      <c r="J3396" s="69">
        <v>44358.89027777778</v>
      </c>
      <c r="K3396">
        <f>AVERAGE(H3392:H3396)</f>
        <v>101.4016805</v>
      </c>
      <c r="L3396">
        <f>STDEV(H3392:H3396)</f>
        <v>93.63787763</v>
      </c>
      <c r="M3396" s="70">
        <v>195.488584379198</v>
      </c>
      <c r="N3396" s="70">
        <v>195.488584379198</v>
      </c>
      <c r="O3396" s="70">
        <v>7.34357722951709</v>
      </c>
      <c r="P3396" s="70">
        <v>7.34357722951709</v>
      </c>
    </row>
    <row r="3397" hidden="1">
      <c r="A3397" s="67" t="s">
        <v>4157</v>
      </c>
      <c r="B3397" s="67" t="s">
        <v>519</v>
      </c>
      <c r="C3397" s="68">
        <v>1.0</v>
      </c>
      <c r="D3397" s="68">
        <v>0.25</v>
      </c>
      <c r="E3397" s="68">
        <v>8.0</v>
      </c>
      <c r="F3397" s="68">
        <v>0.0</v>
      </c>
      <c r="G3397" s="68">
        <v>4.76492980176442</v>
      </c>
      <c r="H3397" s="68">
        <v>166.571230561352</v>
      </c>
      <c r="I3397" s="69">
        <v>44295.77166666667</v>
      </c>
      <c r="J3397" s="69">
        <v>44295.77181712963</v>
      </c>
      <c r="K3397">
        <f>AVERAGE(H3397:H3401)</f>
        <v>136.6582391</v>
      </c>
      <c r="L3397">
        <f>STDEV(H3397:H3401)</f>
        <v>77.02228356</v>
      </c>
      <c r="M3397" s="70">
        <v>166.571230561352</v>
      </c>
      <c r="N3397" s="70">
        <v>166.571230561352</v>
      </c>
      <c r="O3397" s="70">
        <v>4.76492980176442</v>
      </c>
      <c r="P3397" s="70">
        <v>4.76492980176442</v>
      </c>
    </row>
    <row r="3398" hidden="1">
      <c r="A3398" s="67" t="s">
        <v>4158</v>
      </c>
      <c r="B3398" s="67" t="s">
        <v>519</v>
      </c>
      <c r="C3398" s="68">
        <v>1.0</v>
      </c>
      <c r="D3398" s="68">
        <v>0.25</v>
      </c>
      <c r="E3398" s="68">
        <v>8.0</v>
      </c>
      <c r="F3398" s="68">
        <v>1.0</v>
      </c>
      <c r="G3398" s="68">
        <v>0.253135938138399</v>
      </c>
      <c r="H3398" s="68">
        <v>0.324913100821679</v>
      </c>
      <c r="I3398" s="69">
        <v>44295.772511574076</v>
      </c>
      <c r="J3398" s="69">
        <v>44295.77261574074</v>
      </c>
      <c r="K3398">
        <f>AVERAGE(H3397:H3401)</f>
        <v>136.6582391</v>
      </c>
      <c r="L3398">
        <f>STDEV(H3397:H3401)</f>
        <v>77.02228356</v>
      </c>
      <c r="M3398" s="70">
        <v>0.324913100821679</v>
      </c>
      <c r="N3398" s="70">
        <v>0.324913100821679</v>
      </c>
      <c r="O3398" s="70">
        <v>0.253135938138399</v>
      </c>
      <c r="P3398" s="70">
        <v>0.253135938138399</v>
      </c>
    </row>
    <row r="3399" hidden="1">
      <c r="A3399" s="67" t="s">
        <v>4159</v>
      </c>
      <c r="B3399" s="67" t="s">
        <v>519</v>
      </c>
      <c r="C3399" s="68">
        <v>1.0</v>
      </c>
      <c r="D3399" s="68">
        <v>0.25</v>
      </c>
      <c r="E3399" s="68">
        <v>8.0</v>
      </c>
      <c r="F3399" s="68">
        <v>2.0</v>
      </c>
      <c r="G3399" s="68">
        <v>4.02997188017846</v>
      </c>
      <c r="H3399" s="68">
        <v>164.759516182805</v>
      </c>
      <c r="I3399" s="69">
        <v>44295.773310185185</v>
      </c>
      <c r="J3399" s="69">
        <v>44295.78123842592</v>
      </c>
      <c r="K3399">
        <f>AVERAGE(H3397:H3401)</f>
        <v>136.6582391</v>
      </c>
      <c r="L3399">
        <f>STDEV(H3397:H3401)</f>
        <v>77.02228356</v>
      </c>
      <c r="M3399" s="70">
        <v>164.759516182805</v>
      </c>
      <c r="N3399" s="70">
        <v>164.759516182805</v>
      </c>
      <c r="O3399" s="70">
        <v>4.02997188017846</v>
      </c>
      <c r="P3399" s="70">
        <v>4.02997188017846</v>
      </c>
    </row>
    <row r="3400" hidden="1">
      <c r="A3400" s="67" t="s">
        <v>4160</v>
      </c>
      <c r="B3400" s="67" t="s">
        <v>519</v>
      </c>
      <c r="C3400" s="68">
        <v>1.0</v>
      </c>
      <c r="D3400" s="68">
        <v>0.25</v>
      </c>
      <c r="E3400" s="68">
        <v>8.0</v>
      </c>
      <c r="F3400" s="68">
        <v>3.0</v>
      </c>
      <c r="G3400" s="68">
        <v>3.00587185311008</v>
      </c>
      <c r="H3400" s="68">
        <v>161.825865378768</v>
      </c>
      <c r="I3400" s="69">
        <v>44295.78193287037</v>
      </c>
      <c r="J3400" s="69">
        <v>44295.90267361111</v>
      </c>
      <c r="K3400">
        <f>AVERAGE(H3397:H3401)</f>
        <v>136.6582391</v>
      </c>
      <c r="L3400">
        <f>STDEV(H3397:H3401)</f>
        <v>77.02228356</v>
      </c>
      <c r="M3400" s="70">
        <v>161.825865378768</v>
      </c>
      <c r="N3400" s="70">
        <v>161.825865378768</v>
      </c>
      <c r="O3400" s="70">
        <v>3.00587185311008</v>
      </c>
      <c r="P3400" s="70">
        <v>3.00587185311008</v>
      </c>
    </row>
    <row r="3401" hidden="1">
      <c r="A3401" s="67" t="s">
        <v>4161</v>
      </c>
      <c r="B3401" s="67" t="s">
        <v>519</v>
      </c>
      <c r="C3401" s="68">
        <v>1.0</v>
      </c>
      <c r="D3401" s="68">
        <v>0.25</v>
      </c>
      <c r="E3401" s="68">
        <v>8.0</v>
      </c>
      <c r="F3401" s="68">
        <v>4.0</v>
      </c>
      <c r="G3401" s="68">
        <v>5.71855204564047</v>
      </c>
      <c r="H3401" s="68">
        <v>189.809670265262</v>
      </c>
      <c r="I3401" s="69">
        <v>44295.90336805556</v>
      </c>
      <c r="J3401" s="69">
        <v>44295.90392361111</v>
      </c>
      <c r="K3401">
        <f>AVERAGE(H3397:H3401)</f>
        <v>136.6582391</v>
      </c>
      <c r="L3401">
        <f>STDEV(H3397:H3401)</f>
        <v>77.02228356</v>
      </c>
      <c r="M3401" s="70">
        <v>189.809670265262</v>
      </c>
      <c r="N3401" s="70">
        <v>189.809670265262</v>
      </c>
      <c r="O3401" s="70">
        <v>5.71855204564047</v>
      </c>
      <c r="P3401" s="70">
        <v>5.71855204564047</v>
      </c>
    </row>
    <row r="3402" hidden="1">
      <c r="A3402" s="67" t="s">
        <v>4162</v>
      </c>
      <c r="B3402" s="67" t="s">
        <v>519</v>
      </c>
      <c r="C3402" s="68">
        <v>1.0</v>
      </c>
      <c r="D3402" s="68">
        <v>0.5</v>
      </c>
      <c r="E3402" s="68">
        <v>8.0</v>
      </c>
      <c r="F3402" s="68">
        <v>0.0</v>
      </c>
      <c r="G3402" s="68">
        <v>4.52129430960241</v>
      </c>
      <c r="H3402" s="68">
        <v>202.864066019156</v>
      </c>
      <c r="I3402" s="69">
        <v>44358.89098379629</v>
      </c>
      <c r="J3402" s="69">
        <v>44358.89616898148</v>
      </c>
      <c r="K3402">
        <f>AVERAGE(H3402:H3406)</f>
        <v>134.842445</v>
      </c>
      <c r="L3402">
        <f>STDEV(H3402:H3406)</f>
        <v>78.41524798</v>
      </c>
      <c r="M3402" s="70">
        <v>202.864066019156</v>
      </c>
      <c r="N3402" s="70">
        <v>202.864066019156</v>
      </c>
      <c r="O3402" s="70">
        <v>4.52129430960241</v>
      </c>
      <c r="P3402" s="70">
        <v>4.52129430960241</v>
      </c>
    </row>
    <row r="3403" hidden="1">
      <c r="A3403" s="67" t="s">
        <v>4163</v>
      </c>
      <c r="B3403" s="67" t="s">
        <v>519</v>
      </c>
      <c r="C3403" s="68">
        <v>1.0</v>
      </c>
      <c r="D3403" s="68">
        <v>0.5</v>
      </c>
      <c r="E3403" s="68">
        <v>8.0</v>
      </c>
      <c r="F3403" s="68">
        <v>1.0</v>
      </c>
      <c r="G3403" s="68">
        <v>5.21698048368024</v>
      </c>
      <c r="H3403" s="68">
        <v>168.842477954995</v>
      </c>
      <c r="I3403" s="69">
        <v>44358.896875</v>
      </c>
      <c r="J3403" s="69">
        <v>44358.897048611114</v>
      </c>
      <c r="K3403">
        <f>AVERAGE(H3402:H3406)</f>
        <v>134.842445</v>
      </c>
      <c r="L3403">
        <f>STDEV(H3402:H3406)</f>
        <v>78.41524798</v>
      </c>
      <c r="M3403" s="70">
        <v>168.842477954995</v>
      </c>
      <c r="N3403" s="70">
        <v>168.842477954995</v>
      </c>
      <c r="O3403" s="70">
        <v>5.21698048368024</v>
      </c>
      <c r="P3403" s="70">
        <v>5.21698048368024</v>
      </c>
    </row>
    <row r="3404" hidden="1">
      <c r="A3404" s="67" t="s">
        <v>4164</v>
      </c>
      <c r="B3404" s="67" t="s">
        <v>519</v>
      </c>
      <c r="C3404" s="68">
        <v>1.0</v>
      </c>
      <c r="D3404" s="68">
        <v>0.5</v>
      </c>
      <c r="E3404" s="68">
        <v>8.0</v>
      </c>
      <c r="F3404" s="68">
        <v>2.0</v>
      </c>
      <c r="G3404" s="68">
        <v>5.3883449770669</v>
      </c>
      <c r="H3404" s="68">
        <v>160.913293702424</v>
      </c>
      <c r="I3404" s="69">
        <v>44358.89775462963</v>
      </c>
      <c r="J3404" s="69">
        <v>44358.89800925926</v>
      </c>
      <c r="K3404">
        <f>AVERAGE(H3402:H3406)</f>
        <v>134.842445</v>
      </c>
      <c r="L3404">
        <f>STDEV(H3402:H3406)</f>
        <v>78.41524798</v>
      </c>
      <c r="M3404" s="70">
        <v>160.913293702424</v>
      </c>
      <c r="N3404" s="70">
        <v>160.913293702424</v>
      </c>
      <c r="O3404" s="70">
        <v>5.3883449770669</v>
      </c>
      <c r="P3404" s="70">
        <v>5.3883449770669</v>
      </c>
    </row>
    <row r="3405" hidden="1">
      <c r="A3405" s="67" t="s">
        <v>4165</v>
      </c>
      <c r="B3405" s="67" t="s">
        <v>519</v>
      </c>
      <c r="C3405" s="68">
        <v>1.0</v>
      </c>
      <c r="D3405" s="68">
        <v>0.5</v>
      </c>
      <c r="E3405" s="68">
        <v>8.0</v>
      </c>
      <c r="F3405" s="68">
        <v>3.0</v>
      </c>
      <c r="G3405" s="68">
        <v>2.77156494571812</v>
      </c>
      <c r="H3405" s="68">
        <v>141.256563995542</v>
      </c>
      <c r="I3405" s="69">
        <v>44358.89871527778</v>
      </c>
      <c r="J3405" s="69">
        <v>44358.95328703704</v>
      </c>
      <c r="K3405">
        <f>AVERAGE(H3402:H3406)</f>
        <v>134.842445</v>
      </c>
      <c r="L3405">
        <f>STDEV(H3402:H3406)</f>
        <v>78.41524798</v>
      </c>
      <c r="M3405" s="70">
        <v>141.256563995542</v>
      </c>
      <c r="N3405" s="70">
        <v>141.256563995542</v>
      </c>
      <c r="O3405" s="70">
        <v>2.77156494571812</v>
      </c>
      <c r="P3405" s="70">
        <v>2.77156494571812</v>
      </c>
    </row>
    <row r="3406" hidden="1">
      <c r="A3406" s="67" t="s">
        <v>4166</v>
      </c>
      <c r="B3406" s="67" t="s">
        <v>519</v>
      </c>
      <c r="C3406" s="68">
        <v>1.0</v>
      </c>
      <c r="D3406" s="68">
        <v>0.5</v>
      </c>
      <c r="E3406" s="68">
        <v>8.0</v>
      </c>
      <c r="F3406" s="68">
        <v>4.0</v>
      </c>
      <c r="G3406" s="68">
        <v>0.260933007365884</v>
      </c>
      <c r="H3406" s="68">
        <v>0.335823523346803</v>
      </c>
      <c r="I3406" s="69">
        <v>44358.95400462963</v>
      </c>
      <c r="J3406" s="69">
        <v>44358.9540625</v>
      </c>
      <c r="K3406">
        <f>AVERAGE(H3402:H3406)</f>
        <v>134.842445</v>
      </c>
      <c r="L3406">
        <f>STDEV(H3402:H3406)</f>
        <v>78.41524798</v>
      </c>
      <c r="M3406" s="70">
        <v>0.335823523346803</v>
      </c>
      <c r="N3406" s="70">
        <v>0.335823523346803</v>
      </c>
      <c r="O3406" s="70">
        <v>0.260933007365884</v>
      </c>
      <c r="P3406" s="70">
        <v>0.260933007365884</v>
      </c>
    </row>
    <row r="3407" hidden="1">
      <c r="A3407" s="67" t="s">
        <v>4167</v>
      </c>
      <c r="B3407" s="67" t="s">
        <v>519</v>
      </c>
      <c r="C3407" s="68">
        <v>1.0</v>
      </c>
      <c r="D3407" s="68">
        <v>0.75</v>
      </c>
      <c r="E3407" s="68">
        <v>8.0</v>
      </c>
      <c r="F3407" s="68">
        <v>0.0</v>
      </c>
      <c r="G3407" s="68">
        <v>0.311950741787584</v>
      </c>
      <c r="H3407" s="68">
        <v>0.403495450228789</v>
      </c>
      <c r="I3407" s="69">
        <v>44358.95476851852</v>
      </c>
      <c r="J3407" s="69">
        <v>44358.95486111111</v>
      </c>
      <c r="K3407">
        <f>AVERAGE(H3407:H3411)</f>
        <v>106.1947696</v>
      </c>
      <c r="L3407">
        <f>STDEV(H3407:H3411)</f>
        <v>99.21205171</v>
      </c>
      <c r="M3407" s="70">
        <v>0.403495450228789</v>
      </c>
      <c r="N3407" s="70">
        <v>0.403495450228789</v>
      </c>
      <c r="O3407" s="70">
        <v>0.311950741787584</v>
      </c>
      <c r="P3407" s="70">
        <v>0.311950741787584</v>
      </c>
    </row>
    <row r="3408" hidden="1">
      <c r="A3408" s="67" t="s">
        <v>4168</v>
      </c>
      <c r="B3408" s="67" t="s">
        <v>519</v>
      </c>
      <c r="C3408" s="68">
        <v>1.0</v>
      </c>
      <c r="D3408" s="68">
        <v>0.75</v>
      </c>
      <c r="E3408" s="68">
        <v>8.0</v>
      </c>
      <c r="F3408" s="68">
        <v>1.0</v>
      </c>
      <c r="G3408" s="68">
        <v>2.9405174414599</v>
      </c>
      <c r="H3408" s="68">
        <v>153.449966500198</v>
      </c>
      <c r="I3408" s="69">
        <v>44358.95556712963</v>
      </c>
      <c r="J3408" s="69">
        <v>44359.03791666667</v>
      </c>
      <c r="K3408">
        <f>AVERAGE(H3407:H3411)</f>
        <v>106.1947696</v>
      </c>
      <c r="L3408">
        <f>STDEV(H3407:H3411)</f>
        <v>99.21205171</v>
      </c>
      <c r="M3408" s="70">
        <v>153.449966500198</v>
      </c>
      <c r="N3408" s="70">
        <v>153.449966500198</v>
      </c>
      <c r="O3408" s="70">
        <v>2.9405174414599</v>
      </c>
      <c r="P3408" s="70">
        <v>2.9405174414599</v>
      </c>
    </row>
    <row r="3409" hidden="1">
      <c r="A3409" s="67" t="s">
        <v>4169</v>
      </c>
      <c r="B3409" s="67" t="s">
        <v>519</v>
      </c>
      <c r="C3409" s="68">
        <v>1.0</v>
      </c>
      <c r="D3409" s="68">
        <v>0.75</v>
      </c>
      <c r="E3409" s="68">
        <v>8.0</v>
      </c>
      <c r="F3409" s="68">
        <v>2.0</v>
      </c>
      <c r="G3409" s="68">
        <v>5.01256180741082</v>
      </c>
      <c r="H3409" s="68">
        <v>161.293945302315</v>
      </c>
      <c r="I3409" s="69">
        <v>44359.03863425926</v>
      </c>
      <c r="J3409" s="69">
        <v>44359.038819444446</v>
      </c>
      <c r="K3409">
        <f>AVERAGE(H3407:H3411)</f>
        <v>106.1947696</v>
      </c>
      <c r="L3409">
        <f>STDEV(H3407:H3411)</f>
        <v>99.21205171</v>
      </c>
      <c r="M3409" s="70">
        <v>161.293945302315</v>
      </c>
      <c r="N3409" s="70">
        <v>161.293945302315</v>
      </c>
      <c r="O3409" s="70">
        <v>5.01256180741082</v>
      </c>
      <c r="P3409" s="70">
        <v>5.01256180741082</v>
      </c>
    </row>
    <row r="3410" hidden="1">
      <c r="A3410" s="67" t="s">
        <v>4170</v>
      </c>
      <c r="B3410" s="67" t="s">
        <v>519</v>
      </c>
      <c r="C3410" s="68">
        <v>1.0</v>
      </c>
      <c r="D3410" s="68">
        <v>0.75</v>
      </c>
      <c r="E3410" s="68">
        <v>8.0</v>
      </c>
      <c r="F3410" s="68">
        <v>3.0</v>
      </c>
      <c r="G3410" s="68">
        <v>8.28739115515084</v>
      </c>
      <c r="H3410" s="68">
        <v>214.930630558163</v>
      </c>
      <c r="I3410" s="69">
        <v>44359.03952546296</v>
      </c>
      <c r="J3410" s="69">
        <v>44359.03988425926</v>
      </c>
      <c r="K3410">
        <f>AVERAGE(H3407:H3411)</f>
        <v>106.1947696</v>
      </c>
      <c r="L3410">
        <f>STDEV(H3407:H3411)</f>
        <v>99.21205171</v>
      </c>
      <c r="M3410" s="70">
        <v>214.930630558163</v>
      </c>
      <c r="N3410" s="70">
        <v>214.930630558163</v>
      </c>
      <c r="O3410" s="70">
        <v>8.28739115515084</v>
      </c>
      <c r="P3410" s="70">
        <v>8.28739115515084</v>
      </c>
    </row>
    <row r="3411" hidden="1">
      <c r="A3411" s="67" t="s">
        <v>4171</v>
      </c>
      <c r="B3411" s="67" t="s">
        <v>519</v>
      </c>
      <c r="C3411" s="68">
        <v>1.0</v>
      </c>
      <c r="D3411" s="68">
        <v>0.75</v>
      </c>
      <c r="E3411" s="68">
        <v>8.0</v>
      </c>
      <c r="F3411" s="68">
        <v>4.0</v>
      </c>
      <c r="G3411" s="68">
        <v>0.579672117340796</v>
      </c>
      <c r="H3411" s="68">
        <v>0.895810063772962</v>
      </c>
      <c r="I3411" s="69">
        <v>44359.04059027778</v>
      </c>
      <c r="J3411" s="69">
        <v>44359.040625</v>
      </c>
      <c r="K3411">
        <f>AVERAGE(H3407:H3411)</f>
        <v>106.1947696</v>
      </c>
      <c r="L3411">
        <f>STDEV(H3407:H3411)</f>
        <v>99.21205171</v>
      </c>
      <c r="M3411" s="70">
        <v>0.895810063772962</v>
      </c>
      <c r="N3411" s="70">
        <v>0.895810063772962</v>
      </c>
      <c r="O3411" s="70">
        <v>0.579672117340796</v>
      </c>
      <c r="P3411" s="70">
        <v>0.579672117340796</v>
      </c>
    </row>
    <row r="3412" hidden="1">
      <c r="A3412" s="67" t="s">
        <v>4172</v>
      </c>
      <c r="B3412" s="67" t="s">
        <v>519</v>
      </c>
      <c r="C3412" s="68">
        <v>1.0</v>
      </c>
      <c r="D3412" s="68">
        <v>1.0</v>
      </c>
      <c r="E3412" s="68">
        <v>8.0</v>
      </c>
      <c r="F3412" s="68">
        <v>0.0</v>
      </c>
      <c r="G3412" s="68">
        <v>0.47038039114068</v>
      </c>
      <c r="H3412" s="68">
        <v>0.632194773062802</v>
      </c>
      <c r="I3412" s="69">
        <v>44359.04133101852</v>
      </c>
      <c r="J3412" s="69">
        <v>44359.04136574074</v>
      </c>
      <c r="K3412">
        <f>AVERAGE(H3412:H3416)</f>
        <v>151.8515067</v>
      </c>
      <c r="L3412">
        <f>STDEV(H3412:H3416)</f>
        <v>95.5372849</v>
      </c>
      <c r="M3412" s="70">
        <v>0.632194773062802</v>
      </c>
      <c r="N3412" s="70">
        <v>0.632194773062802</v>
      </c>
      <c r="O3412" s="70">
        <v>0.47038039114068</v>
      </c>
      <c r="P3412" s="70">
        <v>0.47038039114068</v>
      </c>
    </row>
    <row r="3413" hidden="1">
      <c r="A3413" s="67" t="s">
        <v>4173</v>
      </c>
      <c r="B3413" s="67" t="s">
        <v>519</v>
      </c>
      <c r="C3413" s="68">
        <v>1.0</v>
      </c>
      <c r="D3413" s="68">
        <v>1.0</v>
      </c>
      <c r="E3413" s="68">
        <v>8.0</v>
      </c>
      <c r="F3413" s="68">
        <v>1.0</v>
      </c>
      <c r="G3413" s="68">
        <v>6.20358056967305</v>
      </c>
      <c r="H3413" s="68">
        <v>171.36236405314</v>
      </c>
      <c r="I3413" s="69">
        <v>44359.04207175926</v>
      </c>
      <c r="J3413" s="69">
        <v>44359.0421412037</v>
      </c>
      <c r="K3413">
        <f>AVERAGE(H3412:H3416)</f>
        <v>151.8515067</v>
      </c>
      <c r="L3413">
        <f>STDEV(H3412:H3416)</f>
        <v>95.5372849</v>
      </c>
      <c r="M3413" s="70">
        <v>171.36236405314</v>
      </c>
      <c r="N3413" s="70">
        <v>171.36236405314</v>
      </c>
      <c r="O3413" s="70">
        <v>6.20358056967305</v>
      </c>
      <c r="P3413" s="70">
        <v>6.20358056967305</v>
      </c>
    </row>
    <row r="3414" hidden="1">
      <c r="A3414" s="67" t="s">
        <v>4174</v>
      </c>
      <c r="B3414" s="67" t="s">
        <v>519</v>
      </c>
      <c r="C3414" s="68">
        <v>1.0</v>
      </c>
      <c r="D3414" s="68">
        <v>1.0</v>
      </c>
      <c r="E3414" s="68">
        <v>8.0</v>
      </c>
      <c r="F3414" s="68">
        <v>2.0</v>
      </c>
      <c r="G3414" s="68">
        <v>13.3607976228812</v>
      </c>
      <c r="H3414" s="68">
        <v>266.203777436755</v>
      </c>
      <c r="I3414" s="69">
        <v>44359.04284722222</v>
      </c>
      <c r="J3414" s="69">
        <v>44359.042905092596</v>
      </c>
      <c r="K3414">
        <f>AVERAGE(H3412:H3416)</f>
        <v>151.8515067</v>
      </c>
      <c r="L3414">
        <f>STDEV(H3412:H3416)</f>
        <v>95.5372849</v>
      </c>
      <c r="M3414" s="70">
        <v>266.203777436755</v>
      </c>
      <c r="N3414" s="70">
        <v>266.203777436755</v>
      </c>
      <c r="O3414" s="70">
        <v>13.3607976228812</v>
      </c>
      <c r="P3414" s="70">
        <v>13.3607976228812</v>
      </c>
    </row>
    <row r="3415" hidden="1">
      <c r="A3415" s="67" t="s">
        <v>4175</v>
      </c>
      <c r="B3415" s="67" t="s">
        <v>519</v>
      </c>
      <c r="C3415" s="68">
        <v>1.0</v>
      </c>
      <c r="D3415" s="68">
        <v>1.0</v>
      </c>
      <c r="E3415" s="68">
        <v>8.0</v>
      </c>
      <c r="F3415" s="68">
        <v>3.0</v>
      </c>
      <c r="G3415" s="68">
        <v>3.11469490143274</v>
      </c>
      <c r="H3415" s="68">
        <v>156.377671788528</v>
      </c>
      <c r="I3415" s="69">
        <v>44359.04362268518</v>
      </c>
      <c r="J3415" s="69">
        <v>44359.150405092594</v>
      </c>
      <c r="K3415">
        <f>AVERAGE(H3412:H3416)</f>
        <v>151.8515067</v>
      </c>
      <c r="L3415">
        <f>STDEV(H3412:H3416)</f>
        <v>95.5372849</v>
      </c>
      <c r="M3415" s="70">
        <v>156.377671788528</v>
      </c>
      <c r="N3415" s="70">
        <v>156.377671788528</v>
      </c>
      <c r="O3415" s="70">
        <v>3.11469490143274</v>
      </c>
      <c r="P3415" s="70">
        <v>3.11469490143274</v>
      </c>
    </row>
    <row r="3416" hidden="1">
      <c r="A3416" s="67" t="s">
        <v>4176</v>
      </c>
      <c r="B3416" s="67" t="s">
        <v>519</v>
      </c>
      <c r="C3416" s="68">
        <v>1.0</v>
      </c>
      <c r="D3416" s="68">
        <v>1.0</v>
      </c>
      <c r="E3416" s="68">
        <v>8.0</v>
      </c>
      <c r="F3416" s="68">
        <v>4.0</v>
      </c>
      <c r="G3416" s="68">
        <v>4.39578676306153</v>
      </c>
      <c r="H3416" s="68">
        <v>164.681525331765</v>
      </c>
      <c r="I3416" s="69">
        <v>44359.15111111111</v>
      </c>
      <c r="J3416" s="69">
        <v>44359.15118055556</v>
      </c>
      <c r="K3416">
        <f>AVERAGE(H3412:H3416)</f>
        <v>151.8515067</v>
      </c>
      <c r="L3416">
        <f>STDEV(H3412:H3416)</f>
        <v>95.5372849</v>
      </c>
      <c r="M3416" s="70">
        <v>164.681525331765</v>
      </c>
      <c r="N3416" s="70">
        <v>164.681525331765</v>
      </c>
      <c r="O3416" s="70">
        <v>4.39578676306153</v>
      </c>
      <c r="P3416" s="70">
        <v>4.39578676306153</v>
      </c>
    </row>
    <row r="3417" hidden="1">
      <c r="A3417" s="67" t="s">
        <v>4177</v>
      </c>
      <c r="B3417" s="67" t="s">
        <v>17</v>
      </c>
      <c r="C3417" s="68">
        <v>0.1</v>
      </c>
      <c r="D3417" s="68">
        <v>0.1</v>
      </c>
      <c r="E3417" s="68">
        <v>9.0</v>
      </c>
      <c r="F3417" s="68">
        <v>0.0</v>
      </c>
      <c r="G3417" s="68">
        <v>6.48009598007776</v>
      </c>
      <c r="H3417" s="68">
        <v>202.190623780402</v>
      </c>
      <c r="I3417" s="69">
        <v>44306.44380787037</v>
      </c>
      <c r="J3417" s="69">
        <v>44306.44431712963</v>
      </c>
      <c r="K3417">
        <f>AVERAGE(H3417:H3421)</f>
        <v>112.7178837</v>
      </c>
      <c r="L3417">
        <f>STDEV(H3417:H3421)</f>
        <v>98.57870303</v>
      </c>
      <c r="M3417" s="70">
        <v>202.190623780402</v>
      </c>
      <c r="N3417" s="70">
        <v>202.190623780402</v>
      </c>
      <c r="O3417" s="70">
        <v>6.48009598007776</v>
      </c>
      <c r="P3417" s="70">
        <v>6.48009598007776</v>
      </c>
    </row>
    <row r="3418" hidden="1">
      <c r="A3418" s="67" t="s">
        <v>4178</v>
      </c>
      <c r="B3418" s="67" t="s">
        <v>17</v>
      </c>
      <c r="C3418" s="68">
        <v>0.1</v>
      </c>
      <c r="D3418" s="68">
        <v>0.1</v>
      </c>
      <c r="E3418" s="68">
        <v>9.0</v>
      </c>
      <c r="F3418" s="68">
        <v>1.0</v>
      </c>
      <c r="G3418" s="68">
        <v>4.39518757740964</v>
      </c>
      <c r="H3418" s="68">
        <v>198.49890576822</v>
      </c>
      <c r="I3418" s="69">
        <v>44306.44501157408</v>
      </c>
      <c r="J3418" s="69">
        <v>44306.461122685185</v>
      </c>
      <c r="K3418">
        <f>AVERAGE(H3417:H3421)</f>
        <v>112.7178837</v>
      </c>
      <c r="L3418">
        <f>STDEV(H3417:H3421)</f>
        <v>98.57870303</v>
      </c>
      <c r="M3418" s="70">
        <v>198.49890576822</v>
      </c>
      <c r="N3418" s="70">
        <v>198.49890576822</v>
      </c>
      <c r="O3418" s="70">
        <v>4.39518757740964</v>
      </c>
      <c r="P3418" s="70">
        <v>4.39518757740964</v>
      </c>
    </row>
    <row r="3419" hidden="1">
      <c r="A3419" s="67" t="s">
        <v>4179</v>
      </c>
      <c r="B3419" s="67" t="s">
        <v>17</v>
      </c>
      <c r="C3419" s="68">
        <v>0.1</v>
      </c>
      <c r="D3419" s="68">
        <v>0.1</v>
      </c>
      <c r="E3419" s="68">
        <v>9.0</v>
      </c>
      <c r="F3419" s="68">
        <v>2.0</v>
      </c>
      <c r="G3419" s="68">
        <v>3.21951718152505</v>
      </c>
      <c r="H3419" s="68">
        <v>148.028531162214</v>
      </c>
      <c r="I3419" s="69">
        <v>44306.46181712963</v>
      </c>
      <c r="J3419" s="69">
        <v>44306.55844907407</v>
      </c>
      <c r="K3419">
        <f>AVERAGE(H3417:H3421)</f>
        <v>112.7178837</v>
      </c>
      <c r="L3419">
        <f>STDEV(H3417:H3421)</f>
        <v>98.57870303</v>
      </c>
      <c r="M3419" s="70">
        <v>148.028531162214</v>
      </c>
      <c r="N3419" s="70">
        <v>148.028531162214</v>
      </c>
      <c r="O3419" s="70">
        <v>3.21951718152505</v>
      </c>
      <c r="P3419" s="70">
        <v>3.21951718152505</v>
      </c>
    </row>
    <row r="3420" hidden="1">
      <c r="A3420" s="67" t="s">
        <v>4180</v>
      </c>
      <c r="B3420" s="67" t="s">
        <v>17</v>
      </c>
      <c r="C3420" s="68">
        <v>0.1</v>
      </c>
      <c r="D3420" s="68">
        <v>0.1</v>
      </c>
      <c r="E3420" s="68">
        <v>9.0</v>
      </c>
      <c r="F3420" s="68">
        <v>3.0</v>
      </c>
      <c r="G3420" s="68">
        <v>0.539963281421377</v>
      </c>
      <c r="H3420" s="68">
        <v>0.662176517176452</v>
      </c>
      <c r="I3420" s="69">
        <v>44306.55914351852</v>
      </c>
      <c r="J3420" s="69">
        <v>44306.56070601852</v>
      </c>
      <c r="K3420">
        <f>AVERAGE(H3417:H3421)</f>
        <v>112.7178837</v>
      </c>
      <c r="L3420">
        <f>STDEV(H3417:H3421)</f>
        <v>98.57870303</v>
      </c>
      <c r="M3420" s="70">
        <v>0.662176517176452</v>
      </c>
      <c r="N3420" s="70">
        <v>0.662176517176452</v>
      </c>
      <c r="O3420" s="70">
        <v>0.539963281421377</v>
      </c>
      <c r="P3420" s="70">
        <v>0.539963281421377</v>
      </c>
    </row>
    <row r="3421" hidden="1">
      <c r="A3421" s="67" t="s">
        <v>4181</v>
      </c>
      <c r="B3421" s="67" t="s">
        <v>17</v>
      </c>
      <c r="C3421" s="68">
        <v>0.1</v>
      </c>
      <c r="D3421" s="68">
        <v>0.1</v>
      </c>
      <c r="E3421" s="68">
        <v>9.0</v>
      </c>
      <c r="F3421" s="68">
        <v>4.0</v>
      </c>
      <c r="G3421" s="68">
        <v>0.985116609976925</v>
      </c>
      <c r="H3421" s="68">
        <v>14.2091812258625</v>
      </c>
      <c r="I3421" s="69">
        <v>44306.56140046296</v>
      </c>
      <c r="J3421" s="69">
        <v>44306.561631944445</v>
      </c>
      <c r="K3421">
        <f>AVERAGE(H3417:H3421)</f>
        <v>112.7178837</v>
      </c>
      <c r="L3421">
        <f>STDEV(H3417:H3421)</f>
        <v>98.57870303</v>
      </c>
      <c r="M3421" s="70">
        <v>14.2091812258625</v>
      </c>
      <c r="N3421" s="70">
        <v>14.2091812258625</v>
      </c>
      <c r="O3421" s="70">
        <v>0.985116609976925</v>
      </c>
      <c r="P3421" s="70">
        <v>0.985116609976925</v>
      </c>
    </row>
    <row r="3422" hidden="1">
      <c r="A3422" s="67" t="s">
        <v>4182</v>
      </c>
      <c r="B3422" s="67" t="s">
        <v>17</v>
      </c>
      <c r="C3422" s="68">
        <v>0.1</v>
      </c>
      <c r="D3422" s="68">
        <v>0.25</v>
      </c>
      <c r="E3422" s="68">
        <v>9.0</v>
      </c>
      <c r="F3422" s="68">
        <v>0.0</v>
      </c>
      <c r="G3422" s="68">
        <v>3.29932696317655</v>
      </c>
      <c r="H3422" s="68">
        <v>148.894253479326</v>
      </c>
      <c r="I3422" s="69">
        <v>44306.56232638889</v>
      </c>
      <c r="J3422" s="69">
        <v>44306.65908564815</v>
      </c>
      <c r="K3422">
        <f>AVERAGE(H3422:H3426)</f>
        <v>141.9144348</v>
      </c>
      <c r="L3422">
        <f>STDEV(H3422:H3426)</f>
        <v>111.8636214</v>
      </c>
      <c r="M3422" s="70">
        <v>148.894253479326</v>
      </c>
      <c r="N3422" s="70">
        <v>148.894253479326</v>
      </c>
      <c r="O3422" s="70">
        <v>3.29932696317655</v>
      </c>
      <c r="P3422" s="70">
        <v>3.29932696317655</v>
      </c>
    </row>
    <row r="3423" hidden="1">
      <c r="A3423" s="67" t="s">
        <v>4183</v>
      </c>
      <c r="B3423" s="67" t="s">
        <v>17</v>
      </c>
      <c r="C3423" s="68">
        <v>0.1</v>
      </c>
      <c r="D3423" s="68">
        <v>0.25</v>
      </c>
      <c r="E3423" s="68">
        <v>9.0</v>
      </c>
      <c r="F3423" s="68">
        <v>1.0</v>
      </c>
      <c r="G3423" s="68">
        <v>8.14927675289396</v>
      </c>
      <c r="H3423" s="68">
        <v>286.798803218638</v>
      </c>
      <c r="I3423" s="69">
        <v>44306.659780092596</v>
      </c>
      <c r="J3423" s="69">
        <v>44306.661828703705</v>
      </c>
      <c r="K3423">
        <f>AVERAGE(H3422:H3426)</f>
        <v>141.9144348</v>
      </c>
      <c r="L3423">
        <f>STDEV(H3422:H3426)</f>
        <v>111.8636214</v>
      </c>
      <c r="M3423" s="70">
        <v>286.798803218638</v>
      </c>
      <c r="N3423" s="70">
        <v>286.798803218638</v>
      </c>
      <c r="O3423" s="70">
        <v>8.14927675289396</v>
      </c>
      <c r="P3423" s="70">
        <v>8.14927675289396</v>
      </c>
    </row>
    <row r="3424" hidden="1">
      <c r="A3424" s="67" t="s">
        <v>4184</v>
      </c>
      <c r="B3424" s="67" t="s">
        <v>17</v>
      </c>
      <c r="C3424" s="68">
        <v>0.1</v>
      </c>
      <c r="D3424" s="68">
        <v>0.25</v>
      </c>
      <c r="E3424" s="68">
        <v>9.0</v>
      </c>
      <c r="F3424" s="68">
        <v>2.0</v>
      </c>
      <c r="G3424" s="68">
        <v>1.35224836248878</v>
      </c>
      <c r="H3424" s="68">
        <v>69.5144870271492</v>
      </c>
      <c r="I3424" s="69">
        <v>44306.662523148145</v>
      </c>
      <c r="J3424" s="69">
        <v>44306.66480324074</v>
      </c>
      <c r="K3424">
        <f>AVERAGE(H3422:H3426)</f>
        <v>141.9144348</v>
      </c>
      <c r="L3424">
        <f>STDEV(H3422:H3426)</f>
        <v>111.8636214</v>
      </c>
      <c r="M3424" s="70">
        <v>69.5144870271492</v>
      </c>
      <c r="N3424" s="70">
        <v>69.5144870271492</v>
      </c>
      <c r="O3424" s="70">
        <v>1.35224836248878</v>
      </c>
      <c r="P3424" s="70">
        <v>1.35224836248878</v>
      </c>
    </row>
    <row r="3425" hidden="1">
      <c r="A3425" s="67" t="s">
        <v>4185</v>
      </c>
      <c r="B3425" s="67" t="s">
        <v>17</v>
      </c>
      <c r="C3425" s="68">
        <v>0.1</v>
      </c>
      <c r="D3425" s="68">
        <v>0.25</v>
      </c>
      <c r="E3425" s="68">
        <v>9.0</v>
      </c>
      <c r="F3425" s="68">
        <v>3.0</v>
      </c>
      <c r="G3425" s="68">
        <v>0.536774586489238</v>
      </c>
      <c r="H3425" s="68">
        <v>0.657328176922059</v>
      </c>
      <c r="I3425" s="69">
        <v>44306.665497685186</v>
      </c>
      <c r="J3425" s="69">
        <v>44306.66667824074</v>
      </c>
      <c r="K3425">
        <f>AVERAGE(H3422:H3426)</f>
        <v>141.9144348</v>
      </c>
      <c r="L3425">
        <f>STDEV(H3422:H3426)</f>
        <v>111.8636214</v>
      </c>
      <c r="M3425" s="70">
        <v>0.657328176922059</v>
      </c>
      <c r="N3425" s="70">
        <v>0.657328176922059</v>
      </c>
      <c r="O3425" s="70">
        <v>0.536774586489238</v>
      </c>
      <c r="P3425" s="70">
        <v>0.536774586489238</v>
      </c>
    </row>
    <row r="3426" hidden="1">
      <c r="A3426" s="67" t="s">
        <v>4186</v>
      </c>
      <c r="B3426" s="67" t="s">
        <v>17</v>
      </c>
      <c r="C3426" s="68">
        <v>0.1</v>
      </c>
      <c r="D3426" s="68">
        <v>0.25</v>
      </c>
      <c r="E3426" s="68">
        <v>9.0</v>
      </c>
      <c r="F3426" s="68">
        <v>4.0</v>
      </c>
      <c r="G3426" s="68">
        <v>7.01265567474776</v>
      </c>
      <c r="H3426" s="68">
        <v>203.707302157304</v>
      </c>
      <c r="I3426" s="69">
        <v>44306.66737268519</v>
      </c>
      <c r="J3426" s="69">
        <v>44306.66744212963</v>
      </c>
      <c r="K3426">
        <f>AVERAGE(H3422:H3426)</f>
        <v>141.9144348</v>
      </c>
      <c r="L3426">
        <f>STDEV(H3422:H3426)</f>
        <v>111.8636214</v>
      </c>
      <c r="M3426" s="70">
        <v>203.707302157304</v>
      </c>
      <c r="N3426" s="70">
        <v>203.707302157304</v>
      </c>
      <c r="O3426" s="70">
        <v>7.01265567474776</v>
      </c>
      <c r="P3426" s="70">
        <v>7.01265567474776</v>
      </c>
    </row>
    <row r="3427" hidden="1">
      <c r="A3427" s="67" t="s">
        <v>4187</v>
      </c>
      <c r="B3427" s="67" t="s">
        <v>17</v>
      </c>
      <c r="C3427" s="68">
        <v>0.1</v>
      </c>
      <c r="D3427" s="68">
        <v>0.5</v>
      </c>
      <c r="E3427" s="68">
        <v>9.0</v>
      </c>
      <c r="F3427" s="68">
        <v>0.0</v>
      </c>
      <c r="G3427" s="68">
        <v>7.34755130331449</v>
      </c>
      <c r="H3427" s="68">
        <v>271.017411527013</v>
      </c>
      <c r="I3427" s="69">
        <v>44306.66813657407</v>
      </c>
      <c r="J3427" s="69">
        <v>44306.668587962966</v>
      </c>
      <c r="K3427">
        <f>AVERAGE(H3427:H3431)</f>
        <v>129.2389681</v>
      </c>
      <c r="L3427">
        <f>STDEV(H3427:H3431)</f>
        <v>117.096228</v>
      </c>
      <c r="M3427" s="70">
        <v>271.017411527013</v>
      </c>
      <c r="N3427" s="70">
        <v>271.017411527013</v>
      </c>
      <c r="O3427" s="70">
        <v>7.34755130331449</v>
      </c>
      <c r="P3427" s="70">
        <v>7.34755130331449</v>
      </c>
    </row>
    <row r="3428" hidden="1">
      <c r="A3428" s="67" t="s">
        <v>4188</v>
      </c>
      <c r="B3428" s="67" t="s">
        <v>17</v>
      </c>
      <c r="C3428" s="68">
        <v>0.1</v>
      </c>
      <c r="D3428" s="68">
        <v>0.5</v>
      </c>
      <c r="E3428" s="68">
        <v>9.0</v>
      </c>
      <c r="F3428" s="68">
        <v>1.0</v>
      </c>
      <c r="G3428" s="68">
        <v>0.466302059947925</v>
      </c>
      <c r="H3428" s="68">
        <v>0.558605536113522</v>
      </c>
      <c r="I3428" s="69">
        <v>44306.669282407405</v>
      </c>
      <c r="J3428" s="69">
        <v>44306.66957175926</v>
      </c>
      <c r="K3428">
        <f>AVERAGE(H3427:H3431)</f>
        <v>129.2389681</v>
      </c>
      <c r="L3428">
        <f>STDEV(H3427:H3431)</f>
        <v>117.096228</v>
      </c>
      <c r="M3428" s="70">
        <v>0.558605536113522</v>
      </c>
      <c r="N3428" s="70">
        <v>0.558605536113522</v>
      </c>
      <c r="O3428" s="70">
        <v>0.466302059947925</v>
      </c>
      <c r="P3428" s="70">
        <v>0.466302059947925</v>
      </c>
    </row>
    <row r="3429" hidden="1">
      <c r="A3429" s="67" t="s">
        <v>4189</v>
      </c>
      <c r="B3429" s="67" t="s">
        <v>17</v>
      </c>
      <c r="C3429" s="68">
        <v>0.1</v>
      </c>
      <c r="D3429" s="68">
        <v>0.5</v>
      </c>
      <c r="E3429" s="68">
        <v>9.0</v>
      </c>
      <c r="F3429" s="68">
        <v>2.0</v>
      </c>
      <c r="G3429" s="68">
        <v>3.24182366830001</v>
      </c>
      <c r="H3429" s="68">
        <v>151.814152648395</v>
      </c>
      <c r="I3429" s="69">
        <v>44306.670266203706</v>
      </c>
      <c r="J3429" s="69">
        <v>44306.83574074074</v>
      </c>
      <c r="K3429">
        <f>AVERAGE(H3427:H3431)</f>
        <v>129.2389681</v>
      </c>
      <c r="L3429">
        <f>STDEV(H3427:H3431)</f>
        <v>117.096228</v>
      </c>
      <c r="M3429" s="70">
        <v>151.814152648395</v>
      </c>
      <c r="N3429" s="70">
        <v>151.814152648395</v>
      </c>
      <c r="O3429" s="70">
        <v>3.24182366830001</v>
      </c>
      <c r="P3429" s="70">
        <v>3.24182366830001</v>
      </c>
    </row>
    <row r="3430" hidden="1">
      <c r="A3430" s="67" t="s">
        <v>4190</v>
      </c>
      <c r="B3430" s="67" t="s">
        <v>17</v>
      </c>
      <c r="C3430" s="68">
        <v>0.1</v>
      </c>
      <c r="D3430" s="68">
        <v>0.5</v>
      </c>
      <c r="E3430" s="68">
        <v>9.0</v>
      </c>
      <c r="F3430" s="68">
        <v>3.0</v>
      </c>
      <c r="G3430" s="68">
        <v>7.01265567474776</v>
      </c>
      <c r="H3430" s="68">
        <v>203.707302157304</v>
      </c>
      <c r="I3430" s="69">
        <v>44306.836435185185</v>
      </c>
      <c r="J3430" s="69">
        <v>44306.83650462963</v>
      </c>
      <c r="K3430">
        <f>AVERAGE(H3427:H3431)</f>
        <v>129.2389681</v>
      </c>
      <c r="L3430">
        <f>STDEV(H3427:H3431)</f>
        <v>117.096228</v>
      </c>
      <c r="M3430" s="70">
        <v>203.707302157304</v>
      </c>
      <c r="N3430" s="70">
        <v>203.707302157304</v>
      </c>
      <c r="O3430" s="70">
        <v>7.01265567474776</v>
      </c>
      <c r="P3430" s="70">
        <v>7.01265567474776</v>
      </c>
    </row>
    <row r="3431" hidden="1">
      <c r="A3431" s="67" t="s">
        <v>4191</v>
      </c>
      <c r="B3431" s="67" t="s">
        <v>17</v>
      </c>
      <c r="C3431" s="68">
        <v>0.1</v>
      </c>
      <c r="D3431" s="68">
        <v>0.5</v>
      </c>
      <c r="E3431" s="68">
        <v>9.0</v>
      </c>
      <c r="F3431" s="68">
        <v>4.0</v>
      </c>
      <c r="G3431" s="68">
        <v>2.30197057088087</v>
      </c>
      <c r="H3431" s="68">
        <v>19.0973684810045</v>
      </c>
      <c r="I3431" s="69">
        <v>44306.83719907407</v>
      </c>
      <c r="J3431" s="69">
        <v>44306.837222222224</v>
      </c>
      <c r="K3431">
        <f>AVERAGE(H3427:H3431)</f>
        <v>129.2389681</v>
      </c>
      <c r="L3431">
        <f>STDEV(H3427:H3431)</f>
        <v>117.096228</v>
      </c>
      <c r="M3431" s="70">
        <v>19.0973684810045</v>
      </c>
      <c r="N3431" s="70">
        <v>19.0973684810045</v>
      </c>
      <c r="O3431" s="70">
        <v>2.30197057088087</v>
      </c>
      <c r="P3431" s="70">
        <v>2.30197057088087</v>
      </c>
    </row>
    <row r="3432" hidden="1">
      <c r="A3432" s="67" t="s">
        <v>4192</v>
      </c>
      <c r="B3432" s="67" t="s">
        <v>17</v>
      </c>
      <c r="C3432" s="68">
        <v>0.1</v>
      </c>
      <c r="D3432" s="68">
        <v>0.75</v>
      </c>
      <c r="E3432" s="68">
        <v>9.0</v>
      </c>
      <c r="F3432" s="68">
        <v>0.0</v>
      </c>
      <c r="G3432" s="68">
        <v>1.33052654772943</v>
      </c>
      <c r="H3432" s="68">
        <v>22.4246286252634</v>
      </c>
      <c r="I3432" s="69">
        <v>44306.837916666664</v>
      </c>
      <c r="J3432" s="69">
        <v>44306.846342592595</v>
      </c>
      <c r="K3432">
        <f>AVERAGE(H3432:H3436)</f>
        <v>88.2717209</v>
      </c>
      <c r="L3432">
        <f>STDEV(H3432:H3436)</f>
        <v>110.7528126</v>
      </c>
      <c r="M3432" s="70">
        <v>22.4246286252634</v>
      </c>
      <c r="N3432" s="70">
        <v>22.4246286252634</v>
      </c>
      <c r="O3432" s="70">
        <v>1.33052654772943</v>
      </c>
      <c r="P3432" s="70">
        <v>1.33052654772943</v>
      </c>
    </row>
    <row r="3433" hidden="1">
      <c r="A3433" s="67" t="s">
        <v>4193</v>
      </c>
      <c r="B3433" s="67" t="s">
        <v>17</v>
      </c>
      <c r="C3433" s="68">
        <v>0.1</v>
      </c>
      <c r="D3433" s="68">
        <v>0.75</v>
      </c>
      <c r="E3433" s="68">
        <v>9.0</v>
      </c>
      <c r="F3433" s="68">
        <v>1.0</v>
      </c>
      <c r="G3433" s="68">
        <v>0.467187299586246</v>
      </c>
      <c r="H3433" s="68">
        <v>0.559434604263913</v>
      </c>
      <c r="I3433" s="69">
        <v>44306.847037037034</v>
      </c>
      <c r="J3433" s="69">
        <v>44306.84737268519</v>
      </c>
      <c r="K3433">
        <f>AVERAGE(H3432:H3436)</f>
        <v>88.2717209</v>
      </c>
      <c r="L3433">
        <f>STDEV(H3432:H3436)</f>
        <v>110.7528126</v>
      </c>
      <c r="M3433" s="70">
        <v>0.559434604263913</v>
      </c>
      <c r="N3433" s="70">
        <v>0.559434604263913</v>
      </c>
      <c r="O3433" s="70">
        <v>0.467187299586246</v>
      </c>
      <c r="P3433" s="70">
        <v>0.467187299586246</v>
      </c>
    </row>
    <row r="3434" hidden="1">
      <c r="A3434" s="67" t="s">
        <v>4194</v>
      </c>
      <c r="B3434" s="67" t="s">
        <v>17</v>
      </c>
      <c r="C3434" s="68">
        <v>0.1</v>
      </c>
      <c r="D3434" s="68">
        <v>0.75</v>
      </c>
      <c r="E3434" s="68">
        <v>9.0</v>
      </c>
      <c r="F3434" s="68">
        <v>2.0</v>
      </c>
      <c r="G3434" s="68">
        <v>4.39455363697694</v>
      </c>
      <c r="H3434" s="68">
        <v>191.053940293282</v>
      </c>
      <c r="I3434" s="69">
        <v>44306.84806712963</v>
      </c>
      <c r="J3434" s="69">
        <v>44307.131064814814</v>
      </c>
      <c r="K3434">
        <f>AVERAGE(H3432:H3436)</f>
        <v>88.2717209</v>
      </c>
      <c r="L3434">
        <f>STDEV(H3432:H3436)</f>
        <v>110.7528126</v>
      </c>
      <c r="M3434" s="70">
        <v>191.053940293282</v>
      </c>
      <c r="N3434" s="70">
        <v>191.053940293282</v>
      </c>
      <c r="O3434" s="70">
        <v>4.39455363697694</v>
      </c>
      <c r="P3434" s="70">
        <v>4.39455363697694</v>
      </c>
    </row>
    <row r="3435" hidden="1">
      <c r="A3435" s="67" t="s">
        <v>4195</v>
      </c>
      <c r="B3435" s="67" t="s">
        <v>17</v>
      </c>
      <c r="C3435" s="68">
        <v>0.1</v>
      </c>
      <c r="D3435" s="68">
        <v>0.75</v>
      </c>
      <c r="E3435" s="68">
        <v>9.0</v>
      </c>
      <c r="F3435" s="68">
        <v>3.0</v>
      </c>
      <c r="G3435" s="68">
        <v>6.27359346229949</v>
      </c>
      <c r="H3435" s="68">
        <v>225.870176736094</v>
      </c>
      <c r="I3435" s="69">
        <v>44307.13175925926</v>
      </c>
      <c r="J3435" s="69">
        <v>44307.13196759259</v>
      </c>
      <c r="K3435">
        <f>AVERAGE(H3432:H3436)</f>
        <v>88.2717209</v>
      </c>
      <c r="L3435">
        <f>STDEV(H3432:H3436)</f>
        <v>110.7528126</v>
      </c>
      <c r="M3435" s="70">
        <v>225.870176736094</v>
      </c>
      <c r="N3435" s="70">
        <v>225.870176736094</v>
      </c>
      <c r="O3435" s="70">
        <v>6.27359346229949</v>
      </c>
      <c r="P3435" s="70">
        <v>6.27359346229949</v>
      </c>
    </row>
    <row r="3436" hidden="1">
      <c r="A3436" s="67" t="s">
        <v>4196</v>
      </c>
      <c r="B3436" s="67" t="s">
        <v>17</v>
      </c>
      <c r="C3436" s="68">
        <v>0.1</v>
      </c>
      <c r="D3436" s="68">
        <v>0.75</v>
      </c>
      <c r="E3436" s="68">
        <v>9.0</v>
      </c>
      <c r="F3436" s="68">
        <v>4.0</v>
      </c>
      <c r="G3436" s="68">
        <v>1.07991001504809</v>
      </c>
      <c r="H3436" s="68">
        <v>1.4504242499467</v>
      </c>
      <c r="I3436" s="69">
        <v>44307.13266203704</v>
      </c>
      <c r="J3436" s="69">
        <v>44307.13284722222</v>
      </c>
      <c r="K3436">
        <f>AVERAGE(H3432:H3436)</f>
        <v>88.2717209</v>
      </c>
      <c r="L3436">
        <f>STDEV(H3432:H3436)</f>
        <v>110.7528126</v>
      </c>
      <c r="M3436" s="70">
        <v>1.4504242499467</v>
      </c>
      <c r="N3436" s="70">
        <v>1.4504242499467</v>
      </c>
      <c r="O3436" s="70">
        <v>1.07991001504809</v>
      </c>
      <c r="P3436" s="70">
        <v>1.07991001504809</v>
      </c>
    </row>
    <row r="3437" hidden="1">
      <c r="A3437" s="67" t="s">
        <v>4197</v>
      </c>
      <c r="B3437" s="67" t="s">
        <v>17</v>
      </c>
      <c r="C3437" s="68">
        <v>0.1</v>
      </c>
      <c r="D3437" s="68">
        <v>1.0</v>
      </c>
      <c r="E3437" s="68">
        <v>9.0</v>
      </c>
      <c r="F3437" s="68">
        <v>0.0</v>
      </c>
      <c r="G3437" s="68">
        <v>3.36359711818162</v>
      </c>
      <c r="H3437" s="68">
        <v>153.107756296672</v>
      </c>
      <c r="I3437" s="69">
        <v>44307.13354166667</v>
      </c>
      <c r="J3437" s="69">
        <v>44307.16899305556</v>
      </c>
      <c r="K3437">
        <f>AVERAGE(H3437:H3441)</f>
        <v>170.8563433</v>
      </c>
      <c r="L3437">
        <f>STDEV(H3437:H3441)</f>
        <v>104.862429</v>
      </c>
      <c r="M3437" s="70">
        <v>153.107756296672</v>
      </c>
      <c r="N3437" s="70">
        <v>153.107756296672</v>
      </c>
      <c r="O3437" s="70">
        <v>3.36359711818162</v>
      </c>
      <c r="P3437" s="70">
        <v>3.36359711818162</v>
      </c>
    </row>
    <row r="3438" hidden="1">
      <c r="A3438" s="67" t="s">
        <v>4198</v>
      </c>
      <c r="B3438" s="67" t="s">
        <v>17</v>
      </c>
      <c r="C3438" s="68">
        <v>0.1</v>
      </c>
      <c r="D3438" s="68">
        <v>1.0</v>
      </c>
      <c r="E3438" s="68">
        <v>9.0</v>
      </c>
      <c r="F3438" s="68">
        <v>1.0</v>
      </c>
      <c r="G3438" s="68">
        <v>1.35190906391209</v>
      </c>
      <c r="H3438" s="68">
        <v>69.5031136419062</v>
      </c>
      <c r="I3438" s="69">
        <v>44307.1696875</v>
      </c>
      <c r="J3438" s="69">
        <v>44307.17223379629</v>
      </c>
      <c r="K3438">
        <f>AVERAGE(H3437:H3441)</f>
        <v>170.8563433</v>
      </c>
      <c r="L3438">
        <f>STDEV(H3437:H3441)</f>
        <v>104.862429</v>
      </c>
      <c r="M3438" s="70">
        <v>69.5031136419062</v>
      </c>
      <c r="N3438" s="70">
        <v>69.5031136419062</v>
      </c>
      <c r="O3438" s="70">
        <v>1.35190906391209</v>
      </c>
      <c r="P3438" s="70">
        <v>1.35190906391209</v>
      </c>
    </row>
    <row r="3439" hidden="1">
      <c r="A3439" s="67" t="s">
        <v>4199</v>
      </c>
      <c r="B3439" s="67" t="s">
        <v>17</v>
      </c>
      <c r="C3439" s="68">
        <v>0.1</v>
      </c>
      <c r="D3439" s="68">
        <v>1.0</v>
      </c>
      <c r="E3439" s="68">
        <v>9.0</v>
      </c>
      <c r="F3439" s="68">
        <v>2.0</v>
      </c>
      <c r="G3439" s="68">
        <v>7.40681908391703</v>
      </c>
      <c r="H3439" s="68">
        <v>272.137763705172</v>
      </c>
      <c r="I3439" s="69">
        <v>44307.17292824074</v>
      </c>
      <c r="J3439" s="69">
        <v>44307.173483796294</v>
      </c>
      <c r="K3439">
        <f>AVERAGE(H3437:H3441)</f>
        <v>170.8563433</v>
      </c>
      <c r="L3439">
        <f>STDEV(H3437:H3441)</f>
        <v>104.862429</v>
      </c>
      <c r="M3439" s="70">
        <v>272.137763705172</v>
      </c>
      <c r="N3439" s="70">
        <v>272.137763705172</v>
      </c>
      <c r="O3439" s="70">
        <v>7.40681908391703</v>
      </c>
      <c r="P3439" s="70">
        <v>7.40681908391703</v>
      </c>
    </row>
    <row r="3440" hidden="1">
      <c r="A3440" s="67" t="s">
        <v>4200</v>
      </c>
      <c r="B3440" s="67" t="s">
        <v>17</v>
      </c>
      <c r="C3440" s="68">
        <v>0.1</v>
      </c>
      <c r="D3440" s="68">
        <v>1.0</v>
      </c>
      <c r="E3440" s="68">
        <v>9.0</v>
      </c>
      <c r="F3440" s="68">
        <v>3.0</v>
      </c>
      <c r="G3440" s="68">
        <v>1.85199536641726</v>
      </c>
      <c r="H3440" s="68">
        <v>72.5743839831497</v>
      </c>
      <c r="I3440" s="69">
        <v>44307.17417824074</v>
      </c>
      <c r="J3440" s="69">
        <v>44307.19159722222</v>
      </c>
      <c r="K3440">
        <f>AVERAGE(H3437:H3441)</f>
        <v>170.8563433</v>
      </c>
      <c r="L3440">
        <f>STDEV(H3437:H3441)</f>
        <v>104.862429</v>
      </c>
      <c r="M3440" s="70">
        <v>72.5743839831497</v>
      </c>
      <c r="N3440" s="70">
        <v>72.5743839831497</v>
      </c>
      <c r="O3440" s="70">
        <v>1.85199536641726</v>
      </c>
      <c r="P3440" s="70">
        <v>1.85199536641726</v>
      </c>
    </row>
    <row r="3441" hidden="1">
      <c r="A3441" s="67" t="s">
        <v>4201</v>
      </c>
      <c r="B3441" s="67" t="s">
        <v>17</v>
      </c>
      <c r="C3441" s="68">
        <v>0.1</v>
      </c>
      <c r="D3441" s="68">
        <v>1.0</v>
      </c>
      <c r="E3441" s="68">
        <v>9.0</v>
      </c>
      <c r="F3441" s="68">
        <v>4.0</v>
      </c>
      <c r="G3441" s="68">
        <v>8.15108181642804</v>
      </c>
      <c r="H3441" s="68">
        <v>286.958698744944</v>
      </c>
      <c r="I3441" s="69">
        <v>44307.192291666666</v>
      </c>
      <c r="J3441" s="69">
        <v>44307.194918981484</v>
      </c>
      <c r="K3441">
        <f>AVERAGE(H3437:H3441)</f>
        <v>170.8563433</v>
      </c>
      <c r="L3441">
        <f>STDEV(H3437:H3441)</f>
        <v>104.862429</v>
      </c>
      <c r="M3441" s="70">
        <v>286.958698744944</v>
      </c>
      <c r="N3441" s="70">
        <v>286.958698744944</v>
      </c>
      <c r="O3441" s="70">
        <v>8.15108181642804</v>
      </c>
      <c r="P3441" s="70">
        <v>8.15108181642804</v>
      </c>
    </row>
    <row r="3442" hidden="1">
      <c r="A3442" s="67" t="s">
        <v>4202</v>
      </c>
      <c r="B3442" s="67" t="s">
        <v>17</v>
      </c>
      <c r="C3442" s="68">
        <v>0.25</v>
      </c>
      <c r="D3442" s="68">
        <v>0.1</v>
      </c>
      <c r="E3442" s="68">
        <v>9.0</v>
      </c>
      <c r="F3442" s="68">
        <v>0.0</v>
      </c>
      <c r="G3442" s="68">
        <v>1.35284661006112</v>
      </c>
      <c r="H3442" s="68">
        <v>69.5368034183238</v>
      </c>
      <c r="I3442" s="69">
        <v>44307.19561342592</v>
      </c>
      <c r="J3442" s="69">
        <v>44307.19836805556</v>
      </c>
      <c r="K3442">
        <f>AVERAGE(H3442:H3446)</f>
        <v>60.46348014</v>
      </c>
      <c r="L3442">
        <f>STDEV(H3442:H3446)</f>
        <v>76.91702322</v>
      </c>
      <c r="M3442" s="70">
        <v>69.5368034183238</v>
      </c>
      <c r="N3442" s="70">
        <v>69.5368034183238</v>
      </c>
      <c r="O3442" s="70">
        <v>1.35284661006112</v>
      </c>
      <c r="P3442" s="70">
        <v>1.35284661006112</v>
      </c>
    </row>
    <row r="3443" hidden="1">
      <c r="A3443" s="67" t="s">
        <v>4203</v>
      </c>
      <c r="B3443" s="67" t="s">
        <v>17</v>
      </c>
      <c r="C3443" s="68">
        <v>0.25</v>
      </c>
      <c r="D3443" s="68">
        <v>0.1</v>
      </c>
      <c r="E3443" s="68">
        <v>9.0</v>
      </c>
      <c r="F3443" s="68">
        <v>1.0</v>
      </c>
      <c r="G3443" s="68">
        <v>1.67985907709248</v>
      </c>
      <c r="H3443" s="68">
        <v>27.8202720016332</v>
      </c>
      <c r="I3443" s="69">
        <v>44307.1990625</v>
      </c>
      <c r="J3443" s="69">
        <v>44307.200150462966</v>
      </c>
      <c r="K3443">
        <f>AVERAGE(H3442:H3446)</f>
        <v>60.46348014</v>
      </c>
      <c r="L3443">
        <f>STDEV(H3442:H3446)</f>
        <v>76.91702322</v>
      </c>
      <c r="M3443" s="70">
        <v>27.8202720016332</v>
      </c>
      <c r="N3443" s="70">
        <v>27.8202720016332</v>
      </c>
      <c r="O3443" s="70">
        <v>1.67985907709248</v>
      </c>
      <c r="P3443" s="70">
        <v>1.67985907709248</v>
      </c>
    </row>
    <row r="3444" hidden="1">
      <c r="A3444" s="67" t="s">
        <v>4204</v>
      </c>
      <c r="B3444" s="67" t="s">
        <v>17</v>
      </c>
      <c r="C3444" s="68">
        <v>0.25</v>
      </c>
      <c r="D3444" s="68">
        <v>0.1</v>
      </c>
      <c r="E3444" s="68">
        <v>9.0</v>
      </c>
      <c r="F3444" s="68">
        <v>2.0</v>
      </c>
      <c r="G3444" s="68">
        <v>0.985277115507751</v>
      </c>
      <c r="H3444" s="68">
        <v>14.2136494052417</v>
      </c>
      <c r="I3444" s="69">
        <v>44307.200844907406</v>
      </c>
      <c r="J3444" s="69">
        <v>44307.201053240744</v>
      </c>
      <c r="K3444">
        <f>AVERAGE(H3442:H3446)</f>
        <v>60.46348014</v>
      </c>
      <c r="L3444">
        <f>STDEV(H3442:H3446)</f>
        <v>76.91702322</v>
      </c>
      <c r="M3444" s="70">
        <v>14.2136494052417</v>
      </c>
      <c r="N3444" s="70">
        <v>14.2136494052417</v>
      </c>
      <c r="O3444" s="70">
        <v>0.985277115507751</v>
      </c>
      <c r="P3444" s="70">
        <v>0.985277115507751</v>
      </c>
    </row>
    <row r="3445" hidden="1">
      <c r="A3445" s="67" t="s">
        <v>4205</v>
      </c>
      <c r="B3445" s="67" t="s">
        <v>17</v>
      </c>
      <c r="C3445" s="68">
        <v>0.25</v>
      </c>
      <c r="D3445" s="68">
        <v>0.1</v>
      </c>
      <c r="E3445" s="68">
        <v>9.0</v>
      </c>
      <c r="F3445" s="68">
        <v>3.0</v>
      </c>
      <c r="G3445" s="68">
        <v>4.43422089595627</v>
      </c>
      <c r="H3445" s="68">
        <v>190.084917021658</v>
      </c>
      <c r="I3445" s="69">
        <v>44307.20174768518</v>
      </c>
      <c r="J3445" s="69">
        <v>44307.30824074074</v>
      </c>
      <c r="K3445">
        <f>AVERAGE(H3442:H3446)</f>
        <v>60.46348014</v>
      </c>
      <c r="L3445">
        <f>STDEV(H3442:H3446)</f>
        <v>76.91702322</v>
      </c>
      <c r="M3445" s="70">
        <v>190.084917021658</v>
      </c>
      <c r="N3445" s="70">
        <v>190.084917021658</v>
      </c>
      <c r="O3445" s="70">
        <v>4.43422089595627</v>
      </c>
      <c r="P3445" s="70">
        <v>4.43422089595627</v>
      </c>
    </row>
    <row r="3446" hidden="1">
      <c r="A3446" s="67" t="s">
        <v>4206</v>
      </c>
      <c r="B3446" s="67" t="s">
        <v>17</v>
      </c>
      <c r="C3446" s="68">
        <v>0.25</v>
      </c>
      <c r="D3446" s="68">
        <v>0.1</v>
      </c>
      <c r="E3446" s="68">
        <v>9.0</v>
      </c>
      <c r="F3446" s="68">
        <v>4.0</v>
      </c>
      <c r="G3446" s="68">
        <v>0.539887590647691</v>
      </c>
      <c r="H3446" s="68">
        <v>0.661758864954971</v>
      </c>
      <c r="I3446" s="69">
        <v>44307.30893518519</v>
      </c>
      <c r="J3446" s="69">
        <v>44307.31024305556</v>
      </c>
      <c r="K3446">
        <f>AVERAGE(H3442:H3446)</f>
        <v>60.46348014</v>
      </c>
      <c r="L3446">
        <f>STDEV(H3442:H3446)</f>
        <v>76.91702322</v>
      </c>
      <c r="M3446" s="70">
        <v>0.661758864954971</v>
      </c>
      <c r="N3446" s="70">
        <v>0.661758864954971</v>
      </c>
      <c r="O3446" s="70">
        <v>0.539887590647691</v>
      </c>
      <c r="P3446" s="70">
        <v>0.539887590647691</v>
      </c>
    </row>
    <row r="3447" hidden="1">
      <c r="A3447" s="67" t="s">
        <v>4207</v>
      </c>
      <c r="B3447" s="67" t="s">
        <v>17</v>
      </c>
      <c r="C3447" s="68">
        <v>0.25</v>
      </c>
      <c r="D3447" s="68">
        <v>0.25</v>
      </c>
      <c r="E3447" s="68">
        <v>9.0</v>
      </c>
      <c r="F3447" s="68">
        <v>0.0</v>
      </c>
      <c r="G3447" s="68">
        <v>1.00694258175535</v>
      </c>
      <c r="H3447" s="68">
        <v>16.4470940119593</v>
      </c>
      <c r="I3447" s="69">
        <v>44307.3109375</v>
      </c>
      <c r="J3447" s="69">
        <v>44307.314884259256</v>
      </c>
      <c r="K3447">
        <f>AVERAGE(H3447:H3451)</f>
        <v>130.8175757</v>
      </c>
      <c r="L3447">
        <f>STDEV(H3447:H3451)</f>
        <v>120.7894142</v>
      </c>
      <c r="M3447" s="70">
        <v>16.4470940119593</v>
      </c>
      <c r="N3447" s="70">
        <v>16.4470940119593</v>
      </c>
      <c r="O3447" s="70">
        <v>1.00694258175535</v>
      </c>
      <c r="P3447" s="70">
        <v>1.00694258175535</v>
      </c>
    </row>
    <row r="3448" hidden="1">
      <c r="A3448" s="67" t="s">
        <v>4208</v>
      </c>
      <c r="B3448" s="67" t="s">
        <v>17</v>
      </c>
      <c r="C3448" s="68">
        <v>0.25</v>
      </c>
      <c r="D3448" s="68">
        <v>0.25</v>
      </c>
      <c r="E3448" s="68">
        <v>9.0</v>
      </c>
      <c r="F3448" s="68">
        <v>1.0</v>
      </c>
      <c r="G3448" s="68">
        <v>2.64397974277779</v>
      </c>
      <c r="H3448" s="68">
        <v>4.14308284676004</v>
      </c>
      <c r="I3448" s="69">
        <v>44307.3155787037</v>
      </c>
      <c r="J3448" s="69">
        <v>44307.31574074074</v>
      </c>
      <c r="K3448">
        <f>AVERAGE(H3447:H3451)</f>
        <v>130.8175757</v>
      </c>
      <c r="L3448">
        <f>STDEV(H3447:H3451)</f>
        <v>120.7894142</v>
      </c>
      <c r="M3448" s="70">
        <v>4.14308284676004</v>
      </c>
      <c r="N3448" s="70">
        <v>4.14308284676004</v>
      </c>
      <c r="O3448" s="70">
        <v>2.64397974277779</v>
      </c>
      <c r="P3448" s="70">
        <v>2.64397974277779</v>
      </c>
    </row>
    <row r="3449" hidden="1">
      <c r="A3449" s="67" t="s">
        <v>4209</v>
      </c>
      <c r="B3449" s="67" t="s">
        <v>17</v>
      </c>
      <c r="C3449" s="68">
        <v>0.25</v>
      </c>
      <c r="D3449" s="68">
        <v>0.25</v>
      </c>
      <c r="E3449" s="68">
        <v>9.0</v>
      </c>
      <c r="F3449" s="68">
        <v>2.0</v>
      </c>
      <c r="G3449" s="68">
        <v>2.96544576968386</v>
      </c>
      <c r="H3449" s="68">
        <v>144.047465641964</v>
      </c>
      <c r="I3449" s="69">
        <v>44307.31643518519</v>
      </c>
      <c r="J3449" s="69">
        <v>44307.41609953704</v>
      </c>
      <c r="K3449">
        <f>AVERAGE(H3447:H3451)</f>
        <v>130.8175757</v>
      </c>
      <c r="L3449">
        <f>STDEV(H3447:H3451)</f>
        <v>120.7894142</v>
      </c>
      <c r="M3449" s="70">
        <v>144.047465641964</v>
      </c>
      <c r="N3449" s="70">
        <v>144.047465641964</v>
      </c>
      <c r="O3449" s="70">
        <v>2.96544576968386</v>
      </c>
      <c r="P3449" s="70">
        <v>2.96544576968386</v>
      </c>
    </row>
    <row r="3450" hidden="1">
      <c r="A3450" s="67" t="s">
        <v>4210</v>
      </c>
      <c r="B3450" s="67" t="s">
        <v>17</v>
      </c>
      <c r="C3450" s="68">
        <v>0.25</v>
      </c>
      <c r="D3450" s="68">
        <v>0.25</v>
      </c>
      <c r="E3450" s="68">
        <v>9.0</v>
      </c>
      <c r="F3450" s="68">
        <v>3.0</v>
      </c>
      <c r="G3450" s="68">
        <v>5.93684755501035</v>
      </c>
      <c r="H3450" s="68">
        <v>205.301712579425</v>
      </c>
      <c r="I3450" s="69">
        <v>44307.41679398148</v>
      </c>
      <c r="J3450" s="69">
        <v>44307.417037037034</v>
      </c>
      <c r="K3450">
        <f>AVERAGE(H3447:H3451)</f>
        <v>130.8175757</v>
      </c>
      <c r="L3450">
        <f>STDEV(H3447:H3451)</f>
        <v>120.7894142</v>
      </c>
      <c r="M3450" s="70">
        <v>205.301712579425</v>
      </c>
      <c r="N3450" s="70">
        <v>205.301712579425</v>
      </c>
      <c r="O3450" s="70">
        <v>5.93684755501035</v>
      </c>
      <c r="P3450" s="70">
        <v>5.93684755501035</v>
      </c>
    </row>
    <row r="3451" hidden="1">
      <c r="A3451" s="67" t="s">
        <v>4211</v>
      </c>
      <c r="B3451" s="67" t="s">
        <v>17</v>
      </c>
      <c r="C3451" s="68">
        <v>0.25</v>
      </c>
      <c r="D3451" s="68">
        <v>0.25</v>
      </c>
      <c r="E3451" s="68">
        <v>9.0</v>
      </c>
      <c r="F3451" s="68">
        <v>4.0</v>
      </c>
      <c r="G3451" s="68">
        <v>8.86895333105809</v>
      </c>
      <c r="H3451" s="68">
        <v>284.148523348506</v>
      </c>
      <c r="I3451" s="69">
        <v>44307.41773148148</v>
      </c>
      <c r="J3451" s="69">
        <v>44307.41962962963</v>
      </c>
      <c r="K3451">
        <f>AVERAGE(H3447:H3451)</f>
        <v>130.8175757</v>
      </c>
      <c r="L3451">
        <f>STDEV(H3447:H3451)</f>
        <v>120.7894142</v>
      </c>
      <c r="M3451" s="70">
        <v>284.148523348506</v>
      </c>
      <c r="N3451" s="70">
        <v>284.148523348506</v>
      </c>
      <c r="O3451" s="70">
        <v>8.86895333105809</v>
      </c>
      <c r="P3451" s="70">
        <v>8.86895333105809</v>
      </c>
    </row>
    <row r="3452" hidden="1">
      <c r="A3452" s="67" t="s">
        <v>4212</v>
      </c>
      <c r="B3452" s="67" t="s">
        <v>17</v>
      </c>
      <c r="C3452" s="68">
        <v>0.25</v>
      </c>
      <c r="D3452" s="68">
        <v>0.5</v>
      </c>
      <c r="E3452" s="68">
        <v>9.0</v>
      </c>
      <c r="F3452" s="68">
        <v>0.0</v>
      </c>
      <c r="G3452" s="68">
        <v>0.530559197474096</v>
      </c>
      <c r="H3452" s="68">
        <v>0.648375792359316</v>
      </c>
      <c r="I3452" s="69">
        <v>44295.90461805555</v>
      </c>
      <c r="J3452" s="69">
        <v>44295.906122685185</v>
      </c>
      <c r="K3452">
        <f>AVERAGE(H3452:H3456)</f>
        <v>125.9464012</v>
      </c>
      <c r="L3452">
        <f>STDEV(H3452:H3456)</f>
        <v>125.1051491</v>
      </c>
      <c r="M3452" s="70">
        <v>0.648375792359316</v>
      </c>
      <c r="N3452" s="70">
        <v>0.648375792359316</v>
      </c>
      <c r="O3452" s="70">
        <v>0.530559197474096</v>
      </c>
      <c r="P3452" s="70">
        <v>0.530559197474096</v>
      </c>
    </row>
    <row r="3453" hidden="1">
      <c r="A3453" s="67" t="s">
        <v>4213</v>
      </c>
      <c r="B3453" s="67" t="s">
        <v>17</v>
      </c>
      <c r="C3453" s="68">
        <v>0.25</v>
      </c>
      <c r="D3453" s="68">
        <v>0.5</v>
      </c>
      <c r="E3453" s="68">
        <v>9.0</v>
      </c>
      <c r="F3453" s="68">
        <v>1.0</v>
      </c>
      <c r="G3453" s="68">
        <v>8.95869894401536</v>
      </c>
      <c r="H3453" s="68">
        <v>282.864971345907</v>
      </c>
      <c r="I3453" s="69">
        <v>44295.90681712963</v>
      </c>
      <c r="J3453" s="69">
        <v>44295.90917824074</v>
      </c>
      <c r="K3453">
        <f>AVERAGE(H3452:H3456)</f>
        <v>125.9464012</v>
      </c>
      <c r="L3453">
        <f>STDEV(H3452:H3456)</f>
        <v>125.1051491</v>
      </c>
      <c r="M3453" s="70">
        <v>282.864971345907</v>
      </c>
      <c r="N3453" s="70">
        <v>282.864971345907</v>
      </c>
      <c r="O3453" s="70">
        <v>8.95869894401536</v>
      </c>
      <c r="P3453" s="70">
        <v>8.95869894401536</v>
      </c>
    </row>
    <row r="3454" hidden="1">
      <c r="A3454" s="67" t="s">
        <v>4214</v>
      </c>
      <c r="B3454" s="67" t="s">
        <v>17</v>
      </c>
      <c r="C3454" s="68">
        <v>0.25</v>
      </c>
      <c r="D3454" s="68">
        <v>0.5</v>
      </c>
      <c r="E3454" s="68">
        <v>9.0</v>
      </c>
      <c r="F3454" s="68">
        <v>2.0</v>
      </c>
      <c r="G3454" s="68">
        <v>0.467489314643222</v>
      </c>
      <c r="H3454" s="68">
        <v>0.559611722484267</v>
      </c>
      <c r="I3454" s="69">
        <v>44295.90987268519</v>
      </c>
      <c r="J3454" s="69">
        <v>44295.91027777778</v>
      </c>
      <c r="K3454">
        <f>AVERAGE(H3452:H3456)</f>
        <v>125.9464012</v>
      </c>
      <c r="L3454">
        <f>STDEV(H3452:H3456)</f>
        <v>125.1051491</v>
      </c>
      <c r="M3454" s="70">
        <v>0.559611722484267</v>
      </c>
      <c r="N3454" s="70">
        <v>0.559611722484267</v>
      </c>
      <c r="O3454" s="70">
        <v>0.467489314643222</v>
      </c>
      <c r="P3454" s="70">
        <v>0.467489314643222</v>
      </c>
    </row>
    <row r="3455" hidden="1">
      <c r="A3455" s="67" t="s">
        <v>4215</v>
      </c>
      <c r="B3455" s="67" t="s">
        <v>17</v>
      </c>
      <c r="C3455" s="68">
        <v>0.25</v>
      </c>
      <c r="D3455" s="68">
        <v>0.5</v>
      </c>
      <c r="E3455" s="68">
        <v>9.0</v>
      </c>
      <c r="F3455" s="68">
        <v>3.0</v>
      </c>
      <c r="G3455" s="68">
        <v>3.02418481486854</v>
      </c>
      <c r="H3455" s="68">
        <v>139.933785072696</v>
      </c>
      <c r="I3455" s="69">
        <v>44295.91097222222</v>
      </c>
      <c r="J3455" s="69">
        <v>44296.10057870371</v>
      </c>
      <c r="K3455">
        <f>AVERAGE(H3452:H3456)</f>
        <v>125.9464012</v>
      </c>
      <c r="L3455">
        <f>STDEV(H3452:H3456)</f>
        <v>125.1051491</v>
      </c>
      <c r="M3455" s="70">
        <v>139.933785072696</v>
      </c>
      <c r="N3455" s="70">
        <v>139.933785072696</v>
      </c>
      <c r="O3455" s="70">
        <v>3.02418481486854</v>
      </c>
      <c r="P3455" s="70">
        <v>3.02418481486854</v>
      </c>
    </row>
    <row r="3456" hidden="1">
      <c r="A3456" s="67" t="s">
        <v>4216</v>
      </c>
      <c r="B3456" s="67" t="s">
        <v>17</v>
      </c>
      <c r="C3456" s="68">
        <v>0.25</v>
      </c>
      <c r="D3456" s="68">
        <v>0.5</v>
      </c>
      <c r="E3456" s="68">
        <v>9.0</v>
      </c>
      <c r="F3456" s="68">
        <v>4.0</v>
      </c>
      <c r="G3456" s="68">
        <v>7.1336285774308</v>
      </c>
      <c r="H3456" s="68">
        <v>205.725261965276</v>
      </c>
      <c r="I3456" s="69">
        <v>44296.101273148146</v>
      </c>
      <c r="J3456" s="69">
        <v>44296.10136574074</v>
      </c>
      <c r="K3456">
        <f>AVERAGE(H3452:H3456)</f>
        <v>125.9464012</v>
      </c>
      <c r="L3456">
        <f>STDEV(H3452:H3456)</f>
        <v>125.1051491</v>
      </c>
      <c r="M3456" s="70">
        <v>205.725261965276</v>
      </c>
      <c r="N3456" s="70">
        <v>205.725261965276</v>
      </c>
      <c r="O3456" s="70">
        <v>7.1336285774308</v>
      </c>
      <c r="P3456" s="70">
        <v>7.1336285774308</v>
      </c>
    </row>
    <row r="3457" hidden="1">
      <c r="A3457" s="67" t="s">
        <v>4217</v>
      </c>
      <c r="B3457" s="67" t="s">
        <v>17</v>
      </c>
      <c r="C3457" s="68">
        <v>0.25</v>
      </c>
      <c r="D3457" s="68">
        <v>0.75</v>
      </c>
      <c r="E3457" s="68">
        <v>9.0</v>
      </c>
      <c r="F3457" s="68">
        <v>0.0</v>
      </c>
      <c r="G3457" s="68">
        <v>1.81154191891089</v>
      </c>
      <c r="H3457" s="68">
        <v>31.1478706746781</v>
      </c>
      <c r="I3457" s="69">
        <v>44307.420324074075</v>
      </c>
      <c r="J3457" s="69">
        <v>44307.42105324074</v>
      </c>
      <c r="K3457">
        <f>AVERAGE(H3457:H3461)</f>
        <v>130.0272708</v>
      </c>
      <c r="L3457">
        <f>STDEV(H3457:H3461)</f>
        <v>64.27908381</v>
      </c>
      <c r="M3457" s="70">
        <v>31.1478706746781</v>
      </c>
      <c r="N3457" s="70">
        <v>31.1478706746781</v>
      </c>
      <c r="O3457" s="70">
        <v>1.81154191891089</v>
      </c>
      <c r="P3457" s="70">
        <v>1.81154191891089</v>
      </c>
    </row>
    <row r="3458" hidden="1">
      <c r="A3458" s="67" t="s">
        <v>4218</v>
      </c>
      <c r="B3458" s="67" t="s">
        <v>17</v>
      </c>
      <c r="C3458" s="68">
        <v>0.25</v>
      </c>
      <c r="D3458" s="68">
        <v>0.75</v>
      </c>
      <c r="E3458" s="68">
        <v>9.0</v>
      </c>
      <c r="F3458" s="68">
        <v>1.0</v>
      </c>
      <c r="G3458" s="68">
        <v>2.50116697534713</v>
      </c>
      <c r="H3458" s="68">
        <v>132.458666467733</v>
      </c>
      <c r="I3458" s="69">
        <v>44307.421747685185</v>
      </c>
      <c r="J3458" s="69">
        <v>44307.42221064815</v>
      </c>
      <c r="K3458">
        <f>AVERAGE(H3457:H3461)</f>
        <v>130.0272708</v>
      </c>
      <c r="L3458">
        <f>STDEV(H3457:H3461)</f>
        <v>64.27908381</v>
      </c>
      <c r="M3458" s="70">
        <v>132.458666467733</v>
      </c>
      <c r="N3458" s="70">
        <v>132.458666467733</v>
      </c>
      <c r="O3458" s="70">
        <v>2.50116697534713</v>
      </c>
      <c r="P3458" s="70">
        <v>2.50116697534713</v>
      </c>
    </row>
    <row r="3459" hidden="1">
      <c r="A3459" s="67" t="s">
        <v>4219</v>
      </c>
      <c r="B3459" s="67" t="s">
        <v>17</v>
      </c>
      <c r="C3459" s="68">
        <v>0.25</v>
      </c>
      <c r="D3459" s="68">
        <v>0.75</v>
      </c>
      <c r="E3459" s="68">
        <v>9.0</v>
      </c>
      <c r="F3459" s="68">
        <v>2.0</v>
      </c>
      <c r="G3459" s="68">
        <v>2.25434680192361</v>
      </c>
      <c r="H3459" s="68">
        <v>117.677363558011</v>
      </c>
      <c r="I3459" s="69">
        <v>44307.42290509259</v>
      </c>
      <c r="J3459" s="69">
        <v>44307.44194444444</v>
      </c>
      <c r="K3459">
        <f>AVERAGE(H3457:H3461)</f>
        <v>130.0272708</v>
      </c>
      <c r="L3459">
        <f>STDEV(H3457:H3461)</f>
        <v>64.27908381</v>
      </c>
      <c r="M3459" s="70">
        <v>117.677363558011</v>
      </c>
      <c r="N3459" s="70">
        <v>117.677363558011</v>
      </c>
      <c r="O3459" s="70">
        <v>2.25434680192361</v>
      </c>
      <c r="P3459" s="70">
        <v>2.25434680192361</v>
      </c>
    </row>
    <row r="3460" hidden="1">
      <c r="A3460" s="67" t="s">
        <v>4220</v>
      </c>
      <c r="B3460" s="67" t="s">
        <v>17</v>
      </c>
      <c r="C3460" s="68">
        <v>0.25</v>
      </c>
      <c r="D3460" s="68">
        <v>0.75</v>
      </c>
      <c r="E3460" s="68">
        <v>9.0</v>
      </c>
      <c r="F3460" s="68">
        <v>3.0</v>
      </c>
      <c r="G3460" s="68">
        <v>3.65570925991673</v>
      </c>
      <c r="H3460" s="68">
        <v>166.080355061441</v>
      </c>
      <c r="I3460" s="69">
        <v>44307.44263888889</v>
      </c>
      <c r="J3460" s="69">
        <v>44307.52903935185</v>
      </c>
      <c r="K3460">
        <f>AVERAGE(H3457:H3461)</f>
        <v>130.0272708</v>
      </c>
      <c r="L3460">
        <f>STDEV(H3457:H3461)</f>
        <v>64.27908381</v>
      </c>
      <c r="M3460" s="70">
        <v>166.080355061441</v>
      </c>
      <c r="N3460" s="70">
        <v>166.080355061441</v>
      </c>
      <c r="O3460" s="70">
        <v>3.65570925991673</v>
      </c>
      <c r="P3460" s="70">
        <v>3.65570925991673</v>
      </c>
    </row>
    <row r="3461" hidden="1">
      <c r="A3461" s="67" t="s">
        <v>4221</v>
      </c>
      <c r="B3461" s="67" t="s">
        <v>17</v>
      </c>
      <c r="C3461" s="68">
        <v>0.25</v>
      </c>
      <c r="D3461" s="68">
        <v>0.75</v>
      </c>
      <c r="E3461" s="68">
        <v>9.0</v>
      </c>
      <c r="F3461" s="68">
        <v>4.0</v>
      </c>
      <c r="G3461" s="68">
        <v>6.29453376354599</v>
      </c>
      <c r="H3461" s="68">
        <v>202.772098212847</v>
      </c>
      <c r="I3461" s="69">
        <v>44307.5297337963</v>
      </c>
      <c r="J3461" s="69">
        <v>44307.529861111114</v>
      </c>
      <c r="K3461">
        <f>AVERAGE(H3457:H3461)</f>
        <v>130.0272708</v>
      </c>
      <c r="L3461">
        <f>STDEV(H3457:H3461)</f>
        <v>64.27908381</v>
      </c>
      <c r="M3461" s="70">
        <v>202.772098212847</v>
      </c>
      <c r="N3461" s="70">
        <v>202.772098212847</v>
      </c>
      <c r="O3461" s="70">
        <v>6.29453376354599</v>
      </c>
      <c r="P3461" s="70">
        <v>6.29453376354599</v>
      </c>
    </row>
    <row r="3462" hidden="1">
      <c r="A3462" s="67" t="s">
        <v>4222</v>
      </c>
      <c r="B3462" s="67" t="s">
        <v>17</v>
      </c>
      <c r="C3462" s="68">
        <v>0.25</v>
      </c>
      <c r="D3462" s="68">
        <v>1.0</v>
      </c>
      <c r="E3462" s="68">
        <v>9.0</v>
      </c>
      <c r="F3462" s="68">
        <v>0.0</v>
      </c>
      <c r="G3462" s="68">
        <v>2.88767408349173</v>
      </c>
      <c r="H3462" s="68">
        <v>140.400218508907</v>
      </c>
      <c r="I3462" s="69">
        <v>44307.53055555555</v>
      </c>
      <c r="J3462" s="69">
        <v>44307.62844907407</v>
      </c>
      <c r="K3462">
        <f>AVERAGE(H3462:H3466)</f>
        <v>105.4033898</v>
      </c>
      <c r="L3462">
        <f>STDEV(H3462:H3466)</f>
        <v>85.78909907</v>
      </c>
      <c r="M3462" s="70">
        <v>140.400218508907</v>
      </c>
      <c r="N3462" s="70">
        <v>140.400218508907</v>
      </c>
      <c r="O3462" s="70">
        <v>2.88767408349173</v>
      </c>
      <c r="P3462" s="70">
        <v>2.88767408349173</v>
      </c>
    </row>
    <row r="3463" hidden="1">
      <c r="A3463" s="67" t="s">
        <v>4223</v>
      </c>
      <c r="B3463" s="67" t="s">
        <v>17</v>
      </c>
      <c r="C3463" s="68">
        <v>0.25</v>
      </c>
      <c r="D3463" s="68">
        <v>1.0</v>
      </c>
      <c r="E3463" s="68">
        <v>9.0</v>
      </c>
      <c r="F3463" s="68">
        <v>1.0</v>
      </c>
      <c r="G3463" s="68">
        <v>5.01967885236533</v>
      </c>
      <c r="H3463" s="68">
        <v>206.209493811965</v>
      </c>
      <c r="I3463" s="69">
        <v>44307.62914351852</v>
      </c>
      <c r="J3463" s="69">
        <v>44307.633125</v>
      </c>
      <c r="K3463">
        <f>AVERAGE(H3462:H3466)</f>
        <v>105.4033898</v>
      </c>
      <c r="L3463">
        <f>STDEV(H3462:H3466)</f>
        <v>85.78909907</v>
      </c>
      <c r="M3463" s="70">
        <v>206.209493811965</v>
      </c>
      <c r="N3463" s="70">
        <v>206.209493811965</v>
      </c>
      <c r="O3463" s="70">
        <v>5.01967885236533</v>
      </c>
      <c r="P3463" s="70">
        <v>5.01967885236533</v>
      </c>
    </row>
    <row r="3464" hidden="1">
      <c r="A3464" s="67" t="s">
        <v>4224</v>
      </c>
      <c r="B3464" s="67" t="s">
        <v>17</v>
      </c>
      <c r="C3464" s="68">
        <v>0.25</v>
      </c>
      <c r="D3464" s="68">
        <v>1.0</v>
      </c>
      <c r="E3464" s="68">
        <v>9.0</v>
      </c>
      <c r="F3464" s="68">
        <v>2.0</v>
      </c>
      <c r="G3464" s="68">
        <v>4.08381834438568</v>
      </c>
      <c r="H3464" s="68">
        <v>147.393418304364</v>
      </c>
      <c r="I3464" s="69">
        <v>44307.63381944445</v>
      </c>
      <c r="J3464" s="69">
        <v>44307.63421296296</v>
      </c>
      <c r="K3464">
        <f>AVERAGE(H3462:H3466)</f>
        <v>105.4033898</v>
      </c>
      <c r="L3464">
        <f>STDEV(H3462:H3466)</f>
        <v>85.78909907</v>
      </c>
      <c r="M3464" s="70">
        <v>147.393418304364</v>
      </c>
      <c r="N3464" s="70">
        <v>147.393418304364</v>
      </c>
      <c r="O3464" s="70">
        <v>4.08381834438568</v>
      </c>
      <c r="P3464" s="70">
        <v>4.08381834438568</v>
      </c>
    </row>
    <row r="3465" hidden="1">
      <c r="A3465" s="67" t="s">
        <v>4225</v>
      </c>
      <c r="B3465" s="67" t="s">
        <v>17</v>
      </c>
      <c r="C3465" s="68">
        <v>0.25</v>
      </c>
      <c r="D3465" s="68">
        <v>1.0</v>
      </c>
      <c r="E3465" s="68">
        <v>9.0</v>
      </c>
      <c r="F3465" s="68">
        <v>3.0</v>
      </c>
      <c r="G3465" s="68">
        <v>0.71205655889852</v>
      </c>
      <c r="H3465" s="68">
        <v>0.948977832482219</v>
      </c>
      <c r="I3465" s="69">
        <v>44307.63490740741</v>
      </c>
      <c r="J3465" s="69">
        <v>44307.63527777778</v>
      </c>
      <c r="K3465">
        <f>AVERAGE(H3462:H3466)</f>
        <v>105.4033898</v>
      </c>
      <c r="L3465">
        <f>STDEV(H3462:H3466)</f>
        <v>85.78909907</v>
      </c>
      <c r="M3465" s="70">
        <v>0.948977832482219</v>
      </c>
      <c r="N3465" s="70">
        <v>0.948977832482219</v>
      </c>
      <c r="O3465" s="70">
        <v>0.71205655889852</v>
      </c>
      <c r="P3465" s="70">
        <v>0.71205655889852</v>
      </c>
    </row>
    <row r="3466" hidden="1">
      <c r="A3466" s="67" t="s">
        <v>4226</v>
      </c>
      <c r="B3466" s="67" t="s">
        <v>17</v>
      </c>
      <c r="C3466" s="68">
        <v>0.25</v>
      </c>
      <c r="D3466" s="68">
        <v>1.0</v>
      </c>
      <c r="E3466" s="68">
        <v>9.0</v>
      </c>
      <c r="F3466" s="68">
        <v>4.0</v>
      </c>
      <c r="G3466" s="68">
        <v>1.89045546478185</v>
      </c>
      <c r="H3466" s="68">
        <v>32.0648407522195</v>
      </c>
      <c r="I3466" s="69">
        <v>44307.63597222222</v>
      </c>
      <c r="J3466" s="69">
        <v>44307.636458333334</v>
      </c>
      <c r="K3466">
        <f>AVERAGE(H3462:H3466)</f>
        <v>105.4033898</v>
      </c>
      <c r="L3466">
        <f>STDEV(H3462:H3466)</f>
        <v>85.78909907</v>
      </c>
      <c r="M3466" s="70">
        <v>32.0648407522195</v>
      </c>
      <c r="N3466" s="70">
        <v>32.0648407522195</v>
      </c>
      <c r="O3466" s="70">
        <v>1.89045546478185</v>
      </c>
      <c r="P3466" s="70">
        <v>1.89045546478185</v>
      </c>
    </row>
    <row r="3467" hidden="1">
      <c r="A3467" s="67" t="s">
        <v>4227</v>
      </c>
      <c r="B3467" s="67" t="s">
        <v>17</v>
      </c>
      <c r="C3467" s="68">
        <v>0.5</v>
      </c>
      <c r="D3467" s="68">
        <v>0.1</v>
      </c>
      <c r="E3467" s="68">
        <v>9.0</v>
      </c>
      <c r="F3467" s="68">
        <v>0.0</v>
      </c>
      <c r="G3467" s="68">
        <v>4.73562809541708</v>
      </c>
      <c r="H3467" s="68">
        <v>197.23174933173</v>
      </c>
      <c r="I3467" s="69">
        <v>44307.63715277778</v>
      </c>
      <c r="J3467" s="69">
        <v>44307.644791666666</v>
      </c>
      <c r="K3467">
        <f>AVERAGE(H3467:H3471)</f>
        <v>150.370525</v>
      </c>
      <c r="L3467">
        <f>STDEV(H3467:H3471)</f>
        <v>106.1538165</v>
      </c>
      <c r="M3467" s="70">
        <v>197.23174933173</v>
      </c>
      <c r="N3467" s="70">
        <v>197.23174933173</v>
      </c>
      <c r="O3467" s="70">
        <v>4.73562809541708</v>
      </c>
      <c r="P3467" s="70">
        <v>4.73562809541708</v>
      </c>
    </row>
    <row r="3468" hidden="1">
      <c r="A3468" s="67" t="s">
        <v>4228</v>
      </c>
      <c r="B3468" s="67" t="s">
        <v>17</v>
      </c>
      <c r="C3468" s="68">
        <v>0.5</v>
      </c>
      <c r="D3468" s="68">
        <v>0.1</v>
      </c>
      <c r="E3468" s="68">
        <v>9.0</v>
      </c>
      <c r="F3468" s="68">
        <v>1.0</v>
      </c>
      <c r="G3468" s="68">
        <v>0.534745530938799</v>
      </c>
      <c r="H3468" s="68">
        <v>0.637503519145088</v>
      </c>
      <c r="I3468" s="69">
        <v>44307.64548611111</v>
      </c>
      <c r="J3468" s="69">
        <v>44307.64699074074</v>
      </c>
      <c r="K3468">
        <f>AVERAGE(H3467:H3471)</f>
        <v>150.370525</v>
      </c>
      <c r="L3468">
        <f>STDEV(H3467:H3471)</f>
        <v>106.1538165</v>
      </c>
      <c r="M3468" s="70">
        <v>0.637503519145088</v>
      </c>
      <c r="N3468" s="70">
        <v>0.637503519145088</v>
      </c>
      <c r="O3468" s="70">
        <v>0.534745530938799</v>
      </c>
      <c r="P3468" s="70">
        <v>0.534745530938799</v>
      </c>
    </row>
    <row r="3469" hidden="1">
      <c r="A3469" s="67" t="s">
        <v>4229</v>
      </c>
      <c r="B3469" s="67" t="s">
        <v>17</v>
      </c>
      <c r="C3469" s="68">
        <v>0.5</v>
      </c>
      <c r="D3469" s="68">
        <v>0.1</v>
      </c>
      <c r="E3469" s="68">
        <v>9.0</v>
      </c>
      <c r="F3469" s="68">
        <v>2.0</v>
      </c>
      <c r="G3469" s="68">
        <v>9.15937472698535</v>
      </c>
      <c r="H3469" s="68">
        <v>290.902352004174</v>
      </c>
      <c r="I3469" s="69">
        <v>44307.647685185184</v>
      </c>
      <c r="J3469" s="69">
        <v>44307.64815972222</v>
      </c>
      <c r="K3469">
        <f>AVERAGE(H3467:H3471)</f>
        <v>150.370525</v>
      </c>
      <c r="L3469">
        <f>STDEV(H3467:H3471)</f>
        <v>106.1538165</v>
      </c>
      <c r="M3469" s="70">
        <v>290.902352004174</v>
      </c>
      <c r="N3469" s="70">
        <v>290.902352004174</v>
      </c>
      <c r="O3469" s="70">
        <v>9.15937472698535</v>
      </c>
      <c r="P3469" s="70">
        <v>9.15937472698535</v>
      </c>
    </row>
    <row r="3470" hidden="1">
      <c r="A3470" s="67" t="s">
        <v>4230</v>
      </c>
      <c r="B3470" s="67" t="s">
        <v>17</v>
      </c>
      <c r="C3470" s="68">
        <v>0.5</v>
      </c>
      <c r="D3470" s="68">
        <v>0.1</v>
      </c>
      <c r="E3470" s="68">
        <v>9.0</v>
      </c>
      <c r="F3470" s="68">
        <v>3.0</v>
      </c>
      <c r="G3470" s="68">
        <v>2.49114450253838</v>
      </c>
      <c r="H3470" s="68">
        <v>131.89098122686</v>
      </c>
      <c r="I3470" s="69">
        <v>44307.64885416667</v>
      </c>
      <c r="J3470" s="69">
        <v>44307.64946759259</v>
      </c>
      <c r="K3470">
        <f>AVERAGE(H3467:H3471)</f>
        <v>150.370525</v>
      </c>
      <c r="L3470">
        <f>STDEV(H3467:H3471)</f>
        <v>106.1538165</v>
      </c>
      <c r="M3470" s="70">
        <v>131.89098122686</v>
      </c>
      <c r="N3470" s="70">
        <v>131.89098122686</v>
      </c>
      <c r="O3470" s="70">
        <v>2.49114450253838</v>
      </c>
      <c r="P3470" s="70">
        <v>2.49114450253838</v>
      </c>
    </row>
    <row r="3471" hidden="1">
      <c r="A3471" s="67" t="s">
        <v>4231</v>
      </c>
      <c r="B3471" s="67" t="s">
        <v>17</v>
      </c>
      <c r="C3471" s="68">
        <v>0.5</v>
      </c>
      <c r="D3471" s="68">
        <v>0.1</v>
      </c>
      <c r="E3471" s="68">
        <v>9.0</v>
      </c>
      <c r="F3471" s="68">
        <v>4.0</v>
      </c>
      <c r="G3471" s="68">
        <v>2.90457405544903</v>
      </c>
      <c r="H3471" s="68">
        <v>131.190038832959</v>
      </c>
      <c r="I3471" s="69">
        <v>44307.65016203704</v>
      </c>
      <c r="J3471" s="69">
        <v>44307.75729166667</v>
      </c>
      <c r="K3471">
        <f>AVERAGE(H3467:H3471)</f>
        <v>150.370525</v>
      </c>
      <c r="L3471">
        <f>STDEV(H3467:H3471)</f>
        <v>106.1538165</v>
      </c>
      <c r="M3471" s="70">
        <v>131.190038832959</v>
      </c>
      <c r="N3471" s="70">
        <v>131.190038832959</v>
      </c>
      <c r="O3471" s="70">
        <v>2.90457405544903</v>
      </c>
      <c r="P3471" s="70">
        <v>2.90457405544903</v>
      </c>
    </row>
    <row r="3472" hidden="1">
      <c r="A3472" s="67" t="s">
        <v>4232</v>
      </c>
      <c r="B3472" s="67" t="s">
        <v>17</v>
      </c>
      <c r="C3472" s="68">
        <v>0.5</v>
      </c>
      <c r="D3472" s="68">
        <v>0.25</v>
      </c>
      <c r="E3472" s="68">
        <v>9.0</v>
      </c>
      <c r="F3472" s="68">
        <v>0.0</v>
      </c>
      <c r="G3472" s="68">
        <v>1.0691129891253</v>
      </c>
      <c r="H3472" s="68">
        <v>55.3766780224232</v>
      </c>
      <c r="I3472" s="69">
        <v>44307.75798611111</v>
      </c>
      <c r="J3472" s="69">
        <v>44307.7628125</v>
      </c>
      <c r="K3472">
        <f>AVERAGE(H3472:H3476)</f>
        <v>94.44020615</v>
      </c>
      <c r="L3472">
        <f>STDEV(H3472:H3476)</f>
        <v>100.0344722</v>
      </c>
      <c r="M3472" s="70">
        <v>55.3766780224232</v>
      </c>
      <c r="N3472" s="70">
        <v>55.3766780224232</v>
      </c>
      <c r="O3472" s="70">
        <v>1.0691129891253</v>
      </c>
      <c r="P3472" s="70">
        <v>1.0691129891253</v>
      </c>
    </row>
    <row r="3473" hidden="1">
      <c r="A3473" s="67" t="s">
        <v>4233</v>
      </c>
      <c r="B3473" s="67" t="s">
        <v>17</v>
      </c>
      <c r="C3473" s="68">
        <v>0.5</v>
      </c>
      <c r="D3473" s="68">
        <v>0.25</v>
      </c>
      <c r="E3473" s="68">
        <v>9.0</v>
      </c>
      <c r="F3473" s="68">
        <v>1.0</v>
      </c>
      <c r="G3473" s="68">
        <v>0.466787137040523</v>
      </c>
      <c r="H3473" s="68">
        <v>0.559094835862339</v>
      </c>
      <c r="I3473" s="69">
        <v>44307.763506944444</v>
      </c>
      <c r="J3473" s="69">
        <v>44307.7637962963</v>
      </c>
      <c r="K3473">
        <f>AVERAGE(H3472:H3476)</f>
        <v>94.44020615</v>
      </c>
      <c r="L3473">
        <f>STDEV(H3472:H3476)</f>
        <v>100.0344722</v>
      </c>
      <c r="M3473" s="70">
        <v>0.559094835862339</v>
      </c>
      <c r="N3473" s="70">
        <v>0.559094835862339</v>
      </c>
      <c r="O3473" s="70">
        <v>0.466787137040523</v>
      </c>
      <c r="P3473" s="70">
        <v>0.466787137040523</v>
      </c>
    </row>
    <row r="3474" hidden="1">
      <c r="A3474" s="67" t="s">
        <v>4234</v>
      </c>
      <c r="B3474" s="67" t="s">
        <v>17</v>
      </c>
      <c r="C3474" s="68">
        <v>0.5</v>
      </c>
      <c r="D3474" s="68">
        <v>0.25</v>
      </c>
      <c r="E3474" s="68">
        <v>9.0</v>
      </c>
      <c r="F3474" s="68">
        <v>2.0</v>
      </c>
      <c r="G3474" s="68">
        <v>3.3230723585254</v>
      </c>
      <c r="H3474" s="68">
        <v>147.640496595131</v>
      </c>
      <c r="I3474" s="69">
        <v>44307.76449074074</v>
      </c>
      <c r="J3474" s="69">
        <v>44307.83710648148</v>
      </c>
      <c r="K3474">
        <f>AVERAGE(H3472:H3476)</f>
        <v>94.44020615</v>
      </c>
      <c r="L3474">
        <f>STDEV(H3472:H3476)</f>
        <v>100.0344722</v>
      </c>
      <c r="M3474" s="70">
        <v>147.640496595131</v>
      </c>
      <c r="N3474" s="70">
        <v>147.640496595131</v>
      </c>
      <c r="O3474" s="70">
        <v>3.3230723585254</v>
      </c>
      <c r="P3474" s="70">
        <v>3.3230723585254</v>
      </c>
    </row>
    <row r="3475" hidden="1">
      <c r="A3475" s="67" t="s">
        <v>4235</v>
      </c>
      <c r="B3475" s="67" t="s">
        <v>17</v>
      </c>
      <c r="C3475" s="68">
        <v>0.5</v>
      </c>
      <c r="D3475" s="68">
        <v>0.25</v>
      </c>
      <c r="E3475" s="68">
        <v>9.0</v>
      </c>
      <c r="F3475" s="68">
        <v>3.0</v>
      </c>
      <c r="G3475" s="68">
        <v>6.6764361879269</v>
      </c>
      <c r="H3475" s="68">
        <v>243.11979929542</v>
      </c>
      <c r="I3475" s="69">
        <v>44307.837800925925</v>
      </c>
      <c r="J3475" s="69">
        <v>44307.84413194445</v>
      </c>
      <c r="K3475">
        <f>AVERAGE(H3472:H3476)</f>
        <v>94.44020615</v>
      </c>
      <c r="L3475">
        <f>STDEV(H3472:H3476)</f>
        <v>100.0344722</v>
      </c>
      <c r="M3475" s="70">
        <v>243.11979929542</v>
      </c>
      <c r="N3475" s="70">
        <v>243.11979929542</v>
      </c>
      <c r="O3475" s="70">
        <v>6.6764361879269</v>
      </c>
      <c r="P3475" s="70">
        <v>6.6764361879269</v>
      </c>
    </row>
    <row r="3476" hidden="1">
      <c r="A3476" s="67" t="s">
        <v>4236</v>
      </c>
      <c r="B3476" s="67" t="s">
        <v>17</v>
      </c>
      <c r="C3476" s="68">
        <v>0.5</v>
      </c>
      <c r="D3476" s="68">
        <v>0.25</v>
      </c>
      <c r="E3476" s="68">
        <v>9.0</v>
      </c>
      <c r="F3476" s="68">
        <v>4.0</v>
      </c>
      <c r="G3476" s="68">
        <v>1.6217371900257</v>
      </c>
      <c r="H3476" s="68">
        <v>25.5049620230927</v>
      </c>
      <c r="I3476" s="69">
        <v>44307.844826388886</v>
      </c>
      <c r="J3476" s="69">
        <v>44307.845983796295</v>
      </c>
      <c r="K3476">
        <f>AVERAGE(H3472:H3476)</f>
        <v>94.44020615</v>
      </c>
      <c r="L3476">
        <f>STDEV(H3472:H3476)</f>
        <v>100.0344722</v>
      </c>
      <c r="M3476" s="70">
        <v>25.5049620230927</v>
      </c>
      <c r="N3476" s="70">
        <v>25.5049620230927</v>
      </c>
      <c r="O3476" s="70">
        <v>1.6217371900257</v>
      </c>
      <c r="P3476" s="70">
        <v>1.6217371900257</v>
      </c>
    </row>
    <row r="3477" hidden="1">
      <c r="A3477" s="67" t="s">
        <v>4237</v>
      </c>
      <c r="B3477" s="67" t="s">
        <v>17</v>
      </c>
      <c r="C3477" s="68">
        <v>0.5</v>
      </c>
      <c r="D3477" s="68">
        <v>0.5</v>
      </c>
      <c r="E3477" s="68">
        <v>9.0</v>
      </c>
      <c r="F3477" s="68">
        <v>0.0</v>
      </c>
      <c r="G3477" s="68">
        <v>1.4662554738346</v>
      </c>
      <c r="H3477" s="68">
        <v>73.1701161186154</v>
      </c>
      <c r="I3477" s="69">
        <v>44307.84667824074</v>
      </c>
      <c r="J3477" s="69">
        <v>44307.84914351852</v>
      </c>
      <c r="K3477">
        <f>AVERAGE(H3477:H3481)</f>
        <v>68.61028072</v>
      </c>
      <c r="L3477">
        <f>STDEV(H3477:H3481)</f>
        <v>67.81176386</v>
      </c>
      <c r="M3477" s="70">
        <v>73.1701161186154</v>
      </c>
      <c r="N3477" s="70">
        <v>73.1701161186154</v>
      </c>
      <c r="O3477" s="70">
        <v>1.4662554738346</v>
      </c>
      <c r="P3477" s="70">
        <v>1.4662554738346</v>
      </c>
    </row>
    <row r="3478" hidden="1">
      <c r="A3478" s="67" t="s">
        <v>4238</v>
      </c>
      <c r="B3478" s="67" t="s">
        <v>17</v>
      </c>
      <c r="C3478" s="68">
        <v>0.5</v>
      </c>
      <c r="D3478" s="68">
        <v>0.5</v>
      </c>
      <c r="E3478" s="68">
        <v>9.0</v>
      </c>
      <c r="F3478" s="68">
        <v>1.0</v>
      </c>
      <c r="G3478" s="68">
        <v>0.985303433901234</v>
      </c>
      <c r="H3478" s="68">
        <v>14.2259185022174</v>
      </c>
      <c r="I3478" s="69">
        <v>44307.84983796296</v>
      </c>
      <c r="J3478" s="69">
        <v>44307.85008101852</v>
      </c>
      <c r="K3478">
        <f>AVERAGE(H3477:H3481)</f>
        <v>68.61028072</v>
      </c>
      <c r="L3478">
        <f>STDEV(H3477:H3481)</f>
        <v>67.81176386</v>
      </c>
      <c r="M3478" s="70">
        <v>14.2259185022174</v>
      </c>
      <c r="N3478" s="70">
        <v>14.2259185022174</v>
      </c>
      <c r="O3478" s="70">
        <v>0.985303433901234</v>
      </c>
      <c r="P3478" s="70">
        <v>0.985303433901234</v>
      </c>
    </row>
    <row r="3479" hidden="1">
      <c r="A3479" s="67" t="s">
        <v>4239</v>
      </c>
      <c r="B3479" s="67" t="s">
        <v>17</v>
      </c>
      <c r="C3479" s="68">
        <v>0.5</v>
      </c>
      <c r="D3479" s="68">
        <v>0.5</v>
      </c>
      <c r="E3479" s="68">
        <v>9.0</v>
      </c>
      <c r="F3479" s="68">
        <v>2.0</v>
      </c>
      <c r="G3479" s="68">
        <v>5.77408152219756</v>
      </c>
      <c r="H3479" s="68">
        <v>82.9922988570437</v>
      </c>
      <c r="I3479" s="69">
        <v>44307.85078703704</v>
      </c>
      <c r="J3479" s="69">
        <v>44307.85083333333</v>
      </c>
      <c r="K3479">
        <f>AVERAGE(H3477:H3481)</f>
        <v>68.61028072</v>
      </c>
      <c r="L3479">
        <f>STDEV(H3477:H3481)</f>
        <v>67.81176386</v>
      </c>
      <c r="M3479" s="70">
        <v>82.9922988570437</v>
      </c>
      <c r="N3479" s="70">
        <v>82.9922988570437</v>
      </c>
      <c r="O3479" s="70">
        <v>5.77408152219756</v>
      </c>
      <c r="P3479" s="70">
        <v>5.77408152219756</v>
      </c>
    </row>
    <row r="3480" hidden="1">
      <c r="A3480" s="67" t="s">
        <v>4240</v>
      </c>
      <c r="B3480" s="67" t="s">
        <v>17</v>
      </c>
      <c r="C3480" s="68">
        <v>0.5</v>
      </c>
      <c r="D3480" s="68">
        <v>0.5</v>
      </c>
      <c r="E3480" s="68">
        <v>9.0</v>
      </c>
      <c r="F3480" s="68">
        <v>3.0</v>
      </c>
      <c r="G3480" s="68">
        <v>3.81106199605053</v>
      </c>
      <c r="H3480" s="68">
        <v>171.714092298777</v>
      </c>
      <c r="I3480" s="69">
        <v>44307.85152777778</v>
      </c>
      <c r="J3480" s="69">
        <v>44308.02400462963</v>
      </c>
      <c r="K3480">
        <f>AVERAGE(H3477:H3481)</f>
        <v>68.61028072</v>
      </c>
      <c r="L3480">
        <f>STDEV(H3477:H3481)</f>
        <v>67.81176386</v>
      </c>
      <c r="M3480" s="70">
        <v>171.714092298777</v>
      </c>
      <c r="N3480" s="70">
        <v>171.714092298777</v>
      </c>
      <c r="O3480" s="70">
        <v>3.81106199605053</v>
      </c>
      <c r="P3480" s="70">
        <v>3.81106199605053</v>
      </c>
    </row>
    <row r="3481" hidden="1">
      <c r="A3481" s="67" t="s">
        <v>4241</v>
      </c>
      <c r="B3481" s="67" t="s">
        <v>17</v>
      </c>
      <c r="C3481" s="68">
        <v>0.5</v>
      </c>
      <c r="D3481" s="68">
        <v>0.5</v>
      </c>
      <c r="E3481" s="68">
        <v>9.0</v>
      </c>
      <c r="F3481" s="68">
        <v>4.0</v>
      </c>
      <c r="G3481" s="68">
        <v>0.71205655889852</v>
      </c>
      <c r="H3481" s="68">
        <v>0.948977832482219</v>
      </c>
      <c r="I3481" s="69">
        <v>44308.02469907407</v>
      </c>
      <c r="J3481" s="69">
        <v>44308.025185185186</v>
      </c>
      <c r="K3481">
        <f>AVERAGE(H3477:H3481)</f>
        <v>68.61028072</v>
      </c>
      <c r="L3481">
        <f>STDEV(H3477:H3481)</f>
        <v>67.81176386</v>
      </c>
      <c r="M3481" s="70">
        <v>0.948977832482219</v>
      </c>
      <c r="N3481" s="70">
        <v>0.948977832482219</v>
      </c>
      <c r="O3481" s="70">
        <v>0.71205655889852</v>
      </c>
      <c r="P3481" s="70">
        <v>0.71205655889852</v>
      </c>
    </row>
    <row r="3482" hidden="1">
      <c r="A3482" s="67" t="s">
        <v>4242</v>
      </c>
      <c r="B3482" s="67" t="s">
        <v>17</v>
      </c>
      <c r="C3482" s="68">
        <v>0.5</v>
      </c>
      <c r="D3482" s="68">
        <v>0.75</v>
      </c>
      <c r="E3482" s="68">
        <v>9.0</v>
      </c>
      <c r="F3482" s="68">
        <v>0.0</v>
      </c>
      <c r="G3482" s="68">
        <v>0.75116201875237</v>
      </c>
      <c r="H3482" s="68">
        <v>1.068009752509</v>
      </c>
      <c r="I3482" s="69">
        <v>44308.02587962963</v>
      </c>
      <c r="J3482" s="69">
        <v>44308.02689814815</v>
      </c>
      <c r="K3482">
        <f>AVERAGE(H3482:H3486)</f>
        <v>116.4268977</v>
      </c>
      <c r="L3482">
        <f>STDEV(H3482:H3486)</f>
        <v>99.16128678</v>
      </c>
      <c r="M3482" s="70">
        <v>1.068009752509</v>
      </c>
      <c r="N3482" s="70">
        <v>1.068009752509</v>
      </c>
      <c r="O3482" s="70">
        <v>0.75116201875237</v>
      </c>
      <c r="P3482" s="70">
        <v>0.75116201875237</v>
      </c>
    </row>
    <row r="3483" hidden="1">
      <c r="A3483" s="67" t="s">
        <v>4243</v>
      </c>
      <c r="B3483" s="67" t="s">
        <v>17</v>
      </c>
      <c r="C3483" s="68">
        <v>0.5</v>
      </c>
      <c r="D3483" s="68">
        <v>0.75</v>
      </c>
      <c r="E3483" s="68">
        <v>9.0</v>
      </c>
      <c r="F3483" s="68">
        <v>1.0</v>
      </c>
      <c r="G3483" s="68">
        <v>1.79639285927451</v>
      </c>
      <c r="H3483" s="68">
        <v>31.0139599921435</v>
      </c>
      <c r="I3483" s="69">
        <v>44308.027592592596</v>
      </c>
      <c r="J3483" s="69">
        <v>44308.0284375</v>
      </c>
      <c r="K3483">
        <f>AVERAGE(H3482:H3486)</f>
        <v>116.4268977</v>
      </c>
      <c r="L3483">
        <f>STDEV(H3482:H3486)</f>
        <v>99.16128678</v>
      </c>
      <c r="M3483" s="70">
        <v>31.0139599921435</v>
      </c>
      <c r="N3483" s="70">
        <v>31.0139599921435</v>
      </c>
      <c r="O3483" s="70">
        <v>1.79639285927451</v>
      </c>
      <c r="P3483" s="70">
        <v>1.79639285927451</v>
      </c>
    </row>
    <row r="3484" hidden="1">
      <c r="A3484" s="67" t="s">
        <v>4244</v>
      </c>
      <c r="B3484" s="67" t="s">
        <v>17</v>
      </c>
      <c r="C3484" s="68">
        <v>0.5</v>
      </c>
      <c r="D3484" s="68">
        <v>0.75</v>
      </c>
      <c r="E3484" s="68">
        <v>9.0</v>
      </c>
      <c r="F3484" s="68">
        <v>2.0</v>
      </c>
      <c r="G3484" s="68">
        <v>6.56223894808799</v>
      </c>
      <c r="H3484" s="68">
        <v>232.43771788982</v>
      </c>
      <c r="I3484" s="69">
        <v>44308.029131944444</v>
      </c>
      <c r="J3484" s="69">
        <v>44308.02931712963</v>
      </c>
      <c r="K3484">
        <f>AVERAGE(H3482:H3486)</f>
        <v>116.4268977</v>
      </c>
      <c r="L3484">
        <f>STDEV(H3482:H3486)</f>
        <v>99.16128678</v>
      </c>
      <c r="M3484" s="70">
        <v>232.43771788982</v>
      </c>
      <c r="N3484" s="70">
        <v>232.43771788982</v>
      </c>
      <c r="O3484" s="70">
        <v>6.56223894808799</v>
      </c>
      <c r="P3484" s="70">
        <v>6.56223894808799</v>
      </c>
    </row>
    <row r="3485" hidden="1">
      <c r="A3485" s="67" t="s">
        <v>4245</v>
      </c>
      <c r="B3485" s="67" t="s">
        <v>17</v>
      </c>
      <c r="C3485" s="68">
        <v>0.5</v>
      </c>
      <c r="D3485" s="68">
        <v>0.75</v>
      </c>
      <c r="E3485" s="68">
        <v>9.0</v>
      </c>
      <c r="F3485" s="68">
        <v>3.0</v>
      </c>
      <c r="G3485" s="68">
        <v>3.97561037885865</v>
      </c>
      <c r="H3485" s="68">
        <v>187.773551338254</v>
      </c>
      <c r="I3485" s="69">
        <v>44308.030011574076</v>
      </c>
      <c r="J3485" s="69">
        <v>44308.09494212963</v>
      </c>
      <c r="K3485">
        <f>AVERAGE(H3482:H3486)</f>
        <v>116.4268977</v>
      </c>
      <c r="L3485">
        <f>STDEV(H3482:H3486)</f>
        <v>99.16128678</v>
      </c>
      <c r="M3485" s="70">
        <v>187.773551338254</v>
      </c>
      <c r="N3485" s="70">
        <v>187.773551338254</v>
      </c>
      <c r="O3485" s="70">
        <v>3.97561037885865</v>
      </c>
      <c r="P3485" s="70">
        <v>3.97561037885865</v>
      </c>
    </row>
    <row r="3486" hidden="1">
      <c r="A3486" s="67" t="s">
        <v>4246</v>
      </c>
      <c r="B3486" s="67" t="s">
        <v>17</v>
      </c>
      <c r="C3486" s="68">
        <v>0.5</v>
      </c>
      <c r="D3486" s="68">
        <v>0.75</v>
      </c>
      <c r="E3486" s="68">
        <v>9.0</v>
      </c>
      <c r="F3486" s="68">
        <v>4.0</v>
      </c>
      <c r="G3486" s="68">
        <v>2.69666106742307</v>
      </c>
      <c r="H3486" s="68">
        <v>129.841249664824</v>
      </c>
      <c r="I3486" s="69">
        <v>44308.09563657407</v>
      </c>
      <c r="J3486" s="69">
        <v>44308.13637731481</v>
      </c>
      <c r="K3486">
        <f>AVERAGE(H3482:H3486)</f>
        <v>116.4268977</v>
      </c>
      <c r="L3486">
        <f>STDEV(H3482:H3486)</f>
        <v>99.16128678</v>
      </c>
      <c r="M3486" s="70">
        <v>129.841249664824</v>
      </c>
      <c r="N3486" s="70">
        <v>129.841249664824</v>
      </c>
      <c r="O3486" s="70">
        <v>2.69666106742307</v>
      </c>
      <c r="P3486" s="70">
        <v>2.69666106742307</v>
      </c>
    </row>
    <row r="3487" hidden="1">
      <c r="A3487" s="67" t="s">
        <v>4247</v>
      </c>
      <c r="B3487" s="67" t="s">
        <v>17</v>
      </c>
      <c r="C3487" s="68">
        <v>0.5</v>
      </c>
      <c r="D3487" s="68">
        <v>1.0</v>
      </c>
      <c r="E3487" s="68">
        <v>9.0</v>
      </c>
      <c r="F3487" s="68">
        <v>0.0</v>
      </c>
      <c r="G3487" s="68">
        <v>4.09948133376565</v>
      </c>
      <c r="H3487" s="68">
        <v>173.147123778395</v>
      </c>
      <c r="I3487" s="69">
        <v>44308.13707175926</v>
      </c>
      <c r="J3487" s="69">
        <v>44308.137650462966</v>
      </c>
      <c r="K3487">
        <f>AVERAGE(H3487:H3491)</f>
        <v>171.3570205</v>
      </c>
      <c r="L3487">
        <f>STDEV(H3487:H3491)</f>
        <v>88.9878743</v>
      </c>
      <c r="M3487" s="70">
        <v>173.147123778395</v>
      </c>
      <c r="N3487" s="70">
        <v>173.147123778395</v>
      </c>
      <c r="O3487" s="70">
        <v>4.09948133376565</v>
      </c>
      <c r="P3487" s="70">
        <v>4.09948133376565</v>
      </c>
    </row>
    <row r="3488" hidden="1">
      <c r="A3488" s="67" t="s">
        <v>4248</v>
      </c>
      <c r="B3488" s="67" t="s">
        <v>17</v>
      </c>
      <c r="C3488" s="68">
        <v>0.5</v>
      </c>
      <c r="D3488" s="68">
        <v>1.0</v>
      </c>
      <c r="E3488" s="68">
        <v>9.0</v>
      </c>
      <c r="F3488" s="68">
        <v>1.0</v>
      </c>
      <c r="G3488" s="68">
        <v>1.13000638476641</v>
      </c>
      <c r="H3488" s="68">
        <v>58.9551950958381</v>
      </c>
      <c r="I3488" s="69">
        <v>44308.138344907406</v>
      </c>
      <c r="J3488" s="69">
        <v>44308.14387731482</v>
      </c>
      <c r="K3488">
        <f>AVERAGE(H3487:H3491)</f>
        <v>171.3570205</v>
      </c>
      <c r="L3488">
        <f>STDEV(H3487:H3491)</f>
        <v>88.9878743</v>
      </c>
      <c r="M3488" s="70">
        <v>58.9551950958381</v>
      </c>
      <c r="N3488" s="70">
        <v>58.9551950958381</v>
      </c>
      <c r="O3488" s="70">
        <v>1.13000638476641</v>
      </c>
      <c r="P3488" s="70">
        <v>1.13000638476641</v>
      </c>
    </row>
    <row r="3489" hidden="1">
      <c r="A3489" s="67" t="s">
        <v>4249</v>
      </c>
      <c r="B3489" s="67" t="s">
        <v>17</v>
      </c>
      <c r="C3489" s="68">
        <v>0.5</v>
      </c>
      <c r="D3489" s="68">
        <v>1.0</v>
      </c>
      <c r="E3489" s="68">
        <v>9.0</v>
      </c>
      <c r="F3489" s="68">
        <v>2.0</v>
      </c>
      <c r="G3489" s="68">
        <v>8.46140065859104</v>
      </c>
      <c r="H3489" s="68">
        <v>218.434417351497</v>
      </c>
      <c r="I3489" s="69">
        <v>44308.14457175926</v>
      </c>
      <c r="J3489" s="69">
        <v>44308.14465277778</v>
      </c>
      <c r="K3489">
        <f>AVERAGE(H3487:H3491)</f>
        <v>171.3570205</v>
      </c>
      <c r="L3489">
        <f>STDEV(H3487:H3491)</f>
        <v>88.9878743</v>
      </c>
      <c r="M3489" s="70">
        <v>218.434417351497</v>
      </c>
      <c r="N3489" s="70">
        <v>218.434417351497</v>
      </c>
      <c r="O3489" s="70">
        <v>8.46140065859104</v>
      </c>
      <c r="P3489" s="70">
        <v>8.46140065859104</v>
      </c>
    </row>
    <row r="3490" hidden="1">
      <c r="A3490" s="67" t="s">
        <v>4250</v>
      </c>
      <c r="B3490" s="67" t="s">
        <v>17</v>
      </c>
      <c r="C3490" s="68">
        <v>0.5</v>
      </c>
      <c r="D3490" s="68">
        <v>1.0</v>
      </c>
      <c r="E3490" s="68">
        <v>9.0</v>
      </c>
      <c r="F3490" s="68">
        <v>3.0</v>
      </c>
      <c r="G3490" s="68">
        <v>2.37928814177863</v>
      </c>
      <c r="H3490" s="68">
        <v>117.091033270417</v>
      </c>
      <c r="I3490" s="69">
        <v>44308.14534722222</v>
      </c>
      <c r="J3490" s="69">
        <v>44308.2575462963</v>
      </c>
      <c r="K3490">
        <f>AVERAGE(H3487:H3491)</f>
        <v>171.3570205</v>
      </c>
      <c r="L3490">
        <f>STDEV(H3487:H3491)</f>
        <v>88.9878743</v>
      </c>
      <c r="M3490" s="70">
        <v>117.091033270417</v>
      </c>
      <c r="N3490" s="70">
        <v>117.091033270417</v>
      </c>
      <c r="O3490" s="70">
        <v>2.37928814177863</v>
      </c>
      <c r="P3490" s="70">
        <v>2.37928814177863</v>
      </c>
    </row>
    <row r="3491" hidden="1">
      <c r="A3491" s="67" t="s">
        <v>4251</v>
      </c>
      <c r="B3491" s="67" t="s">
        <v>17</v>
      </c>
      <c r="C3491" s="68">
        <v>0.5</v>
      </c>
      <c r="D3491" s="68">
        <v>1.0</v>
      </c>
      <c r="E3491" s="68">
        <v>9.0</v>
      </c>
      <c r="F3491" s="68">
        <v>4.0</v>
      </c>
      <c r="G3491" s="68">
        <v>9.33488624205584</v>
      </c>
      <c r="H3491" s="68">
        <v>289.157332886483</v>
      </c>
      <c r="I3491" s="69">
        <v>44308.25824074074</v>
      </c>
      <c r="J3491" s="69">
        <v>44308.2615625</v>
      </c>
      <c r="K3491">
        <f>AVERAGE(H3487:H3491)</f>
        <v>171.3570205</v>
      </c>
      <c r="L3491">
        <f>STDEV(H3487:H3491)</f>
        <v>88.9878743</v>
      </c>
      <c r="M3491" s="70">
        <v>289.157332886483</v>
      </c>
      <c r="N3491" s="70">
        <v>289.157332886483</v>
      </c>
      <c r="O3491" s="70">
        <v>9.33488624205584</v>
      </c>
      <c r="P3491" s="70">
        <v>9.33488624205584</v>
      </c>
    </row>
    <row r="3492" hidden="1">
      <c r="A3492" s="67" t="s">
        <v>4252</v>
      </c>
      <c r="B3492" s="67" t="s">
        <v>17</v>
      </c>
      <c r="C3492" s="68">
        <v>0.75</v>
      </c>
      <c r="D3492" s="68">
        <v>0.1</v>
      </c>
      <c r="E3492" s="68">
        <v>9.0</v>
      </c>
      <c r="F3492" s="68">
        <v>0.0</v>
      </c>
      <c r="G3492" s="68">
        <v>1.47747436585429</v>
      </c>
      <c r="H3492" s="68">
        <v>72.8129459139136</v>
      </c>
      <c r="I3492" s="69">
        <v>44308.26225694444</v>
      </c>
      <c r="J3492" s="69">
        <v>44308.26453703704</v>
      </c>
      <c r="K3492">
        <f>AVERAGE(H3492:H3496)</f>
        <v>140.8694521</v>
      </c>
      <c r="L3492">
        <f>STDEV(H3492:H3496)</f>
        <v>101.5031778</v>
      </c>
      <c r="M3492" s="70">
        <v>72.8129459139136</v>
      </c>
      <c r="N3492" s="70">
        <v>72.8129459139136</v>
      </c>
      <c r="O3492" s="70">
        <v>1.47747436585429</v>
      </c>
      <c r="P3492" s="70">
        <v>1.47747436585429</v>
      </c>
    </row>
    <row r="3493" hidden="1">
      <c r="A3493" s="67" t="s">
        <v>4253</v>
      </c>
      <c r="B3493" s="67" t="s">
        <v>17</v>
      </c>
      <c r="C3493" s="68">
        <v>0.75</v>
      </c>
      <c r="D3493" s="68">
        <v>0.1</v>
      </c>
      <c r="E3493" s="68">
        <v>9.0</v>
      </c>
      <c r="F3493" s="68">
        <v>1.0</v>
      </c>
      <c r="G3493" s="68">
        <v>3.52705649147454</v>
      </c>
      <c r="H3493" s="68">
        <v>175.219848538662</v>
      </c>
      <c r="I3493" s="69">
        <v>44308.265231481484</v>
      </c>
      <c r="J3493" s="69">
        <v>44308.30708333333</v>
      </c>
      <c r="K3493">
        <f>AVERAGE(H3492:H3496)</f>
        <v>140.8694521</v>
      </c>
      <c r="L3493">
        <f>STDEV(H3492:H3496)</f>
        <v>101.5031778</v>
      </c>
      <c r="M3493" s="70">
        <v>175.219848538662</v>
      </c>
      <c r="N3493" s="70">
        <v>175.219848538662</v>
      </c>
      <c r="O3493" s="70">
        <v>3.52705649147454</v>
      </c>
      <c r="P3493" s="70">
        <v>3.52705649147454</v>
      </c>
    </row>
    <row r="3494" hidden="1">
      <c r="A3494" s="67" t="s">
        <v>4254</v>
      </c>
      <c r="B3494" s="67" t="s">
        <v>17</v>
      </c>
      <c r="C3494" s="68">
        <v>0.75</v>
      </c>
      <c r="D3494" s="68">
        <v>0.1</v>
      </c>
      <c r="E3494" s="68">
        <v>9.0</v>
      </c>
      <c r="F3494" s="68">
        <v>2.0</v>
      </c>
      <c r="G3494" s="68">
        <v>2.90056638682062</v>
      </c>
      <c r="H3494" s="68">
        <v>137.156662908854</v>
      </c>
      <c r="I3494" s="69">
        <v>44308.30777777778</v>
      </c>
      <c r="J3494" s="69">
        <v>44308.36975694444</v>
      </c>
      <c r="K3494">
        <f>AVERAGE(H3492:H3496)</f>
        <v>140.8694521</v>
      </c>
      <c r="L3494">
        <f>STDEV(H3492:H3496)</f>
        <v>101.5031778</v>
      </c>
      <c r="M3494" s="70">
        <v>137.156662908854</v>
      </c>
      <c r="N3494" s="70">
        <v>137.156662908854</v>
      </c>
      <c r="O3494" s="70">
        <v>2.90056638682062</v>
      </c>
      <c r="P3494" s="70">
        <v>2.90056638682062</v>
      </c>
    </row>
    <row r="3495" hidden="1">
      <c r="A3495" s="67" t="s">
        <v>4255</v>
      </c>
      <c r="B3495" s="67" t="s">
        <v>17</v>
      </c>
      <c r="C3495" s="68">
        <v>0.75</v>
      </c>
      <c r="D3495" s="68">
        <v>0.1</v>
      </c>
      <c r="E3495" s="68">
        <v>9.0</v>
      </c>
      <c r="F3495" s="68">
        <v>3.0</v>
      </c>
      <c r="G3495" s="68">
        <v>9.17182730502589</v>
      </c>
      <c r="H3495" s="68">
        <v>291.27186044713</v>
      </c>
      <c r="I3495" s="69">
        <v>44308.37045138889</v>
      </c>
      <c r="J3495" s="69">
        <v>44308.37091435185</v>
      </c>
      <c r="K3495">
        <f>AVERAGE(H3492:H3496)</f>
        <v>140.8694521</v>
      </c>
      <c r="L3495">
        <f>STDEV(H3492:H3496)</f>
        <v>101.5031778</v>
      </c>
      <c r="M3495" s="70">
        <v>291.27186044713</v>
      </c>
      <c r="N3495" s="70">
        <v>291.27186044713</v>
      </c>
      <c r="O3495" s="70">
        <v>9.17182730502589</v>
      </c>
      <c r="P3495" s="70">
        <v>9.17182730502589</v>
      </c>
    </row>
    <row r="3496" hidden="1">
      <c r="A3496" s="67" t="s">
        <v>4256</v>
      </c>
      <c r="B3496" s="67" t="s">
        <v>17</v>
      </c>
      <c r="C3496" s="68">
        <v>0.75</v>
      </c>
      <c r="D3496" s="68">
        <v>0.1</v>
      </c>
      <c r="E3496" s="68">
        <v>9.0</v>
      </c>
      <c r="F3496" s="68">
        <v>4.0</v>
      </c>
      <c r="G3496" s="68">
        <v>1.68471497170165</v>
      </c>
      <c r="H3496" s="68">
        <v>27.8859427373061</v>
      </c>
      <c r="I3496" s="69">
        <v>44308.3716087963</v>
      </c>
      <c r="J3496" s="69">
        <v>44308.37283564815</v>
      </c>
      <c r="K3496">
        <f>AVERAGE(H3492:H3496)</f>
        <v>140.8694521</v>
      </c>
      <c r="L3496">
        <f>STDEV(H3492:H3496)</f>
        <v>101.5031778</v>
      </c>
      <c r="M3496" s="70">
        <v>27.8859427373061</v>
      </c>
      <c r="N3496" s="70">
        <v>27.8859427373061</v>
      </c>
      <c r="O3496" s="70">
        <v>1.68471497170165</v>
      </c>
      <c r="P3496" s="70">
        <v>1.68471497170165</v>
      </c>
    </row>
    <row r="3497" hidden="1">
      <c r="A3497" s="67" t="s">
        <v>4257</v>
      </c>
      <c r="B3497" s="67" t="s">
        <v>17</v>
      </c>
      <c r="C3497" s="68">
        <v>0.75</v>
      </c>
      <c r="D3497" s="68">
        <v>0.25</v>
      </c>
      <c r="E3497" s="68">
        <v>9.0</v>
      </c>
      <c r="F3497" s="68">
        <v>0.0</v>
      </c>
      <c r="G3497" s="68">
        <v>3.12012156874333</v>
      </c>
      <c r="H3497" s="68">
        <v>155.555827071046</v>
      </c>
      <c r="I3497" s="69">
        <v>44308.37353009259</v>
      </c>
      <c r="J3497" s="69">
        <v>44308.50009259259</v>
      </c>
      <c r="K3497">
        <f>AVERAGE(H3497:H3501)</f>
        <v>141.0450476</v>
      </c>
      <c r="L3497">
        <f>STDEV(H3497:H3501)</f>
        <v>50.47223316</v>
      </c>
      <c r="M3497" s="70">
        <v>155.555827071046</v>
      </c>
      <c r="N3497" s="70">
        <v>155.555827071046</v>
      </c>
      <c r="O3497" s="70">
        <v>3.12012156874333</v>
      </c>
      <c r="P3497" s="70">
        <v>3.12012156874333</v>
      </c>
    </row>
    <row r="3498" hidden="1">
      <c r="A3498" s="67" t="s">
        <v>4258</v>
      </c>
      <c r="B3498" s="67" t="s">
        <v>17</v>
      </c>
      <c r="C3498" s="68">
        <v>0.75</v>
      </c>
      <c r="D3498" s="68">
        <v>0.25</v>
      </c>
      <c r="E3498" s="68">
        <v>9.0</v>
      </c>
      <c r="F3498" s="68">
        <v>1.0</v>
      </c>
      <c r="G3498" s="68">
        <v>3.30240310977211</v>
      </c>
      <c r="H3498" s="68">
        <v>157.178580047816</v>
      </c>
      <c r="I3498" s="69">
        <v>44308.50078703704</v>
      </c>
      <c r="J3498" s="69">
        <v>44308.508125</v>
      </c>
      <c r="K3498">
        <f>AVERAGE(H3497:H3501)</f>
        <v>141.0450476</v>
      </c>
      <c r="L3498">
        <f>STDEV(H3497:H3501)</f>
        <v>50.47223316</v>
      </c>
      <c r="M3498" s="70">
        <v>157.178580047816</v>
      </c>
      <c r="N3498" s="70">
        <v>157.178580047816</v>
      </c>
      <c r="O3498" s="70">
        <v>3.30240310977211</v>
      </c>
      <c r="P3498" s="70">
        <v>3.30240310977211</v>
      </c>
    </row>
    <row r="3499" hidden="1">
      <c r="A3499" s="67" t="s">
        <v>4259</v>
      </c>
      <c r="B3499" s="67" t="s">
        <v>17</v>
      </c>
      <c r="C3499" s="68">
        <v>0.75</v>
      </c>
      <c r="D3499" s="68">
        <v>0.25</v>
      </c>
      <c r="E3499" s="68">
        <v>9.0</v>
      </c>
      <c r="F3499" s="68">
        <v>2.0</v>
      </c>
      <c r="G3499" s="68">
        <v>1.98177822119311</v>
      </c>
      <c r="H3499" s="68">
        <v>100.750092416576</v>
      </c>
      <c r="I3499" s="69">
        <v>44308.50881944445</v>
      </c>
      <c r="J3499" s="69">
        <v>44308.50927083333</v>
      </c>
      <c r="K3499">
        <f>AVERAGE(H3497:H3501)</f>
        <v>141.0450476</v>
      </c>
      <c r="L3499">
        <f>STDEV(H3497:H3501)</f>
        <v>50.47223316</v>
      </c>
      <c r="M3499" s="70">
        <v>100.750092416576</v>
      </c>
      <c r="N3499" s="70">
        <v>100.750092416576</v>
      </c>
      <c r="O3499" s="70">
        <v>1.98177822119311</v>
      </c>
      <c r="P3499" s="70">
        <v>1.98177822119311</v>
      </c>
    </row>
    <row r="3500" hidden="1">
      <c r="A3500" s="67" t="s">
        <v>4260</v>
      </c>
      <c r="B3500" s="67" t="s">
        <v>17</v>
      </c>
      <c r="C3500" s="68">
        <v>0.75</v>
      </c>
      <c r="D3500" s="68">
        <v>0.25</v>
      </c>
      <c r="E3500" s="68">
        <v>9.0</v>
      </c>
      <c r="F3500" s="68">
        <v>3.0</v>
      </c>
      <c r="G3500" s="68">
        <v>5.70398908751663</v>
      </c>
      <c r="H3500" s="68">
        <v>82.4326800634303</v>
      </c>
      <c r="I3500" s="69">
        <v>44308.50996527778</v>
      </c>
      <c r="J3500" s="69">
        <v>44308.51001157407</v>
      </c>
      <c r="K3500">
        <f>AVERAGE(H3497:H3501)</f>
        <v>141.0450476</v>
      </c>
      <c r="L3500">
        <f>STDEV(H3497:H3501)</f>
        <v>50.47223316</v>
      </c>
      <c r="M3500" s="70">
        <v>82.4326800634303</v>
      </c>
      <c r="N3500" s="70">
        <v>82.4326800634303</v>
      </c>
      <c r="O3500" s="70">
        <v>5.70398908751663</v>
      </c>
      <c r="P3500" s="70">
        <v>5.70398908751663</v>
      </c>
    </row>
    <row r="3501" hidden="1">
      <c r="A3501" s="67" t="s">
        <v>4261</v>
      </c>
      <c r="B3501" s="67" t="s">
        <v>17</v>
      </c>
      <c r="C3501" s="68">
        <v>0.75</v>
      </c>
      <c r="D3501" s="68">
        <v>0.25</v>
      </c>
      <c r="E3501" s="68">
        <v>9.0</v>
      </c>
      <c r="F3501" s="68">
        <v>4.0</v>
      </c>
      <c r="G3501" s="68">
        <v>7.36984431574421</v>
      </c>
      <c r="H3501" s="68">
        <v>209.308058454888</v>
      </c>
      <c r="I3501" s="69">
        <v>44308.51070601852</v>
      </c>
      <c r="J3501" s="69">
        <v>44308.510787037034</v>
      </c>
      <c r="K3501">
        <f>AVERAGE(H3497:H3501)</f>
        <v>141.0450476</v>
      </c>
      <c r="L3501">
        <f>STDEV(H3497:H3501)</f>
        <v>50.47223316</v>
      </c>
      <c r="M3501" s="70">
        <v>209.308058454888</v>
      </c>
      <c r="N3501" s="70">
        <v>209.308058454888</v>
      </c>
      <c r="O3501" s="70">
        <v>7.36984431574421</v>
      </c>
      <c r="P3501" s="70">
        <v>7.36984431574421</v>
      </c>
    </row>
    <row r="3502" hidden="1">
      <c r="A3502" s="67" t="s">
        <v>4262</v>
      </c>
      <c r="B3502" s="67" t="s">
        <v>17</v>
      </c>
      <c r="C3502" s="68">
        <v>0.75</v>
      </c>
      <c r="D3502" s="68">
        <v>0.5</v>
      </c>
      <c r="E3502" s="68">
        <v>9.0</v>
      </c>
      <c r="F3502" s="68">
        <v>0.0</v>
      </c>
      <c r="G3502" s="68">
        <v>4.026422844857</v>
      </c>
      <c r="H3502" s="68">
        <v>179.367872302771</v>
      </c>
      <c r="I3502" s="69">
        <v>44308.51148148148</v>
      </c>
      <c r="J3502" s="69">
        <v>44308.54038194445</v>
      </c>
      <c r="K3502">
        <f>AVERAGE(H3502:H3506)</f>
        <v>119.4009062</v>
      </c>
      <c r="L3502">
        <f>STDEV(H3502:H3506)</f>
        <v>72.32508674</v>
      </c>
      <c r="M3502" s="70">
        <v>179.367872302771</v>
      </c>
      <c r="N3502" s="70">
        <v>179.367872302771</v>
      </c>
      <c r="O3502" s="70">
        <v>4.026422844857</v>
      </c>
      <c r="P3502" s="70">
        <v>4.026422844857</v>
      </c>
    </row>
    <row r="3503" hidden="1">
      <c r="A3503" s="67" t="s">
        <v>4263</v>
      </c>
      <c r="B3503" s="67" t="s">
        <v>17</v>
      </c>
      <c r="C3503" s="68">
        <v>0.75</v>
      </c>
      <c r="D3503" s="68">
        <v>0.5</v>
      </c>
      <c r="E3503" s="68">
        <v>9.0</v>
      </c>
      <c r="F3503" s="68">
        <v>1.0</v>
      </c>
      <c r="G3503" s="68">
        <v>2.05371075431019</v>
      </c>
      <c r="H3503" s="68">
        <v>101.371385304366</v>
      </c>
      <c r="I3503" s="69">
        <v>44308.54107638889</v>
      </c>
      <c r="J3503" s="69">
        <v>44308.56501157407</v>
      </c>
      <c r="K3503">
        <f>AVERAGE(H3502:H3506)</f>
        <v>119.4009062</v>
      </c>
      <c r="L3503">
        <f>STDEV(H3502:H3506)</f>
        <v>72.32508674</v>
      </c>
      <c r="M3503" s="70">
        <v>101.371385304366</v>
      </c>
      <c r="N3503" s="70">
        <v>101.371385304366</v>
      </c>
      <c r="O3503" s="70">
        <v>2.05371075431019</v>
      </c>
      <c r="P3503" s="70">
        <v>2.05371075431019</v>
      </c>
    </row>
    <row r="3504" hidden="1">
      <c r="A3504" s="67" t="s">
        <v>4264</v>
      </c>
      <c r="B3504" s="67" t="s">
        <v>17</v>
      </c>
      <c r="C3504" s="68">
        <v>0.75</v>
      </c>
      <c r="D3504" s="68">
        <v>0.5</v>
      </c>
      <c r="E3504" s="68">
        <v>9.0</v>
      </c>
      <c r="F3504" s="68">
        <v>2.0</v>
      </c>
      <c r="G3504" s="68">
        <v>0.712828389333324</v>
      </c>
      <c r="H3504" s="68">
        <v>0.949621251469742</v>
      </c>
      <c r="I3504" s="69">
        <v>44308.56570601852</v>
      </c>
      <c r="J3504" s="69">
        <v>44308.566145833334</v>
      </c>
      <c r="K3504">
        <f>AVERAGE(H3502:H3506)</f>
        <v>119.4009062</v>
      </c>
      <c r="L3504">
        <f>STDEV(H3502:H3506)</f>
        <v>72.32508674</v>
      </c>
      <c r="M3504" s="70">
        <v>0.949621251469742</v>
      </c>
      <c r="N3504" s="70">
        <v>0.949621251469742</v>
      </c>
      <c r="O3504" s="70">
        <v>0.712828389333324</v>
      </c>
      <c r="P3504" s="70">
        <v>0.712828389333324</v>
      </c>
    </row>
    <row r="3505" hidden="1">
      <c r="A3505" s="67" t="s">
        <v>4265</v>
      </c>
      <c r="B3505" s="67" t="s">
        <v>17</v>
      </c>
      <c r="C3505" s="68">
        <v>0.75</v>
      </c>
      <c r="D3505" s="68">
        <v>0.5</v>
      </c>
      <c r="E3505" s="68">
        <v>9.0</v>
      </c>
      <c r="F3505" s="68">
        <v>3.0</v>
      </c>
      <c r="G3505" s="68">
        <v>3.79686297272299</v>
      </c>
      <c r="H3505" s="68">
        <v>162.384416194748</v>
      </c>
      <c r="I3505" s="69">
        <v>44308.56684027778</v>
      </c>
      <c r="J3505" s="69">
        <v>44308.574641203704</v>
      </c>
      <c r="K3505">
        <f>AVERAGE(H3502:H3506)</f>
        <v>119.4009062</v>
      </c>
      <c r="L3505">
        <f>STDEV(H3502:H3506)</f>
        <v>72.32508674</v>
      </c>
      <c r="M3505" s="70">
        <v>162.384416194748</v>
      </c>
      <c r="N3505" s="70">
        <v>162.384416194748</v>
      </c>
      <c r="O3505" s="70">
        <v>3.79686297272299</v>
      </c>
      <c r="P3505" s="70">
        <v>3.79686297272299</v>
      </c>
    </row>
    <row r="3506" hidden="1">
      <c r="A3506" s="67" t="s">
        <v>4266</v>
      </c>
      <c r="B3506" s="67" t="s">
        <v>17</v>
      </c>
      <c r="C3506" s="68">
        <v>0.75</v>
      </c>
      <c r="D3506" s="68">
        <v>0.5</v>
      </c>
      <c r="E3506" s="68">
        <v>9.0</v>
      </c>
      <c r="F3506" s="68">
        <v>4.0</v>
      </c>
      <c r="G3506" s="68">
        <v>3.48247764465291</v>
      </c>
      <c r="H3506" s="68">
        <v>152.931235837255</v>
      </c>
      <c r="I3506" s="69">
        <v>44308.57533564815</v>
      </c>
      <c r="J3506" s="69">
        <v>44308.57555555556</v>
      </c>
      <c r="K3506">
        <f>AVERAGE(H3502:H3506)</f>
        <v>119.4009062</v>
      </c>
      <c r="L3506">
        <f>STDEV(H3502:H3506)</f>
        <v>72.32508674</v>
      </c>
      <c r="M3506" s="70">
        <v>152.931235837255</v>
      </c>
      <c r="N3506" s="70">
        <v>152.931235837255</v>
      </c>
      <c r="O3506" s="70">
        <v>3.48247764465291</v>
      </c>
      <c r="P3506" s="70">
        <v>3.48247764465291</v>
      </c>
    </row>
    <row r="3507" hidden="1">
      <c r="A3507" s="67" t="s">
        <v>4267</v>
      </c>
      <c r="B3507" s="67" t="s">
        <v>17</v>
      </c>
      <c r="C3507" s="68">
        <v>0.75</v>
      </c>
      <c r="D3507" s="68">
        <v>0.75</v>
      </c>
      <c r="E3507" s="68">
        <v>9.0</v>
      </c>
      <c r="F3507" s="68">
        <v>0.0</v>
      </c>
      <c r="G3507" s="68">
        <v>1.71277985779435</v>
      </c>
      <c r="H3507" s="68">
        <v>27.6293956500021</v>
      </c>
      <c r="I3507" s="69">
        <v>44308.57625</v>
      </c>
      <c r="J3507" s="69">
        <v>44308.57702546296</v>
      </c>
      <c r="K3507">
        <f>AVERAGE(H3507:H3511)</f>
        <v>136.5568596</v>
      </c>
      <c r="L3507">
        <f>STDEV(H3507:H3511)</f>
        <v>123.9276956</v>
      </c>
      <c r="M3507" s="70">
        <v>27.6293956500021</v>
      </c>
      <c r="N3507" s="70">
        <v>27.6293956500021</v>
      </c>
      <c r="O3507" s="70">
        <v>1.71277985779435</v>
      </c>
      <c r="P3507" s="70">
        <v>1.71277985779435</v>
      </c>
    </row>
    <row r="3508" hidden="1">
      <c r="A3508" s="67" t="s">
        <v>4268</v>
      </c>
      <c r="B3508" s="67" t="s">
        <v>17</v>
      </c>
      <c r="C3508" s="68">
        <v>0.75</v>
      </c>
      <c r="D3508" s="68">
        <v>0.75</v>
      </c>
      <c r="E3508" s="68">
        <v>9.0</v>
      </c>
      <c r="F3508" s="68">
        <v>1.0</v>
      </c>
      <c r="G3508" s="68">
        <v>9.95060388010555</v>
      </c>
      <c r="H3508" s="68">
        <v>302.413901616307</v>
      </c>
      <c r="I3508" s="69">
        <v>44308.57771990741</v>
      </c>
      <c r="J3508" s="69">
        <v>44308.578101851854</v>
      </c>
      <c r="K3508">
        <f>AVERAGE(H3507:H3511)</f>
        <v>136.5568596</v>
      </c>
      <c r="L3508">
        <f>STDEV(H3507:H3511)</f>
        <v>123.9276956</v>
      </c>
      <c r="M3508" s="70">
        <v>302.413901616307</v>
      </c>
      <c r="N3508" s="70">
        <v>302.413901616307</v>
      </c>
      <c r="O3508" s="70">
        <v>9.95060388010555</v>
      </c>
      <c r="P3508" s="70">
        <v>9.95060388010555</v>
      </c>
    </row>
    <row r="3509" hidden="1">
      <c r="A3509" s="67" t="s">
        <v>4269</v>
      </c>
      <c r="B3509" s="67" t="s">
        <v>17</v>
      </c>
      <c r="C3509" s="68">
        <v>0.75</v>
      </c>
      <c r="D3509" s="68">
        <v>0.75</v>
      </c>
      <c r="E3509" s="68">
        <v>9.0</v>
      </c>
      <c r="F3509" s="68">
        <v>2.0</v>
      </c>
      <c r="G3509" s="68">
        <v>2.98571548378737</v>
      </c>
      <c r="H3509" s="68">
        <v>137.963296873417</v>
      </c>
      <c r="I3509" s="69">
        <v>44308.57879629629</v>
      </c>
      <c r="J3509" s="69">
        <v>44308.63601851852</v>
      </c>
      <c r="K3509">
        <f>AVERAGE(H3507:H3511)</f>
        <v>136.5568596</v>
      </c>
      <c r="L3509">
        <f>STDEV(H3507:H3511)</f>
        <v>123.9276956</v>
      </c>
      <c r="M3509" s="70">
        <v>137.963296873417</v>
      </c>
      <c r="N3509" s="70">
        <v>137.963296873417</v>
      </c>
      <c r="O3509" s="70">
        <v>2.98571548378737</v>
      </c>
      <c r="P3509" s="70">
        <v>2.98571548378737</v>
      </c>
    </row>
    <row r="3510" hidden="1">
      <c r="A3510" s="67" t="s">
        <v>4270</v>
      </c>
      <c r="B3510" s="67" t="s">
        <v>17</v>
      </c>
      <c r="C3510" s="68">
        <v>0.75</v>
      </c>
      <c r="D3510" s="68">
        <v>0.75</v>
      </c>
      <c r="E3510" s="68">
        <v>9.0</v>
      </c>
      <c r="F3510" s="68">
        <v>3.0</v>
      </c>
      <c r="G3510" s="68">
        <v>5.44728890709808</v>
      </c>
      <c r="H3510" s="68">
        <v>208.27249965196</v>
      </c>
      <c r="I3510" s="69">
        <v>44308.636712962965</v>
      </c>
      <c r="J3510" s="69">
        <v>44308.6434375</v>
      </c>
      <c r="K3510">
        <f>AVERAGE(H3507:H3511)</f>
        <v>136.5568596</v>
      </c>
      <c r="L3510">
        <f>STDEV(H3507:H3511)</f>
        <v>123.9276956</v>
      </c>
      <c r="M3510" s="70">
        <v>208.27249965196</v>
      </c>
      <c r="N3510" s="70">
        <v>208.27249965196</v>
      </c>
      <c r="O3510" s="70">
        <v>5.44728890709808</v>
      </c>
      <c r="P3510" s="70">
        <v>5.44728890709808</v>
      </c>
    </row>
    <row r="3511" hidden="1">
      <c r="A3511" s="67" t="s">
        <v>4271</v>
      </c>
      <c r="B3511" s="67" t="s">
        <v>17</v>
      </c>
      <c r="C3511" s="68">
        <v>0.75</v>
      </c>
      <c r="D3511" s="68">
        <v>0.75</v>
      </c>
      <c r="E3511" s="68">
        <v>9.0</v>
      </c>
      <c r="F3511" s="68">
        <v>4.0</v>
      </c>
      <c r="G3511" s="68">
        <v>0.676513415735093</v>
      </c>
      <c r="H3511" s="68">
        <v>6.50520426323817</v>
      </c>
      <c r="I3511" s="69">
        <v>44308.64413194444</v>
      </c>
      <c r="J3511" s="69">
        <v>44308.64811342592</v>
      </c>
      <c r="K3511">
        <f>AVERAGE(H3507:H3511)</f>
        <v>136.5568596</v>
      </c>
      <c r="L3511">
        <f>STDEV(H3507:H3511)</f>
        <v>123.9276956</v>
      </c>
      <c r="M3511" s="70">
        <v>6.50520426323817</v>
      </c>
      <c r="N3511" s="70">
        <v>6.50520426323817</v>
      </c>
      <c r="O3511" s="70">
        <v>0.676513415735093</v>
      </c>
      <c r="P3511" s="70">
        <v>0.676513415735093</v>
      </c>
    </row>
    <row r="3512" hidden="1">
      <c r="A3512" s="67" t="s">
        <v>4272</v>
      </c>
      <c r="B3512" s="67" t="s">
        <v>17</v>
      </c>
      <c r="C3512" s="68">
        <v>0.75</v>
      </c>
      <c r="D3512" s="68">
        <v>1.0</v>
      </c>
      <c r="E3512" s="68">
        <v>9.0</v>
      </c>
      <c r="F3512" s="68">
        <v>0.0</v>
      </c>
      <c r="G3512" s="68">
        <v>3.34462629857493</v>
      </c>
      <c r="H3512" s="68">
        <v>170.395592103526</v>
      </c>
      <c r="I3512" s="69">
        <v>44308.64880787037</v>
      </c>
      <c r="J3512" s="69">
        <v>44308.649097222224</v>
      </c>
      <c r="K3512">
        <f>AVERAGE(H3512:H3516)</f>
        <v>137.2162683</v>
      </c>
      <c r="L3512">
        <f>STDEV(H3512:H3516)</f>
        <v>97.05432661</v>
      </c>
      <c r="M3512" s="70">
        <v>170.395592103526</v>
      </c>
      <c r="N3512" s="70">
        <v>170.395592103526</v>
      </c>
      <c r="O3512" s="70">
        <v>3.34462629857493</v>
      </c>
      <c r="P3512" s="70">
        <v>3.34462629857493</v>
      </c>
    </row>
    <row r="3513" hidden="1">
      <c r="A3513" s="67" t="s">
        <v>4273</v>
      </c>
      <c r="B3513" s="67" t="s">
        <v>17</v>
      </c>
      <c r="C3513" s="68">
        <v>0.75</v>
      </c>
      <c r="D3513" s="68">
        <v>1.0</v>
      </c>
      <c r="E3513" s="68">
        <v>9.0</v>
      </c>
      <c r="F3513" s="68">
        <v>1.0</v>
      </c>
      <c r="G3513" s="68">
        <v>8.41070275108944</v>
      </c>
      <c r="H3513" s="68">
        <v>268.057971259615</v>
      </c>
      <c r="I3513" s="69">
        <v>44308.64979166666</v>
      </c>
      <c r="J3513" s="69">
        <v>44308.65179398148</v>
      </c>
      <c r="K3513">
        <f>AVERAGE(H3512:H3516)</f>
        <v>137.2162683</v>
      </c>
      <c r="L3513">
        <f>STDEV(H3512:H3516)</f>
        <v>97.05432661</v>
      </c>
      <c r="M3513" s="70">
        <v>268.057971259615</v>
      </c>
      <c r="N3513" s="70">
        <v>268.057971259615</v>
      </c>
      <c r="O3513" s="70">
        <v>8.41070275108944</v>
      </c>
      <c r="P3513" s="70">
        <v>8.41070275108944</v>
      </c>
    </row>
    <row r="3514" hidden="1">
      <c r="A3514" s="67" t="s">
        <v>4274</v>
      </c>
      <c r="B3514" s="67" t="s">
        <v>17</v>
      </c>
      <c r="C3514" s="68">
        <v>0.75</v>
      </c>
      <c r="D3514" s="68">
        <v>1.0</v>
      </c>
      <c r="E3514" s="68">
        <v>9.0</v>
      </c>
      <c r="F3514" s="68">
        <v>2.0</v>
      </c>
      <c r="G3514" s="68">
        <v>1.91230019744015</v>
      </c>
      <c r="H3514" s="68">
        <v>107.831112461721</v>
      </c>
      <c r="I3514" s="69">
        <v>44308.65248842593</v>
      </c>
      <c r="J3514" s="69">
        <v>44308.68880787037</v>
      </c>
      <c r="K3514">
        <f>AVERAGE(H3512:H3516)</f>
        <v>137.2162683</v>
      </c>
      <c r="L3514">
        <f>STDEV(H3512:H3516)</f>
        <v>97.05432661</v>
      </c>
      <c r="M3514" s="70">
        <v>107.831112461721</v>
      </c>
      <c r="N3514" s="70">
        <v>107.831112461721</v>
      </c>
      <c r="O3514" s="70">
        <v>1.91230019744015</v>
      </c>
      <c r="P3514" s="70">
        <v>1.91230019744015</v>
      </c>
    </row>
    <row r="3515" hidden="1">
      <c r="A3515" s="67" t="s">
        <v>4275</v>
      </c>
      <c r="B3515" s="67" t="s">
        <v>17</v>
      </c>
      <c r="C3515" s="68">
        <v>0.75</v>
      </c>
      <c r="D3515" s="68">
        <v>1.0</v>
      </c>
      <c r="E3515" s="68">
        <v>9.0</v>
      </c>
      <c r="F3515" s="68">
        <v>3.0</v>
      </c>
      <c r="G3515" s="68">
        <v>3.18700869151737</v>
      </c>
      <c r="H3515" s="68">
        <v>138.930405816114</v>
      </c>
      <c r="I3515" s="69">
        <v>44308.68950231482</v>
      </c>
      <c r="J3515" s="69">
        <v>44308.760833333334</v>
      </c>
      <c r="K3515">
        <f>AVERAGE(H3512:H3516)</f>
        <v>137.2162683</v>
      </c>
      <c r="L3515">
        <f>STDEV(H3512:H3516)</f>
        <v>97.05432661</v>
      </c>
      <c r="M3515" s="70">
        <v>138.930405816114</v>
      </c>
      <c r="N3515" s="70">
        <v>138.930405816114</v>
      </c>
      <c r="O3515" s="70">
        <v>3.18700869151737</v>
      </c>
      <c r="P3515" s="70">
        <v>3.18700869151737</v>
      </c>
    </row>
    <row r="3516" hidden="1">
      <c r="A3516" s="67" t="s">
        <v>4276</v>
      </c>
      <c r="B3516" s="67" t="s">
        <v>17</v>
      </c>
      <c r="C3516" s="68">
        <v>0.75</v>
      </c>
      <c r="D3516" s="68">
        <v>1.0</v>
      </c>
      <c r="E3516" s="68">
        <v>9.0</v>
      </c>
      <c r="F3516" s="68">
        <v>4.0</v>
      </c>
      <c r="G3516" s="68">
        <v>0.634710554728437</v>
      </c>
      <c r="H3516" s="68">
        <v>0.866259723810154</v>
      </c>
      <c r="I3516" s="69">
        <v>44308.76152777778</v>
      </c>
      <c r="J3516" s="69">
        <v>44308.76153935185</v>
      </c>
      <c r="K3516">
        <f>AVERAGE(H3512:H3516)</f>
        <v>137.2162683</v>
      </c>
      <c r="L3516">
        <f>STDEV(H3512:H3516)</f>
        <v>97.05432661</v>
      </c>
      <c r="M3516" s="70">
        <v>0.866259723810154</v>
      </c>
      <c r="N3516" s="70">
        <v>0.866259723810154</v>
      </c>
      <c r="O3516" s="70">
        <v>0.634710554728437</v>
      </c>
      <c r="P3516" s="70">
        <v>0.634710554728437</v>
      </c>
    </row>
    <row r="3517" hidden="1">
      <c r="A3517" s="67" t="s">
        <v>4277</v>
      </c>
      <c r="B3517" s="67" t="s">
        <v>17</v>
      </c>
      <c r="C3517" s="68">
        <v>1.0</v>
      </c>
      <c r="D3517" s="68">
        <v>0.1</v>
      </c>
      <c r="E3517" s="68">
        <v>9.0</v>
      </c>
      <c r="F3517" s="68">
        <v>0.0</v>
      </c>
      <c r="G3517" s="68">
        <v>0.986112075366586</v>
      </c>
      <c r="H3517" s="68">
        <v>14.2189950103105</v>
      </c>
      <c r="I3517" s="69">
        <v>44308.7622337963</v>
      </c>
      <c r="J3517" s="69">
        <v>44308.762453703705</v>
      </c>
      <c r="K3517">
        <f>AVERAGE(H3517:H3521)</f>
        <v>124.313753</v>
      </c>
      <c r="L3517">
        <f>STDEV(H3517:H3521)</f>
        <v>113.3624361</v>
      </c>
      <c r="M3517" s="70">
        <v>14.2189950103105</v>
      </c>
      <c r="N3517" s="70">
        <v>14.2189950103105</v>
      </c>
      <c r="O3517" s="70">
        <v>0.986112075366586</v>
      </c>
      <c r="P3517" s="70">
        <v>0.986112075366586</v>
      </c>
    </row>
    <row r="3518" hidden="1">
      <c r="A3518" s="67" t="s">
        <v>4278</v>
      </c>
      <c r="B3518" s="67" t="s">
        <v>17</v>
      </c>
      <c r="C3518" s="68">
        <v>1.0</v>
      </c>
      <c r="D3518" s="68">
        <v>0.1</v>
      </c>
      <c r="E3518" s="68">
        <v>9.0</v>
      </c>
      <c r="F3518" s="68">
        <v>1.0</v>
      </c>
      <c r="G3518" s="68">
        <v>2.52575534666129</v>
      </c>
      <c r="H3518" s="68">
        <v>117.868466112696</v>
      </c>
      <c r="I3518" s="69">
        <v>44308.76314814815</v>
      </c>
      <c r="J3518" s="69">
        <v>44308.8049537037</v>
      </c>
      <c r="K3518">
        <f>AVERAGE(H3517:H3521)</f>
        <v>124.313753</v>
      </c>
      <c r="L3518">
        <f>STDEV(H3517:H3521)</f>
        <v>113.3624361</v>
      </c>
      <c r="M3518" s="70">
        <v>117.868466112696</v>
      </c>
      <c r="N3518" s="70">
        <v>117.868466112696</v>
      </c>
      <c r="O3518" s="70">
        <v>2.52575534666129</v>
      </c>
      <c r="P3518" s="70">
        <v>2.52575534666129</v>
      </c>
    </row>
    <row r="3519" hidden="1">
      <c r="A3519" s="67" t="s">
        <v>4279</v>
      </c>
      <c r="B3519" s="67" t="s">
        <v>17</v>
      </c>
      <c r="C3519" s="68">
        <v>1.0</v>
      </c>
      <c r="D3519" s="68">
        <v>0.1</v>
      </c>
      <c r="E3519" s="68">
        <v>9.0</v>
      </c>
      <c r="F3519" s="68">
        <v>2.0</v>
      </c>
      <c r="G3519" s="68">
        <v>1.68232378087577</v>
      </c>
      <c r="H3519" s="68">
        <v>27.8560701279531</v>
      </c>
      <c r="I3519" s="69">
        <v>44308.80564814815</v>
      </c>
      <c r="J3519" s="69">
        <v>44308.80670138889</v>
      </c>
      <c r="K3519">
        <f>AVERAGE(H3517:H3521)</f>
        <v>124.313753</v>
      </c>
      <c r="L3519">
        <f>STDEV(H3517:H3521)</f>
        <v>113.3624361</v>
      </c>
      <c r="M3519" s="70">
        <v>27.8560701279531</v>
      </c>
      <c r="N3519" s="70">
        <v>27.8560701279531</v>
      </c>
      <c r="O3519" s="70">
        <v>1.68232378087577</v>
      </c>
      <c r="P3519" s="70">
        <v>1.68232378087577</v>
      </c>
    </row>
    <row r="3520" hidden="1">
      <c r="A3520" s="67" t="s">
        <v>4280</v>
      </c>
      <c r="B3520" s="67" t="s">
        <v>17</v>
      </c>
      <c r="C3520" s="68">
        <v>1.0</v>
      </c>
      <c r="D3520" s="68">
        <v>0.1</v>
      </c>
      <c r="E3520" s="68">
        <v>9.0</v>
      </c>
      <c r="F3520" s="68">
        <v>3.0</v>
      </c>
      <c r="G3520" s="68">
        <v>9.15335723929087</v>
      </c>
      <c r="H3520" s="68">
        <v>291.03582511905</v>
      </c>
      <c r="I3520" s="69">
        <v>44308.80739583333</v>
      </c>
      <c r="J3520" s="69">
        <v>44308.80778935185</v>
      </c>
      <c r="K3520">
        <f>AVERAGE(H3517:H3521)</f>
        <v>124.313753</v>
      </c>
      <c r="L3520">
        <f>STDEV(H3517:H3521)</f>
        <v>113.3624361</v>
      </c>
      <c r="M3520" s="70">
        <v>291.03582511905</v>
      </c>
      <c r="N3520" s="70">
        <v>291.03582511905</v>
      </c>
      <c r="O3520" s="70">
        <v>9.15335723929087</v>
      </c>
      <c r="P3520" s="70">
        <v>9.15335723929087</v>
      </c>
    </row>
    <row r="3521" hidden="1">
      <c r="A3521" s="67" t="s">
        <v>4281</v>
      </c>
      <c r="B3521" s="67" t="s">
        <v>17</v>
      </c>
      <c r="C3521" s="68">
        <v>1.0</v>
      </c>
      <c r="D3521" s="68">
        <v>0.1</v>
      </c>
      <c r="E3521" s="68">
        <v>9.0</v>
      </c>
      <c r="F3521" s="68">
        <v>4.0</v>
      </c>
      <c r="G3521" s="68">
        <v>3.45523556345606</v>
      </c>
      <c r="H3521" s="68">
        <v>170.589408705059</v>
      </c>
      <c r="I3521" s="69">
        <v>44308.808483796296</v>
      </c>
      <c r="J3521" s="69">
        <v>44308.85408564815</v>
      </c>
      <c r="K3521">
        <f>AVERAGE(H3517:H3521)</f>
        <v>124.313753</v>
      </c>
      <c r="L3521">
        <f>STDEV(H3517:H3521)</f>
        <v>113.3624361</v>
      </c>
      <c r="M3521" s="70">
        <v>170.589408705059</v>
      </c>
      <c r="N3521" s="70">
        <v>170.589408705059</v>
      </c>
      <c r="O3521" s="70">
        <v>3.45523556345606</v>
      </c>
      <c r="P3521" s="70">
        <v>3.45523556345606</v>
      </c>
    </row>
    <row r="3522" hidden="1">
      <c r="A3522" s="67" t="s">
        <v>4282</v>
      </c>
      <c r="B3522" s="67" t="s">
        <v>17</v>
      </c>
      <c r="C3522" s="68">
        <v>1.0</v>
      </c>
      <c r="D3522" s="68">
        <v>0.25</v>
      </c>
      <c r="E3522" s="68">
        <v>9.0</v>
      </c>
      <c r="F3522" s="68">
        <v>0.0</v>
      </c>
      <c r="G3522" s="68">
        <v>2.89182833802299</v>
      </c>
      <c r="H3522" s="68">
        <v>135.102263878173</v>
      </c>
      <c r="I3522" s="69">
        <v>44308.854780092595</v>
      </c>
      <c r="J3522" s="69">
        <v>44308.942453703705</v>
      </c>
      <c r="K3522">
        <f>AVERAGE(H3522:H3526)</f>
        <v>146.9072481</v>
      </c>
      <c r="L3522">
        <f>STDEV(H3522:H3526)</f>
        <v>104.7963414</v>
      </c>
      <c r="M3522" s="70">
        <v>135.102263878173</v>
      </c>
      <c r="N3522" s="70">
        <v>135.102263878173</v>
      </c>
      <c r="O3522" s="70">
        <v>2.89182833802299</v>
      </c>
      <c r="P3522" s="70">
        <v>2.89182833802299</v>
      </c>
    </row>
    <row r="3523" hidden="1">
      <c r="A3523" s="67" t="s">
        <v>4283</v>
      </c>
      <c r="B3523" s="67" t="s">
        <v>17</v>
      </c>
      <c r="C3523" s="68">
        <v>1.0</v>
      </c>
      <c r="D3523" s="68">
        <v>0.25</v>
      </c>
      <c r="E3523" s="68">
        <v>9.0</v>
      </c>
      <c r="F3523" s="68">
        <v>1.0</v>
      </c>
      <c r="G3523" s="68">
        <v>1.68751997253037</v>
      </c>
      <c r="H3523" s="68">
        <v>28.3110065114093</v>
      </c>
      <c r="I3523" s="69">
        <v>44308.94314814815</v>
      </c>
      <c r="J3523" s="69">
        <v>44308.94414351852</v>
      </c>
      <c r="K3523">
        <f>AVERAGE(H3522:H3526)</f>
        <v>146.9072481</v>
      </c>
      <c r="L3523">
        <f>STDEV(H3522:H3526)</f>
        <v>104.7963414</v>
      </c>
      <c r="M3523" s="70">
        <v>28.3110065114093</v>
      </c>
      <c r="N3523" s="70">
        <v>28.3110065114093</v>
      </c>
      <c r="O3523" s="70">
        <v>1.68751997253037</v>
      </c>
      <c r="P3523" s="70">
        <v>1.68751997253037</v>
      </c>
    </row>
    <row r="3524" hidden="1">
      <c r="A3524" s="67" t="s">
        <v>4284</v>
      </c>
      <c r="B3524" s="67" t="s">
        <v>17</v>
      </c>
      <c r="C3524" s="68">
        <v>1.0</v>
      </c>
      <c r="D3524" s="68">
        <v>0.25</v>
      </c>
      <c r="E3524" s="68">
        <v>9.0</v>
      </c>
      <c r="F3524" s="68">
        <v>2.0</v>
      </c>
      <c r="G3524" s="68">
        <v>9.19486048855735</v>
      </c>
      <c r="H3524" s="68">
        <v>290.660515481238</v>
      </c>
      <c r="I3524" s="69">
        <v>44308.94483796296</v>
      </c>
      <c r="J3524" s="69">
        <v>44308.945231481484</v>
      </c>
      <c r="K3524">
        <f>AVERAGE(H3522:H3526)</f>
        <v>146.9072481</v>
      </c>
      <c r="L3524">
        <f>STDEV(H3522:H3526)</f>
        <v>104.7963414</v>
      </c>
      <c r="M3524" s="70">
        <v>290.660515481238</v>
      </c>
      <c r="N3524" s="70">
        <v>290.660515481238</v>
      </c>
      <c r="O3524" s="70">
        <v>9.19486048855735</v>
      </c>
      <c r="P3524" s="70">
        <v>9.19486048855735</v>
      </c>
    </row>
    <row r="3525" hidden="1">
      <c r="A3525" s="67" t="s">
        <v>4285</v>
      </c>
      <c r="B3525" s="67" t="s">
        <v>17</v>
      </c>
      <c r="C3525" s="68">
        <v>1.0</v>
      </c>
      <c r="D3525" s="68">
        <v>0.25</v>
      </c>
      <c r="E3525" s="68">
        <v>9.0</v>
      </c>
      <c r="F3525" s="68">
        <v>3.0</v>
      </c>
      <c r="G3525" s="68">
        <v>1.49666806901561</v>
      </c>
      <c r="H3525" s="68">
        <v>73.2591209261133</v>
      </c>
      <c r="I3525" s="69">
        <v>44308.945925925924</v>
      </c>
      <c r="J3525" s="69">
        <v>44308.947858796295</v>
      </c>
      <c r="K3525">
        <f>AVERAGE(H3522:H3526)</f>
        <v>146.9072481</v>
      </c>
      <c r="L3525">
        <f>STDEV(H3522:H3526)</f>
        <v>104.7963414</v>
      </c>
      <c r="M3525" s="70">
        <v>73.2591209261133</v>
      </c>
      <c r="N3525" s="70">
        <v>73.2591209261133</v>
      </c>
      <c r="O3525" s="70">
        <v>1.49666806901561</v>
      </c>
      <c r="P3525" s="70">
        <v>1.49666806901561</v>
      </c>
    </row>
    <row r="3526" hidden="1">
      <c r="A3526" s="67" t="s">
        <v>4286</v>
      </c>
      <c r="B3526" s="67" t="s">
        <v>17</v>
      </c>
      <c r="C3526" s="68">
        <v>1.0</v>
      </c>
      <c r="D3526" s="68">
        <v>0.25</v>
      </c>
      <c r="E3526" s="68">
        <v>9.0</v>
      </c>
      <c r="F3526" s="68">
        <v>4.0</v>
      </c>
      <c r="G3526" s="68">
        <v>4.95509204771035</v>
      </c>
      <c r="H3526" s="68">
        <v>207.203333861479</v>
      </c>
      <c r="I3526" s="69">
        <v>44308.94855324074</v>
      </c>
      <c r="J3526" s="69">
        <v>44308.95480324074</v>
      </c>
      <c r="K3526">
        <f>AVERAGE(H3522:H3526)</f>
        <v>146.9072481</v>
      </c>
      <c r="L3526">
        <f>STDEV(H3522:H3526)</f>
        <v>104.7963414</v>
      </c>
      <c r="M3526" s="70">
        <v>207.203333861479</v>
      </c>
      <c r="N3526" s="70">
        <v>207.203333861479</v>
      </c>
      <c r="O3526" s="70">
        <v>4.95509204771035</v>
      </c>
      <c r="P3526" s="70">
        <v>4.95509204771035</v>
      </c>
    </row>
    <row r="3527" hidden="1">
      <c r="A3527" s="67" t="s">
        <v>4287</v>
      </c>
      <c r="B3527" s="67" t="s">
        <v>17</v>
      </c>
      <c r="C3527" s="68">
        <v>1.0</v>
      </c>
      <c r="D3527" s="68">
        <v>0.5</v>
      </c>
      <c r="E3527" s="68">
        <v>9.0</v>
      </c>
      <c r="F3527" s="68">
        <v>0.0</v>
      </c>
      <c r="G3527" s="68">
        <v>3.27983538614119</v>
      </c>
      <c r="H3527" s="68">
        <v>159.850862193109</v>
      </c>
      <c r="I3527" s="69">
        <v>44308.95549768519</v>
      </c>
      <c r="J3527" s="69">
        <v>44309.13618055556</v>
      </c>
      <c r="K3527">
        <f>AVERAGE(H3527:H3531)</f>
        <v>63.03596923</v>
      </c>
      <c r="L3527">
        <f>STDEV(H3527:H3531)</f>
        <v>82.73767988</v>
      </c>
      <c r="M3527" s="70">
        <v>159.850862193109</v>
      </c>
      <c r="N3527" s="70">
        <v>159.850862193109</v>
      </c>
      <c r="O3527" s="70">
        <v>3.27983538614119</v>
      </c>
      <c r="P3527" s="70">
        <v>3.27983538614119</v>
      </c>
    </row>
    <row r="3528" hidden="1">
      <c r="A3528" s="67" t="s">
        <v>4288</v>
      </c>
      <c r="B3528" s="67" t="s">
        <v>17</v>
      </c>
      <c r="C3528" s="68">
        <v>1.0</v>
      </c>
      <c r="D3528" s="68">
        <v>0.5</v>
      </c>
      <c r="E3528" s="68">
        <v>9.0</v>
      </c>
      <c r="F3528" s="68">
        <v>1.0</v>
      </c>
      <c r="G3528" s="68">
        <v>4.75742040951765</v>
      </c>
      <c r="H3528" s="68">
        <v>147.185549422183</v>
      </c>
      <c r="I3528" s="69">
        <v>44309.136875</v>
      </c>
      <c r="J3528" s="69">
        <v>44309.13716435185</v>
      </c>
      <c r="K3528">
        <f>AVERAGE(H3527:H3531)</f>
        <v>63.03596923</v>
      </c>
      <c r="L3528">
        <f>STDEV(H3527:H3531)</f>
        <v>82.73767988</v>
      </c>
      <c r="M3528" s="70">
        <v>147.185549422183</v>
      </c>
      <c r="N3528" s="70">
        <v>147.185549422183</v>
      </c>
      <c r="O3528" s="70">
        <v>4.75742040951765</v>
      </c>
      <c r="P3528" s="70">
        <v>4.75742040951765</v>
      </c>
    </row>
    <row r="3529" hidden="1">
      <c r="A3529" s="67" t="s">
        <v>4289</v>
      </c>
      <c r="B3529" s="67" t="s">
        <v>17</v>
      </c>
      <c r="C3529" s="68">
        <v>1.0</v>
      </c>
      <c r="D3529" s="68">
        <v>0.5</v>
      </c>
      <c r="E3529" s="68">
        <v>9.0</v>
      </c>
      <c r="F3529" s="68">
        <v>2.0</v>
      </c>
      <c r="G3529" s="68">
        <v>0.211987135531251</v>
      </c>
      <c r="H3529" s="68">
        <v>0.290913711156165</v>
      </c>
      <c r="I3529" s="69">
        <v>44309.1378587963</v>
      </c>
      <c r="J3529" s="69">
        <v>44309.13792824074</v>
      </c>
      <c r="K3529">
        <f>AVERAGE(H3527:H3531)</f>
        <v>63.03596923</v>
      </c>
      <c r="L3529">
        <f>STDEV(H3527:H3531)</f>
        <v>82.73767988</v>
      </c>
      <c r="M3529" s="70">
        <v>0.290913711156165</v>
      </c>
      <c r="N3529" s="70">
        <v>0.290913711156165</v>
      </c>
      <c r="O3529" s="70">
        <v>0.211987135531251</v>
      </c>
      <c r="P3529" s="70">
        <v>0.211987135531251</v>
      </c>
    </row>
    <row r="3530" hidden="1">
      <c r="A3530" s="67" t="s">
        <v>4290</v>
      </c>
      <c r="B3530" s="67" t="s">
        <v>17</v>
      </c>
      <c r="C3530" s="68">
        <v>1.0</v>
      </c>
      <c r="D3530" s="68">
        <v>0.5</v>
      </c>
      <c r="E3530" s="68">
        <v>9.0</v>
      </c>
      <c r="F3530" s="68">
        <v>3.0</v>
      </c>
      <c r="G3530" s="68">
        <v>1.81989957307188</v>
      </c>
      <c r="H3530" s="68">
        <v>2.70929752318943</v>
      </c>
      <c r="I3530" s="69">
        <v>44309.13862268518</v>
      </c>
      <c r="J3530" s="69">
        <v>44309.13869212963</v>
      </c>
      <c r="K3530">
        <f>AVERAGE(H3527:H3531)</f>
        <v>63.03596923</v>
      </c>
      <c r="L3530">
        <f>STDEV(H3527:H3531)</f>
        <v>82.73767988</v>
      </c>
      <c r="M3530" s="70">
        <v>2.70929752318943</v>
      </c>
      <c r="N3530" s="70">
        <v>2.70929752318943</v>
      </c>
      <c r="O3530" s="70">
        <v>1.81989957307188</v>
      </c>
      <c r="P3530" s="70">
        <v>1.81989957307188</v>
      </c>
    </row>
    <row r="3531" hidden="1">
      <c r="A3531" s="67" t="s">
        <v>4291</v>
      </c>
      <c r="B3531" s="67" t="s">
        <v>17</v>
      </c>
      <c r="C3531" s="68">
        <v>1.0</v>
      </c>
      <c r="D3531" s="68">
        <v>0.5</v>
      </c>
      <c r="E3531" s="68">
        <v>9.0</v>
      </c>
      <c r="F3531" s="68">
        <v>4.0</v>
      </c>
      <c r="G3531" s="68">
        <v>0.68673329822849</v>
      </c>
      <c r="H3531" s="68">
        <v>5.14322329389721</v>
      </c>
      <c r="I3531" s="69">
        <v>44309.139386574076</v>
      </c>
      <c r="J3531" s="69">
        <v>44309.13945601852</v>
      </c>
      <c r="K3531">
        <f>AVERAGE(H3527:H3531)</f>
        <v>63.03596923</v>
      </c>
      <c r="L3531">
        <f>STDEV(H3527:H3531)</f>
        <v>82.73767988</v>
      </c>
      <c r="M3531" s="70">
        <v>5.14322329389721</v>
      </c>
      <c r="N3531" s="70">
        <v>5.14322329389721</v>
      </c>
      <c r="O3531" s="70">
        <v>0.68673329822849</v>
      </c>
      <c r="P3531" s="70">
        <v>0.68673329822849</v>
      </c>
    </row>
    <row r="3532" hidden="1">
      <c r="A3532" s="67" t="s">
        <v>4292</v>
      </c>
      <c r="B3532" s="67" t="s">
        <v>17</v>
      </c>
      <c r="C3532" s="68">
        <v>1.0</v>
      </c>
      <c r="D3532" s="68">
        <v>0.75</v>
      </c>
      <c r="E3532" s="68">
        <v>9.0</v>
      </c>
      <c r="F3532" s="68">
        <v>0.0</v>
      </c>
      <c r="G3532" s="68">
        <v>0.53731263473983</v>
      </c>
      <c r="H3532" s="68">
        <v>0.657552234811424</v>
      </c>
      <c r="I3532" s="69">
        <v>44309.14015046296</v>
      </c>
      <c r="J3532" s="69">
        <v>44309.14032407408</v>
      </c>
      <c r="K3532">
        <f>AVERAGE(H3532:H3536)</f>
        <v>84.62493412</v>
      </c>
      <c r="L3532">
        <f>STDEV(H3532:H3536)</f>
        <v>85.75976681</v>
      </c>
      <c r="M3532" s="70">
        <v>0.657552234811424</v>
      </c>
      <c r="N3532" s="70">
        <v>0.657552234811424</v>
      </c>
      <c r="O3532" s="70">
        <v>0.53731263473983</v>
      </c>
      <c r="P3532" s="70">
        <v>0.53731263473983</v>
      </c>
    </row>
    <row r="3533" hidden="1">
      <c r="A3533" s="67" t="s">
        <v>4293</v>
      </c>
      <c r="B3533" s="67" t="s">
        <v>17</v>
      </c>
      <c r="C3533" s="68">
        <v>1.0</v>
      </c>
      <c r="D3533" s="68">
        <v>0.75</v>
      </c>
      <c r="E3533" s="68">
        <v>9.0</v>
      </c>
      <c r="F3533" s="68">
        <v>1.0</v>
      </c>
      <c r="G3533" s="68">
        <v>0.48565251705657</v>
      </c>
      <c r="H3533" s="68">
        <v>0.564650723600135</v>
      </c>
      <c r="I3533" s="69">
        <v>44309.141018518516</v>
      </c>
      <c r="J3533" s="69">
        <v>44309.142060185186</v>
      </c>
      <c r="K3533">
        <f>AVERAGE(H3532:H3536)</f>
        <v>84.62493412</v>
      </c>
      <c r="L3533">
        <f>STDEV(H3532:H3536)</f>
        <v>85.75976681</v>
      </c>
      <c r="M3533" s="70">
        <v>0.564650723600135</v>
      </c>
      <c r="N3533" s="70">
        <v>0.564650723600135</v>
      </c>
      <c r="O3533" s="70">
        <v>0.48565251705657</v>
      </c>
      <c r="P3533" s="70">
        <v>0.48565251705657</v>
      </c>
    </row>
    <row r="3534" hidden="1">
      <c r="A3534" s="67" t="s">
        <v>4294</v>
      </c>
      <c r="B3534" s="67" t="s">
        <v>17</v>
      </c>
      <c r="C3534" s="68">
        <v>1.0</v>
      </c>
      <c r="D3534" s="68">
        <v>0.75</v>
      </c>
      <c r="E3534" s="68">
        <v>9.0</v>
      </c>
      <c r="F3534" s="68">
        <v>2.0</v>
      </c>
      <c r="G3534" s="68">
        <v>3.91438445083347</v>
      </c>
      <c r="H3534" s="68">
        <v>173.374945907097</v>
      </c>
      <c r="I3534" s="69">
        <v>44309.14275462963</v>
      </c>
      <c r="J3534" s="69">
        <v>44309.290138888886</v>
      </c>
      <c r="K3534">
        <f>AVERAGE(H3532:H3536)</f>
        <v>84.62493412</v>
      </c>
      <c r="L3534">
        <f>STDEV(H3532:H3536)</f>
        <v>85.75976681</v>
      </c>
      <c r="M3534" s="70">
        <v>173.374945907097</v>
      </c>
      <c r="N3534" s="70">
        <v>173.374945907097</v>
      </c>
      <c r="O3534" s="70">
        <v>3.91438445083347</v>
      </c>
      <c r="P3534" s="70">
        <v>3.91438445083347</v>
      </c>
    </row>
    <row r="3535" hidden="1">
      <c r="A3535" s="67" t="s">
        <v>4295</v>
      </c>
      <c r="B3535" s="67" t="s">
        <v>17</v>
      </c>
      <c r="C3535" s="68">
        <v>1.0</v>
      </c>
      <c r="D3535" s="68">
        <v>0.75</v>
      </c>
      <c r="E3535" s="68">
        <v>9.0</v>
      </c>
      <c r="F3535" s="68">
        <v>3.0</v>
      </c>
      <c r="G3535" s="68">
        <v>3.33598489064849</v>
      </c>
      <c r="H3535" s="68">
        <v>170.541510303196</v>
      </c>
      <c r="I3535" s="69">
        <v>44309.29083333333</v>
      </c>
      <c r="J3535" s="69">
        <v>44309.29108796296</v>
      </c>
      <c r="K3535">
        <f>AVERAGE(H3532:H3536)</f>
        <v>84.62493412</v>
      </c>
      <c r="L3535">
        <f>STDEV(H3532:H3536)</f>
        <v>85.75976681</v>
      </c>
      <c r="M3535" s="70">
        <v>170.541510303196</v>
      </c>
      <c r="N3535" s="70">
        <v>170.541510303196</v>
      </c>
      <c r="O3535" s="70">
        <v>3.33598489064849</v>
      </c>
      <c r="P3535" s="70">
        <v>3.33598489064849</v>
      </c>
    </row>
    <row r="3536" hidden="1">
      <c r="A3536" s="67" t="s">
        <v>4296</v>
      </c>
      <c r="B3536" s="67" t="s">
        <v>17</v>
      </c>
      <c r="C3536" s="68">
        <v>1.0</v>
      </c>
      <c r="D3536" s="68">
        <v>0.75</v>
      </c>
      <c r="E3536" s="68">
        <v>9.0</v>
      </c>
      <c r="F3536" s="68">
        <v>4.0</v>
      </c>
      <c r="G3536" s="68">
        <v>1.66312762299351</v>
      </c>
      <c r="H3536" s="68">
        <v>77.9860114076025</v>
      </c>
      <c r="I3536" s="69">
        <v>44309.29178240741</v>
      </c>
      <c r="J3536" s="69">
        <v>44309.29326388889</v>
      </c>
      <c r="K3536">
        <f>AVERAGE(H3532:H3536)</f>
        <v>84.62493412</v>
      </c>
      <c r="L3536">
        <f>STDEV(H3532:H3536)</f>
        <v>85.75976681</v>
      </c>
      <c r="M3536" s="70">
        <v>77.9860114076025</v>
      </c>
      <c r="N3536" s="70">
        <v>77.9860114076025</v>
      </c>
      <c r="O3536" s="70">
        <v>1.66312762299351</v>
      </c>
      <c r="P3536" s="70">
        <v>1.66312762299351</v>
      </c>
    </row>
    <row r="3537" hidden="1">
      <c r="A3537" s="67" t="s">
        <v>4297</v>
      </c>
      <c r="B3537" s="67" t="s">
        <v>17</v>
      </c>
      <c r="C3537" s="68">
        <v>1.0</v>
      </c>
      <c r="D3537" s="68">
        <v>1.0</v>
      </c>
      <c r="E3537" s="68">
        <v>9.0</v>
      </c>
      <c r="F3537" s="68">
        <v>0.0</v>
      </c>
      <c r="G3537" s="68">
        <v>4.58276590334904</v>
      </c>
      <c r="H3537" s="68">
        <v>186.856503318287</v>
      </c>
      <c r="I3537" s="69">
        <v>44309.293958333335</v>
      </c>
      <c r="J3537" s="69">
        <v>44309.29677083333</v>
      </c>
      <c r="K3537">
        <f>AVERAGE(H3537:H3541)</f>
        <v>116.956704</v>
      </c>
      <c r="L3537">
        <f>STDEV(H3537:H3541)</f>
        <v>116.682208</v>
      </c>
      <c r="M3537" s="70">
        <v>186.856503318287</v>
      </c>
      <c r="N3537" s="70">
        <v>186.856503318287</v>
      </c>
      <c r="O3537" s="70">
        <v>4.58276590334904</v>
      </c>
      <c r="P3537" s="70">
        <v>4.58276590334904</v>
      </c>
    </row>
    <row r="3538" hidden="1">
      <c r="A3538" s="67" t="s">
        <v>4298</v>
      </c>
      <c r="B3538" s="67" t="s">
        <v>17</v>
      </c>
      <c r="C3538" s="68">
        <v>1.0</v>
      </c>
      <c r="D3538" s="68">
        <v>1.0</v>
      </c>
      <c r="E3538" s="68">
        <v>9.0</v>
      </c>
      <c r="F3538" s="68">
        <v>1.0</v>
      </c>
      <c r="G3538" s="68">
        <v>8.38080396657282</v>
      </c>
      <c r="H3538" s="68">
        <v>267.527737535745</v>
      </c>
      <c r="I3538" s="69">
        <v>44309.29746527778</v>
      </c>
      <c r="J3538" s="69">
        <v>44309.299155092594</v>
      </c>
      <c r="K3538">
        <f>AVERAGE(H3537:H3541)</f>
        <v>116.956704</v>
      </c>
      <c r="L3538">
        <f>STDEV(H3537:H3541)</f>
        <v>116.682208</v>
      </c>
      <c r="M3538" s="70">
        <v>267.527737535745</v>
      </c>
      <c r="N3538" s="70">
        <v>267.527737535745</v>
      </c>
      <c r="O3538" s="70">
        <v>8.38080396657282</v>
      </c>
      <c r="P3538" s="70">
        <v>8.38080396657282</v>
      </c>
    </row>
    <row r="3539" hidden="1">
      <c r="A3539" s="67" t="s">
        <v>4299</v>
      </c>
      <c r="B3539" s="67" t="s">
        <v>17</v>
      </c>
      <c r="C3539" s="68">
        <v>1.0</v>
      </c>
      <c r="D3539" s="68">
        <v>1.0</v>
      </c>
      <c r="E3539" s="68">
        <v>9.0</v>
      </c>
      <c r="F3539" s="68">
        <v>2.0</v>
      </c>
      <c r="G3539" s="68">
        <v>2.71770598685154</v>
      </c>
      <c r="H3539" s="68">
        <v>127.917303173857</v>
      </c>
      <c r="I3539" s="69">
        <v>44309.299849537034</v>
      </c>
      <c r="J3539" s="69">
        <v>44309.41721064815</v>
      </c>
      <c r="K3539">
        <f>AVERAGE(H3537:H3541)</f>
        <v>116.956704</v>
      </c>
      <c r="L3539">
        <f>STDEV(H3537:H3541)</f>
        <v>116.682208</v>
      </c>
      <c r="M3539" s="70">
        <v>127.917303173857</v>
      </c>
      <c r="N3539" s="70">
        <v>127.917303173857</v>
      </c>
      <c r="O3539" s="70">
        <v>2.71770598685154</v>
      </c>
      <c r="P3539" s="70">
        <v>2.71770598685154</v>
      </c>
    </row>
    <row r="3540" hidden="1">
      <c r="A3540" s="67" t="s">
        <v>4300</v>
      </c>
      <c r="B3540" s="67" t="s">
        <v>17</v>
      </c>
      <c r="C3540" s="68">
        <v>1.0</v>
      </c>
      <c r="D3540" s="68">
        <v>1.0</v>
      </c>
      <c r="E3540" s="68">
        <v>9.0</v>
      </c>
      <c r="F3540" s="68">
        <v>3.0</v>
      </c>
      <c r="G3540" s="68">
        <v>0.480374934662571</v>
      </c>
      <c r="H3540" s="68">
        <v>0.553973048948584</v>
      </c>
      <c r="I3540" s="69">
        <v>44309.417905092596</v>
      </c>
      <c r="J3540" s="69">
        <v>44309.419027777774</v>
      </c>
      <c r="K3540">
        <f>AVERAGE(H3537:H3541)</f>
        <v>116.956704</v>
      </c>
      <c r="L3540">
        <f>STDEV(H3537:H3541)</f>
        <v>116.682208</v>
      </c>
      <c r="M3540" s="70">
        <v>0.553973048948584</v>
      </c>
      <c r="N3540" s="70">
        <v>0.553973048948584</v>
      </c>
      <c r="O3540" s="70">
        <v>0.480374934662571</v>
      </c>
      <c r="P3540" s="70">
        <v>0.480374934662571</v>
      </c>
    </row>
    <row r="3541" hidden="1">
      <c r="A3541" s="67" t="s">
        <v>4301</v>
      </c>
      <c r="B3541" s="67" t="s">
        <v>17</v>
      </c>
      <c r="C3541" s="68">
        <v>1.0</v>
      </c>
      <c r="D3541" s="68">
        <v>1.0</v>
      </c>
      <c r="E3541" s="68">
        <v>9.0</v>
      </c>
      <c r="F3541" s="68">
        <v>4.0</v>
      </c>
      <c r="G3541" s="68">
        <v>1.12310510498098</v>
      </c>
      <c r="H3541" s="68">
        <v>1.92800314989935</v>
      </c>
      <c r="I3541" s="69">
        <v>44309.41972222222</v>
      </c>
      <c r="J3541" s="69">
        <v>44309.41976851852</v>
      </c>
      <c r="K3541">
        <f>AVERAGE(H3537:H3541)</f>
        <v>116.956704</v>
      </c>
      <c r="L3541">
        <f>STDEV(H3537:H3541)</f>
        <v>116.682208</v>
      </c>
      <c r="M3541" s="70">
        <v>1.92800314989935</v>
      </c>
      <c r="N3541" s="70">
        <v>1.92800314989935</v>
      </c>
      <c r="O3541" s="70">
        <v>1.12310510498098</v>
      </c>
      <c r="P3541" s="70">
        <v>1.12310510498098</v>
      </c>
    </row>
    <row r="3542" hidden="1">
      <c r="A3542" s="67" t="s">
        <v>4302</v>
      </c>
      <c r="B3542" s="67" t="s">
        <v>268</v>
      </c>
      <c r="C3542" s="68">
        <v>0.1</v>
      </c>
      <c r="D3542" s="68">
        <v>0.1</v>
      </c>
      <c r="E3542" s="68">
        <v>9.0</v>
      </c>
      <c r="F3542" s="68">
        <v>0.0</v>
      </c>
      <c r="G3542" s="68">
        <v>2.80931681715433</v>
      </c>
      <c r="H3542" s="68">
        <v>133.276208113347</v>
      </c>
      <c r="I3542" s="69">
        <v>44309.50003472222</v>
      </c>
      <c r="J3542" s="69">
        <v>44309.629375</v>
      </c>
      <c r="K3542">
        <f>AVERAGE(H3542:H3546)</f>
        <v>93.92891655</v>
      </c>
      <c r="L3542">
        <f>STDEV(H3542:H3546)</f>
        <v>130.4895694</v>
      </c>
      <c r="M3542" s="70">
        <v>133.276208113347</v>
      </c>
      <c r="N3542" s="70">
        <v>133.276208113347</v>
      </c>
      <c r="O3542" s="70">
        <v>2.80931681715433</v>
      </c>
      <c r="P3542" s="70">
        <v>2.80931681715433</v>
      </c>
    </row>
    <row r="3543" hidden="1">
      <c r="A3543" s="67" t="s">
        <v>4303</v>
      </c>
      <c r="B3543" s="67" t="s">
        <v>268</v>
      </c>
      <c r="C3543" s="68">
        <v>0.1</v>
      </c>
      <c r="D3543" s="68">
        <v>0.1</v>
      </c>
      <c r="E3543" s="68">
        <v>9.0</v>
      </c>
      <c r="F3543" s="68">
        <v>1.0</v>
      </c>
      <c r="G3543" s="68">
        <v>1.07991001504809</v>
      </c>
      <c r="H3543" s="68">
        <v>1.4504242499467</v>
      </c>
      <c r="I3543" s="69">
        <v>44309.63006944444</v>
      </c>
      <c r="J3543" s="69">
        <v>44309.63024305556</v>
      </c>
      <c r="K3543">
        <f>AVERAGE(H3542:H3546)</f>
        <v>93.92891655</v>
      </c>
      <c r="L3543">
        <f>STDEV(H3542:H3546)</f>
        <v>130.4895694</v>
      </c>
      <c r="M3543" s="70">
        <v>1.4504242499467</v>
      </c>
      <c r="N3543" s="70">
        <v>1.4504242499467</v>
      </c>
      <c r="O3543" s="70">
        <v>1.07991001504809</v>
      </c>
      <c r="P3543" s="70">
        <v>1.07991001504809</v>
      </c>
    </row>
    <row r="3544" hidden="1">
      <c r="A3544" s="67" t="s">
        <v>4304</v>
      </c>
      <c r="B3544" s="67" t="s">
        <v>268</v>
      </c>
      <c r="C3544" s="68">
        <v>0.1</v>
      </c>
      <c r="D3544" s="68">
        <v>0.1</v>
      </c>
      <c r="E3544" s="68">
        <v>9.0</v>
      </c>
      <c r="F3544" s="68">
        <v>2.0</v>
      </c>
      <c r="G3544" s="68">
        <v>0.712368747006467</v>
      </c>
      <c r="H3544" s="68">
        <v>0.949250738237319</v>
      </c>
      <c r="I3544" s="69">
        <v>44309.6309375</v>
      </c>
      <c r="J3544" s="69">
        <v>44309.63133101852</v>
      </c>
      <c r="K3544">
        <f>AVERAGE(H3542:H3546)</f>
        <v>93.92891655</v>
      </c>
      <c r="L3544">
        <f>STDEV(H3542:H3546)</f>
        <v>130.4895694</v>
      </c>
      <c r="M3544" s="70">
        <v>0.949250738237319</v>
      </c>
      <c r="N3544" s="70">
        <v>0.949250738237319</v>
      </c>
      <c r="O3544" s="70">
        <v>0.712368747006467</v>
      </c>
      <c r="P3544" s="70">
        <v>0.712368747006467</v>
      </c>
    </row>
    <row r="3545" hidden="1">
      <c r="A3545" s="67" t="s">
        <v>4305</v>
      </c>
      <c r="B3545" s="67" t="s">
        <v>268</v>
      </c>
      <c r="C3545" s="68">
        <v>0.1</v>
      </c>
      <c r="D3545" s="68">
        <v>0.1</v>
      </c>
      <c r="E3545" s="68">
        <v>9.0</v>
      </c>
      <c r="F3545" s="68">
        <v>3.0</v>
      </c>
      <c r="G3545" s="68">
        <v>1.71733579872552</v>
      </c>
      <c r="H3545" s="68">
        <v>27.8976518516246</v>
      </c>
      <c r="I3545" s="69">
        <v>44309.63202546296</v>
      </c>
      <c r="J3545" s="69">
        <v>44309.63348379629</v>
      </c>
      <c r="K3545">
        <f>AVERAGE(H3542:H3546)</f>
        <v>93.92891655</v>
      </c>
      <c r="L3545">
        <f>STDEV(H3542:H3546)</f>
        <v>130.4895694</v>
      </c>
      <c r="M3545" s="70">
        <v>27.8976518516246</v>
      </c>
      <c r="N3545" s="70">
        <v>27.8976518516246</v>
      </c>
      <c r="O3545" s="70">
        <v>1.71733579872552</v>
      </c>
      <c r="P3545" s="70">
        <v>1.71733579872552</v>
      </c>
    </row>
    <row r="3546" hidden="1">
      <c r="A3546" s="67" t="s">
        <v>4306</v>
      </c>
      <c r="B3546" s="67" t="s">
        <v>268</v>
      </c>
      <c r="C3546" s="68">
        <v>0.1</v>
      </c>
      <c r="D3546" s="68">
        <v>0.1</v>
      </c>
      <c r="E3546" s="68">
        <v>9.0</v>
      </c>
      <c r="F3546" s="68">
        <v>4.0</v>
      </c>
      <c r="G3546" s="68">
        <v>9.14307240206893</v>
      </c>
      <c r="H3546" s="68">
        <v>306.071047773269</v>
      </c>
      <c r="I3546" s="69">
        <v>44309.63417824074</v>
      </c>
      <c r="J3546" s="69">
        <v>44309.63706018519</v>
      </c>
      <c r="K3546">
        <f>AVERAGE(H3542:H3546)</f>
        <v>93.92891655</v>
      </c>
      <c r="L3546">
        <f>STDEV(H3542:H3546)</f>
        <v>130.4895694</v>
      </c>
      <c r="M3546" s="70">
        <v>306.071047773269</v>
      </c>
      <c r="N3546" s="70">
        <v>306.071047773269</v>
      </c>
      <c r="O3546" s="70">
        <v>9.14307240206893</v>
      </c>
      <c r="P3546" s="70">
        <v>9.14307240206893</v>
      </c>
    </row>
    <row r="3547" hidden="1">
      <c r="A3547" s="67" t="s">
        <v>4307</v>
      </c>
      <c r="B3547" s="67" t="s">
        <v>268</v>
      </c>
      <c r="C3547" s="68">
        <v>0.1</v>
      </c>
      <c r="D3547" s="68">
        <v>0.25</v>
      </c>
      <c r="E3547" s="68">
        <v>9.0</v>
      </c>
      <c r="F3547" s="68">
        <v>0.0</v>
      </c>
      <c r="G3547" s="68">
        <v>4.96910126788719</v>
      </c>
      <c r="H3547" s="68">
        <v>155.376812731412</v>
      </c>
      <c r="I3547" s="69">
        <v>44309.63775462963</v>
      </c>
      <c r="J3547" s="69">
        <v>44309.63788194444</v>
      </c>
      <c r="K3547">
        <f>AVERAGE(H3547:H3551)</f>
        <v>154.0688058</v>
      </c>
      <c r="L3547">
        <f>STDEV(H3547:H3551)</f>
        <v>98.44147491</v>
      </c>
      <c r="M3547" s="70">
        <v>155.376812731412</v>
      </c>
      <c r="N3547" s="70">
        <v>155.376812731412</v>
      </c>
      <c r="O3547" s="70">
        <v>4.96910126788719</v>
      </c>
      <c r="P3547" s="70">
        <v>4.96910126788719</v>
      </c>
    </row>
    <row r="3548" hidden="1">
      <c r="A3548" s="67" t="s">
        <v>4308</v>
      </c>
      <c r="B3548" s="67" t="s">
        <v>268</v>
      </c>
      <c r="C3548" s="68">
        <v>0.1</v>
      </c>
      <c r="D3548" s="68">
        <v>0.25</v>
      </c>
      <c r="E3548" s="68">
        <v>9.0</v>
      </c>
      <c r="F3548" s="68">
        <v>1.0</v>
      </c>
      <c r="G3548" s="68">
        <v>7.87898490395255</v>
      </c>
      <c r="H3548" s="68">
        <v>280.863024938923</v>
      </c>
      <c r="I3548" s="69">
        <v>44309.63857638889</v>
      </c>
      <c r="J3548" s="69">
        <v>44309.639085648145</v>
      </c>
      <c r="K3548">
        <f>AVERAGE(H3547:H3551)</f>
        <v>154.0688058</v>
      </c>
      <c r="L3548">
        <f>STDEV(H3547:H3551)</f>
        <v>98.44147491</v>
      </c>
      <c r="M3548" s="70">
        <v>280.863024938923</v>
      </c>
      <c r="N3548" s="70">
        <v>280.863024938923</v>
      </c>
      <c r="O3548" s="70">
        <v>7.87898490395255</v>
      </c>
      <c r="P3548" s="70">
        <v>7.87898490395255</v>
      </c>
    </row>
    <row r="3549" hidden="1">
      <c r="A3549" s="67" t="s">
        <v>4309</v>
      </c>
      <c r="B3549" s="67" t="s">
        <v>268</v>
      </c>
      <c r="C3549" s="68">
        <v>0.1</v>
      </c>
      <c r="D3549" s="68">
        <v>0.25</v>
      </c>
      <c r="E3549" s="68">
        <v>9.0</v>
      </c>
      <c r="F3549" s="68">
        <v>2.0</v>
      </c>
      <c r="G3549" s="68">
        <v>4.0170984010771</v>
      </c>
      <c r="H3549" s="68">
        <v>181.340607903361</v>
      </c>
      <c r="I3549" s="69">
        <v>44309.63978009259</v>
      </c>
      <c r="J3549" s="69">
        <v>44309.706608796296</v>
      </c>
      <c r="K3549">
        <f>AVERAGE(H3547:H3551)</f>
        <v>154.0688058</v>
      </c>
      <c r="L3549">
        <f>STDEV(H3547:H3551)</f>
        <v>98.44147491</v>
      </c>
      <c r="M3549" s="70">
        <v>181.340607903361</v>
      </c>
      <c r="N3549" s="70">
        <v>181.340607903361</v>
      </c>
      <c r="O3549" s="70">
        <v>4.0170984010771</v>
      </c>
      <c r="P3549" s="70">
        <v>4.0170984010771</v>
      </c>
    </row>
    <row r="3550" hidden="1">
      <c r="A3550" s="67" t="s">
        <v>4310</v>
      </c>
      <c r="B3550" s="67" t="s">
        <v>268</v>
      </c>
      <c r="C3550" s="68">
        <v>0.1</v>
      </c>
      <c r="D3550" s="68">
        <v>0.25</v>
      </c>
      <c r="E3550" s="68">
        <v>9.0</v>
      </c>
      <c r="F3550" s="68">
        <v>3.0</v>
      </c>
      <c r="G3550" s="68">
        <v>3.60029974963885</v>
      </c>
      <c r="H3550" s="68">
        <v>146.631757816951</v>
      </c>
      <c r="I3550" s="69">
        <v>44309.70730324074</v>
      </c>
      <c r="J3550" s="69">
        <v>44309.70878472222</v>
      </c>
      <c r="K3550">
        <f>AVERAGE(H3547:H3551)</f>
        <v>154.0688058</v>
      </c>
      <c r="L3550">
        <f>STDEV(H3547:H3551)</f>
        <v>98.44147491</v>
      </c>
      <c r="M3550" s="70">
        <v>146.631757816951</v>
      </c>
      <c r="N3550" s="70">
        <v>146.631757816951</v>
      </c>
      <c r="O3550" s="70">
        <v>3.60029974963885</v>
      </c>
      <c r="P3550" s="70">
        <v>3.60029974963885</v>
      </c>
    </row>
    <row r="3551" hidden="1">
      <c r="A3551" s="67" t="s">
        <v>4311</v>
      </c>
      <c r="B3551" s="67" t="s">
        <v>268</v>
      </c>
      <c r="C3551" s="68">
        <v>0.1</v>
      </c>
      <c r="D3551" s="68">
        <v>0.25</v>
      </c>
      <c r="E3551" s="68">
        <v>9.0</v>
      </c>
      <c r="F3551" s="68">
        <v>4.0</v>
      </c>
      <c r="G3551" s="68">
        <v>1.02339072694124</v>
      </c>
      <c r="H3551" s="68">
        <v>6.1318254000559</v>
      </c>
      <c r="I3551" s="69">
        <v>44309.70947916667</v>
      </c>
      <c r="J3551" s="69">
        <v>44309.719375</v>
      </c>
      <c r="K3551">
        <f>AVERAGE(H3547:H3551)</f>
        <v>154.0688058</v>
      </c>
      <c r="L3551">
        <f>STDEV(H3547:H3551)</f>
        <v>98.44147491</v>
      </c>
      <c r="M3551" s="70">
        <v>6.1318254000559</v>
      </c>
      <c r="N3551" s="70">
        <v>6.1318254000559</v>
      </c>
      <c r="O3551" s="70">
        <v>1.02339072694124</v>
      </c>
      <c r="P3551" s="70">
        <v>1.02339072694124</v>
      </c>
    </row>
    <row r="3552" hidden="1">
      <c r="A3552" s="67" t="s">
        <v>4312</v>
      </c>
      <c r="B3552" s="67" t="s">
        <v>268</v>
      </c>
      <c r="C3552" s="68">
        <v>0.1</v>
      </c>
      <c r="D3552" s="68">
        <v>0.5</v>
      </c>
      <c r="E3552" s="68">
        <v>9.0</v>
      </c>
      <c r="F3552" s="68">
        <v>0.0</v>
      </c>
      <c r="G3552" s="68">
        <v>0.712368747006467</v>
      </c>
      <c r="H3552" s="68">
        <v>0.949250738237319</v>
      </c>
      <c r="I3552" s="69">
        <v>44309.72006944445</v>
      </c>
      <c r="J3552" s="69">
        <v>44309.720497685186</v>
      </c>
      <c r="K3552">
        <f>AVERAGE(H3552:H3556)</f>
        <v>71.76293641</v>
      </c>
      <c r="L3552">
        <f>STDEV(H3552:H3556)</f>
        <v>97.12490744</v>
      </c>
      <c r="M3552" s="70">
        <v>0.949250738237319</v>
      </c>
      <c r="N3552" s="70">
        <v>0.949250738237319</v>
      </c>
      <c r="O3552" s="70">
        <v>0.712368747006467</v>
      </c>
      <c r="P3552" s="70">
        <v>0.712368747006467</v>
      </c>
    </row>
    <row r="3553" hidden="1">
      <c r="A3553" s="67" t="s">
        <v>4313</v>
      </c>
      <c r="B3553" s="67" t="s">
        <v>268</v>
      </c>
      <c r="C3553" s="68">
        <v>0.1</v>
      </c>
      <c r="D3553" s="68">
        <v>0.5</v>
      </c>
      <c r="E3553" s="68">
        <v>9.0</v>
      </c>
      <c r="F3553" s="68">
        <v>1.0</v>
      </c>
      <c r="G3553" s="68">
        <v>6.02984202233938</v>
      </c>
      <c r="H3553" s="68">
        <v>186.938741694307</v>
      </c>
      <c r="I3553" s="69">
        <v>44309.72119212963</v>
      </c>
      <c r="J3553" s="69">
        <v>44309.721296296295</v>
      </c>
      <c r="K3553">
        <f>AVERAGE(H3552:H3556)</f>
        <v>71.76293641</v>
      </c>
      <c r="L3553">
        <f>STDEV(H3552:H3556)</f>
        <v>97.12490744</v>
      </c>
      <c r="M3553" s="70">
        <v>186.938741694307</v>
      </c>
      <c r="N3553" s="70">
        <v>186.938741694307</v>
      </c>
      <c r="O3553" s="70">
        <v>6.02984202233938</v>
      </c>
      <c r="P3553" s="70">
        <v>6.02984202233938</v>
      </c>
    </row>
    <row r="3554" hidden="1">
      <c r="A3554" s="67" t="s">
        <v>4314</v>
      </c>
      <c r="B3554" s="67" t="s">
        <v>268</v>
      </c>
      <c r="C3554" s="68">
        <v>0.1</v>
      </c>
      <c r="D3554" s="68">
        <v>0.5</v>
      </c>
      <c r="E3554" s="68">
        <v>9.0</v>
      </c>
      <c r="F3554" s="68">
        <v>2.0</v>
      </c>
      <c r="G3554" s="68">
        <v>3.74116725100814</v>
      </c>
      <c r="H3554" s="68">
        <v>168.917659815372</v>
      </c>
      <c r="I3554" s="69">
        <v>44309.72199074074</v>
      </c>
      <c r="J3554" s="69">
        <v>44309.89268518519</v>
      </c>
      <c r="K3554">
        <f>AVERAGE(H3552:H3556)</f>
        <v>71.76293641</v>
      </c>
      <c r="L3554">
        <f>STDEV(H3552:H3556)</f>
        <v>97.12490744</v>
      </c>
      <c r="M3554" s="70">
        <v>168.917659815372</v>
      </c>
      <c r="N3554" s="70">
        <v>168.917659815372</v>
      </c>
      <c r="O3554" s="70">
        <v>3.74116725100814</v>
      </c>
      <c r="P3554" s="70">
        <v>3.74116725100814</v>
      </c>
    </row>
    <row r="3555" hidden="1">
      <c r="A3555" s="67" t="s">
        <v>4315</v>
      </c>
      <c r="B3555" s="67" t="s">
        <v>268</v>
      </c>
      <c r="C3555" s="68">
        <v>0.1</v>
      </c>
      <c r="D3555" s="68">
        <v>0.5</v>
      </c>
      <c r="E3555" s="68">
        <v>9.0</v>
      </c>
      <c r="F3555" s="68">
        <v>3.0</v>
      </c>
      <c r="G3555" s="68">
        <v>0.466302059947925</v>
      </c>
      <c r="H3555" s="68">
        <v>0.558605536113522</v>
      </c>
      <c r="I3555" s="69">
        <v>44309.893379629626</v>
      </c>
      <c r="J3555" s="69">
        <v>44309.893738425926</v>
      </c>
      <c r="K3555">
        <f>AVERAGE(H3552:H3556)</f>
        <v>71.76293641</v>
      </c>
      <c r="L3555">
        <f>STDEV(H3552:H3556)</f>
        <v>97.12490744</v>
      </c>
      <c r="M3555" s="70">
        <v>0.558605536113522</v>
      </c>
      <c r="N3555" s="70">
        <v>0.558605536113522</v>
      </c>
      <c r="O3555" s="70">
        <v>0.466302059947925</v>
      </c>
      <c r="P3555" s="70">
        <v>0.466302059947925</v>
      </c>
    </row>
    <row r="3556" hidden="1">
      <c r="A3556" s="67" t="s">
        <v>4316</v>
      </c>
      <c r="B3556" s="67" t="s">
        <v>268</v>
      </c>
      <c r="C3556" s="68">
        <v>0.1</v>
      </c>
      <c r="D3556" s="68">
        <v>0.5</v>
      </c>
      <c r="E3556" s="68">
        <v>9.0</v>
      </c>
      <c r="F3556" s="68">
        <v>4.0</v>
      </c>
      <c r="G3556" s="68">
        <v>1.07991001504809</v>
      </c>
      <c r="H3556" s="68">
        <v>1.4504242499467</v>
      </c>
      <c r="I3556" s="69">
        <v>44309.89443287037</v>
      </c>
      <c r="J3556" s="69">
        <v>44309.894641203704</v>
      </c>
      <c r="K3556">
        <f>AVERAGE(H3552:H3556)</f>
        <v>71.76293641</v>
      </c>
      <c r="L3556">
        <f>STDEV(H3552:H3556)</f>
        <v>97.12490744</v>
      </c>
      <c r="M3556" s="70">
        <v>1.4504242499467</v>
      </c>
      <c r="N3556" s="70">
        <v>1.4504242499467</v>
      </c>
      <c r="O3556" s="70">
        <v>1.07991001504809</v>
      </c>
      <c r="P3556" s="70">
        <v>1.07991001504809</v>
      </c>
    </row>
    <row r="3557" hidden="1">
      <c r="A3557" s="67" t="s">
        <v>4317</v>
      </c>
      <c r="B3557" s="67" t="s">
        <v>268</v>
      </c>
      <c r="C3557" s="68">
        <v>0.1</v>
      </c>
      <c r="D3557" s="68">
        <v>0.75</v>
      </c>
      <c r="E3557" s="68">
        <v>9.0</v>
      </c>
      <c r="F3557" s="68">
        <v>0.0</v>
      </c>
      <c r="G3557" s="68">
        <v>1.07991001504809</v>
      </c>
      <c r="H3557" s="68">
        <v>1.4504242499467</v>
      </c>
      <c r="I3557" s="69">
        <v>44309.89533564815</v>
      </c>
      <c r="J3557" s="69">
        <v>44309.89555555556</v>
      </c>
      <c r="K3557">
        <f>AVERAGE(H3557:H3561)</f>
        <v>69.97695516</v>
      </c>
      <c r="L3557">
        <f>STDEV(H3557:H3561)</f>
        <v>90.51465386</v>
      </c>
      <c r="M3557" s="70">
        <v>1.4504242499467</v>
      </c>
      <c r="N3557" s="70">
        <v>1.4504242499467</v>
      </c>
      <c r="O3557" s="70">
        <v>1.07991001504809</v>
      </c>
      <c r="P3557" s="70">
        <v>1.07991001504809</v>
      </c>
    </row>
    <row r="3558" hidden="1">
      <c r="A3558" s="67" t="s">
        <v>4318</v>
      </c>
      <c r="B3558" s="67" t="s">
        <v>268</v>
      </c>
      <c r="C3558" s="68">
        <v>0.1</v>
      </c>
      <c r="D3558" s="68">
        <v>0.75</v>
      </c>
      <c r="E3558" s="68">
        <v>9.0</v>
      </c>
      <c r="F3558" s="68">
        <v>1.0</v>
      </c>
      <c r="G3558" s="68">
        <v>4.81160778286352</v>
      </c>
      <c r="H3558" s="68">
        <v>199.175010591016</v>
      </c>
      <c r="I3558" s="69">
        <v>44309.89625</v>
      </c>
      <c r="J3558" s="69">
        <v>44309.9775</v>
      </c>
      <c r="K3558">
        <f>AVERAGE(H3557:H3561)</f>
        <v>69.97695516</v>
      </c>
      <c r="L3558">
        <f>STDEV(H3557:H3561)</f>
        <v>90.51465386</v>
      </c>
      <c r="M3558" s="70">
        <v>199.175010591016</v>
      </c>
      <c r="N3558" s="70">
        <v>199.175010591016</v>
      </c>
      <c r="O3558" s="70">
        <v>4.81160778286352</v>
      </c>
      <c r="P3558" s="70">
        <v>4.81160778286352</v>
      </c>
    </row>
    <row r="3559" hidden="1">
      <c r="A3559" s="67" t="s">
        <v>4319</v>
      </c>
      <c r="B3559" s="67" t="s">
        <v>268</v>
      </c>
      <c r="C3559" s="68">
        <v>0.1</v>
      </c>
      <c r="D3559" s="68">
        <v>0.75</v>
      </c>
      <c r="E3559" s="68">
        <v>9.0</v>
      </c>
      <c r="F3559" s="68">
        <v>2.0</v>
      </c>
      <c r="G3559" s="68">
        <v>0.713311689441959</v>
      </c>
      <c r="H3559" s="68">
        <v>0.950368262484342</v>
      </c>
      <c r="I3559" s="69">
        <v>44309.97819444445</v>
      </c>
      <c r="J3559" s="69">
        <v>44309.97866898148</v>
      </c>
      <c r="K3559">
        <f>AVERAGE(H3557:H3561)</f>
        <v>69.97695516</v>
      </c>
      <c r="L3559">
        <f>STDEV(H3557:H3561)</f>
        <v>90.51465386</v>
      </c>
      <c r="M3559" s="70">
        <v>0.950368262484342</v>
      </c>
      <c r="N3559" s="70">
        <v>0.950368262484342</v>
      </c>
      <c r="O3559" s="70">
        <v>0.713311689441959</v>
      </c>
      <c r="P3559" s="70">
        <v>0.713311689441959</v>
      </c>
    </row>
    <row r="3560" hidden="1">
      <c r="A3560" s="67" t="s">
        <v>4320</v>
      </c>
      <c r="B3560" s="67" t="s">
        <v>268</v>
      </c>
      <c r="C3560" s="68">
        <v>0.1</v>
      </c>
      <c r="D3560" s="68">
        <v>0.75</v>
      </c>
      <c r="E3560" s="68">
        <v>9.0</v>
      </c>
      <c r="F3560" s="68">
        <v>3.0</v>
      </c>
      <c r="G3560" s="68">
        <v>2.47943946416247</v>
      </c>
      <c r="H3560" s="68">
        <v>131.530500737276</v>
      </c>
      <c r="I3560" s="69">
        <v>44309.979363425926</v>
      </c>
      <c r="J3560" s="69">
        <v>44309.979837962965</v>
      </c>
      <c r="K3560">
        <f>AVERAGE(H3557:H3561)</f>
        <v>69.97695516</v>
      </c>
      <c r="L3560">
        <f>STDEV(H3557:H3561)</f>
        <v>90.51465386</v>
      </c>
      <c r="M3560" s="70">
        <v>131.530500737276</v>
      </c>
      <c r="N3560" s="70">
        <v>131.530500737276</v>
      </c>
      <c r="O3560" s="70">
        <v>2.47943946416247</v>
      </c>
      <c r="P3560" s="70">
        <v>2.47943946416247</v>
      </c>
    </row>
    <row r="3561" hidden="1">
      <c r="A3561" s="67" t="s">
        <v>4321</v>
      </c>
      <c r="B3561" s="67" t="s">
        <v>268</v>
      </c>
      <c r="C3561" s="68">
        <v>0.1</v>
      </c>
      <c r="D3561" s="68">
        <v>0.75</v>
      </c>
      <c r="E3561" s="68">
        <v>9.0</v>
      </c>
      <c r="F3561" s="68">
        <v>4.0</v>
      </c>
      <c r="G3561" s="68">
        <v>1.07538784404995</v>
      </c>
      <c r="H3561" s="68">
        <v>16.7784719492724</v>
      </c>
      <c r="I3561" s="69">
        <v>44309.980532407404</v>
      </c>
      <c r="J3561" s="69">
        <v>44309.992314814815</v>
      </c>
      <c r="K3561">
        <f>AVERAGE(H3557:H3561)</f>
        <v>69.97695516</v>
      </c>
      <c r="L3561">
        <f>STDEV(H3557:H3561)</f>
        <v>90.51465386</v>
      </c>
      <c r="M3561" s="70">
        <v>16.7784719492724</v>
      </c>
      <c r="N3561" s="70">
        <v>16.7784719492724</v>
      </c>
      <c r="O3561" s="70">
        <v>1.07538784404995</v>
      </c>
      <c r="P3561" s="70">
        <v>1.07538784404995</v>
      </c>
    </row>
    <row r="3562" hidden="1">
      <c r="A3562" s="67" t="s">
        <v>4322</v>
      </c>
      <c r="B3562" s="67" t="s">
        <v>268</v>
      </c>
      <c r="C3562" s="68">
        <v>0.1</v>
      </c>
      <c r="D3562" s="68">
        <v>1.0</v>
      </c>
      <c r="E3562" s="68">
        <v>9.0</v>
      </c>
      <c r="F3562" s="68">
        <v>0.0</v>
      </c>
      <c r="G3562" s="68">
        <v>2.67972858598956</v>
      </c>
      <c r="H3562" s="68">
        <v>124.630614015964</v>
      </c>
      <c r="I3562" s="69">
        <v>44296.102060185185</v>
      </c>
      <c r="J3562" s="69">
        <v>44296.213784722226</v>
      </c>
      <c r="K3562">
        <f>AVERAGE(H3562:H3566)</f>
        <v>139.2725143</v>
      </c>
      <c r="L3562">
        <f>STDEV(H3562:H3566)</f>
        <v>142.7006115</v>
      </c>
      <c r="M3562" s="70">
        <v>124.630614015964</v>
      </c>
      <c r="N3562" s="70">
        <v>124.630614015964</v>
      </c>
      <c r="O3562" s="70">
        <v>2.67972858598956</v>
      </c>
      <c r="P3562" s="70">
        <v>2.67972858598956</v>
      </c>
    </row>
    <row r="3563" hidden="1">
      <c r="A3563" s="67" t="s">
        <v>4323</v>
      </c>
      <c r="B3563" s="67" t="s">
        <v>268</v>
      </c>
      <c r="C3563" s="68">
        <v>0.1</v>
      </c>
      <c r="D3563" s="68">
        <v>1.0</v>
      </c>
      <c r="E3563" s="68">
        <v>9.0</v>
      </c>
      <c r="F3563" s="68">
        <v>1.0</v>
      </c>
      <c r="G3563" s="68">
        <v>7.95372730125129</v>
      </c>
      <c r="H3563" s="68">
        <v>282.340413795423</v>
      </c>
      <c r="I3563" s="69">
        <v>44296.214479166665</v>
      </c>
      <c r="J3563" s="69">
        <v>44296.21502314815</v>
      </c>
      <c r="K3563">
        <f>AVERAGE(H3562:H3566)</f>
        <v>139.2725143</v>
      </c>
      <c r="L3563">
        <f>STDEV(H3562:H3566)</f>
        <v>142.7006115</v>
      </c>
      <c r="M3563" s="70">
        <v>282.340413795423</v>
      </c>
      <c r="N3563" s="70">
        <v>282.340413795423</v>
      </c>
      <c r="O3563" s="70">
        <v>7.95372730125129</v>
      </c>
      <c r="P3563" s="70">
        <v>7.95372730125129</v>
      </c>
    </row>
    <row r="3564" hidden="1">
      <c r="A3564" s="67" t="s">
        <v>4324</v>
      </c>
      <c r="B3564" s="67" t="s">
        <v>268</v>
      </c>
      <c r="C3564" s="68">
        <v>0.1</v>
      </c>
      <c r="D3564" s="68">
        <v>1.0</v>
      </c>
      <c r="E3564" s="68">
        <v>9.0</v>
      </c>
      <c r="F3564" s="68">
        <v>2.0</v>
      </c>
      <c r="G3564" s="68">
        <v>8.27227496991257</v>
      </c>
      <c r="H3564" s="68">
        <v>288.424420142986</v>
      </c>
      <c r="I3564" s="69">
        <v>44296.21571759259</v>
      </c>
      <c r="J3564" s="69">
        <v>44296.218680555554</v>
      </c>
      <c r="K3564">
        <f>AVERAGE(H3562:H3566)</f>
        <v>139.2725143</v>
      </c>
      <c r="L3564">
        <f>STDEV(H3562:H3566)</f>
        <v>142.7006115</v>
      </c>
      <c r="M3564" s="70">
        <v>288.424420142986</v>
      </c>
      <c r="N3564" s="70">
        <v>288.424420142986</v>
      </c>
      <c r="O3564" s="70">
        <v>8.27227496991257</v>
      </c>
      <c r="P3564" s="70">
        <v>8.27227496991257</v>
      </c>
    </row>
    <row r="3565" hidden="1">
      <c r="A3565" s="67" t="s">
        <v>4325</v>
      </c>
      <c r="B3565" s="67" t="s">
        <v>268</v>
      </c>
      <c r="C3565" s="68">
        <v>0.1</v>
      </c>
      <c r="D3565" s="68">
        <v>1.0</v>
      </c>
      <c r="E3565" s="68">
        <v>9.0</v>
      </c>
      <c r="F3565" s="68">
        <v>3.0</v>
      </c>
      <c r="G3565" s="68">
        <v>0.319096105615425</v>
      </c>
      <c r="H3565" s="68">
        <v>0.408517979006142</v>
      </c>
      <c r="I3565" s="69">
        <v>44296.219375</v>
      </c>
      <c r="J3565" s="69">
        <v>44296.21947916667</v>
      </c>
      <c r="K3565">
        <f>AVERAGE(H3562:H3566)</f>
        <v>139.2725143</v>
      </c>
      <c r="L3565">
        <f>STDEV(H3562:H3566)</f>
        <v>142.7006115</v>
      </c>
      <c r="M3565" s="70">
        <v>0.408517979006142</v>
      </c>
      <c r="N3565" s="70">
        <v>0.408517979006142</v>
      </c>
      <c r="O3565" s="70">
        <v>0.319096105615425</v>
      </c>
      <c r="P3565" s="70">
        <v>0.319096105615425</v>
      </c>
    </row>
    <row r="3566" hidden="1">
      <c r="A3566" s="67" t="s">
        <v>4326</v>
      </c>
      <c r="B3566" s="67" t="s">
        <v>268</v>
      </c>
      <c r="C3566" s="68">
        <v>0.1</v>
      </c>
      <c r="D3566" s="68">
        <v>1.0</v>
      </c>
      <c r="E3566" s="68">
        <v>9.0</v>
      </c>
      <c r="F3566" s="68">
        <v>4.0</v>
      </c>
      <c r="G3566" s="68">
        <v>0.466302059947925</v>
      </c>
      <c r="H3566" s="68">
        <v>0.558605536113522</v>
      </c>
      <c r="I3566" s="69">
        <v>44296.22017361111</v>
      </c>
      <c r="J3566" s="69">
        <v>44296.2205787037</v>
      </c>
      <c r="K3566">
        <f>AVERAGE(H3562:H3566)</f>
        <v>139.2725143</v>
      </c>
      <c r="L3566">
        <f>STDEV(H3562:H3566)</f>
        <v>142.7006115</v>
      </c>
      <c r="M3566" s="70">
        <v>0.558605536113522</v>
      </c>
      <c r="N3566" s="70">
        <v>0.558605536113522</v>
      </c>
      <c r="O3566" s="70">
        <v>0.466302059947925</v>
      </c>
      <c r="P3566" s="70">
        <v>0.466302059947925</v>
      </c>
    </row>
    <row r="3567" hidden="1">
      <c r="A3567" s="67" t="s">
        <v>4327</v>
      </c>
      <c r="B3567" s="67" t="s">
        <v>268</v>
      </c>
      <c r="C3567" s="68">
        <v>0.25</v>
      </c>
      <c r="D3567" s="68">
        <v>0.1</v>
      </c>
      <c r="E3567" s="68">
        <v>9.0</v>
      </c>
      <c r="F3567" s="68">
        <v>0.0</v>
      </c>
      <c r="G3567" s="68">
        <v>0.71205655889852</v>
      </c>
      <c r="H3567" s="68">
        <v>0.948977832482219</v>
      </c>
      <c r="I3567" s="69">
        <v>44309.99300925926</v>
      </c>
      <c r="J3567" s="69">
        <v>44309.99344907407</v>
      </c>
      <c r="K3567">
        <f>AVERAGE(H3567:H3571)</f>
        <v>96.08743013</v>
      </c>
      <c r="L3567">
        <f>STDEV(H3567:H3571)</f>
        <v>80.12362055</v>
      </c>
      <c r="M3567" s="70">
        <v>0.948977832482219</v>
      </c>
      <c r="N3567" s="70">
        <v>0.948977832482219</v>
      </c>
      <c r="O3567" s="70">
        <v>0.71205655889852</v>
      </c>
      <c r="P3567" s="70">
        <v>0.71205655889852</v>
      </c>
    </row>
    <row r="3568" hidden="1">
      <c r="A3568" s="67" t="s">
        <v>4328</v>
      </c>
      <c r="B3568" s="67" t="s">
        <v>268</v>
      </c>
      <c r="C3568" s="68">
        <v>0.25</v>
      </c>
      <c r="D3568" s="68">
        <v>0.1</v>
      </c>
      <c r="E3568" s="68">
        <v>9.0</v>
      </c>
      <c r="F3568" s="68">
        <v>1.0</v>
      </c>
      <c r="G3568" s="68">
        <v>1.36801712902193</v>
      </c>
      <c r="H3568" s="68">
        <v>19.1006829164868</v>
      </c>
      <c r="I3568" s="69">
        <v>44309.99414351852</v>
      </c>
      <c r="J3568" s="69">
        <v>44309.995717592596</v>
      </c>
      <c r="K3568">
        <f>AVERAGE(H3567:H3571)</f>
        <v>96.08743013</v>
      </c>
      <c r="L3568">
        <f>STDEV(H3567:H3571)</f>
        <v>80.12362055</v>
      </c>
      <c r="M3568" s="70">
        <v>19.1006829164868</v>
      </c>
      <c r="N3568" s="70">
        <v>19.1006829164868</v>
      </c>
      <c r="O3568" s="70">
        <v>1.36801712902193</v>
      </c>
      <c r="P3568" s="70">
        <v>1.36801712902193</v>
      </c>
    </row>
    <row r="3569" hidden="1">
      <c r="A3569" s="67" t="s">
        <v>4329</v>
      </c>
      <c r="B3569" s="67" t="s">
        <v>268</v>
      </c>
      <c r="C3569" s="68">
        <v>0.25</v>
      </c>
      <c r="D3569" s="68">
        <v>0.1</v>
      </c>
      <c r="E3569" s="68">
        <v>9.0</v>
      </c>
      <c r="F3569" s="68">
        <v>2.0</v>
      </c>
      <c r="G3569" s="68">
        <v>2.48827350719733</v>
      </c>
      <c r="H3569" s="68">
        <v>131.803019410388</v>
      </c>
      <c r="I3569" s="69">
        <v>44309.996412037035</v>
      </c>
      <c r="J3569" s="69">
        <v>44309.996875</v>
      </c>
      <c r="K3569">
        <f>AVERAGE(H3567:H3571)</f>
        <v>96.08743013</v>
      </c>
      <c r="L3569">
        <f>STDEV(H3567:H3571)</f>
        <v>80.12362055</v>
      </c>
      <c r="M3569" s="70">
        <v>131.803019410388</v>
      </c>
      <c r="N3569" s="70">
        <v>131.803019410388</v>
      </c>
      <c r="O3569" s="70">
        <v>2.48827350719733</v>
      </c>
      <c r="P3569" s="70">
        <v>2.48827350719733</v>
      </c>
    </row>
    <row r="3570" hidden="1">
      <c r="A3570" s="67" t="s">
        <v>4330</v>
      </c>
      <c r="B3570" s="67" t="s">
        <v>268</v>
      </c>
      <c r="C3570" s="68">
        <v>0.25</v>
      </c>
      <c r="D3570" s="68">
        <v>0.1</v>
      </c>
      <c r="E3570" s="68">
        <v>9.0</v>
      </c>
      <c r="F3570" s="68">
        <v>3.0</v>
      </c>
      <c r="G3570" s="68">
        <v>3.80461812659996</v>
      </c>
      <c r="H3570" s="68">
        <v>172.086455194166</v>
      </c>
      <c r="I3570" s="69">
        <v>44309.997569444444</v>
      </c>
      <c r="J3570" s="69">
        <v>44310.152280092596</v>
      </c>
      <c r="K3570">
        <f>AVERAGE(H3567:H3571)</f>
        <v>96.08743013</v>
      </c>
      <c r="L3570">
        <f>STDEV(H3567:H3571)</f>
        <v>80.12362055</v>
      </c>
      <c r="M3570" s="70">
        <v>172.086455194166</v>
      </c>
      <c r="N3570" s="70">
        <v>172.086455194166</v>
      </c>
      <c r="O3570" s="70">
        <v>3.80461812659996</v>
      </c>
      <c r="P3570" s="70">
        <v>3.80461812659996</v>
      </c>
    </row>
    <row r="3571" hidden="1">
      <c r="A3571" s="67" t="s">
        <v>4331</v>
      </c>
      <c r="B3571" s="67" t="s">
        <v>268</v>
      </c>
      <c r="C3571" s="68">
        <v>0.25</v>
      </c>
      <c r="D3571" s="68">
        <v>0.1</v>
      </c>
      <c r="E3571" s="68">
        <v>9.0</v>
      </c>
      <c r="F3571" s="68">
        <v>4.0</v>
      </c>
      <c r="G3571" s="68">
        <v>5.07169775167422</v>
      </c>
      <c r="H3571" s="68">
        <v>156.498015315717</v>
      </c>
      <c r="I3571" s="69">
        <v>44310.152974537035</v>
      </c>
      <c r="J3571" s="69">
        <v>44310.15311342593</v>
      </c>
      <c r="K3571">
        <f>AVERAGE(H3567:H3571)</f>
        <v>96.08743013</v>
      </c>
      <c r="L3571">
        <f>STDEV(H3567:H3571)</f>
        <v>80.12362055</v>
      </c>
      <c r="M3571" s="70">
        <v>156.498015315717</v>
      </c>
      <c r="N3571" s="70">
        <v>156.498015315717</v>
      </c>
      <c r="O3571" s="70">
        <v>5.07169775167422</v>
      </c>
      <c r="P3571" s="70">
        <v>5.07169775167422</v>
      </c>
    </row>
    <row r="3572" hidden="1">
      <c r="A3572" s="67" t="s">
        <v>4332</v>
      </c>
      <c r="B3572" s="67" t="s">
        <v>268</v>
      </c>
      <c r="C3572" s="68">
        <v>0.25</v>
      </c>
      <c r="D3572" s="68">
        <v>0.25</v>
      </c>
      <c r="E3572" s="68">
        <v>9.0</v>
      </c>
      <c r="F3572" s="68">
        <v>0.0</v>
      </c>
      <c r="G3572" s="68">
        <v>9.23082364519664</v>
      </c>
      <c r="H3572" s="68">
        <v>307.87717161139</v>
      </c>
      <c r="I3572" s="69">
        <v>44310.15380787037</v>
      </c>
      <c r="J3572" s="69">
        <v>44310.15484953704</v>
      </c>
      <c r="K3572">
        <f>AVERAGE(H3572:H3576)</f>
        <v>144.4919156</v>
      </c>
      <c r="L3572">
        <f>STDEV(H3572:H3576)</f>
        <v>145.8033407</v>
      </c>
      <c r="M3572" s="70">
        <v>307.87717161139</v>
      </c>
      <c r="N3572" s="70">
        <v>307.87717161139</v>
      </c>
      <c r="O3572" s="70">
        <v>9.23082364519664</v>
      </c>
      <c r="P3572" s="70">
        <v>9.23082364519664</v>
      </c>
    </row>
    <row r="3573" hidden="1">
      <c r="A3573" s="67" t="s">
        <v>4333</v>
      </c>
      <c r="B3573" s="67" t="s">
        <v>268</v>
      </c>
      <c r="C3573" s="68">
        <v>0.25</v>
      </c>
      <c r="D3573" s="68">
        <v>0.25</v>
      </c>
      <c r="E3573" s="68">
        <v>9.0</v>
      </c>
      <c r="F3573" s="68">
        <v>1.0</v>
      </c>
      <c r="G3573" s="68">
        <v>2.19326815100897</v>
      </c>
      <c r="H3573" s="68">
        <v>106.035115966858</v>
      </c>
      <c r="I3573" s="69">
        <v>44310.155543981484</v>
      </c>
      <c r="J3573" s="69">
        <v>44310.31474537037</v>
      </c>
      <c r="K3573">
        <f>AVERAGE(H3572:H3576)</f>
        <v>144.4919156</v>
      </c>
      <c r="L3573">
        <f>STDEV(H3572:H3576)</f>
        <v>145.8033407</v>
      </c>
      <c r="M3573" s="70">
        <v>106.035115966858</v>
      </c>
      <c r="N3573" s="70">
        <v>106.035115966858</v>
      </c>
      <c r="O3573" s="70">
        <v>2.19326815100897</v>
      </c>
      <c r="P3573" s="70">
        <v>2.19326815100897</v>
      </c>
    </row>
    <row r="3574" hidden="1">
      <c r="A3574" s="67" t="s">
        <v>4334</v>
      </c>
      <c r="B3574" s="67" t="s">
        <v>268</v>
      </c>
      <c r="C3574" s="68">
        <v>0.25</v>
      </c>
      <c r="D3574" s="68">
        <v>0.25</v>
      </c>
      <c r="E3574" s="68">
        <v>9.0</v>
      </c>
      <c r="F3574" s="68">
        <v>2.0</v>
      </c>
      <c r="G3574" s="68">
        <v>8.26807748079357</v>
      </c>
      <c r="H3574" s="68">
        <v>288.297619921468</v>
      </c>
      <c r="I3574" s="69">
        <v>44310.31543981482</v>
      </c>
      <c r="J3574" s="69">
        <v>44310.31800925926</v>
      </c>
      <c r="K3574">
        <f>AVERAGE(H3572:H3576)</f>
        <v>144.4919156</v>
      </c>
      <c r="L3574">
        <f>STDEV(H3572:H3576)</f>
        <v>145.8033407</v>
      </c>
      <c r="M3574" s="70">
        <v>288.297619921468</v>
      </c>
      <c r="N3574" s="70">
        <v>288.297619921468</v>
      </c>
      <c r="O3574" s="70">
        <v>8.26807748079357</v>
      </c>
      <c r="P3574" s="70">
        <v>8.26807748079357</v>
      </c>
    </row>
    <row r="3575" hidden="1">
      <c r="A3575" s="67" t="s">
        <v>4335</v>
      </c>
      <c r="B3575" s="67" t="s">
        <v>268</v>
      </c>
      <c r="C3575" s="68">
        <v>0.25</v>
      </c>
      <c r="D3575" s="68">
        <v>0.25</v>
      </c>
      <c r="E3575" s="68">
        <v>9.0</v>
      </c>
      <c r="F3575" s="68">
        <v>3.0</v>
      </c>
      <c r="G3575" s="68">
        <v>2.64145420487137</v>
      </c>
      <c r="H3575" s="68">
        <v>4.1380101737941</v>
      </c>
      <c r="I3575" s="69">
        <v>44310.318703703706</v>
      </c>
      <c r="J3575" s="69">
        <v>44310.31883101852</v>
      </c>
      <c r="K3575">
        <f>AVERAGE(H3572:H3576)</f>
        <v>144.4919156</v>
      </c>
      <c r="L3575">
        <f>STDEV(H3572:H3576)</f>
        <v>145.8033407</v>
      </c>
      <c r="M3575" s="70">
        <v>4.1380101737941</v>
      </c>
      <c r="N3575" s="70">
        <v>4.1380101737941</v>
      </c>
      <c r="O3575" s="70">
        <v>2.64145420487137</v>
      </c>
      <c r="P3575" s="70">
        <v>2.64145420487137</v>
      </c>
    </row>
    <row r="3576" hidden="1">
      <c r="A3576" s="67" t="s">
        <v>4336</v>
      </c>
      <c r="B3576" s="67" t="s">
        <v>268</v>
      </c>
      <c r="C3576" s="68">
        <v>0.25</v>
      </c>
      <c r="D3576" s="68">
        <v>0.25</v>
      </c>
      <c r="E3576" s="68">
        <v>9.0</v>
      </c>
      <c r="F3576" s="68">
        <v>4.0</v>
      </c>
      <c r="G3576" s="68">
        <v>1.84228150706425</v>
      </c>
      <c r="H3576" s="68">
        <v>16.1116603306307</v>
      </c>
      <c r="I3576" s="69">
        <v>44310.31952546296</v>
      </c>
      <c r="J3576" s="69">
        <v>44310.319548611114</v>
      </c>
      <c r="K3576">
        <f>AVERAGE(H3572:H3576)</f>
        <v>144.4919156</v>
      </c>
      <c r="L3576">
        <f>STDEV(H3572:H3576)</f>
        <v>145.8033407</v>
      </c>
      <c r="M3576" s="70">
        <v>16.1116603306307</v>
      </c>
      <c r="N3576" s="70">
        <v>16.1116603306307</v>
      </c>
      <c r="O3576" s="70">
        <v>1.84228150706425</v>
      </c>
      <c r="P3576" s="70">
        <v>1.84228150706425</v>
      </c>
    </row>
    <row r="3577" hidden="1">
      <c r="A3577" s="67" t="s">
        <v>4337</v>
      </c>
      <c r="B3577" s="67" t="s">
        <v>268</v>
      </c>
      <c r="C3577" s="68">
        <v>0.25</v>
      </c>
      <c r="D3577" s="68">
        <v>0.5</v>
      </c>
      <c r="E3577" s="68">
        <v>9.0</v>
      </c>
      <c r="F3577" s="68">
        <v>0.0</v>
      </c>
      <c r="G3577" s="68">
        <v>6.74285895045829</v>
      </c>
      <c r="H3577" s="68">
        <v>176.510283422211</v>
      </c>
      <c r="I3577" s="69">
        <v>44310.320243055554</v>
      </c>
      <c r="J3577" s="69">
        <v>44310.320335648146</v>
      </c>
      <c r="K3577">
        <f>AVERAGE(H3577:H3581)</f>
        <v>137.3822791</v>
      </c>
      <c r="L3577">
        <f>STDEV(H3577:H3581)</f>
        <v>78.27115943</v>
      </c>
      <c r="M3577" s="70">
        <v>176.510283422211</v>
      </c>
      <c r="N3577" s="70">
        <v>176.510283422211</v>
      </c>
      <c r="O3577" s="70">
        <v>6.74285895045829</v>
      </c>
      <c r="P3577" s="70">
        <v>6.74285895045829</v>
      </c>
    </row>
    <row r="3578" hidden="1">
      <c r="A3578" s="67" t="s">
        <v>4338</v>
      </c>
      <c r="B3578" s="67" t="s">
        <v>268</v>
      </c>
      <c r="C3578" s="68">
        <v>0.25</v>
      </c>
      <c r="D3578" s="68">
        <v>0.5</v>
      </c>
      <c r="E3578" s="68">
        <v>9.0</v>
      </c>
      <c r="F3578" s="68">
        <v>1.0</v>
      </c>
      <c r="G3578" s="68">
        <v>0.4691106249359</v>
      </c>
      <c r="H3578" s="68">
        <v>0.561820391593953</v>
      </c>
      <c r="I3578" s="69">
        <v>44310.32103009259</v>
      </c>
      <c r="J3578" s="69">
        <v>44310.32136574074</v>
      </c>
      <c r="K3578">
        <f>AVERAGE(H3577:H3581)</f>
        <v>137.3822791</v>
      </c>
      <c r="L3578">
        <f>STDEV(H3577:H3581)</f>
        <v>78.27115943</v>
      </c>
      <c r="M3578" s="70">
        <v>0.561820391593953</v>
      </c>
      <c r="N3578" s="70">
        <v>0.561820391593953</v>
      </c>
      <c r="O3578" s="70">
        <v>0.4691106249359</v>
      </c>
      <c r="P3578" s="70">
        <v>0.4691106249359</v>
      </c>
    </row>
    <row r="3579" hidden="1">
      <c r="A3579" s="67" t="s">
        <v>4339</v>
      </c>
      <c r="B3579" s="67" t="s">
        <v>268</v>
      </c>
      <c r="C3579" s="68">
        <v>0.25</v>
      </c>
      <c r="D3579" s="68">
        <v>0.5</v>
      </c>
      <c r="E3579" s="68">
        <v>9.0</v>
      </c>
      <c r="F3579" s="68">
        <v>2.0</v>
      </c>
      <c r="G3579" s="68">
        <v>3.36073584014621</v>
      </c>
      <c r="H3579" s="68">
        <v>165.866449123168</v>
      </c>
      <c r="I3579" s="69">
        <v>44310.322060185186</v>
      </c>
      <c r="J3579" s="69">
        <v>44310.48952546297</v>
      </c>
      <c r="K3579">
        <f>AVERAGE(H3577:H3581)</f>
        <v>137.3822791</v>
      </c>
      <c r="L3579">
        <f>STDEV(H3577:H3581)</f>
        <v>78.27115943</v>
      </c>
      <c r="M3579" s="70">
        <v>165.866449123168</v>
      </c>
      <c r="N3579" s="70">
        <v>165.866449123168</v>
      </c>
      <c r="O3579" s="70">
        <v>3.36073584014621</v>
      </c>
      <c r="P3579" s="70">
        <v>3.36073584014621</v>
      </c>
    </row>
    <row r="3580" hidden="1">
      <c r="A3580" s="67" t="s">
        <v>4340</v>
      </c>
      <c r="B3580" s="67" t="s">
        <v>268</v>
      </c>
      <c r="C3580" s="68">
        <v>0.25</v>
      </c>
      <c r="D3580" s="68">
        <v>0.5</v>
      </c>
      <c r="E3580" s="68">
        <v>9.0</v>
      </c>
      <c r="F3580" s="68">
        <v>3.0</v>
      </c>
      <c r="G3580" s="68">
        <v>3.61933793083471</v>
      </c>
      <c r="H3580" s="68">
        <v>149.090813364533</v>
      </c>
      <c r="I3580" s="69">
        <v>44310.490219907406</v>
      </c>
      <c r="J3580" s="69">
        <v>44310.49167824074</v>
      </c>
      <c r="K3580">
        <f>AVERAGE(H3577:H3581)</f>
        <v>137.3822791</v>
      </c>
      <c r="L3580">
        <f>STDEV(H3577:H3581)</f>
        <v>78.27115943</v>
      </c>
      <c r="M3580" s="70">
        <v>149.090813364533</v>
      </c>
      <c r="N3580" s="70">
        <v>149.090813364533</v>
      </c>
      <c r="O3580" s="70">
        <v>3.61933793083471</v>
      </c>
      <c r="P3580" s="70">
        <v>3.61933793083471</v>
      </c>
    </row>
    <row r="3581" hidden="1">
      <c r="A3581" s="67" t="s">
        <v>4341</v>
      </c>
      <c r="B3581" s="67" t="s">
        <v>268</v>
      </c>
      <c r="C3581" s="68">
        <v>0.25</v>
      </c>
      <c r="D3581" s="68">
        <v>0.5</v>
      </c>
      <c r="E3581" s="68">
        <v>9.0</v>
      </c>
      <c r="F3581" s="68">
        <v>4.0</v>
      </c>
      <c r="G3581" s="68">
        <v>6.13252639692305</v>
      </c>
      <c r="H3581" s="68">
        <v>194.882028977622</v>
      </c>
      <c r="I3581" s="69">
        <v>44310.492372685185</v>
      </c>
      <c r="J3581" s="69">
        <v>44310.49252314815</v>
      </c>
      <c r="K3581">
        <f>AVERAGE(H3577:H3581)</f>
        <v>137.3822791</v>
      </c>
      <c r="L3581">
        <f>STDEV(H3577:H3581)</f>
        <v>78.27115943</v>
      </c>
      <c r="M3581" s="70">
        <v>194.882028977622</v>
      </c>
      <c r="N3581" s="70">
        <v>194.882028977622</v>
      </c>
      <c r="O3581" s="70">
        <v>6.13252639692305</v>
      </c>
      <c r="P3581" s="70">
        <v>6.13252639692305</v>
      </c>
    </row>
    <row r="3582" hidden="1">
      <c r="A3582" s="67" t="s">
        <v>4342</v>
      </c>
      <c r="B3582" s="67" t="s">
        <v>268</v>
      </c>
      <c r="C3582" s="68">
        <v>0.25</v>
      </c>
      <c r="D3582" s="68">
        <v>0.75</v>
      </c>
      <c r="E3582" s="68">
        <v>9.0</v>
      </c>
      <c r="F3582" s="68">
        <v>0.0</v>
      </c>
      <c r="G3582" s="68">
        <v>1.09487060506055</v>
      </c>
      <c r="H3582" s="68">
        <v>1.87550721349451</v>
      </c>
      <c r="I3582" s="69">
        <v>44310.49321759259</v>
      </c>
      <c r="J3582" s="69">
        <v>44310.49327546296</v>
      </c>
      <c r="K3582">
        <f>AVERAGE(H3582:H3586)</f>
        <v>100.9967921</v>
      </c>
      <c r="L3582">
        <f>STDEV(H3582:H3586)</f>
        <v>105.4976324</v>
      </c>
      <c r="M3582" s="70">
        <v>1.87550721349451</v>
      </c>
      <c r="N3582" s="70">
        <v>1.87550721349451</v>
      </c>
      <c r="O3582" s="70">
        <v>1.09487060506055</v>
      </c>
      <c r="P3582" s="70">
        <v>1.09487060506055</v>
      </c>
    </row>
    <row r="3583" hidden="1">
      <c r="A3583" s="67" t="s">
        <v>4343</v>
      </c>
      <c r="B3583" s="67" t="s">
        <v>268</v>
      </c>
      <c r="C3583" s="68">
        <v>0.25</v>
      </c>
      <c r="D3583" s="68">
        <v>0.75</v>
      </c>
      <c r="E3583" s="68">
        <v>9.0</v>
      </c>
      <c r="F3583" s="68">
        <v>1.0</v>
      </c>
      <c r="G3583" s="68">
        <v>0.667812351196155</v>
      </c>
      <c r="H3583" s="68">
        <v>1.0989073486242</v>
      </c>
      <c r="I3583" s="69">
        <v>44310.49396990741</v>
      </c>
      <c r="J3583" s="69">
        <v>44310.497662037036</v>
      </c>
      <c r="K3583">
        <f>AVERAGE(H3582:H3586)</f>
        <v>100.9967921</v>
      </c>
      <c r="L3583">
        <f>STDEV(H3582:H3586)</f>
        <v>105.4976324</v>
      </c>
      <c r="M3583" s="70">
        <v>1.0989073486242</v>
      </c>
      <c r="N3583" s="70">
        <v>1.0989073486242</v>
      </c>
      <c r="O3583" s="70">
        <v>0.667812351196155</v>
      </c>
      <c r="P3583" s="70">
        <v>0.667812351196155</v>
      </c>
    </row>
    <row r="3584" hidden="1">
      <c r="A3584" s="67" t="s">
        <v>4344</v>
      </c>
      <c r="B3584" s="67" t="s">
        <v>268</v>
      </c>
      <c r="C3584" s="68">
        <v>0.25</v>
      </c>
      <c r="D3584" s="68">
        <v>0.75</v>
      </c>
      <c r="E3584" s="68">
        <v>9.0</v>
      </c>
      <c r="F3584" s="68">
        <v>2.0</v>
      </c>
      <c r="G3584" s="68">
        <v>2.53151135379696</v>
      </c>
      <c r="H3584" s="68">
        <v>90.3544218243159</v>
      </c>
      <c r="I3584" s="69">
        <v>44310.49835648148</v>
      </c>
      <c r="J3584" s="69">
        <v>44310.50289351852</v>
      </c>
      <c r="K3584">
        <f>AVERAGE(H3582:H3586)</f>
        <v>100.9967921</v>
      </c>
      <c r="L3584">
        <f>STDEV(H3582:H3586)</f>
        <v>105.4976324</v>
      </c>
      <c r="M3584" s="70">
        <v>90.3544218243159</v>
      </c>
      <c r="N3584" s="70">
        <v>90.3544218243159</v>
      </c>
      <c r="O3584" s="70">
        <v>2.53151135379696</v>
      </c>
      <c r="P3584" s="70">
        <v>2.53151135379696</v>
      </c>
    </row>
    <row r="3585" hidden="1">
      <c r="A3585" s="67" t="s">
        <v>4345</v>
      </c>
      <c r="B3585" s="67" t="s">
        <v>268</v>
      </c>
      <c r="C3585" s="68">
        <v>0.25</v>
      </c>
      <c r="D3585" s="68">
        <v>0.75</v>
      </c>
      <c r="E3585" s="68">
        <v>9.0</v>
      </c>
      <c r="F3585" s="68">
        <v>3.0</v>
      </c>
      <c r="G3585" s="68">
        <v>3.83335890535322</v>
      </c>
      <c r="H3585" s="68">
        <v>169.618829530737</v>
      </c>
      <c r="I3585" s="69">
        <v>44310.503599537034</v>
      </c>
      <c r="J3585" s="69">
        <v>44310.56759259259</v>
      </c>
      <c r="K3585">
        <f>AVERAGE(H3582:H3586)</f>
        <v>100.9967921</v>
      </c>
      <c r="L3585">
        <f>STDEV(H3582:H3586)</f>
        <v>105.4976324</v>
      </c>
      <c r="M3585" s="70">
        <v>169.618829530737</v>
      </c>
      <c r="N3585" s="70">
        <v>169.618829530737</v>
      </c>
      <c r="O3585" s="70">
        <v>3.83335890535322</v>
      </c>
      <c r="P3585" s="70">
        <v>3.83335890535322</v>
      </c>
    </row>
    <row r="3586" hidden="1">
      <c r="A3586" s="67" t="s">
        <v>4346</v>
      </c>
      <c r="B3586" s="67" t="s">
        <v>268</v>
      </c>
      <c r="C3586" s="68">
        <v>0.25</v>
      </c>
      <c r="D3586" s="68">
        <v>0.75</v>
      </c>
      <c r="E3586" s="68">
        <v>9.0</v>
      </c>
      <c r="F3586" s="68">
        <v>4.0</v>
      </c>
      <c r="G3586" s="68">
        <v>6.14714292116889</v>
      </c>
      <c r="H3586" s="68">
        <v>242.036294426099</v>
      </c>
      <c r="I3586" s="69">
        <v>44310.56828703704</v>
      </c>
      <c r="J3586" s="69">
        <v>44310.5705787037</v>
      </c>
      <c r="K3586">
        <f>AVERAGE(H3582:H3586)</f>
        <v>100.9967921</v>
      </c>
      <c r="L3586">
        <f>STDEV(H3582:H3586)</f>
        <v>105.4976324</v>
      </c>
      <c r="M3586" s="70">
        <v>242.036294426099</v>
      </c>
      <c r="N3586" s="70">
        <v>242.036294426099</v>
      </c>
      <c r="O3586" s="70">
        <v>6.14714292116889</v>
      </c>
      <c r="P3586" s="70">
        <v>6.14714292116889</v>
      </c>
    </row>
    <row r="3587" hidden="1">
      <c r="A3587" s="67" t="s">
        <v>4347</v>
      </c>
      <c r="B3587" s="67" t="s">
        <v>268</v>
      </c>
      <c r="C3587" s="68">
        <v>0.25</v>
      </c>
      <c r="D3587" s="68">
        <v>1.0</v>
      </c>
      <c r="E3587" s="68">
        <v>9.0</v>
      </c>
      <c r="F3587" s="68">
        <v>0.0</v>
      </c>
      <c r="G3587" s="68">
        <v>3.18897668445598</v>
      </c>
      <c r="H3587" s="68">
        <v>128.137384197195</v>
      </c>
      <c r="I3587" s="69">
        <v>44310.57127314815</v>
      </c>
      <c r="J3587" s="69">
        <v>44310.57349537037</v>
      </c>
      <c r="K3587">
        <f>AVERAGE(H3587:H3591)</f>
        <v>129.7070158</v>
      </c>
      <c r="L3587">
        <f>STDEV(H3587:H3591)</f>
        <v>106.7710555</v>
      </c>
      <c r="M3587" s="70">
        <v>128.137384197195</v>
      </c>
      <c r="N3587" s="70">
        <v>128.137384197195</v>
      </c>
      <c r="O3587" s="70">
        <v>3.18897668445598</v>
      </c>
      <c r="P3587" s="70">
        <v>3.18897668445598</v>
      </c>
    </row>
    <row r="3588" hidden="1">
      <c r="A3588" s="67" t="s">
        <v>4348</v>
      </c>
      <c r="B3588" s="67" t="s">
        <v>268</v>
      </c>
      <c r="C3588" s="68">
        <v>0.25</v>
      </c>
      <c r="D3588" s="68">
        <v>1.0</v>
      </c>
      <c r="E3588" s="68">
        <v>9.0</v>
      </c>
      <c r="F3588" s="68">
        <v>1.0</v>
      </c>
      <c r="G3588" s="68">
        <v>1.35140666837742</v>
      </c>
      <c r="H3588" s="68">
        <v>69.4609543879282</v>
      </c>
      <c r="I3588" s="69">
        <v>44310.57418981481</v>
      </c>
      <c r="J3588" s="69">
        <v>44310.576828703706</v>
      </c>
      <c r="K3588">
        <f>AVERAGE(H3587:H3591)</f>
        <v>129.7070158</v>
      </c>
      <c r="L3588">
        <f>STDEV(H3587:H3591)</f>
        <v>106.7710555</v>
      </c>
      <c r="M3588" s="70">
        <v>69.4609543879282</v>
      </c>
      <c r="N3588" s="70">
        <v>69.4609543879282</v>
      </c>
      <c r="O3588" s="70">
        <v>1.35140666837742</v>
      </c>
      <c r="P3588" s="70">
        <v>1.35140666837742</v>
      </c>
    </row>
    <row r="3589" hidden="1">
      <c r="A3589" s="67" t="s">
        <v>4349</v>
      </c>
      <c r="B3589" s="67" t="s">
        <v>268</v>
      </c>
      <c r="C3589" s="68">
        <v>0.25</v>
      </c>
      <c r="D3589" s="68">
        <v>1.0</v>
      </c>
      <c r="E3589" s="68">
        <v>9.0</v>
      </c>
      <c r="F3589" s="68">
        <v>2.0</v>
      </c>
      <c r="G3589" s="68">
        <v>8.1842058954982</v>
      </c>
      <c r="H3589" s="68">
        <v>285.48153699575</v>
      </c>
      <c r="I3589" s="69">
        <v>44310.577523148146</v>
      </c>
      <c r="J3589" s="69">
        <v>44310.578784722224</v>
      </c>
      <c r="K3589">
        <f>AVERAGE(H3587:H3591)</f>
        <v>129.7070158</v>
      </c>
      <c r="L3589">
        <f>STDEV(H3587:H3591)</f>
        <v>106.7710555</v>
      </c>
      <c r="M3589" s="70">
        <v>285.48153699575</v>
      </c>
      <c r="N3589" s="70">
        <v>285.48153699575</v>
      </c>
      <c r="O3589" s="70">
        <v>8.1842058954982</v>
      </c>
      <c r="P3589" s="70">
        <v>8.1842058954982</v>
      </c>
    </row>
    <row r="3590" hidden="1">
      <c r="A3590" s="67" t="s">
        <v>4350</v>
      </c>
      <c r="B3590" s="67" t="s">
        <v>268</v>
      </c>
      <c r="C3590" s="68">
        <v>0.25</v>
      </c>
      <c r="D3590" s="68">
        <v>1.0</v>
      </c>
      <c r="E3590" s="68">
        <v>9.0</v>
      </c>
      <c r="F3590" s="68">
        <v>3.0</v>
      </c>
      <c r="G3590" s="68">
        <v>3.68298981143687</v>
      </c>
      <c r="H3590" s="68">
        <v>164.239408775146</v>
      </c>
      <c r="I3590" s="69">
        <v>44310.57947916666</v>
      </c>
      <c r="J3590" s="69">
        <v>44310.65076388889</v>
      </c>
      <c r="K3590">
        <f>AVERAGE(H3587:H3591)</f>
        <v>129.7070158</v>
      </c>
      <c r="L3590">
        <f>STDEV(H3587:H3591)</f>
        <v>106.7710555</v>
      </c>
      <c r="M3590" s="70">
        <v>164.239408775146</v>
      </c>
      <c r="N3590" s="70">
        <v>164.239408775146</v>
      </c>
      <c r="O3590" s="70">
        <v>3.68298981143687</v>
      </c>
      <c r="P3590" s="70">
        <v>3.68298981143687</v>
      </c>
    </row>
    <row r="3591" hidden="1">
      <c r="A3591" s="67" t="s">
        <v>4351</v>
      </c>
      <c r="B3591" s="67" t="s">
        <v>268</v>
      </c>
      <c r="C3591" s="68">
        <v>0.25</v>
      </c>
      <c r="D3591" s="68">
        <v>1.0</v>
      </c>
      <c r="E3591" s="68">
        <v>9.0</v>
      </c>
      <c r="F3591" s="68">
        <v>4.0</v>
      </c>
      <c r="G3591" s="68">
        <v>0.655311130419802</v>
      </c>
      <c r="H3591" s="68">
        <v>1.21579484462491</v>
      </c>
      <c r="I3591" s="69">
        <v>44310.651458333334</v>
      </c>
      <c r="J3591" s="69">
        <v>44310.65335648148</v>
      </c>
      <c r="K3591">
        <f>AVERAGE(H3587:H3591)</f>
        <v>129.7070158</v>
      </c>
      <c r="L3591">
        <f>STDEV(H3587:H3591)</f>
        <v>106.7710555</v>
      </c>
      <c r="M3591" s="70">
        <v>1.21579484462491</v>
      </c>
      <c r="N3591" s="70">
        <v>1.21579484462491</v>
      </c>
      <c r="O3591" s="70">
        <v>0.655311130419802</v>
      </c>
      <c r="P3591" s="70">
        <v>0.655311130419802</v>
      </c>
    </row>
    <row r="3592" hidden="1">
      <c r="A3592" s="67" t="s">
        <v>4352</v>
      </c>
      <c r="B3592" s="67" t="s">
        <v>268</v>
      </c>
      <c r="C3592" s="68">
        <v>0.5</v>
      </c>
      <c r="D3592" s="68">
        <v>0.1</v>
      </c>
      <c r="E3592" s="68">
        <v>9.0</v>
      </c>
      <c r="F3592" s="68">
        <v>0.0</v>
      </c>
      <c r="G3592" s="68">
        <v>3.80178510200133</v>
      </c>
      <c r="H3592" s="68">
        <v>167.687848820266</v>
      </c>
      <c r="I3592" s="69">
        <v>44310.65405092593</v>
      </c>
      <c r="J3592" s="69">
        <v>44310.74599537037</v>
      </c>
      <c r="K3592">
        <f>AVERAGE(H3592:H3596)</f>
        <v>99.12245925</v>
      </c>
      <c r="L3592">
        <f>STDEV(H3592:H3596)</f>
        <v>101.4976785</v>
      </c>
      <c r="M3592" s="70">
        <v>167.687848820266</v>
      </c>
      <c r="N3592" s="70">
        <v>167.687848820266</v>
      </c>
      <c r="O3592" s="70">
        <v>3.80178510200133</v>
      </c>
      <c r="P3592" s="70">
        <v>3.80178510200133</v>
      </c>
    </row>
    <row r="3593" hidden="1">
      <c r="A3593" s="67" t="s">
        <v>4353</v>
      </c>
      <c r="B3593" s="67" t="s">
        <v>268</v>
      </c>
      <c r="C3593" s="68">
        <v>0.5</v>
      </c>
      <c r="D3593" s="68">
        <v>0.1</v>
      </c>
      <c r="E3593" s="68">
        <v>9.0</v>
      </c>
      <c r="F3593" s="68">
        <v>1.0</v>
      </c>
      <c r="G3593" s="68">
        <v>1.4387833549495</v>
      </c>
      <c r="H3593" s="68">
        <v>72.8445843065117</v>
      </c>
      <c r="I3593" s="69">
        <v>44310.74668981481</v>
      </c>
      <c r="J3593" s="69">
        <v>44310.748877314814</v>
      </c>
      <c r="K3593">
        <f>AVERAGE(H3592:H3596)</f>
        <v>99.12245925</v>
      </c>
      <c r="L3593">
        <f>STDEV(H3592:H3596)</f>
        <v>101.4976785</v>
      </c>
      <c r="M3593" s="70">
        <v>72.8445843065117</v>
      </c>
      <c r="N3593" s="70">
        <v>72.8445843065117</v>
      </c>
      <c r="O3593" s="70">
        <v>1.4387833549495</v>
      </c>
      <c r="P3593" s="70">
        <v>1.4387833549495</v>
      </c>
    </row>
    <row r="3594" hidden="1">
      <c r="A3594" s="67" t="s">
        <v>4354</v>
      </c>
      <c r="B3594" s="67" t="s">
        <v>268</v>
      </c>
      <c r="C3594" s="68">
        <v>0.5</v>
      </c>
      <c r="D3594" s="68">
        <v>0.1</v>
      </c>
      <c r="E3594" s="68">
        <v>9.0</v>
      </c>
      <c r="F3594" s="68">
        <v>2.0</v>
      </c>
      <c r="G3594" s="68">
        <v>6.46347817584579</v>
      </c>
      <c r="H3594" s="68">
        <v>238.019888809241</v>
      </c>
      <c r="I3594" s="69">
        <v>44310.74957175926</v>
      </c>
      <c r="J3594" s="69">
        <v>44310.752592592595</v>
      </c>
      <c r="K3594">
        <f>AVERAGE(H3592:H3596)</f>
        <v>99.12245925</v>
      </c>
      <c r="L3594">
        <f>STDEV(H3592:H3596)</f>
        <v>101.4976785</v>
      </c>
      <c r="M3594" s="70">
        <v>238.019888809241</v>
      </c>
      <c r="N3594" s="70">
        <v>238.019888809241</v>
      </c>
      <c r="O3594" s="70">
        <v>6.46347817584579</v>
      </c>
      <c r="P3594" s="70">
        <v>6.46347817584579</v>
      </c>
    </row>
    <row r="3595" hidden="1">
      <c r="A3595" s="67" t="s">
        <v>4355</v>
      </c>
      <c r="B3595" s="67" t="s">
        <v>268</v>
      </c>
      <c r="C3595" s="68">
        <v>0.5</v>
      </c>
      <c r="D3595" s="68">
        <v>0.1</v>
      </c>
      <c r="E3595" s="68">
        <v>9.0</v>
      </c>
      <c r="F3595" s="68">
        <v>3.0</v>
      </c>
      <c r="G3595" s="68">
        <v>0.682310775027181</v>
      </c>
      <c r="H3595" s="68">
        <v>1.15138036688825</v>
      </c>
      <c r="I3595" s="69">
        <v>44310.753287037034</v>
      </c>
      <c r="J3595" s="69">
        <v>44310.75686342592</v>
      </c>
      <c r="K3595">
        <f>AVERAGE(H3592:H3596)</f>
        <v>99.12245925</v>
      </c>
      <c r="L3595">
        <f>STDEV(H3592:H3596)</f>
        <v>101.4976785</v>
      </c>
      <c r="M3595" s="70">
        <v>1.15138036688825</v>
      </c>
      <c r="N3595" s="70">
        <v>1.15138036688825</v>
      </c>
      <c r="O3595" s="70">
        <v>0.682310775027181</v>
      </c>
      <c r="P3595" s="70">
        <v>0.682310775027181</v>
      </c>
    </row>
    <row r="3596" hidden="1">
      <c r="A3596" s="67" t="s">
        <v>4356</v>
      </c>
      <c r="B3596" s="67" t="s">
        <v>268</v>
      </c>
      <c r="C3596" s="68">
        <v>0.5</v>
      </c>
      <c r="D3596" s="68">
        <v>0.1</v>
      </c>
      <c r="E3596" s="68">
        <v>9.0</v>
      </c>
      <c r="F3596" s="68">
        <v>4.0</v>
      </c>
      <c r="G3596" s="68">
        <v>1.21437453905074</v>
      </c>
      <c r="H3596" s="68">
        <v>15.9085939614324</v>
      </c>
      <c r="I3596" s="69">
        <v>44310.75755787037</v>
      </c>
      <c r="J3596" s="69">
        <v>44310.7578125</v>
      </c>
      <c r="K3596">
        <f>AVERAGE(H3592:H3596)</f>
        <v>99.12245925</v>
      </c>
      <c r="L3596">
        <f>STDEV(H3592:H3596)</f>
        <v>101.4976785</v>
      </c>
      <c r="M3596" s="70">
        <v>15.9085939614324</v>
      </c>
      <c r="N3596" s="70">
        <v>15.9085939614324</v>
      </c>
      <c r="O3596" s="70">
        <v>1.21437453905074</v>
      </c>
      <c r="P3596" s="70">
        <v>1.21437453905074</v>
      </c>
    </row>
    <row r="3597" hidden="1">
      <c r="A3597" s="67" t="s">
        <v>4357</v>
      </c>
      <c r="B3597" s="67" t="s">
        <v>268</v>
      </c>
      <c r="C3597" s="68">
        <v>0.5</v>
      </c>
      <c r="D3597" s="68">
        <v>0.25</v>
      </c>
      <c r="E3597" s="68">
        <v>9.0</v>
      </c>
      <c r="F3597" s="68">
        <v>0.0</v>
      </c>
      <c r="G3597" s="68">
        <v>0.466621839941957</v>
      </c>
      <c r="H3597" s="68">
        <v>0.558200209644716</v>
      </c>
      <c r="I3597" s="69">
        <v>44310.75850694445</v>
      </c>
      <c r="J3597" s="69">
        <v>44310.75885416667</v>
      </c>
      <c r="K3597">
        <f>AVERAGE(H3597:H3601)</f>
        <v>144.8542545</v>
      </c>
      <c r="L3597">
        <f>STDEV(H3597:H3601)</f>
        <v>115.7170243</v>
      </c>
      <c r="M3597" s="70">
        <v>0.558200209644716</v>
      </c>
      <c r="N3597" s="70">
        <v>0.558200209644716</v>
      </c>
      <c r="O3597" s="70">
        <v>0.466621839941957</v>
      </c>
      <c r="P3597" s="70">
        <v>0.466621839941957</v>
      </c>
    </row>
    <row r="3598" hidden="1">
      <c r="A3598" s="67" t="s">
        <v>4358</v>
      </c>
      <c r="B3598" s="67" t="s">
        <v>268</v>
      </c>
      <c r="C3598" s="68">
        <v>0.5</v>
      </c>
      <c r="D3598" s="68">
        <v>0.25</v>
      </c>
      <c r="E3598" s="68">
        <v>9.0</v>
      </c>
      <c r="F3598" s="68">
        <v>1.0</v>
      </c>
      <c r="G3598" s="68">
        <v>8.50238763074051</v>
      </c>
      <c r="H3598" s="68">
        <v>292.799661396822</v>
      </c>
      <c r="I3598" s="69">
        <v>44310.75954861111</v>
      </c>
      <c r="J3598" s="69">
        <v>44310.76188657407</v>
      </c>
      <c r="K3598">
        <f>AVERAGE(H3597:H3601)</f>
        <v>144.8542545</v>
      </c>
      <c r="L3598">
        <f>STDEV(H3597:H3601)</f>
        <v>115.7170243</v>
      </c>
      <c r="M3598" s="70">
        <v>292.799661396822</v>
      </c>
      <c r="N3598" s="70">
        <v>292.799661396822</v>
      </c>
      <c r="O3598" s="70">
        <v>8.50238763074051</v>
      </c>
      <c r="P3598" s="70">
        <v>8.50238763074051</v>
      </c>
    </row>
    <row r="3599" hidden="1">
      <c r="A3599" s="67" t="s">
        <v>4359</v>
      </c>
      <c r="B3599" s="67" t="s">
        <v>268</v>
      </c>
      <c r="C3599" s="68">
        <v>0.5</v>
      </c>
      <c r="D3599" s="68">
        <v>0.25</v>
      </c>
      <c r="E3599" s="68">
        <v>9.0</v>
      </c>
      <c r="F3599" s="68">
        <v>2.0</v>
      </c>
      <c r="G3599" s="68">
        <v>3.27551084270384</v>
      </c>
      <c r="H3599" s="68">
        <v>153.420123539417</v>
      </c>
      <c r="I3599" s="69">
        <v>44310.76258101852</v>
      </c>
      <c r="J3599" s="69">
        <v>44310.83561342592</v>
      </c>
      <c r="K3599">
        <f>AVERAGE(H3597:H3601)</f>
        <v>144.8542545</v>
      </c>
      <c r="L3599">
        <f>STDEV(H3597:H3601)</f>
        <v>115.7170243</v>
      </c>
      <c r="M3599" s="70">
        <v>153.420123539417</v>
      </c>
      <c r="N3599" s="70">
        <v>153.420123539417</v>
      </c>
      <c r="O3599" s="70">
        <v>3.27551084270384</v>
      </c>
      <c r="P3599" s="70">
        <v>3.27551084270384</v>
      </c>
    </row>
    <row r="3600" hidden="1">
      <c r="A3600" s="67" t="s">
        <v>4360</v>
      </c>
      <c r="B3600" s="67" t="s">
        <v>268</v>
      </c>
      <c r="C3600" s="68">
        <v>0.5</v>
      </c>
      <c r="D3600" s="68">
        <v>0.25</v>
      </c>
      <c r="E3600" s="68">
        <v>9.0</v>
      </c>
      <c r="F3600" s="68">
        <v>3.0</v>
      </c>
      <c r="G3600" s="68">
        <v>1.47650637328971</v>
      </c>
      <c r="H3600" s="68">
        <v>65.5874195172418</v>
      </c>
      <c r="I3600" s="69">
        <v>44310.83630787037</v>
      </c>
      <c r="J3600" s="69">
        <v>44310.84410879629</v>
      </c>
      <c r="K3600">
        <f>AVERAGE(H3597:H3601)</f>
        <v>144.8542545</v>
      </c>
      <c r="L3600">
        <f>STDEV(H3597:H3601)</f>
        <v>115.7170243</v>
      </c>
      <c r="M3600" s="70">
        <v>65.5874195172418</v>
      </c>
      <c r="N3600" s="70">
        <v>65.5874195172418</v>
      </c>
      <c r="O3600" s="70">
        <v>1.47650637328971</v>
      </c>
      <c r="P3600" s="70">
        <v>1.47650637328971</v>
      </c>
    </row>
    <row r="3601" hidden="1">
      <c r="A3601" s="67" t="s">
        <v>4361</v>
      </c>
      <c r="B3601" s="67" t="s">
        <v>268</v>
      </c>
      <c r="C3601" s="68">
        <v>0.5</v>
      </c>
      <c r="D3601" s="68">
        <v>0.25</v>
      </c>
      <c r="E3601" s="68">
        <v>9.0</v>
      </c>
      <c r="F3601" s="68">
        <v>4.0</v>
      </c>
      <c r="G3601" s="68">
        <v>6.77558344260132</v>
      </c>
      <c r="H3601" s="68">
        <v>211.905868063771</v>
      </c>
      <c r="I3601" s="69">
        <v>44310.844814814816</v>
      </c>
      <c r="J3601" s="69">
        <v>44310.84515046296</v>
      </c>
      <c r="K3601">
        <f>AVERAGE(H3597:H3601)</f>
        <v>144.8542545</v>
      </c>
      <c r="L3601">
        <f>STDEV(H3597:H3601)</f>
        <v>115.7170243</v>
      </c>
      <c r="M3601" s="70">
        <v>211.905868063771</v>
      </c>
      <c r="N3601" s="70">
        <v>211.905868063771</v>
      </c>
      <c r="O3601" s="70">
        <v>6.77558344260132</v>
      </c>
      <c r="P3601" s="70">
        <v>6.77558344260132</v>
      </c>
    </row>
    <row r="3602" hidden="1">
      <c r="A3602" s="67" t="s">
        <v>4362</v>
      </c>
      <c r="B3602" s="67" t="s">
        <v>268</v>
      </c>
      <c r="C3602" s="68">
        <v>0.5</v>
      </c>
      <c r="D3602" s="68">
        <v>0.5</v>
      </c>
      <c r="E3602" s="68">
        <v>9.0</v>
      </c>
      <c r="F3602" s="68">
        <v>0.0</v>
      </c>
      <c r="G3602" s="68">
        <v>8.27801561472309</v>
      </c>
      <c r="H3602" s="68">
        <v>288.620512395839</v>
      </c>
      <c r="I3602" s="69">
        <v>44310.84584490741</v>
      </c>
      <c r="J3602" s="69">
        <v>44310.84821759259</v>
      </c>
      <c r="K3602">
        <f>AVERAGE(H3602:H3606)</f>
        <v>86.43264449</v>
      </c>
      <c r="L3602">
        <f>STDEV(H3602:H3606)</f>
        <v>128.1151145</v>
      </c>
      <c r="M3602" s="70">
        <v>288.620512395839</v>
      </c>
      <c r="N3602" s="70">
        <v>288.620512395839</v>
      </c>
      <c r="O3602" s="70">
        <v>8.27801561472309</v>
      </c>
      <c r="P3602" s="70">
        <v>8.27801561472309</v>
      </c>
    </row>
    <row r="3603" hidden="1">
      <c r="A3603" s="67" t="s">
        <v>4363</v>
      </c>
      <c r="B3603" s="67" t="s">
        <v>268</v>
      </c>
      <c r="C3603" s="68">
        <v>0.5</v>
      </c>
      <c r="D3603" s="68">
        <v>0.5</v>
      </c>
      <c r="E3603" s="68">
        <v>9.0</v>
      </c>
      <c r="F3603" s="68">
        <v>1.0</v>
      </c>
      <c r="G3603" s="68">
        <v>0.824793516087228</v>
      </c>
      <c r="H3603" s="68">
        <v>1.17218087826263</v>
      </c>
      <c r="I3603" s="69">
        <v>44310.848912037036</v>
      </c>
      <c r="J3603" s="69">
        <v>44310.84892361111</v>
      </c>
      <c r="K3603">
        <f>AVERAGE(H3602:H3606)</f>
        <v>86.43264449</v>
      </c>
      <c r="L3603">
        <f>STDEV(H3602:H3606)</f>
        <v>128.1151145</v>
      </c>
      <c r="M3603" s="70">
        <v>1.17218087826263</v>
      </c>
      <c r="N3603" s="70">
        <v>1.17218087826263</v>
      </c>
      <c r="O3603" s="70">
        <v>0.824793516087228</v>
      </c>
      <c r="P3603" s="70">
        <v>0.824793516087228</v>
      </c>
    </row>
    <row r="3604" hidden="1">
      <c r="A3604" s="67" t="s">
        <v>4364</v>
      </c>
      <c r="B3604" s="67" t="s">
        <v>268</v>
      </c>
      <c r="C3604" s="68">
        <v>0.5</v>
      </c>
      <c r="D3604" s="68">
        <v>0.5</v>
      </c>
      <c r="E3604" s="68">
        <v>9.0</v>
      </c>
      <c r="F3604" s="68">
        <v>2.0</v>
      </c>
      <c r="G3604" s="68">
        <v>3.01711043609405</v>
      </c>
      <c r="H3604" s="68">
        <v>140.361499381507</v>
      </c>
      <c r="I3604" s="69">
        <v>44310.84961805555</v>
      </c>
      <c r="J3604" s="69">
        <v>44311.01380787037</v>
      </c>
      <c r="K3604">
        <f>AVERAGE(H3602:H3606)</f>
        <v>86.43264449</v>
      </c>
      <c r="L3604">
        <f>STDEV(H3602:H3606)</f>
        <v>128.1151145</v>
      </c>
      <c r="M3604" s="70">
        <v>140.361499381507</v>
      </c>
      <c r="N3604" s="70">
        <v>140.361499381507</v>
      </c>
      <c r="O3604" s="70">
        <v>3.01711043609405</v>
      </c>
      <c r="P3604" s="70">
        <v>3.01711043609405</v>
      </c>
    </row>
    <row r="3605" hidden="1">
      <c r="A3605" s="67" t="s">
        <v>4365</v>
      </c>
      <c r="B3605" s="67" t="s">
        <v>268</v>
      </c>
      <c r="C3605" s="68">
        <v>0.5</v>
      </c>
      <c r="D3605" s="68">
        <v>0.5</v>
      </c>
      <c r="E3605" s="68">
        <v>9.0</v>
      </c>
      <c r="F3605" s="68">
        <v>3.0</v>
      </c>
      <c r="G3605" s="68">
        <v>0.466302059947925</v>
      </c>
      <c r="H3605" s="68">
        <v>0.558605536113522</v>
      </c>
      <c r="I3605" s="69">
        <v>44311.014502314814</v>
      </c>
      <c r="J3605" s="69">
        <v>44311.01484953704</v>
      </c>
      <c r="K3605">
        <f>AVERAGE(H3602:H3606)</f>
        <v>86.43264449</v>
      </c>
      <c r="L3605">
        <f>STDEV(H3602:H3606)</f>
        <v>128.1151145</v>
      </c>
      <c r="M3605" s="70">
        <v>0.558605536113522</v>
      </c>
      <c r="N3605" s="70">
        <v>0.558605536113522</v>
      </c>
      <c r="O3605" s="70">
        <v>0.466302059947925</v>
      </c>
      <c r="P3605" s="70">
        <v>0.466302059947925</v>
      </c>
    </row>
    <row r="3606" hidden="1">
      <c r="A3606" s="67" t="s">
        <v>4366</v>
      </c>
      <c r="B3606" s="67" t="s">
        <v>268</v>
      </c>
      <c r="C3606" s="68">
        <v>0.5</v>
      </c>
      <c r="D3606" s="68">
        <v>0.5</v>
      </c>
      <c r="E3606" s="68">
        <v>9.0</v>
      </c>
      <c r="F3606" s="68">
        <v>4.0</v>
      </c>
      <c r="G3606" s="68">
        <v>1.07991001504809</v>
      </c>
      <c r="H3606" s="68">
        <v>1.4504242499467</v>
      </c>
      <c r="I3606" s="69">
        <v>44311.015543981484</v>
      </c>
      <c r="J3606" s="69">
        <v>44311.01576388889</v>
      </c>
      <c r="K3606">
        <f>AVERAGE(H3602:H3606)</f>
        <v>86.43264449</v>
      </c>
      <c r="L3606">
        <f>STDEV(H3602:H3606)</f>
        <v>128.1151145</v>
      </c>
      <c r="M3606" s="70">
        <v>1.4504242499467</v>
      </c>
      <c r="N3606" s="70">
        <v>1.4504242499467</v>
      </c>
      <c r="O3606" s="70">
        <v>1.07991001504809</v>
      </c>
      <c r="P3606" s="70">
        <v>1.07991001504809</v>
      </c>
    </row>
    <row r="3607" hidden="1">
      <c r="A3607" s="67" t="s">
        <v>4367</v>
      </c>
      <c r="B3607" s="67" t="s">
        <v>268</v>
      </c>
      <c r="C3607" s="68">
        <v>0.5</v>
      </c>
      <c r="D3607" s="68">
        <v>0.75</v>
      </c>
      <c r="E3607" s="68">
        <v>9.0</v>
      </c>
      <c r="F3607" s="68">
        <v>0.0</v>
      </c>
      <c r="G3607" s="68">
        <v>1.71852290789604</v>
      </c>
      <c r="H3607" s="68">
        <v>27.8830482184462</v>
      </c>
      <c r="I3607" s="69">
        <v>44311.01645833333</v>
      </c>
      <c r="J3607" s="69">
        <v>44311.01806712963</v>
      </c>
      <c r="K3607">
        <f>AVERAGE(H3607:H3611)</f>
        <v>118.8247809</v>
      </c>
      <c r="L3607">
        <f>STDEV(H3607:H3611)</f>
        <v>102.8739559</v>
      </c>
      <c r="M3607" s="70">
        <v>27.8830482184462</v>
      </c>
      <c r="N3607" s="70">
        <v>27.8830482184462</v>
      </c>
      <c r="O3607" s="70">
        <v>1.71852290789604</v>
      </c>
      <c r="P3607" s="70">
        <v>1.71852290789604</v>
      </c>
    </row>
    <row r="3608" hidden="1">
      <c r="A3608" s="67" t="s">
        <v>4368</v>
      </c>
      <c r="B3608" s="67" t="s">
        <v>268</v>
      </c>
      <c r="C3608" s="68">
        <v>0.5</v>
      </c>
      <c r="D3608" s="68">
        <v>0.75</v>
      </c>
      <c r="E3608" s="68">
        <v>9.0</v>
      </c>
      <c r="F3608" s="68">
        <v>1.0</v>
      </c>
      <c r="G3608" s="68">
        <v>6.29613855480299</v>
      </c>
      <c r="H3608" s="68">
        <v>248.137461013395</v>
      </c>
      <c r="I3608" s="69">
        <v>44311.01876157407</v>
      </c>
      <c r="J3608" s="69">
        <v>44311.02072916667</v>
      </c>
      <c r="K3608">
        <f>AVERAGE(H3607:H3611)</f>
        <v>118.8247809</v>
      </c>
      <c r="L3608">
        <f>STDEV(H3607:H3611)</f>
        <v>102.8739559</v>
      </c>
      <c r="M3608" s="70">
        <v>248.137461013395</v>
      </c>
      <c r="N3608" s="70">
        <v>248.137461013395</v>
      </c>
      <c r="O3608" s="70">
        <v>6.29613855480299</v>
      </c>
      <c r="P3608" s="70">
        <v>6.29613855480299</v>
      </c>
    </row>
    <row r="3609" hidden="1">
      <c r="A3609" s="67" t="s">
        <v>4369</v>
      </c>
      <c r="B3609" s="67" t="s">
        <v>268</v>
      </c>
      <c r="C3609" s="68">
        <v>0.5</v>
      </c>
      <c r="D3609" s="68">
        <v>0.75</v>
      </c>
      <c r="E3609" s="68">
        <v>9.0</v>
      </c>
      <c r="F3609" s="68">
        <v>2.0</v>
      </c>
      <c r="G3609" s="68">
        <v>3.72378480560706</v>
      </c>
      <c r="H3609" s="68">
        <v>182.266141755535</v>
      </c>
      <c r="I3609" s="69">
        <v>44311.02142361111</v>
      </c>
      <c r="J3609" s="69">
        <v>44311.038819444446</v>
      </c>
      <c r="K3609">
        <f>AVERAGE(H3607:H3611)</f>
        <v>118.8247809</v>
      </c>
      <c r="L3609">
        <f>STDEV(H3607:H3611)</f>
        <v>102.8739559</v>
      </c>
      <c r="M3609" s="70">
        <v>182.266141755535</v>
      </c>
      <c r="N3609" s="70">
        <v>182.266141755535</v>
      </c>
      <c r="O3609" s="70">
        <v>3.72378480560706</v>
      </c>
      <c r="P3609" s="70">
        <v>3.72378480560706</v>
      </c>
    </row>
    <row r="3610" hidden="1">
      <c r="A3610" s="67" t="s">
        <v>4370</v>
      </c>
      <c r="B3610" s="67" t="s">
        <v>268</v>
      </c>
      <c r="C3610" s="68">
        <v>0.5</v>
      </c>
      <c r="D3610" s="68">
        <v>0.75</v>
      </c>
      <c r="E3610" s="68">
        <v>9.0</v>
      </c>
      <c r="F3610" s="68">
        <v>3.0</v>
      </c>
      <c r="G3610" s="68">
        <v>2.65066504174383</v>
      </c>
      <c r="H3610" s="68">
        <v>4.15203700319512</v>
      </c>
      <c r="I3610" s="69">
        <v>44311.039513888885</v>
      </c>
      <c r="J3610" s="69">
        <v>44311.03965277778</v>
      </c>
      <c r="K3610">
        <f>AVERAGE(H3607:H3611)</f>
        <v>118.8247809</v>
      </c>
      <c r="L3610">
        <f>STDEV(H3607:H3611)</f>
        <v>102.8739559</v>
      </c>
      <c r="M3610" s="70">
        <v>4.15203700319512</v>
      </c>
      <c r="N3610" s="70">
        <v>4.15203700319512</v>
      </c>
      <c r="O3610" s="70">
        <v>2.65066504174383</v>
      </c>
      <c r="P3610" s="70">
        <v>2.65066504174383</v>
      </c>
    </row>
    <row r="3611" hidden="1">
      <c r="A3611" s="67" t="s">
        <v>4371</v>
      </c>
      <c r="B3611" s="67" t="s">
        <v>268</v>
      </c>
      <c r="C3611" s="68">
        <v>0.5</v>
      </c>
      <c r="D3611" s="68">
        <v>0.75</v>
      </c>
      <c r="E3611" s="68">
        <v>9.0</v>
      </c>
      <c r="F3611" s="68">
        <v>4.0</v>
      </c>
      <c r="G3611" s="68">
        <v>2.85057606050033</v>
      </c>
      <c r="H3611" s="68">
        <v>131.685216574412</v>
      </c>
      <c r="I3611" s="69">
        <v>44311.040347222224</v>
      </c>
      <c r="J3611" s="69">
        <v>44311.09244212963</v>
      </c>
      <c r="K3611">
        <f>AVERAGE(H3607:H3611)</f>
        <v>118.8247809</v>
      </c>
      <c r="L3611">
        <f>STDEV(H3607:H3611)</f>
        <v>102.8739559</v>
      </c>
      <c r="M3611" s="70">
        <v>131.685216574412</v>
      </c>
      <c r="N3611" s="70">
        <v>131.685216574412</v>
      </c>
      <c r="O3611" s="70">
        <v>2.85057606050033</v>
      </c>
      <c r="P3611" s="70">
        <v>2.85057606050033</v>
      </c>
    </row>
    <row r="3612" hidden="1">
      <c r="A3612" s="67" t="s">
        <v>4372</v>
      </c>
      <c r="B3612" s="67" t="s">
        <v>268</v>
      </c>
      <c r="C3612" s="68">
        <v>0.5</v>
      </c>
      <c r="D3612" s="68">
        <v>1.0</v>
      </c>
      <c r="E3612" s="68">
        <v>9.0</v>
      </c>
      <c r="F3612" s="68">
        <v>0.0</v>
      </c>
      <c r="G3612" s="68">
        <v>0.658374680523164</v>
      </c>
      <c r="H3612" s="68">
        <v>1.22026776776409</v>
      </c>
      <c r="I3612" s="69">
        <v>44311.093136574076</v>
      </c>
      <c r="J3612" s="69">
        <v>44311.095046296294</v>
      </c>
      <c r="K3612">
        <f>AVERAGE(H3612:H3616)</f>
        <v>92.2035793</v>
      </c>
      <c r="L3612">
        <f>STDEV(H3612:H3616)</f>
        <v>86.40802818</v>
      </c>
      <c r="M3612" s="70">
        <v>1.22026776776409</v>
      </c>
      <c r="N3612" s="70">
        <v>1.22026776776409</v>
      </c>
      <c r="O3612" s="70">
        <v>0.658374680523164</v>
      </c>
      <c r="P3612" s="70">
        <v>0.658374680523164</v>
      </c>
    </row>
    <row r="3613" hidden="1">
      <c r="A3613" s="67" t="s">
        <v>4373</v>
      </c>
      <c r="B3613" s="67" t="s">
        <v>268</v>
      </c>
      <c r="C3613" s="68">
        <v>0.5</v>
      </c>
      <c r="D3613" s="68">
        <v>1.0</v>
      </c>
      <c r="E3613" s="68">
        <v>9.0</v>
      </c>
      <c r="F3613" s="68">
        <v>1.0</v>
      </c>
      <c r="G3613" s="68">
        <v>4.20384384258104</v>
      </c>
      <c r="H3613" s="68">
        <v>115.922020546068</v>
      </c>
      <c r="I3613" s="69">
        <v>44311.09574074074</v>
      </c>
      <c r="J3613" s="69">
        <v>44311.09583333333</v>
      </c>
      <c r="K3613">
        <f>AVERAGE(H3612:H3616)</f>
        <v>92.2035793</v>
      </c>
      <c r="L3613">
        <f>STDEV(H3612:H3616)</f>
        <v>86.40802818</v>
      </c>
      <c r="M3613" s="70">
        <v>115.922020546068</v>
      </c>
      <c r="N3613" s="70">
        <v>115.922020546068</v>
      </c>
      <c r="O3613" s="70">
        <v>4.20384384258104</v>
      </c>
      <c r="P3613" s="70">
        <v>4.20384384258104</v>
      </c>
    </row>
    <row r="3614" hidden="1">
      <c r="A3614" s="67" t="s">
        <v>4374</v>
      </c>
      <c r="B3614" s="67" t="s">
        <v>268</v>
      </c>
      <c r="C3614" s="68">
        <v>0.5</v>
      </c>
      <c r="D3614" s="68">
        <v>1.0</v>
      </c>
      <c r="E3614" s="68">
        <v>9.0</v>
      </c>
      <c r="F3614" s="68">
        <v>2.0</v>
      </c>
      <c r="G3614" s="68">
        <v>4.5612464614544</v>
      </c>
      <c r="H3614" s="68">
        <v>172.001313099701</v>
      </c>
      <c r="I3614" s="69">
        <v>44311.09652777778</v>
      </c>
      <c r="J3614" s="69">
        <v>44311.09662037037</v>
      </c>
      <c r="K3614">
        <f>AVERAGE(H3612:H3616)</f>
        <v>92.2035793</v>
      </c>
      <c r="L3614">
        <f>STDEV(H3612:H3616)</f>
        <v>86.40802818</v>
      </c>
      <c r="M3614" s="70">
        <v>172.001313099701</v>
      </c>
      <c r="N3614" s="70">
        <v>172.001313099701</v>
      </c>
      <c r="O3614" s="70">
        <v>4.5612464614544</v>
      </c>
      <c r="P3614" s="70">
        <v>4.5612464614544</v>
      </c>
    </row>
    <row r="3615" hidden="1">
      <c r="A3615" s="67" t="s">
        <v>4375</v>
      </c>
      <c r="B3615" s="67" t="s">
        <v>268</v>
      </c>
      <c r="C3615" s="68">
        <v>0.5</v>
      </c>
      <c r="D3615" s="68">
        <v>1.0</v>
      </c>
      <c r="E3615" s="68">
        <v>9.0</v>
      </c>
      <c r="F3615" s="68">
        <v>3.0</v>
      </c>
      <c r="G3615" s="68">
        <v>3.82946006650303</v>
      </c>
      <c r="H3615" s="68">
        <v>171.314683369318</v>
      </c>
      <c r="I3615" s="69">
        <v>44311.09731481481</v>
      </c>
      <c r="J3615" s="69">
        <v>44311.26207175926</v>
      </c>
      <c r="K3615">
        <f>AVERAGE(H3612:H3616)</f>
        <v>92.2035793</v>
      </c>
      <c r="L3615">
        <f>STDEV(H3612:H3616)</f>
        <v>86.40802818</v>
      </c>
      <c r="M3615" s="70">
        <v>171.314683369318</v>
      </c>
      <c r="N3615" s="70">
        <v>171.314683369318</v>
      </c>
      <c r="O3615" s="70">
        <v>3.82946006650303</v>
      </c>
      <c r="P3615" s="70">
        <v>3.82946006650303</v>
      </c>
    </row>
    <row r="3616" hidden="1">
      <c r="A3616" s="67" t="s">
        <v>4376</v>
      </c>
      <c r="B3616" s="67" t="s">
        <v>268</v>
      </c>
      <c r="C3616" s="68">
        <v>0.5</v>
      </c>
      <c r="D3616" s="68">
        <v>1.0</v>
      </c>
      <c r="E3616" s="68">
        <v>9.0</v>
      </c>
      <c r="F3616" s="68">
        <v>4.0</v>
      </c>
      <c r="G3616" s="68">
        <v>0.467489314643222</v>
      </c>
      <c r="H3616" s="68">
        <v>0.559611722484267</v>
      </c>
      <c r="I3616" s="69">
        <v>44311.262766203705</v>
      </c>
      <c r="J3616" s="69">
        <v>44311.26310185185</v>
      </c>
      <c r="K3616">
        <f>AVERAGE(H3612:H3616)</f>
        <v>92.2035793</v>
      </c>
      <c r="L3616">
        <f>STDEV(H3612:H3616)</f>
        <v>86.40802818</v>
      </c>
      <c r="M3616" s="70">
        <v>0.559611722484267</v>
      </c>
      <c r="N3616" s="70">
        <v>0.559611722484267</v>
      </c>
      <c r="O3616" s="70">
        <v>0.467489314643222</v>
      </c>
      <c r="P3616" s="70">
        <v>0.467489314643222</v>
      </c>
    </row>
    <row r="3617" hidden="1">
      <c r="A3617" s="67" t="s">
        <v>4377</v>
      </c>
      <c r="B3617" s="67" t="s">
        <v>268</v>
      </c>
      <c r="C3617" s="68">
        <v>0.75</v>
      </c>
      <c r="D3617" s="68">
        <v>0.1</v>
      </c>
      <c r="E3617" s="68">
        <v>9.0</v>
      </c>
      <c r="F3617" s="68">
        <v>0.0</v>
      </c>
      <c r="G3617" s="68">
        <v>0.319096105615425</v>
      </c>
      <c r="H3617" s="68">
        <v>0.408517979006142</v>
      </c>
      <c r="I3617" s="69">
        <v>44311.2637962963</v>
      </c>
      <c r="J3617" s="69">
        <v>44311.26388888889</v>
      </c>
      <c r="K3617">
        <f>AVERAGE(H3617:H3621)</f>
        <v>105.1852519</v>
      </c>
      <c r="L3617">
        <f>STDEV(H3617:H3621)</f>
        <v>89.83781876</v>
      </c>
      <c r="M3617" s="70">
        <v>0.408517979006142</v>
      </c>
      <c r="N3617" s="70">
        <v>0.408517979006142</v>
      </c>
      <c r="O3617" s="70">
        <v>0.319096105615425</v>
      </c>
      <c r="P3617" s="70">
        <v>0.319096105615425</v>
      </c>
    </row>
    <row r="3618" hidden="1">
      <c r="A3618" s="67" t="s">
        <v>4378</v>
      </c>
      <c r="B3618" s="67" t="s">
        <v>268</v>
      </c>
      <c r="C3618" s="68">
        <v>0.75</v>
      </c>
      <c r="D3618" s="68">
        <v>0.1</v>
      </c>
      <c r="E3618" s="68">
        <v>9.0</v>
      </c>
      <c r="F3618" s="68">
        <v>1.0</v>
      </c>
      <c r="G3618" s="68">
        <v>1.21437453905074</v>
      </c>
      <c r="H3618" s="68">
        <v>15.9085939614324</v>
      </c>
      <c r="I3618" s="69">
        <v>44311.26458333333</v>
      </c>
      <c r="J3618" s="69">
        <v>44311.26482638889</v>
      </c>
      <c r="K3618">
        <f>AVERAGE(H3617:H3621)</f>
        <v>105.1852519</v>
      </c>
      <c r="L3618">
        <f>STDEV(H3617:H3621)</f>
        <v>89.83781876</v>
      </c>
      <c r="M3618" s="70">
        <v>15.9085939614324</v>
      </c>
      <c r="N3618" s="70">
        <v>15.9085939614324</v>
      </c>
      <c r="O3618" s="70">
        <v>1.21437453905074</v>
      </c>
      <c r="P3618" s="70">
        <v>1.21437453905074</v>
      </c>
    </row>
    <row r="3619" hidden="1">
      <c r="A3619" s="67" t="s">
        <v>4379</v>
      </c>
      <c r="B3619" s="67" t="s">
        <v>268</v>
      </c>
      <c r="C3619" s="68">
        <v>0.75</v>
      </c>
      <c r="D3619" s="68">
        <v>0.1</v>
      </c>
      <c r="E3619" s="68">
        <v>9.0</v>
      </c>
      <c r="F3619" s="68">
        <v>2.0</v>
      </c>
      <c r="G3619" s="68">
        <v>4.97844356613965</v>
      </c>
      <c r="H3619" s="68">
        <v>155.53251902417</v>
      </c>
      <c r="I3619" s="69">
        <v>44311.26552083333</v>
      </c>
      <c r="J3619" s="69">
        <v>44311.2656712963</v>
      </c>
      <c r="K3619">
        <f>AVERAGE(H3617:H3621)</f>
        <v>105.1852519</v>
      </c>
      <c r="L3619">
        <f>STDEV(H3617:H3621)</f>
        <v>89.83781876</v>
      </c>
      <c r="M3619" s="70">
        <v>155.53251902417</v>
      </c>
      <c r="N3619" s="70">
        <v>155.53251902417</v>
      </c>
      <c r="O3619" s="70">
        <v>4.97844356613965</v>
      </c>
      <c r="P3619" s="70">
        <v>4.97844356613965</v>
      </c>
    </row>
    <row r="3620" hidden="1">
      <c r="A3620" s="67" t="s">
        <v>4380</v>
      </c>
      <c r="B3620" s="67" t="s">
        <v>268</v>
      </c>
      <c r="C3620" s="68">
        <v>0.75</v>
      </c>
      <c r="D3620" s="68">
        <v>0.1</v>
      </c>
      <c r="E3620" s="68">
        <v>9.0</v>
      </c>
      <c r="F3620" s="68">
        <v>3.0</v>
      </c>
      <c r="G3620" s="68">
        <v>3.41651065512048</v>
      </c>
      <c r="H3620" s="68">
        <v>161.63901743949</v>
      </c>
      <c r="I3620" s="69">
        <v>44311.26636574074</v>
      </c>
      <c r="J3620" s="69">
        <v>44311.43740740741</v>
      </c>
      <c r="K3620">
        <f>AVERAGE(H3617:H3621)</f>
        <v>105.1852519</v>
      </c>
      <c r="L3620">
        <f>STDEV(H3617:H3621)</f>
        <v>89.83781876</v>
      </c>
      <c r="M3620" s="70">
        <v>161.63901743949</v>
      </c>
      <c r="N3620" s="70">
        <v>161.63901743949</v>
      </c>
      <c r="O3620" s="70">
        <v>3.41651065512048</v>
      </c>
      <c r="P3620" s="70">
        <v>3.41651065512048</v>
      </c>
    </row>
    <row r="3621" hidden="1">
      <c r="A3621" s="67" t="s">
        <v>4381</v>
      </c>
      <c r="B3621" s="67" t="s">
        <v>268</v>
      </c>
      <c r="C3621" s="68">
        <v>0.75</v>
      </c>
      <c r="D3621" s="68">
        <v>0.1</v>
      </c>
      <c r="E3621" s="68">
        <v>9.0</v>
      </c>
      <c r="F3621" s="68">
        <v>4.0</v>
      </c>
      <c r="G3621" s="68">
        <v>7.94112888342062</v>
      </c>
      <c r="H3621" s="68">
        <v>192.437610855651</v>
      </c>
      <c r="I3621" s="69">
        <v>44311.438101851854</v>
      </c>
      <c r="J3621" s="69">
        <v>44311.43817129629</v>
      </c>
      <c r="K3621">
        <f>AVERAGE(H3617:H3621)</f>
        <v>105.1852519</v>
      </c>
      <c r="L3621">
        <f>STDEV(H3617:H3621)</f>
        <v>89.83781876</v>
      </c>
      <c r="M3621" s="70">
        <v>192.437610855651</v>
      </c>
      <c r="N3621" s="70">
        <v>192.437610855651</v>
      </c>
      <c r="O3621" s="70">
        <v>7.94112888342062</v>
      </c>
      <c r="P3621" s="70">
        <v>7.94112888342062</v>
      </c>
    </row>
    <row r="3622" hidden="1">
      <c r="A3622" s="67" t="s">
        <v>4382</v>
      </c>
      <c r="B3622" s="67" t="s">
        <v>268</v>
      </c>
      <c r="C3622" s="68">
        <v>0.75</v>
      </c>
      <c r="D3622" s="68">
        <v>0.25</v>
      </c>
      <c r="E3622" s="68">
        <v>9.0</v>
      </c>
      <c r="F3622" s="68">
        <v>0.0</v>
      </c>
      <c r="G3622" s="68">
        <v>5.05146390396018</v>
      </c>
      <c r="H3622" s="68">
        <v>211.666899568367</v>
      </c>
      <c r="I3622" s="69">
        <v>44311.43886574074</v>
      </c>
      <c r="J3622" s="69">
        <v>44311.446076388886</v>
      </c>
      <c r="K3622">
        <f>AVERAGE(H3622:H3626)</f>
        <v>114.4629648</v>
      </c>
      <c r="L3622">
        <f>STDEV(H3622:H3626)</f>
        <v>83.66241423</v>
      </c>
      <c r="M3622" s="70">
        <v>211.666899568367</v>
      </c>
      <c r="N3622" s="70">
        <v>211.666899568367</v>
      </c>
      <c r="O3622" s="70">
        <v>5.05146390396018</v>
      </c>
      <c r="P3622" s="70">
        <v>5.05146390396018</v>
      </c>
    </row>
    <row r="3623" hidden="1">
      <c r="A3623" s="67" t="s">
        <v>4383</v>
      </c>
      <c r="B3623" s="67" t="s">
        <v>268</v>
      </c>
      <c r="C3623" s="68">
        <v>0.75</v>
      </c>
      <c r="D3623" s="68">
        <v>0.25</v>
      </c>
      <c r="E3623" s="68">
        <v>9.0</v>
      </c>
      <c r="F3623" s="68">
        <v>1.0</v>
      </c>
      <c r="G3623" s="68">
        <v>2.48827350719733</v>
      </c>
      <c r="H3623" s="68">
        <v>131.803019410388</v>
      </c>
      <c r="I3623" s="69">
        <v>44311.44677083333</v>
      </c>
      <c r="J3623" s="69">
        <v>44311.447222222225</v>
      </c>
      <c r="K3623">
        <f>AVERAGE(H3622:H3626)</f>
        <v>114.4629648</v>
      </c>
      <c r="L3623">
        <f>STDEV(H3622:H3626)</f>
        <v>83.66241423</v>
      </c>
      <c r="M3623" s="70">
        <v>131.803019410388</v>
      </c>
      <c r="N3623" s="70">
        <v>131.803019410388</v>
      </c>
      <c r="O3623" s="70">
        <v>2.48827350719733</v>
      </c>
      <c r="P3623" s="70">
        <v>2.48827350719733</v>
      </c>
    </row>
    <row r="3624" hidden="1">
      <c r="A3624" s="67" t="s">
        <v>4384</v>
      </c>
      <c r="B3624" s="67" t="s">
        <v>268</v>
      </c>
      <c r="C3624" s="68">
        <v>0.75</v>
      </c>
      <c r="D3624" s="68">
        <v>0.25</v>
      </c>
      <c r="E3624" s="68">
        <v>9.0</v>
      </c>
      <c r="F3624" s="68">
        <v>2.0</v>
      </c>
      <c r="G3624" s="68">
        <v>3.63056541239801</v>
      </c>
      <c r="H3624" s="68">
        <v>166.444145434096</v>
      </c>
      <c r="I3624" s="69">
        <v>44311.447916666664</v>
      </c>
      <c r="J3624" s="69">
        <v>44311.518842592595</v>
      </c>
      <c r="K3624">
        <f>AVERAGE(H3622:H3626)</f>
        <v>114.4629648</v>
      </c>
      <c r="L3624">
        <f>STDEV(H3622:H3626)</f>
        <v>83.66241423</v>
      </c>
      <c r="M3624" s="70">
        <v>166.444145434096</v>
      </c>
      <c r="N3624" s="70">
        <v>166.444145434096</v>
      </c>
      <c r="O3624" s="70">
        <v>3.63056541239801</v>
      </c>
      <c r="P3624" s="70">
        <v>3.63056541239801</v>
      </c>
    </row>
    <row r="3625" hidden="1">
      <c r="A3625" s="67" t="s">
        <v>4385</v>
      </c>
      <c r="B3625" s="67" t="s">
        <v>268</v>
      </c>
      <c r="C3625" s="68">
        <v>0.75</v>
      </c>
      <c r="D3625" s="68">
        <v>0.25</v>
      </c>
      <c r="E3625" s="68">
        <v>9.0</v>
      </c>
      <c r="F3625" s="68">
        <v>3.0</v>
      </c>
      <c r="G3625" s="68">
        <v>0.750636531262653</v>
      </c>
      <c r="H3625" s="68">
        <v>2.20937677744893</v>
      </c>
      <c r="I3625" s="69">
        <v>44311.51954861111</v>
      </c>
      <c r="J3625" s="69">
        <v>44311.51954861111</v>
      </c>
      <c r="K3625">
        <f>AVERAGE(H3622:H3626)</f>
        <v>114.4629648</v>
      </c>
      <c r="L3625">
        <f>STDEV(H3622:H3626)</f>
        <v>83.66241423</v>
      </c>
      <c r="M3625" s="70">
        <v>2.20937677744893</v>
      </c>
      <c r="N3625" s="70">
        <v>2.20937677744893</v>
      </c>
      <c r="O3625" s="70">
        <v>0.750636531262653</v>
      </c>
      <c r="P3625" s="70">
        <v>0.750636531262653</v>
      </c>
    </row>
    <row r="3626" hidden="1">
      <c r="A3626" s="67" t="s">
        <v>4386</v>
      </c>
      <c r="B3626" s="67" t="s">
        <v>268</v>
      </c>
      <c r="C3626" s="68">
        <v>0.75</v>
      </c>
      <c r="D3626" s="68">
        <v>0.25</v>
      </c>
      <c r="E3626" s="68">
        <v>9.0</v>
      </c>
      <c r="F3626" s="68">
        <v>4.0</v>
      </c>
      <c r="G3626" s="68">
        <v>1.22355078951385</v>
      </c>
      <c r="H3626" s="68">
        <v>60.1913826554621</v>
      </c>
      <c r="I3626" s="69">
        <v>44311.52024305556</v>
      </c>
      <c r="J3626" s="69">
        <v>44311.525358796294</v>
      </c>
      <c r="K3626">
        <f>AVERAGE(H3622:H3626)</f>
        <v>114.4629648</v>
      </c>
      <c r="L3626">
        <f>STDEV(H3622:H3626)</f>
        <v>83.66241423</v>
      </c>
      <c r="M3626" s="70">
        <v>60.1913826554621</v>
      </c>
      <c r="N3626" s="70">
        <v>60.1913826554621</v>
      </c>
      <c r="O3626" s="70">
        <v>1.22355078951385</v>
      </c>
      <c r="P3626" s="70">
        <v>1.22355078951385</v>
      </c>
    </row>
    <row r="3627" hidden="1">
      <c r="A3627" s="67" t="s">
        <v>4387</v>
      </c>
      <c r="B3627" s="67" t="s">
        <v>268</v>
      </c>
      <c r="C3627" s="68">
        <v>0.75</v>
      </c>
      <c r="D3627" s="68">
        <v>0.5</v>
      </c>
      <c r="E3627" s="68">
        <v>9.0</v>
      </c>
      <c r="F3627" s="68">
        <v>0.0</v>
      </c>
      <c r="G3627" s="68">
        <v>1.09487060506055</v>
      </c>
      <c r="H3627" s="68">
        <v>1.87550721349451</v>
      </c>
      <c r="I3627" s="69">
        <v>44311.52605324074</v>
      </c>
      <c r="J3627" s="69">
        <v>44311.52611111111</v>
      </c>
      <c r="K3627">
        <f>AVERAGE(H3627:H3631)</f>
        <v>59.36283874</v>
      </c>
      <c r="L3627">
        <f>STDEV(H3627:H3631)</f>
        <v>82.38447939</v>
      </c>
      <c r="M3627" s="70">
        <v>1.87550721349451</v>
      </c>
      <c r="N3627" s="70">
        <v>1.87550721349451</v>
      </c>
      <c r="O3627" s="70">
        <v>1.09487060506055</v>
      </c>
      <c r="P3627" s="70">
        <v>1.09487060506055</v>
      </c>
    </row>
    <row r="3628" hidden="1">
      <c r="A3628" s="67" t="s">
        <v>4388</v>
      </c>
      <c r="B3628" s="67" t="s">
        <v>268</v>
      </c>
      <c r="C3628" s="68">
        <v>0.75</v>
      </c>
      <c r="D3628" s="68">
        <v>0.5</v>
      </c>
      <c r="E3628" s="68">
        <v>9.0</v>
      </c>
      <c r="F3628" s="68">
        <v>1.0</v>
      </c>
      <c r="G3628" s="68">
        <v>3.94784411682106</v>
      </c>
      <c r="H3628" s="68">
        <v>181.935468825517</v>
      </c>
      <c r="I3628" s="69">
        <v>44311.52680555556</v>
      </c>
      <c r="J3628" s="69">
        <v>44311.63123842593</v>
      </c>
      <c r="K3628">
        <f>AVERAGE(H3627:H3631)</f>
        <v>59.36283874</v>
      </c>
      <c r="L3628">
        <f>STDEV(H3627:H3631)</f>
        <v>82.38447939</v>
      </c>
      <c r="M3628" s="70">
        <v>181.935468825517</v>
      </c>
      <c r="N3628" s="70">
        <v>181.935468825517</v>
      </c>
      <c r="O3628" s="70">
        <v>3.94784411682106</v>
      </c>
      <c r="P3628" s="70">
        <v>3.94784411682106</v>
      </c>
    </row>
    <row r="3629" hidden="1">
      <c r="A3629" s="67" t="s">
        <v>4389</v>
      </c>
      <c r="B3629" s="67" t="s">
        <v>268</v>
      </c>
      <c r="C3629" s="68">
        <v>0.75</v>
      </c>
      <c r="D3629" s="68">
        <v>0.5</v>
      </c>
      <c r="E3629" s="68">
        <v>9.0</v>
      </c>
      <c r="F3629" s="68">
        <v>2.0</v>
      </c>
      <c r="G3629" s="68">
        <v>2.65052665369647</v>
      </c>
      <c r="H3629" s="68">
        <v>107.919006854255</v>
      </c>
      <c r="I3629" s="69">
        <v>44311.63193287037</v>
      </c>
      <c r="J3629" s="69">
        <v>44311.64078703704</v>
      </c>
      <c r="K3629">
        <f>AVERAGE(H3627:H3631)</f>
        <v>59.36283874</v>
      </c>
      <c r="L3629">
        <f>STDEV(H3627:H3631)</f>
        <v>82.38447939</v>
      </c>
      <c r="M3629" s="70">
        <v>107.919006854255</v>
      </c>
      <c r="N3629" s="70">
        <v>107.919006854255</v>
      </c>
      <c r="O3629" s="70">
        <v>2.65052665369647</v>
      </c>
      <c r="P3629" s="70">
        <v>2.65052665369647</v>
      </c>
    </row>
    <row r="3630" hidden="1">
      <c r="A3630" s="67" t="s">
        <v>4390</v>
      </c>
      <c r="B3630" s="67" t="s">
        <v>268</v>
      </c>
      <c r="C3630" s="68">
        <v>0.75</v>
      </c>
      <c r="D3630" s="68">
        <v>0.5</v>
      </c>
      <c r="E3630" s="68">
        <v>9.0</v>
      </c>
      <c r="F3630" s="68">
        <v>3.0</v>
      </c>
      <c r="G3630" s="68">
        <v>0.712416211018699</v>
      </c>
      <c r="H3630" s="68">
        <v>0.949323412726235</v>
      </c>
      <c r="I3630" s="69">
        <v>44311.64148148148</v>
      </c>
      <c r="J3630" s="69">
        <v>44311.64194444445</v>
      </c>
      <c r="K3630">
        <f>AVERAGE(H3627:H3631)</f>
        <v>59.36283874</v>
      </c>
      <c r="L3630">
        <f>STDEV(H3627:H3631)</f>
        <v>82.38447939</v>
      </c>
      <c r="M3630" s="70">
        <v>0.949323412726235</v>
      </c>
      <c r="N3630" s="70">
        <v>0.949323412726235</v>
      </c>
      <c r="O3630" s="70">
        <v>0.712416211018699</v>
      </c>
      <c r="P3630" s="70">
        <v>0.712416211018699</v>
      </c>
    </row>
    <row r="3631" hidden="1">
      <c r="A3631" s="67" t="s">
        <v>4391</v>
      </c>
      <c r="B3631" s="67" t="s">
        <v>268</v>
      </c>
      <c r="C3631" s="68">
        <v>0.75</v>
      </c>
      <c r="D3631" s="68">
        <v>0.5</v>
      </c>
      <c r="E3631" s="68">
        <v>9.0</v>
      </c>
      <c r="F3631" s="68">
        <v>4.0</v>
      </c>
      <c r="G3631" s="68">
        <v>2.63887578269689</v>
      </c>
      <c r="H3631" s="68">
        <v>4.13488737133798</v>
      </c>
      <c r="I3631" s="69">
        <v>44311.64263888889</v>
      </c>
      <c r="J3631" s="69">
        <v>44311.6427662037</v>
      </c>
      <c r="K3631">
        <f>AVERAGE(H3627:H3631)</f>
        <v>59.36283874</v>
      </c>
      <c r="L3631">
        <f>STDEV(H3627:H3631)</f>
        <v>82.38447939</v>
      </c>
      <c r="M3631" s="70">
        <v>4.13488737133798</v>
      </c>
      <c r="N3631" s="70">
        <v>4.13488737133798</v>
      </c>
      <c r="O3631" s="70">
        <v>2.63887578269689</v>
      </c>
      <c r="P3631" s="70">
        <v>2.63887578269689</v>
      </c>
    </row>
    <row r="3632" hidden="1">
      <c r="A3632" s="67" t="s">
        <v>4392</v>
      </c>
      <c r="B3632" s="67" t="s">
        <v>268</v>
      </c>
      <c r="C3632" s="68">
        <v>0.75</v>
      </c>
      <c r="D3632" s="68">
        <v>0.75</v>
      </c>
      <c r="E3632" s="68">
        <v>9.0</v>
      </c>
      <c r="F3632" s="68">
        <v>0.0</v>
      </c>
      <c r="G3632" s="68">
        <v>0.736192093514763</v>
      </c>
      <c r="H3632" s="68">
        <v>0.950544336758399</v>
      </c>
      <c r="I3632" s="69">
        <v>44311.64346064815</v>
      </c>
      <c r="J3632" s="69">
        <v>44311.64388888889</v>
      </c>
      <c r="K3632">
        <f>AVERAGE(H3632:H3636)</f>
        <v>119.360959</v>
      </c>
      <c r="L3632">
        <f>STDEV(H3632:H3636)</f>
        <v>124.2694969</v>
      </c>
      <c r="M3632" s="70">
        <v>0.950544336758399</v>
      </c>
      <c r="N3632" s="70">
        <v>0.950544336758399</v>
      </c>
      <c r="O3632" s="70">
        <v>0.736192093514763</v>
      </c>
      <c r="P3632" s="70">
        <v>0.736192093514763</v>
      </c>
    </row>
    <row r="3633" hidden="1">
      <c r="A3633" s="67" t="s">
        <v>4393</v>
      </c>
      <c r="B3633" s="67" t="s">
        <v>268</v>
      </c>
      <c r="C3633" s="68">
        <v>0.75</v>
      </c>
      <c r="D3633" s="68">
        <v>0.75</v>
      </c>
      <c r="E3633" s="68">
        <v>9.0</v>
      </c>
      <c r="F3633" s="68">
        <v>1.0</v>
      </c>
      <c r="G3633" s="68">
        <v>0.466650291518434</v>
      </c>
      <c r="H3633" s="68">
        <v>0.55866925838701</v>
      </c>
      <c r="I3633" s="69">
        <v>44311.644583333335</v>
      </c>
      <c r="J3633" s="69">
        <v>44311.644953703704</v>
      </c>
      <c r="K3633">
        <f>AVERAGE(H3632:H3636)</f>
        <v>119.360959</v>
      </c>
      <c r="L3633">
        <f>STDEV(H3632:H3636)</f>
        <v>124.2694969</v>
      </c>
      <c r="M3633" s="70">
        <v>0.55866925838701</v>
      </c>
      <c r="N3633" s="70">
        <v>0.55866925838701</v>
      </c>
      <c r="O3633" s="70">
        <v>0.466650291518434</v>
      </c>
      <c r="P3633" s="70">
        <v>0.466650291518434</v>
      </c>
    </row>
    <row r="3634" hidden="1">
      <c r="A3634" s="67" t="s">
        <v>4394</v>
      </c>
      <c r="B3634" s="67" t="s">
        <v>268</v>
      </c>
      <c r="C3634" s="68">
        <v>0.75</v>
      </c>
      <c r="D3634" s="68">
        <v>0.75</v>
      </c>
      <c r="E3634" s="68">
        <v>9.0</v>
      </c>
      <c r="F3634" s="68">
        <v>2.0</v>
      </c>
      <c r="G3634" s="68">
        <v>4.11006564925254</v>
      </c>
      <c r="H3634" s="68">
        <v>189.470518760052</v>
      </c>
      <c r="I3634" s="69">
        <v>44311.64564814815</v>
      </c>
      <c r="J3634" s="69">
        <v>44311.65604166667</v>
      </c>
      <c r="K3634">
        <f>AVERAGE(H3632:H3636)</f>
        <v>119.360959</v>
      </c>
      <c r="L3634">
        <f>STDEV(H3632:H3636)</f>
        <v>124.2694969</v>
      </c>
      <c r="M3634" s="70">
        <v>189.470518760052</v>
      </c>
      <c r="N3634" s="70">
        <v>189.470518760052</v>
      </c>
      <c r="O3634" s="70">
        <v>4.11006564925254</v>
      </c>
      <c r="P3634" s="70">
        <v>4.11006564925254</v>
      </c>
    </row>
    <row r="3635" hidden="1">
      <c r="A3635" s="67" t="s">
        <v>4395</v>
      </c>
      <c r="B3635" s="67" t="s">
        <v>268</v>
      </c>
      <c r="C3635" s="68">
        <v>0.75</v>
      </c>
      <c r="D3635" s="68">
        <v>0.75</v>
      </c>
      <c r="E3635" s="68">
        <v>9.0</v>
      </c>
      <c r="F3635" s="68">
        <v>3.0</v>
      </c>
      <c r="G3635" s="68">
        <v>2.64433286399305</v>
      </c>
      <c r="H3635" s="68">
        <v>117.006943058007</v>
      </c>
      <c r="I3635" s="69">
        <v>44311.65673611111</v>
      </c>
      <c r="J3635" s="69">
        <v>44311.72965277778</v>
      </c>
      <c r="K3635">
        <f>AVERAGE(H3632:H3636)</f>
        <v>119.360959</v>
      </c>
      <c r="L3635">
        <f>STDEV(H3632:H3636)</f>
        <v>124.2694969</v>
      </c>
      <c r="M3635" s="70">
        <v>117.006943058007</v>
      </c>
      <c r="N3635" s="70">
        <v>117.006943058007</v>
      </c>
      <c r="O3635" s="70">
        <v>2.64433286399305</v>
      </c>
      <c r="P3635" s="70">
        <v>2.64433286399305</v>
      </c>
    </row>
    <row r="3636" hidden="1">
      <c r="A3636" s="67" t="s">
        <v>4396</v>
      </c>
      <c r="B3636" s="67" t="s">
        <v>268</v>
      </c>
      <c r="C3636" s="68">
        <v>0.75</v>
      </c>
      <c r="D3636" s="68">
        <v>0.75</v>
      </c>
      <c r="E3636" s="68">
        <v>9.0</v>
      </c>
      <c r="F3636" s="68">
        <v>4.0</v>
      </c>
      <c r="G3636" s="68">
        <v>8.2965972057638</v>
      </c>
      <c r="H3636" s="68">
        <v>288.818119739067</v>
      </c>
      <c r="I3636" s="69">
        <v>44311.73034722222</v>
      </c>
      <c r="J3636" s="69">
        <v>44311.73278935185</v>
      </c>
      <c r="K3636">
        <f>AVERAGE(H3632:H3636)</f>
        <v>119.360959</v>
      </c>
      <c r="L3636">
        <f>STDEV(H3632:H3636)</f>
        <v>124.2694969</v>
      </c>
      <c r="M3636" s="70">
        <v>288.818119739067</v>
      </c>
      <c r="N3636" s="70">
        <v>288.818119739067</v>
      </c>
      <c r="O3636" s="70">
        <v>8.2965972057638</v>
      </c>
      <c r="P3636" s="70">
        <v>8.2965972057638</v>
      </c>
    </row>
    <row r="3637" hidden="1">
      <c r="A3637" s="67" t="s">
        <v>4397</v>
      </c>
      <c r="B3637" s="67" t="s">
        <v>268</v>
      </c>
      <c r="C3637" s="68">
        <v>0.75</v>
      </c>
      <c r="D3637" s="68">
        <v>1.0</v>
      </c>
      <c r="E3637" s="68">
        <v>9.0</v>
      </c>
      <c r="F3637" s="68">
        <v>0.0</v>
      </c>
      <c r="G3637" s="68">
        <v>3.45362901397935</v>
      </c>
      <c r="H3637" s="68">
        <v>156.244770223146</v>
      </c>
      <c r="I3637" s="69">
        <v>44311.7334837963</v>
      </c>
      <c r="J3637" s="69">
        <v>44311.80972222222</v>
      </c>
      <c r="K3637">
        <f>AVERAGE(H3637:H3641)</f>
        <v>124.2089317</v>
      </c>
      <c r="L3637">
        <f>STDEV(H3637:H3641)</f>
        <v>70.66125827</v>
      </c>
      <c r="M3637" s="70">
        <v>156.244770223146</v>
      </c>
      <c r="N3637" s="70">
        <v>156.244770223146</v>
      </c>
      <c r="O3637" s="70">
        <v>3.45362901397935</v>
      </c>
      <c r="P3637" s="70">
        <v>3.45362901397935</v>
      </c>
    </row>
    <row r="3638" hidden="1">
      <c r="A3638" s="67" t="s">
        <v>4398</v>
      </c>
      <c r="B3638" s="67" t="s">
        <v>268</v>
      </c>
      <c r="C3638" s="68">
        <v>0.75</v>
      </c>
      <c r="D3638" s="68">
        <v>1.0</v>
      </c>
      <c r="E3638" s="68">
        <v>9.0</v>
      </c>
      <c r="F3638" s="68">
        <v>1.0</v>
      </c>
      <c r="G3638" s="68">
        <v>3.5213732001879</v>
      </c>
      <c r="H3638" s="68">
        <v>171.465951682436</v>
      </c>
      <c r="I3638" s="69">
        <v>44311.81041666667</v>
      </c>
      <c r="J3638" s="69">
        <v>44311.818819444445</v>
      </c>
      <c r="K3638">
        <f>AVERAGE(H3637:H3641)</f>
        <v>124.2089317</v>
      </c>
      <c r="L3638">
        <f>STDEV(H3637:H3641)</f>
        <v>70.66125827</v>
      </c>
      <c r="M3638" s="70">
        <v>171.465951682436</v>
      </c>
      <c r="N3638" s="70">
        <v>171.465951682436</v>
      </c>
      <c r="O3638" s="70">
        <v>3.5213732001879</v>
      </c>
      <c r="P3638" s="70">
        <v>3.5213732001879</v>
      </c>
    </row>
    <row r="3639" hidden="1">
      <c r="A3639" s="67" t="s">
        <v>4399</v>
      </c>
      <c r="B3639" s="67" t="s">
        <v>268</v>
      </c>
      <c r="C3639" s="68">
        <v>0.75</v>
      </c>
      <c r="D3639" s="68">
        <v>1.0</v>
      </c>
      <c r="E3639" s="68">
        <v>9.0</v>
      </c>
      <c r="F3639" s="68">
        <v>2.0</v>
      </c>
      <c r="G3639" s="68">
        <v>0.466491018990041</v>
      </c>
      <c r="H3639" s="68">
        <v>0.558846337991739</v>
      </c>
      <c r="I3639" s="69">
        <v>44311.81951388889</v>
      </c>
      <c r="J3639" s="69">
        <v>44311.819861111115</v>
      </c>
      <c r="K3639">
        <f>AVERAGE(H3637:H3641)</f>
        <v>124.2089317</v>
      </c>
      <c r="L3639">
        <f>STDEV(H3637:H3641)</f>
        <v>70.66125827</v>
      </c>
      <c r="M3639" s="70">
        <v>0.558846337991739</v>
      </c>
      <c r="N3639" s="70">
        <v>0.558846337991739</v>
      </c>
      <c r="O3639" s="70">
        <v>0.466491018990041</v>
      </c>
      <c r="P3639" s="70">
        <v>0.466491018990041</v>
      </c>
    </row>
    <row r="3640" hidden="1">
      <c r="A3640" s="67" t="s">
        <v>4400</v>
      </c>
      <c r="B3640" s="67" t="s">
        <v>268</v>
      </c>
      <c r="C3640" s="68">
        <v>0.75</v>
      </c>
      <c r="D3640" s="68">
        <v>1.0</v>
      </c>
      <c r="E3640" s="68">
        <v>9.0</v>
      </c>
      <c r="F3640" s="68">
        <v>3.0</v>
      </c>
      <c r="G3640" s="68">
        <v>4.78476389882209</v>
      </c>
      <c r="H3640" s="68">
        <v>161.209950426874</v>
      </c>
      <c r="I3640" s="69">
        <v>44311.820555555554</v>
      </c>
      <c r="J3640" s="69">
        <v>44311.82099537037</v>
      </c>
      <c r="K3640">
        <f>AVERAGE(H3637:H3641)</f>
        <v>124.2089317</v>
      </c>
      <c r="L3640">
        <f>STDEV(H3637:H3641)</f>
        <v>70.66125827</v>
      </c>
      <c r="M3640" s="70">
        <v>161.209950426874</v>
      </c>
      <c r="N3640" s="70">
        <v>161.209950426874</v>
      </c>
      <c r="O3640" s="70">
        <v>4.78476389882209</v>
      </c>
      <c r="P3640" s="70">
        <v>4.78476389882209</v>
      </c>
    </row>
    <row r="3641" hidden="1">
      <c r="A3641" s="67" t="s">
        <v>4401</v>
      </c>
      <c r="B3641" s="67" t="s">
        <v>268</v>
      </c>
      <c r="C3641" s="68">
        <v>0.75</v>
      </c>
      <c r="D3641" s="68">
        <v>1.0</v>
      </c>
      <c r="E3641" s="68">
        <v>9.0</v>
      </c>
      <c r="F3641" s="68">
        <v>4.0</v>
      </c>
      <c r="G3641" s="68">
        <v>2.4812038001642</v>
      </c>
      <c r="H3641" s="68">
        <v>131.565139859535</v>
      </c>
      <c r="I3641" s="69">
        <v>44311.82168981482</v>
      </c>
      <c r="J3641" s="69">
        <v>44311.8221412037</v>
      </c>
      <c r="K3641">
        <f>AVERAGE(H3637:H3641)</f>
        <v>124.2089317</v>
      </c>
      <c r="L3641">
        <f>STDEV(H3637:H3641)</f>
        <v>70.66125827</v>
      </c>
      <c r="M3641" s="70">
        <v>131.565139859535</v>
      </c>
      <c r="N3641" s="70">
        <v>131.565139859535</v>
      </c>
      <c r="O3641" s="70">
        <v>2.4812038001642</v>
      </c>
      <c r="P3641" s="70">
        <v>2.4812038001642</v>
      </c>
    </row>
    <row r="3642" hidden="1">
      <c r="A3642" s="67" t="s">
        <v>4402</v>
      </c>
      <c r="B3642" s="67" t="s">
        <v>268</v>
      </c>
      <c r="C3642" s="68">
        <v>1.0</v>
      </c>
      <c r="D3642" s="68">
        <v>0.1</v>
      </c>
      <c r="E3642" s="68">
        <v>9.0</v>
      </c>
      <c r="F3642" s="68">
        <v>0.0</v>
      </c>
      <c r="G3642" s="68">
        <v>0.591005414130622</v>
      </c>
      <c r="H3642" s="68">
        <v>0.822168776326228</v>
      </c>
      <c r="I3642" s="69">
        <v>44311.82283564815</v>
      </c>
      <c r="J3642" s="69">
        <v>44311.822847222225</v>
      </c>
      <c r="K3642">
        <f>AVERAGE(H3642:H3646)</f>
        <v>137.176532</v>
      </c>
      <c r="L3642">
        <f>STDEV(H3642:H3646)</f>
        <v>110.5319885</v>
      </c>
      <c r="M3642" s="70">
        <v>0.822168776326228</v>
      </c>
      <c r="N3642" s="70">
        <v>0.822168776326228</v>
      </c>
      <c r="O3642" s="70">
        <v>0.591005414130622</v>
      </c>
      <c r="P3642" s="70">
        <v>0.591005414130622</v>
      </c>
    </row>
    <row r="3643" hidden="1">
      <c r="A3643" s="67" t="s">
        <v>4403</v>
      </c>
      <c r="B3643" s="67" t="s">
        <v>268</v>
      </c>
      <c r="C3643" s="68">
        <v>1.0</v>
      </c>
      <c r="D3643" s="68">
        <v>0.1</v>
      </c>
      <c r="E3643" s="68">
        <v>9.0</v>
      </c>
      <c r="F3643" s="68">
        <v>1.0</v>
      </c>
      <c r="G3643" s="68">
        <v>4.74082010853713</v>
      </c>
      <c r="H3643" s="68">
        <v>172.218180819367</v>
      </c>
      <c r="I3643" s="69">
        <v>44311.823541666665</v>
      </c>
      <c r="J3643" s="69">
        <v>44311.82380787037</v>
      </c>
      <c r="K3643">
        <f>AVERAGE(H3642:H3646)</f>
        <v>137.176532</v>
      </c>
      <c r="L3643">
        <f>STDEV(H3642:H3646)</f>
        <v>110.5319885</v>
      </c>
      <c r="M3643" s="70">
        <v>172.218180819367</v>
      </c>
      <c r="N3643" s="70">
        <v>172.218180819367</v>
      </c>
      <c r="O3643" s="70">
        <v>4.74082010853713</v>
      </c>
      <c r="P3643" s="70">
        <v>4.74082010853713</v>
      </c>
    </row>
    <row r="3644" hidden="1">
      <c r="A3644" s="67" t="s">
        <v>4404</v>
      </c>
      <c r="B3644" s="67" t="s">
        <v>268</v>
      </c>
      <c r="C3644" s="68">
        <v>1.0</v>
      </c>
      <c r="D3644" s="68">
        <v>0.1</v>
      </c>
      <c r="E3644" s="68">
        <v>9.0</v>
      </c>
      <c r="F3644" s="68">
        <v>2.0</v>
      </c>
      <c r="G3644" s="68">
        <v>3.50811260744246</v>
      </c>
      <c r="H3644" s="68">
        <v>160.677601648231</v>
      </c>
      <c r="I3644" s="69">
        <v>44311.82450231481</v>
      </c>
      <c r="J3644" s="69">
        <v>44311.910462962966</v>
      </c>
      <c r="K3644">
        <f>AVERAGE(H3642:H3646)</f>
        <v>137.176532</v>
      </c>
      <c r="L3644">
        <f>STDEV(H3642:H3646)</f>
        <v>110.5319885</v>
      </c>
      <c r="M3644" s="70">
        <v>160.677601648231</v>
      </c>
      <c r="N3644" s="70">
        <v>160.677601648231</v>
      </c>
      <c r="O3644" s="70">
        <v>3.50811260744246</v>
      </c>
      <c r="P3644" s="70">
        <v>3.50811260744246</v>
      </c>
    </row>
    <row r="3645" hidden="1">
      <c r="A3645" s="67" t="s">
        <v>4405</v>
      </c>
      <c r="B3645" s="67" t="s">
        <v>268</v>
      </c>
      <c r="C3645" s="68">
        <v>1.0</v>
      </c>
      <c r="D3645" s="68">
        <v>0.1</v>
      </c>
      <c r="E3645" s="68">
        <v>9.0</v>
      </c>
      <c r="F3645" s="68">
        <v>3.0</v>
      </c>
      <c r="G3645" s="68">
        <v>8.29649127716932</v>
      </c>
      <c r="H3645" s="68">
        <v>288.930097230427</v>
      </c>
      <c r="I3645" s="69">
        <v>44311.911157407405</v>
      </c>
      <c r="J3645" s="69">
        <v>44311.91354166667</v>
      </c>
      <c r="K3645">
        <f>AVERAGE(H3642:H3646)</f>
        <v>137.176532</v>
      </c>
      <c r="L3645">
        <f>STDEV(H3642:H3646)</f>
        <v>110.5319885</v>
      </c>
      <c r="M3645" s="70">
        <v>288.930097230427</v>
      </c>
      <c r="N3645" s="70">
        <v>288.930097230427</v>
      </c>
      <c r="O3645" s="70">
        <v>8.29649127716932</v>
      </c>
      <c r="P3645" s="70">
        <v>8.29649127716932</v>
      </c>
    </row>
    <row r="3646" hidden="1">
      <c r="A3646" s="67" t="s">
        <v>4406</v>
      </c>
      <c r="B3646" s="67" t="s">
        <v>268</v>
      </c>
      <c r="C3646" s="68">
        <v>1.0</v>
      </c>
      <c r="D3646" s="68">
        <v>0.1</v>
      </c>
      <c r="E3646" s="68">
        <v>9.0</v>
      </c>
      <c r="F3646" s="68">
        <v>4.0</v>
      </c>
      <c r="G3646" s="68">
        <v>1.07424487029055</v>
      </c>
      <c r="H3646" s="68">
        <v>63.2346116085177</v>
      </c>
      <c r="I3646" s="69">
        <v>44311.91423611111</v>
      </c>
      <c r="J3646" s="69">
        <v>44311.92420138889</v>
      </c>
      <c r="K3646">
        <f>AVERAGE(H3642:H3646)</f>
        <v>137.176532</v>
      </c>
      <c r="L3646">
        <f>STDEV(H3642:H3646)</f>
        <v>110.5319885</v>
      </c>
      <c r="M3646" s="70">
        <v>63.2346116085177</v>
      </c>
      <c r="N3646" s="70">
        <v>63.2346116085177</v>
      </c>
      <c r="O3646" s="70">
        <v>1.07424487029055</v>
      </c>
      <c r="P3646" s="70">
        <v>1.07424487029055</v>
      </c>
    </row>
    <row r="3647" hidden="1">
      <c r="A3647" s="67" t="s">
        <v>4407</v>
      </c>
      <c r="B3647" s="67" t="s">
        <v>268</v>
      </c>
      <c r="C3647" s="68">
        <v>1.0</v>
      </c>
      <c r="D3647" s="68">
        <v>0.25</v>
      </c>
      <c r="E3647" s="68">
        <v>9.0</v>
      </c>
      <c r="F3647" s="68">
        <v>0.0</v>
      </c>
      <c r="G3647" s="68">
        <v>4.78213110317799</v>
      </c>
      <c r="H3647" s="68">
        <v>161.108702600871</v>
      </c>
      <c r="I3647" s="69">
        <v>44311.924895833334</v>
      </c>
      <c r="J3647" s="69">
        <v>44311.92532407407</v>
      </c>
      <c r="K3647">
        <f>AVERAGE(H3647:H3651)</f>
        <v>98.93670167</v>
      </c>
      <c r="L3647">
        <f>STDEV(H3647:H3651)</f>
        <v>89.50500934</v>
      </c>
      <c r="M3647" s="70">
        <v>161.108702600871</v>
      </c>
      <c r="N3647" s="70">
        <v>161.108702600871</v>
      </c>
      <c r="O3647" s="70">
        <v>4.78213110317799</v>
      </c>
      <c r="P3647" s="70">
        <v>4.78213110317799</v>
      </c>
    </row>
    <row r="3648" hidden="1">
      <c r="A3648" s="67" t="s">
        <v>4408</v>
      </c>
      <c r="B3648" s="67" t="s">
        <v>268</v>
      </c>
      <c r="C3648" s="68">
        <v>1.0</v>
      </c>
      <c r="D3648" s="68">
        <v>0.25</v>
      </c>
      <c r="E3648" s="68">
        <v>9.0</v>
      </c>
      <c r="F3648" s="68">
        <v>1.0</v>
      </c>
      <c r="G3648" s="68">
        <v>0.707613078750997</v>
      </c>
      <c r="H3648" s="68">
        <v>0.944262486179971</v>
      </c>
      <c r="I3648" s="69">
        <v>44311.92601851852</v>
      </c>
      <c r="J3648" s="69">
        <v>44311.92644675926</v>
      </c>
      <c r="K3648">
        <f>AVERAGE(H3647:H3651)</f>
        <v>98.93670167</v>
      </c>
      <c r="L3648">
        <f>STDEV(H3647:H3651)</f>
        <v>89.50500934</v>
      </c>
      <c r="M3648" s="70">
        <v>0.944262486179971</v>
      </c>
      <c r="N3648" s="70">
        <v>0.944262486179971</v>
      </c>
      <c r="O3648" s="70">
        <v>0.707613078750997</v>
      </c>
      <c r="P3648" s="70">
        <v>0.707613078750997</v>
      </c>
    </row>
    <row r="3649" hidden="1">
      <c r="A3649" s="67" t="s">
        <v>4409</v>
      </c>
      <c r="B3649" s="67" t="s">
        <v>268</v>
      </c>
      <c r="C3649" s="68">
        <v>1.0</v>
      </c>
      <c r="D3649" s="68">
        <v>0.25</v>
      </c>
      <c r="E3649" s="68">
        <v>9.0</v>
      </c>
      <c r="F3649" s="68">
        <v>2.0</v>
      </c>
      <c r="G3649" s="68">
        <v>0.739421948270547</v>
      </c>
      <c r="H3649" s="68">
        <v>0.95542451385423</v>
      </c>
      <c r="I3649" s="69">
        <v>44311.927141203705</v>
      </c>
      <c r="J3649" s="69">
        <v>44311.92752314815</v>
      </c>
      <c r="K3649">
        <f>AVERAGE(H3647:H3651)</f>
        <v>98.93670167</v>
      </c>
      <c r="L3649">
        <f>STDEV(H3647:H3651)</f>
        <v>89.50500934</v>
      </c>
      <c r="M3649" s="70">
        <v>0.95542451385423</v>
      </c>
      <c r="N3649" s="70">
        <v>0.95542451385423</v>
      </c>
      <c r="O3649" s="70">
        <v>0.739421948270547</v>
      </c>
      <c r="P3649" s="70">
        <v>0.739421948270547</v>
      </c>
    </row>
    <row r="3650" hidden="1">
      <c r="A3650" s="67" t="s">
        <v>4410</v>
      </c>
      <c r="B3650" s="67" t="s">
        <v>268</v>
      </c>
      <c r="C3650" s="68">
        <v>1.0</v>
      </c>
      <c r="D3650" s="68">
        <v>0.25</v>
      </c>
      <c r="E3650" s="68">
        <v>9.0</v>
      </c>
      <c r="F3650" s="68">
        <v>3.0</v>
      </c>
      <c r="G3650" s="68">
        <v>3.56618902742759</v>
      </c>
      <c r="H3650" s="68">
        <v>169.368193921962</v>
      </c>
      <c r="I3650" s="69">
        <v>44311.92821759259</v>
      </c>
      <c r="J3650" s="69">
        <v>44311.95050925926</v>
      </c>
      <c r="K3650">
        <f>AVERAGE(H3647:H3651)</f>
        <v>98.93670167</v>
      </c>
      <c r="L3650">
        <f>STDEV(H3647:H3651)</f>
        <v>89.50500934</v>
      </c>
      <c r="M3650" s="70">
        <v>169.368193921962</v>
      </c>
      <c r="N3650" s="70">
        <v>169.368193921962</v>
      </c>
      <c r="O3650" s="70">
        <v>3.56618902742759</v>
      </c>
      <c r="P3650" s="70">
        <v>3.56618902742759</v>
      </c>
    </row>
    <row r="3651" hidden="1">
      <c r="A3651" s="67" t="s">
        <v>4411</v>
      </c>
      <c r="B3651" s="67" t="s">
        <v>268</v>
      </c>
      <c r="C3651" s="68">
        <v>1.0</v>
      </c>
      <c r="D3651" s="68">
        <v>0.25</v>
      </c>
      <c r="E3651" s="68">
        <v>9.0</v>
      </c>
      <c r="F3651" s="68">
        <v>4.0</v>
      </c>
      <c r="G3651" s="68">
        <v>3.58186080160286</v>
      </c>
      <c r="H3651" s="68">
        <v>162.306924806864</v>
      </c>
      <c r="I3651" s="69">
        <v>44311.951203703706</v>
      </c>
      <c r="J3651" s="69">
        <v>44312.02758101852</v>
      </c>
      <c r="K3651">
        <f>AVERAGE(H3647:H3651)</f>
        <v>98.93670167</v>
      </c>
      <c r="L3651">
        <f>STDEV(H3647:H3651)</f>
        <v>89.50500934</v>
      </c>
      <c r="M3651" s="70">
        <v>162.306924806864</v>
      </c>
      <c r="N3651" s="70">
        <v>162.306924806864</v>
      </c>
      <c r="O3651" s="70">
        <v>3.58186080160286</v>
      </c>
      <c r="P3651" s="70">
        <v>3.58186080160286</v>
      </c>
    </row>
    <row r="3652" hidden="1">
      <c r="A3652" s="67" t="s">
        <v>4412</v>
      </c>
      <c r="B3652" s="67" t="s">
        <v>268</v>
      </c>
      <c r="C3652" s="68">
        <v>1.0</v>
      </c>
      <c r="D3652" s="68">
        <v>0.5</v>
      </c>
      <c r="E3652" s="68">
        <v>9.0</v>
      </c>
      <c r="F3652" s="68">
        <v>0.0</v>
      </c>
      <c r="G3652" s="68">
        <v>2.53572884439207</v>
      </c>
      <c r="H3652" s="68">
        <v>133.308415895299</v>
      </c>
      <c r="I3652" s="69">
        <v>44312.028275462966</v>
      </c>
      <c r="J3652" s="69">
        <v>44312.028645833336</v>
      </c>
      <c r="K3652">
        <f>AVERAGE(H3652:H3656)</f>
        <v>114.5774452</v>
      </c>
      <c r="L3652">
        <f>STDEV(H3652:H3656)</f>
        <v>66.41250382</v>
      </c>
      <c r="M3652" s="70">
        <v>133.308415895299</v>
      </c>
      <c r="N3652" s="70">
        <v>133.308415895299</v>
      </c>
      <c r="O3652" s="70">
        <v>2.53572884439207</v>
      </c>
      <c r="P3652" s="70">
        <v>2.53572884439207</v>
      </c>
    </row>
    <row r="3653" hidden="1">
      <c r="A3653" s="67" t="s">
        <v>4413</v>
      </c>
      <c r="B3653" s="67" t="s">
        <v>268</v>
      </c>
      <c r="C3653" s="68">
        <v>1.0</v>
      </c>
      <c r="D3653" s="68">
        <v>0.5</v>
      </c>
      <c r="E3653" s="68">
        <v>9.0</v>
      </c>
      <c r="F3653" s="68">
        <v>1.0</v>
      </c>
      <c r="G3653" s="68">
        <v>3.85677000571231</v>
      </c>
      <c r="H3653" s="68">
        <v>164.288444136084</v>
      </c>
      <c r="I3653" s="69">
        <v>44312.029340277775</v>
      </c>
      <c r="J3653" s="69">
        <v>44312.107835648145</v>
      </c>
      <c r="K3653">
        <f>AVERAGE(H3652:H3656)</f>
        <v>114.5774452</v>
      </c>
      <c r="L3653">
        <f>STDEV(H3652:H3656)</f>
        <v>66.41250382</v>
      </c>
      <c r="M3653" s="70">
        <v>164.288444136084</v>
      </c>
      <c r="N3653" s="70">
        <v>164.288444136084</v>
      </c>
      <c r="O3653" s="70">
        <v>3.85677000571231</v>
      </c>
      <c r="P3653" s="70">
        <v>3.85677000571231</v>
      </c>
    </row>
    <row r="3654" hidden="1">
      <c r="A3654" s="67" t="s">
        <v>4414</v>
      </c>
      <c r="B3654" s="67" t="s">
        <v>268</v>
      </c>
      <c r="C3654" s="68">
        <v>1.0</v>
      </c>
      <c r="D3654" s="68">
        <v>0.5</v>
      </c>
      <c r="E3654" s="68">
        <v>9.0</v>
      </c>
      <c r="F3654" s="68">
        <v>2.0</v>
      </c>
      <c r="G3654" s="68">
        <v>4.21453803099847</v>
      </c>
      <c r="H3654" s="68">
        <v>116.116006113591</v>
      </c>
      <c r="I3654" s="69">
        <v>44312.10853009259</v>
      </c>
      <c r="J3654" s="69">
        <v>44312.108622685184</v>
      </c>
      <c r="K3654">
        <f>AVERAGE(H3652:H3656)</f>
        <v>114.5774452</v>
      </c>
      <c r="L3654">
        <f>STDEV(H3652:H3656)</f>
        <v>66.41250382</v>
      </c>
      <c r="M3654" s="70">
        <v>116.116006113591</v>
      </c>
      <c r="N3654" s="70">
        <v>116.116006113591</v>
      </c>
      <c r="O3654" s="70">
        <v>4.21453803099847</v>
      </c>
      <c r="P3654" s="70">
        <v>4.21453803099847</v>
      </c>
    </row>
    <row r="3655" hidden="1">
      <c r="A3655" s="67" t="s">
        <v>4415</v>
      </c>
      <c r="B3655" s="67" t="s">
        <v>268</v>
      </c>
      <c r="C3655" s="68">
        <v>1.0</v>
      </c>
      <c r="D3655" s="68">
        <v>0.5</v>
      </c>
      <c r="E3655" s="68">
        <v>9.0</v>
      </c>
      <c r="F3655" s="68">
        <v>3.0</v>
      </c>
      <c r="G3655" s="68">
        <v>0.70773861315632</v>
      </c>
      <c r="H3655" s="68">
        <v>0.944171649840541</v>
      </c>
      <c r="I3655" s="69">
        <v>44312.10931712963</v>
      </c>
      <c r="J3655" s="69">
        <v>44312.10975694445</v>
      </c>
      <c r="K3655">
        <f>AVERAGE(H3652:H3656)</f>
        <v>114.5774452</v>
      </c>
      <c r="L3655">
        <f>STDEV(H3652:H3656)</f>
        <v>66.41250382</v>
      </c>
      <c r="M3655" s="70">
        <v>0.944171649840541</v>
      </c>
      <c r="N3655" s="70">
        <v>0.944171649840541</v>
      </c>
      <c r="O3655" s="70">
        <v>0.70773861315632</v>
      </c>
      <c r="P3655" s="70">
        <v>0.70773861315632</v>
      </c>
    </row>
    <row r="3656" hidden="1">
      <c r="A3656" s="67" t="s">
        <v>4416</v>
      </c>
      <c r="B3656" s="67" t="s">
        <v>268</v>
      </c>
      <c r="C3656" s="68">
        <v>1.0</v>
      </c>
      <c r="D3656" s="68">
        <v>0.5</v>
      </c>
      <c r="E3656" s="68">
        <v>9.0</v>
      </c>
      <c r="F3656" s="68">
        <v>4.0</v>
      </c>
      <c r="G3656" s="68">
        <v>2.99273257436497</v>
      </c>
      <c r="H3656" s="68">
        <v>158.230187957103</v>
      </c>
      <c r="I3656" s="69">
        <v>44312.110451388886</v>
      </c>
      <c r="J3656" s="69">
        <v>44312.1391087963</v>
      </c>
      <c r="K3656">
        <f>AVERAGE(H3652:H3656)</f>
        <v>114.5774452</v>
      </c>
      <c r="L3656">
        <f>STDEV(H3652:H3656)</f>
        <v>66.41250382</v>
      </c>
      <c r="M3656" s="70">
        <v>158.230187957103</v>
      </c>
      <c r="N3656" s="70">
        <v>158.230187957103</v>
      </c>
      <c r="O3656" s="70">
        <v>2.99273257436497</v>
      </c>
      <c r="P3656" s="70">
        <v>2.99273257436497</v>
      </c>
    </row>
    <row r="3657" hidden="1">
      <c r="A3657" s="67" t="s">
        <v>4417</v>
      </c>
      <c r="B3657" s="67" t="s">
        <v>268</v>
      </c>
      <c r="C3657" s="68">
        <v>1.0</v>
      </c>
      <c r="D3657" s="68">
        <v>0.75</v>
      </c>
      <c r="E3657" s="68">
        <v>9.0</v>
      </c>
      <c r="F3657" s="68">
        <v>0.0</v>
      </c>
      <c r="G3657" s="68">
        <v>2.2497478784606</v>
      </c>
      <c r="H3657" s="68">
        <v>102.552987011087</v>
      </c>
      <c r="I3657" s="69">
        <v>44312.13980324074</v>
      </c>
      <c r="J3657" s="69">
        <v>44312.22342592593</v>
      </c>
      <c r="K3657">
        <f>AVERAGE(H3657:H3661)</f>
        <v>161.9913419</v>
      </c>
      <c r="L3657">
        <f>STDEV(H3657:H3661)</f>
        <v>113.3174768</v>
      </c>
      <c r="M3657" s="70">
        <v>102.552987011087</v>
      </c>
      <c r="N3657" s="70">
        <v>102.552987011087</v>
      </c>
      <c r="O3657" s="70">
        <v>2.2497478784606</v>
      </c>
      <c r="P3657" s="70">
        <v>2.2497478784606</v>
      </c>
    </row>
    <row r="3658" hidden="1">
      <c r="A3658" s="67" t="s">
        <v>4418</v>
      </c>
      <c r="B3658" s="67" t="s">
        <v>268</v>
      </c>
      <c r="C3658" s="68">
        <v>1.0</v>
      </c>
      <c r="D3658" s="68">
        <v>0.75</v>
      </c>
      <c r="E3658" s="68">
        <v>9.0</v>
      </c>
      <c r="F3658" s="68">
        <v>1.0</v>
      </c>
      <c r="G3658" s="68">
        <v>8.51553190460577</v>
      </c>
      <c r="H3658" s="68">
        <v>292.846938661318</v>
      </c>
      <c r="I3658" s="69">
        <v>44312.22412037037</v>
      </c>
      <c r="J3658" s="69">
        <v>44312.22636574074</v>
      </c>
      <c r="K3658">
        <f>AVERAGE(H3657:H3661)</f>
        <v>161.9913419</v>
      </c>
      <c r="L3658">
        <f>STDEV(H3657:H3661)</f>
        <v>113.3174768</v>
      </c>
      <c r="M3658" s="70">
        <v>292.846938661318</v>
      </c>
      <c r="N3658" s="70">
        <v>292.846938661318</v>
      </c>
      <c r="O3658" s="70">
        <v>8.51553190460577</v>
      </c>
      <c r="P3658" s="70">
        <v>8.51553190460577</v>
      </c>
    </row>
    <row r="3659" hidden="1">
      <c r="A3659" s="67" t="s">
        <v>4419</v>
      </c>
      <c r="B3659" s="67" t="s">
        <v>268</v>
      </c>
      <c r="C3659" s="68">
        <v>1.0</v>
      </c>
      <c r="D3659" s="68">
        <v>0.75</v>
      </c>
      <c r="E3659" s="68">
        <v>9.0</v>
      </c>
      <c r="F3659" s="68">
        <v>2.0</v>
      </c>
      <c r="G3659" s="68">
        <v>4.06070443967424</v>
      </c>
      <c r="H3659" s="68">
        <v>189.742545054754</v>
      </c>
      <c r="I3659" s="69">
        <v>44312.227060185185</v>
      </c>
      <c r="J3659" s="69">
        <v>44312.23520833333</v>
      </c>
      <c r="K3659">
        <f>AVERAGE(H3657:H3661)</f>
        <v>161.9913419</v>
      </c>
      <c r="L3659">
        <f>STDEV(H3657:H3661)</f>
        <v>113.3174768</v>
      </c>
      <c r="M3659" s="70">
        <v>189.742545054754</v>
      </c>
      <c r="N3659" s="70">
        <v>189.742545054754</v>
      </c>
      <c r="O3659" s="70">
        <v>4.06070443967424</v>
      </c>
      <c r="P3659" s="70">
        <v>4.06070443967424</v>
      </c>
    </row>
    <row r="3660" hidden="1">
      <c r="A3660" s="67" t="s">
        <v>4420</v>
      </c>
      <c r="B3660" s="67" t="s">
        <v>268</v>
      </c>
      <c r="C3660" s="68">
        <v>1.0</v>
      </c>
      <c r="D3660" s="68">
        <v>0.75</v>
      </c>
      <c r="E3660" s="68">
        <v>9.0</v>
      </c>
      <c r="F3660" s="68">
        <v>3.0</v>
      </c>
      <c r="G3660" s="68">
        <v>7.5628233605413</v>
      </c>
      <c r="H3660" s="68">
        <v>224.255180195024</v>
      </c>
      <c r="I3660" s="69">
        <v>44312.23590277778</v>
      </c>
      <c r="J3660" s="69">
        <v>44312.23604166666</v>
      </c>
      <c r="K3660">
        <f>AVERAGE(H3657:H3661)</f>
        <v>161.9913419</v>
      </c>
      <c r="L3660">
        <f>STDEV(H3657:H3661)</f>
        <v>113.3174768</v>
      </c>
      <c r="M3660" s="70">
        <v>224.255180195024</v>
      </c>
      <c r="N3660" s="70">
        <v>224.255180195024</v>
      </c>
      <c r="O3660" s="70">
        <v>7.5628233605413</v>
      </c>
      <c r="P3660" s="70">
        <v>7.5628233605413</v>
      </c>
    </row>
    <row r="3661" hidden="1">
      <c r="A3661" s="67" t="s">
        <v>4421</v>
      </c>
      <c r="B3661" s="67" t="s">
        <v>268</v>
      </c>
      <c r="C3661" s="68">
        <v>1.0</v>
      </c>
      <c r="D3661" s="68">
        <v>0.75</v>
      </c>
      <c r="E3661" s="68">
        <v>9.0</v>
      </c>
      <c r="F3661" s="68">
        <v>4.0</v>
      </c>
      <c r="G3661" s="68">
        <v>0.467819255217533</v>
      </c>
      <c r="H3661" s="68">
        <v>0.559058439746359</v>
      </c>
      <c r="I3661" s="69">
        <v>44312.23673611111</v>
      </c>
      <c r="J3661" s="69">
        <v>44312.23704861111</v>
      </c>
      <c r="K3661">
        <f>AVERAGE(H3657:H3661)</f>
        <v>161.9913419</v>
      </c>
      <c r="L3661">
        <f>STDEV(H3657:H3661)</f>
        <v>113.3174768</v>
      </c>
      <c r="M3661" s="70">
        <v>0.559058439746359</v>
      </c>
      <c r="N3661" s="70">
        <v>0.559058439746359</v>
      </c>
      <c r="O3661" s="70">
        <v>0.467819255217533</v>
      </c>
      <c r="P3661" s="70">
        <v>0.467819255217533</v>
      </c>
    </row>
    <row r="3662" hidden="1">
      <c r="A3662" s="67" t="s">
        <v>4422</v>
      </c>
      <c r="B3662" s="67" t="s">
        <v>268</v>
      </c>
      <c r="C3662" s="68">
        <v>1.0</v>
      </c>
      <c r="D3662" s="68">
        <v>1.0</v>
      </c>
      <c r="E3662" s="68">
        <v>9.0</v>
      </c>
      <c r="F3662" s="68">
        <v>0.0</v>
      </c>
      <c r="G3662" s="68">
        <v>2.84354586453417</v>
      </c>
      <c r="H3662" s="68">
        <v>120.389560310756</v>
      </c>
      <c r="I3662" s="69">
        <v>44312.23774305556</v>
      </c>
      <c r="J3662" s="69">
        <v>44312.29209490741</v>
      </c>
      <c r="K3662">
        <f>AVERAGE(H3662:H3666)</f>
        <v>136.4409766</v>
      </c>
      <c r="L3662">
        <f>STDEV(H3662:H3666)</f>
        <v>81.70640367</v>
      </c>
      <c r="M3662" s="70">
        <v>120.389560310756</v>
      </c>
      <c r="N3662" s="70">
        <v>120.389560310756</v>
      </c>
      <c r="O3662" s="70">
        <v>2.84354586453417</v>
      </c>
      <c r="P3662" s="70">
        <v>2.84354586453417</v>
      </c>
    </row>
    <row r="3663" hidden="1">
      <c r="A3663" s="67" t="s">
        <v>4423</v>
      </c>
      <c r="B3663" s="67" t="s">
        <v>268</v>
      </c>
      <c r="C3663" s="68">
        <v>1.0</v>
      </c>
      <c r="D3663" s="68">
        <v>1.0</v>
      </c>
      <c r="E3663" s="68">
        <v>9.0</v>
      </c>
      <c r="F3663" s="68">
        <v>1.0</v>
      </c>
      <c r="G3663" s="68">
        <v>4.5436761869075</v>
      </c>
      <c r="H3663" s="68">
        <v>171.776583746669</v>
      </c>
      <c r="I3663" s="69">
        <v>44312.29278935185</v>
      </c>
      <c r="J3663" s="69">
        <v>44312.29288194444</v>
      </c>
      <c r="K3663">
        <f>AVERAGE(H3662:H3666)</f>
        <v>136.4409766</v>
      </c>
      <c r="L3663">
        <f>STDEV(H3662:H3666)</f>
        <v>81.70640367</v>
      </c>
      <c r="M3663" s="70">
        <v>171.776583746669</v>
      </c>
      <c r="N3663" s="70">
        <v>171.776583746669</v>
      </c>
      <c r="O3663" s="70">
        <v>4.5436761869075</v>
      </c>
      <c r="P3663" s="70">
        <v>4.5436761869075</v>
      </c>
    </row>
    <row r="3664" hidden="1">
      <c r="A3664" s="67" t="s">
        <v>4424</v>
      </c>
      <c r="B3664" s="67" t="s">
        <v>268</v>
      </c>
      <c r="C3664" s="68">
        <v>1.0</v>
      </c>
      <c r="D3664" s="68">
        <v>1.0</v>
      </c>
      <c r="E3664" s="68">
        <v>9.0</v>
      </c>
      <c r="F3664" s="68">
        <v>2.0</v>
      </c>
      <c r="G3664" s="68">
        <v>0.736192093514763</v>
      </c>
      <c r="H3664" s="68">
        <v>0.950544336758399</v>
      </c>
      <c r="I3664" s="69">
        <v>44312.29357638889</v>
      </c>
      <c r="J3664" s="69">
        <v>44312.29398148148</v>
      </c>
      <c r="K3664">
        <f>AVERAGE(H3662:H3666)</f>
        <v>136.4409766</v>
      </c>
      <c r="L3664">
        <f>STDEV(H3662:H3666)</f>
        <v>81.70640367</v>
      </c>
      <c r="M3664" s="70">
        <v>0.950544336758399</v>
      </c>
      <c r="N3664" s="70">
        <v>0.950544336758399</v>
      </c>
      <c r="O3664" s="70">
        <v>0.736192093514763</v>
      </c>
      <c r="P3664" s="70">
        <v>0.736192093514763</v>
      </c>
    </row>
    <row r="3665" hidden="1">
      <c r="A3665" s="67" t="s">
        <v>4425</v>
      </c>
      <c r="B3665" s="67" t="s">
        <v>268</v>
      </c>
      <c r="C3665" s="68">
        <v>1.0</v>
      </c>
      <c r="D3665" s="68">
        <v>1.0</v>
      </c>
      <c r="E3665" s="68">
        <v>9.0</v>
      </c>
      <c r="F3665" s="68">
        <v>3.0</v>
      </c>
      <c r="G3665" s="68">
        <v>4.35620355355212</v>
      </c>
      <c r="H3665" s="68">
        <v>201.173200647244</v>
      </c>
      <c r="I3665" s="69">
        <v>44312.29467592593</v>
      </c>
      <c r="J3665" s="69">
        <v>44312.30321759259</v>
      </c>
      <c r="K3665">
        <f>AVERAGE(H3662:H3666)</f>
        <v>136.4409766</v>
      </c>
      <c r="L3665">
        <f>STDEV(H3662:H3666)</f>
        <v>81.70640367</v>
      </c>
      <c r="M3665" s="70">
        <v>201.173200647244</v>
      </c>
      <c r="N3665" s="70">
        <v>201.173200647244</v>
      </c>
      <c r="O3665" s="70">
        <v>4.35620355355212</v>
      </c>
      <c r="P3665" s="70">
        <v>4.35620355355212</v>
      </c>
    </row>
    <row r="3666" hidden="1">
      <c r="A3666" s="67" t="s">
        <v>4426</v>
      </c>
      <c r="B3666" s="67" t="s">
        <v>268</v>
      </c>
      <c r="C3666" s="68">
        <v>1.0</v>
      </c>
      <c r="D3666" s="68">
        <v>1.0</v>
      </c>
      <c r="E3666" s="68">
        <v>9.0</v>
      </c>
      <c r="F3666" s="68">
        <v>4.0</v>
      </c>
      <c r="G3666" s="68">
        <v>4.01212283749124</v>
      </c>
      <c r="H3666" s="68">
        <v>187.914993726584</v>
      </c>
      <c r="I3666" s="69">
        <v>44312.30391203704</v>
      </c>
      <c r="J3666" s="69">
        <v>44312.312314814815</v>
      </c>
      <c r="K3666">
        <f>AVERAGE(H3662:H3666)</f>
        <v>136.4409766</v>
      </c>
      <c r="L3666">
        <f>STDEV(H3662:H3666)</f>
        <v>81.70640367</v>
      </c>
      <c r="M3666" s="70">
        <v>187.914993726584</v>
      </c>
      <c r="N3666" s="70">
        <v>187.914993726584</v>
      </c>
      <c r="O3666" s="70">
        <v>4.01212283749124</v>
      </c>
      <c r="P3666" s="70">
        <v>4.01212283749124</v>
      </c>
    </row>
    <row r="3667" hidden="1">
      <c r="A3667" s="67" t="s">
        <v>4427</v>
      </c>
      <c r="B3667" s="67" t="s">
        <v>519</v>
      </c>
      <c r="C3667" s="68">
        <v>0.1</v>
      </c>
      <c r="D3667" s="68">
        <v>0.1</v>
      </c>
      <c r="E3667" s="68">
        <v>9.0</v>
      </c>
      <c r="F3667" s="68">
        <v>0.0</v>
      </c>
      <c r="G3667" s="68">
        <v>0.317145370870006</v>
      </c>
      <c r="H3667" s="68">
        <v>0.406115963760371</v>
      </c>
      <c r="I3667" s="69">
        <v>44348.94158564815</v>
      </c>
      <c r="J3667" s="69">
        <v>44348.94167824074</v>
      </c>
      <c r="K3667">
        <f>AVERAGE(H3667:H3671)</f>
        <v>81.08566562</v>
      </c>
      <c r="L3667">
        <f>STDEV(H3667:H3671)</f>
        <v>105.8471024</v>
      </c>
      <c r="M3667" s="70">
        <v>0.406115963760371</v>
      </c>
      <c r="N3667" s="70">
        <v>0.406115963760371</v>
      </c>
      <c r="O3667" s="70">
        <v>0.317145370870006</v>
      </c>
      <c r="P3667" s="70">
        <v>0.317145370870006</v>
      </c>
    </row>
    <row r="3668" hidden="1">
      <c r="A3668" s="67" t="s">
        <v>4428</v>
      </c>
      <c r="B3668" s="67" t="s">
        <v>519</v>
      </c>
      <c r="C3668" s="68">
        <v>0.1</v>
      </c>
      <c r="D3668" s="68">
        <v>0.1</v>
      </c>
      <c r="E3668" s="68">
        <v>9.0</v>
      </c>
      <c r="F3668" s="68">
        <v>1.0</v>
      </c>
      <c r="G3668" s="68">
        <v>0.466302059947925</v>
      </c>
      <c r="H3668" s="68">
        <v>0.558605536113522</v>
      </c>
      <c r="I3668" s="69">
        <v>44348.94237268518</v>
      </c>
      <c r="J3668" s="69">
        <v>44348.942719907405</v>
      </c>
      <c r="K3668">
        <f>AVERAGE(H3667:H3671)</f>
        <v>81.08566562</v>
      </c>
      <c r="L3668">
        <f>STDEV(H3667:H3671)</f>
        <v>105.8471024</v>
      </c>
      <c r="M3668" s="70">
        <v>0.558605536113522</v>
      </c>
      <c r="N3668" s="70">
        <v>0.558605536113522</v>
      </c>
      <c r="O3668" s="70">
        <v>0.466302059947925</v>
      </c>
      <c r="P3668" s="70">
        <v>0.466302059947925</v>
      </c>
    </row>
    <row r="3669" hidden="1">
      <c r="A3669" s="67" t="s">
        <v>4429</v>
      </c>
      <c r="B3669" s="67" t="s">
        <v>519</v>
      </c>
      <c r="C3669" s="68">
        <v>0.1</v>
      </c>
      <c r="D3669" s="68">
        <v>0.1</v>
      </c>
      <c r="E3669" s="68">
        <v>9.0</v>
      </c>
      <c r="F3669" s="68">
        <v>2.0</v>
      </c>
      <c r="G3669" s="68">
        <v>6.16506895007253</v>
      </c>
      <c r="H3669" s="68">
        <v>243.398407743588</v>
      </c>
      <c r="I3669" s="69">
        <v>44348.94341435185</v>
      </c>
      <c r="J3669" s="69">
        <v>44348.955046296294</v>
      </c>
      <c r="K3669">
        <f>AVERAGE(H3667:H3671)</f>
        <v>81.08566562</v>
      </c>
      <c r="L3669">
        <f>STDEV(H3667:H3671)</f>
        <v>105.8471024</v>
      </c>
      <c r="M3669" s="70">
        <v>243.398407743588</v>
      </c>
      <c r="N3669" s="70">
        <v>243.398407743588</v>
      </c>
      <c r="O3669" s="70">
        <v>6.16506895007253</v>
      </c>
      <c r="P3669" s="70">
        <v>6.16506895007253</v>
      </c>
    </row>
    <row r="3670" hidden="1">
      <c r="A3670" s="67" t="s">
        <v>4430</v>
      </c>
      <c r="B3670" s="67" t="s">
        <v>519</v>
      </c>
      <c r="C3670" s="68">
        <v>0.1</v>
      </c>
      <c r="D3670" s="68">
        <v>0.1</v>
      </c>
      <c r="E3670" s="68">
        <v>9.0</v>
      </c>
      <c r="F3670" s="68">
        <v>3.0</v>
      </c>
      <c r="G3670" s="68">
        <v>3.17972387292631</v>
      </c>
      <c r="H3670" s="68">
        <v>28.2133812070437</v>
      </c>
      <c r="I3670" s="69">
        <v>44348.95574074074</v>
      </c>
      <c r="J3670" s="69">
        <v>44348.955925925926</v>
      </c>
      <c r="K3670">
        <f>AVERAGE(H3667:H3671)</f>
        <v>81.08566562</v>
      </c>
      <c r="L3670">
        <f>STDEV(H3667:H3671)</f>
        <v>105.8471024</v>
      </c>
      <c r="M3670" s="70">
        <v>28.2133812070437</v>
      </c>
      <c r="N3670" s="70">
        <v>28.2133812070437</v>
      </c>
      <c r="O3670" s="70">
        <v>3.17972387292631</v>
      </c>
      <c r="P3670" s="70">
        <v>3.17972387292631</v>
      </c>
    </row>
    <row r="3671" hidden="1">
      <c r="A3671" s="67" t="s">
        <v>4431</v>
      </c>
      <c r="B3671" s="67" t="s">
        <v>519</v>
      </c>
      <c r="C3671" s="68">
        <v>0.1</v>
      </c>
      <c r="D3671" s="68">
        <v>0.1</v>
      </c>
      <c r="E3671" s="68">
        <v>9.0</v>
      </c>
      <c r="F3671" s="68">
        <v>4.0</v>
      </c>
      <c r="G3671" s="68">
        <v>2.79882772422219</v>
      </c>
      <c r="H3671" s="68">
        <v>132.851817639445</v>
      </c>
      <c r="I3671" s="69">
        <v>44348.95662037037</v>
      </c>
      <c r="J3671" s="69">
        <v>44349.04130787037</v>
      </c>
      <c r="K3671">
        <f>AVERAGE(H3667:H3671)</f>
        <v>81.08566562</v>
      </c>
      <c r="L3671">
        <f>STDEV(H3667:H3671)</f>
        <v>105.8471024</v>
      </c>
      <c r="M3671" s="70">
        <v>132.851817639445</v>
      </c>
      <c r="N3671" s="70">
        <v>132.851817639445</v>
      </c>
      <c r="O3671" s="70">
        <v>2.79882772422219</v>
      </c>
      <c r="P3671" s="70">
        <v>2.79882772422219</v>
      </c>
    </row>
    <row r="3672" hidden="1">
      <c r="A3672" s="67" t="s">
        <v>4432</v>
      </c>
      <c r="B3672" s="67" t="s">
        <v>519</v>
      </c>
      <c r="C3672" s="68">
        <v>0.1</v>
      </c>
      <c r="D3672" s="68">
        <v>0.25</v>
      </c>
      <c r="E3672" s="68">
        <v>9.0</v>
      </c>
      <c r="F3672" s="68">
        <v>0.0</v>
      </c>
      <c r="G3672" s="68">
        <v>1.92344988507508</v>
      </c>
      <c r="H3672" s="68">
        <v>78.7306440776857</v>
      </c>
      <c r="I3672" s="69">
        <v>44349.04200231482</v>
      </c>
      <c r="J3672" s="69">
        <v>44349.06251157408</v>
      </c>
      <c r="K3672">
        <f>AVERAGE(H3672:H3676)</f>
        <v>105.8622581</v>
      </c>
      <c r="L3672">
        <f>STDEV(H3672:H3676)</f>
        <v>118.0366136</v>
      </c>
      <c r="M3672" s="70">
        <v>78.7306440776857</v>
      </c>
      <c r="N3672" s="70">
        <v>78.7306440776857</v>
      </c>
      <c r="O3672" s="70">
        <v>1.92344988507508</v>
      </c>
      <c r="P3672" s="70">
        <v>1.92344988507508</v>
      </c>
    </row>
    <row r="3673" hidden="1">
      <c r="A3673" s="67" t="s">
        <v>4433</v>
      </c>
      <c r="B3673" s="67" t="s">
        <v>519</v>
      </c>
      <c r="C3673" s="68">
        <v>0.1</v>
      </c>
      <c r="D3673" s="68">
        <v>0.25</v>
      </c>
      <c r="E3673" s="68">
        <v>9.0</v>
      </c>
      <c r="F3673" s="68">
        <v>1.0</v>
      </c>
      <c r="G3673" s="68">
        <v>3.89161534807648</v>
      </c>
      <c r="H3673" s="68">
        <v>175.894290493245</v>
      </c>
      <c r="I3673" s="69">
        <v>44349.063206018516</v>
      </c>
      <c r="J3673" s="69">
        <v>44349.09517361111</v>
      </c>
      <c r="K3673">
        <f>AVERAGE(H3672:H3676)</f>
        <v>105.8622581</v>
      </c>
      <c r="L3673">
        <f>STDEV(H3672:H3676)</f>
        <v>118.0366136</v>
      </c>
      <c r="M3673" s="70">
        <v>175.894290493245</v>
      </c>
      <c r="N3673" s="70">
        <v>175.894290493245</v>
      </c>
      <c r="O3673" s="70">
        <v>3.89161534807648</v>
      </c>
      <c r="P3673" s="70">
        <v>3.89161534807648</v>
      </c>
    </row>
    <row r="3674" hidden="1">
      <c r="A3674" s="67" t="s">
        <v>4434</v>
      </c>
      <c r="B3674" s="67" t="s">
        <v>519</v>
      </c>
      <c r="C3674" s="68">
        <v>0.1</v>
      </c>
      <c r="D3674" s="68">
        <v>0.25</v>
      </c>
      <c r="E3674" s="68">
        <v>9.0</v>
      </c>
      <c r="F3674" s="68">
        <v>2.0</v>
      </c>
      <c r="G3674" s="68">
        <v>7.86838120897279</v>
      </c>
      <c r="H3674" s="68">
        <v>273.17783108009</v>
      </c>
      <c r="I3674" s="69">
        <v>44349.095868055556</v>
      </c>
      <c r="J3674" s="69">
        <v>44349.0984837963</v>
      </c>
      <c r="K3674">
        <f>AVERAGE(H3672:H3676)</f>
        <v>105.8622581</v>
      </c>
      <c r="L3674">
        <f>STDEV(H3672:H3676)</f>
        <v>118.0366136</v>
      </c>
      <c r="M3674" s="70">
        <v>273.17783108009</v>
      </c>
      <c r="N3674" s="70">
        <v>273.17783108009</v>
      </c>
      <c r="O3674" s="70">
        <v>7.86838120897279</v>
      </c>
      <c r="P3674" s="70">
        <v>7.86838120897279</v>
      </c>
    </row>
    <row r="3675" hidden="1">
      <c r="A3675" s="67" t="s">
        <v>4435</v>
      </c>
      <c r="B3675" s="67" t="s">
        <v>519</v>
      </c>
      <c r="C3675" s="68">
        <v>0.1</v>
      </c>
      <c r="D3675" s="68">
        <v>0.25</v>
      </c>
      <c r="E3675" s="68">
        <v>9.0</v>
      </c>
      <c r="F3675" s="68">
        <v>3.0</v>
      </c>
      <c r="G3675" s="68">
        <v>0.467064118593437</v>
      </c>
      <c r="H3675" s="68">
        <v>0.559255787345452</v>
      </c>
      <c r="I3675" s="69">
        <v>44349.099178240744</v>
      </c>
      <c r="J3675" s="69">
        <v>44349.09951388889</v>
      </c>
      <c r="K3675">
        <f>AVERAGE(H3672:H3676)</f>
        <v>105.8622581</v>
      </c>
      <c r="L3675">
        <f>STDEV(H3672:H3676)</f>
        <v>118.0366136</v>
      </c>
      <c r="M3675" s="70">
        <v>0.559255787345452</v>
      </c>
      <c r="N3675" s="70">
        <v>0.559255787345452</v>
      </c>
      <c r="O3675" s="70">
        <v>0.467064118593437</v>
      </c>
      <c r="P3675" s="70">
        <v>0.467064118593437</v>
      </c>
    </row>
    <row r="3676" hidden="1">
      <c r="A3676" s="67" t="s">
        <v>4436</v>
      </c>
      <c r="B3676" s="67" t="s">
        <v>519</v>
      </c>
      <c r="C3676" s="68">
        <v>0.1</v>
      </c>
      <c r="D3676" s="68">
        <v>0.25</v>
      </c>
      <c r="E3676" s="68">
        <v>9.0</v>
      </c>
      <c r="F3676" s="68">
        <v>4.0</v>
      </c>
      <c r="G3676" s="68">
        <v>0.712647031637279</v>
      </c>
      <c r="H3676" s="68">
        <v>0.949268918176112</v>
      </c>
      <c r="I3676" s="69">
        <v>44349.10020833334</v>
      </c>
      <c r="J3676" s="69">
        <v>44349.100636574076</v>
      </c>
      <c r="K3676">
        <f>AVERAGE(H3672:H3676)</f>
        <v>105.8622581</v>
      </c>
      <c r="L3676">
        <f>STDEV(H3672:H3676)</f>
        <v>118.0366136</v>
      </c>
      <c r="M3676" s="70">
        <v>0.949268918176112</v>
      </c>
      <c r="N3676" s="70">
        <v>0.949268918176112</v>
      </c>
      <c r="O3676" s="70">
        <v>0.712647031637279</v>
      </c>
      <c r="P3676" s="70">
        <v>0.712647031637279</v>
      </c>
    </row>
    <row r="3677" hidden="1">
      <c r="A3677" s="67" t="s">
        <v>4437</v>
      </c>
      <c r="B3677" s="67" t="s">
        <v>519</v>
      </c>
      <c r="C3677" s="68">
        <v>0.1</v>
      </c>
      <c r="D3677" s="68">
        <v>0.5</v>
      </c>
      <c r="E3677" s="68">
        <v>9.0</v>
      </c>
      <c r="F3677" s="68">
        <v>0.0</v>
      </c>
      <c r="G3677" s="68">
        <v>1.41586017715855</v>
      </c>
      <c r="H3677" s="68">
        <v>53.7147075479421</v>
      </c>
      <c r="I3677" s="69">
        <v>44349.101331018515</v>
      </c>
      <c r="J3677" s="69">
        <v>44349.12133101852</v>
      </c>
      <c r="K3677">
        <f>AVERAGE(H3677:H3681)</f>
        <v>88.52063384</v>
      </c>
      <c r="L3677">
        <f>STDEV(H3677:H3681)</f>
        <v>75.18692332</v>
      </c>
      <c r="M3677" s="70">
        <v>53.7147075479421</v>
      </c>
      <c r="N3677" s="70">
        <v>53.7147075479421</v>
      </c>
      <c r="O3677" s="70">
        <v>1.41586017715855</v>
      </c>
      <c r="P3677" s="70">
        <v>1.41586017715855</v>
      </c>
    </row>
    <row r="3678" hidden="1">
      <c r="A3678" s="67" t="s">
        <v>4438</v>
      </c>
      <c r="B3678" s="67" t="s">
        <v>519</v>
      </c>
      <c r="C3678" s="68">
        <v>0.1</v>
      </c>
      <c r="D3678" s="68">
        <v>0.5</v>
      </c>
      <c r="E3678" s="68">
        <v>9.0</v>
      </c>
      <c r="F3678" s="68">
        <v>1.0</v>
      </c>
      <c r="G3678" s="68">
        <v>1.07394147284442</v>
      </c>
      <c r="H3678" s="68">
        <v>16.5182851213367</v>
      </c>
      <c r="I3678" s="69">
        <v>44349.122025462966</v>
      </c>
      <c r="J3678" s="69">
        <v>44349.122094907405</v>
      </c>
      <c r="K3678">
        <f>AVERAGE(H3677:H3681)</f>
        <v>88.52063384</v>
      </c>
      <c r="L3678">
        <f>STDEV(H3677:H3681)</f>
        <v>75.18692332</v>
      </c>
      <c r="M3678" s="70">
        <v>16.5182851213367</v>
      </c>
      <c r="N3678" s="70">
        <v>16.5182851213367</v>
      </c>
      <c r="O3678" s="70">
        <v>1.07394147284442</v>
      </c>
      <c r="P3678" s="70">
        <v>1.07394147284442</v>
      </c>
    </row>
    <row r="3679" hidden="1">
      <c r="A3679" s="67" t="s">
        <v>4439</v>
      </c>
      <c r="B3679" s="67" t="s">
        <v>519</v>
      </c>
      <c r="C3679" s="68">
        <v>0.1</v>
      </c>
      <c r="D3679" s="68">
        <v>0.5</v>
      </c>
      <c r="E3679" s="68">
        <v>9.0</v>
      </c>
      <c r="F3679" s="68">
        <v>2.0</v>
      </c>
      <c r="G3679" s="68">
        <v>2.1532587322489</v>
      </c>
      <c r="H3679" s="68">
        <v>88.4350292350745</v>
      </c>
      <c r="I3679" s="69">
        <v>44349.12278935185</v>
      </c>
      <c r="J3679" s="69">
        <v>44349.12372685185</v>
      </c>
      <c r="K3679">
        <f>AVERAGE(H3677:H3681)</f>
        <v>88.52063384</v>
      </c>
      <c r="L3679">
        <f>STDEV(H3677:H3681)</f>
        <v>75.18692332</v>
      </c>
      <c r="M3679" s="70">
        <v>88.4350292350745</v>
      </c>
      <c r="N3679" s="70">
        <v>88.4350292350745</v>
      </c>
      <c r="O3679" s="70">
        <v>2.1532587322489</v>
      </c>
      <c r="P3679" s="70">
        <v>2.1532587322489</v>
      </c>
    </row>
    <row r="3680" hidden="1">
      <c r="A3680" s="67" t="s">
        <v>4440</v>
      </c>
      <c r="B3680" s="67" t="s">
        <v>519</v>
      </c>
      <c r="C3680" s="68">
        <v>0.1</v>
      </c>
      <c r="D3680" s="68">
        <v>0.5</v>
      </c>
      <c r="E3680" s="68">
        <v>9.0</v>
      </c>
      <c r="F3680" s="68">
        <v>3.0</v>
      </c>
      <c r="G3680" s="68">
        <v>5.35741857163222</v>
      </c>
      <c r="H3680" s="68">
        <v>214.435997625849</v>
      </c>
      <c r="I3680" s="69">
        <v>44349.1244212963</v>
      </c>
      <c r="J3680" s="69">
        <v>44349.17789351852</v>
      </c>
      <c r="K3680">
        <f>AVERAGE(H3677:H3681)</f>
        <v>88.52063384</v>
      </c>
      <c r="L3680">
        <f>STDEV(H3677:H3681)</f>
        <v>75.18692332</v>
      </c>
      <c r="M3680" s="70">
        <v>214.435997625849</v>
      </c>
      <c r="N3680" s="70">
        <v>214.435997625849</v>
      </c>
      <c r="O3680" s="70">
        <v>5.35741857163222</v>
      </c>
      <c r="P3680" s="70">
        <v>5.35741857163222</v>
      </c>
    </row>
    <row r="3681" hidden="1">
      <c r="A3681" s="67" t="s">
        <v>4441</v>
      </c>
      <c r="B3681" s="67" t="s">
        <v>519</v>
      </c>
      <c r="C3681" s="68">
        <v>0.1</v>
      </c>
      <c r="D3681" s="68">
        <v>0.5</v>
      </c>
      <c r="E3681" s="68">
        <v>9.0</v>
      </c>
      <c r="F3681" s="68">
        <v>4.0</v>
      </c>
      <c r="G3681" s="68">
        <v>1.35222175527186</v>
      </c>
      <c r="H3681" s="68">
        <v>69.4991496747031</v>
      </c>
      <c r="I3681" s="69">
        <v>44349.17858796296</v>
      </c>
      <c r="J3681" s="69">
        <v>44349.18111111111</v>
      </c>
      <c r="K3681">
        <f>AVERAGE(H3677:H3681)</f>
        <v>88.52063384</v>
      </c>
      <c r="L3681">
        <f>STDEV(H3677:H3681)</f>
        <v>75.18692332</v>
      </c>
      <c r="M3681" s="70">
        <v>69.4991496747031</v>
      </c>
      <c r="N3681" s="70">
        <v>69.4991496747031</v>
      </c>
      <c r="O3681" s="70">
        <v>1.35222175527186</v>
      </c>
      <c r="P3681" s="70">
        <v>1.35222175527186</v>
      </c>
    </row>
    <row r="3682" hidden="1">
      <c r="A3682" s="67" t="s">
        <v>4442</v>
      </c>
      <c r="B3682" s="67" t="s">
        <v>519</v>
      </c>
      <c r="C3682" s="68">
        <v>0.1</v>
      </c>
      <c r="D3682" s="68">
        <v>0.75</v>
      </c>
      <c r="E3682" s="68">
        <v>9.0</v>
      </c>
      <c r="F3682" s="68">
        <v>0.0</v>
      </c>
      <c r="G3682" s="68">
        <v>0.84548789308218</v>
      </c>
      <c r="H3682" s="68">
        <v>1.14526909868345</v>
      </c>
      <c r="I3682" s="69">
        <v>44349.181805555556</v>
      </c>
      <c r="J3682" s="69">
        <v>44349.1821875</v>
      </c>
      <c r="K3682">
        <f>AVERAGE(H3682:H3686)</f>
        <v>74.54821196</v>
      </c>
      <c r="L3682">
        <f>STDEV(H3682:H3686)</f>
        <v>94.24777974</v>
      </c>
      <c r="M3682" s="70">
        <v>1.14526909868345</v>
      </c>
      <c r="N3682" s="70">
        <v>1.14526909868345</v>
      </c>
      <c r="O3682" s="70">
        <v>0.84548789308218</v>
      </c>
      <c r="P3682" s="70">
        <v>0.84548789308218</v>
      </c>
    </row>
    <row r="3683" hidden="1">
      <c r="A3683" s="67" t="s">
        <v>4443</v>
      </c>
      <c r="B3683" s="67" t="s">
        <v>519</v>
      </c>
      <c r="C3683" s="68">
        <v>0.1</v>
      </c>
      <c r="D3683" s="68">
        <v>0.75</v>
      </c>
      <c r="E3683" s="68">
        <v>9.0</v>
      </c>
      <c r="F3683" s="68">
        <v>1.0</v>
      </c>
      <c r="G3683" s="68">
        <v>5.27562390126066</v>
      </c>
      <c r="H3683" s="68">
        <v>207.829268247983</v>
      </c>
      <c r="I3683" s="69">
        <v>44349.18288194444</v>
      </c>
      <c r="J3683" s="69">
        <v>44349.2006712963</v>
      </c>
      <c r="K3683">
        <f>AVERAGE(H3682:H3686)</f>
        <v>74.54821196</v>
      </c>
      <c r="L3683">
        <f>STDEV(H3682:H3686)</f>
        <v>94.24777974</v>
      </c>
      <c r="M3683" s="70">
        <v>207.829268247983</v>
      </c>
      <c r="N3683" s="70">
        <v>207.829268247983</v>
      </c>
      <c r="O3683" s="70">
        <v>5.27562390126066</v>
      </c>
      <c r="P3683" s="70">
        <v>5.27562390126066</v>
      </c>
    </row>
    <row r="3684" hidden="1">
      <c r="A3684" s="67" t="s">
        <v>4444</v>
      </c>
      <c r="B3684" s="67" t="s">
        <v>519</v>
      </c>
      <c r="C3684" s="68">
        <v>0.1</v>
      </c>
      <c r="D3684" s="68">
        <v>0.75</v>
      </c>
      <c r="E3684" s="68">
        <v>9.0</v>
      </c>
      <c r="F3684" s="68">
        <v>2.0</v>
      </c>
      <c r="G3684" s="68">
        <v>2.81976379767313</v>
      </c>
      <c r="H3684" s="68">
        <v>139.903920601702</v>
      </c>
      <c r="I3684" s="69">
        <v>44349.201365740744</v>
      </c>
      <c r="J3684" s="69">
        <v>44349.271585648145</v>
      </c>
      <c r="K3684">
        <f>AVERAGE(H3682:H3686)</f>
        <v>74.54821196</v>
      </c>
      <c r="L3684">
        <f>STDEV(H3682:H3686)</f>
        <v>94.24777974</v>
      </c>
      <c r="M3684" s="70">
        <v>139.903920601702</v>
      </c>
      <c r="N3684" s="70">
        <v>139.903920601702</v>
      </c>
      <c r="O3684" s="70">
        <v>2.81976379767313</v>
      </c>
      <c r="P3684" s="70">
        <v>2.81976379767313</v>
      </c>
    </row>
    <row r="3685" hidden="1">
      <c r="A3685" s="67" t="s">
        <v>4445</v>
      </c>
      <c r="B3685" s="67" t="s">
        <v>519</v>
      </c>
      <c r="C3685" s="68">
        <v>0.1</v>
      </c>
      <c r="D3685" s="68">
        <v>0.75</v>
      </c>
      <c r="E3685" s="68">
        <v>9.0</v>
      </c>
      <c r="F3685" s="68">
        <v>3.0</v>
      </c>
      <c r="G3685" s="68">
        <v>0.318624724666863</v>
      </c>
      <c r="H3685" s="68">
        <v>0.406974241682714</v>
      </c>
      <c r="I3685" s="69">
        <v>44349.27228009259</v>
      </c>
      <c r="J3685" s="69">
        <v>44349.272361111114</v>
      </c>
      <c r="K3685">
        <f>AVERAGE(H3682:H3686)</f>
        <v>74.54821196</v>
      </c>
      <c r="L3685">
        <f>STDEV(H3682:H3686)</f>
        <v>94.24777974</v>
      </c>
      <c r="M3685" s="70">
        <v>0.406974241682714</v>
      </c>
      <c r="N3685" s="70">
        <v>0.406974241682714</v>
      </c>
      <c r="O3685" s="70">
        <v>0.318624724666863</v>
      </c>
      <c r="P3685" s="70">
        <v>0.318624724666863</v>
      </c>
    </row>
    <row r="3686" hidden="1">
      <c r="A3686" s="67" t="s">
        <v>4446</v>
      </c>
      <c r="B3686" s="67" t="s">
        <v>519</v>
      </c>
      <c r="C3686" s="68">
        <v>0.1</v>
      </c>
      <c r="D3686" s="68">
        <v>0.75</v>
      </c>
      <c r="E3686" s="68">
        <v>9.0</v>
      </c>
      <c r="F3686" s="68">
        <v>4.0</v>
      </c>
      <c r="G3686" s="68">
        <v>1.19125729295155</v>
      </c>
      <c r="H3686" s="68">
        <v>23.4556276283066</v>
      </c>
      <c r="I3686" s="69">
        <v>44349.27305555555</v>
      </c>
      <c r="J3686" s="69">
        <v>44349.27347222222</v>
      </c>
      <c r="K3686">
        <f>AVERAGE(H3682:H3686)</f>
        <v>74.54821196</v>
      </c>
      <c r="L3686">
        <f>STDEV(H3682:H3686)</f>
        <v>94.24777974</v>
      </c>
      <c r="M3686" s="70">
        <v>23.4556276283066</v>
      </c>
      <c r="N3686" s="70">
        <v>23.4556276283066</v>
      </c>
      <c r="O3686" s="70">
        <v>1.19125729295155</v>
      </c>
      <c r="P3686" s="70">
        <v>1.19125729295155</v>
      </c>
    </row>
    <row r="3687" hidden="1">
      <c r="A3687" s="67" t="s">
        <v>4447</v>
      </c>
      <c r="B3687" s="67" t="s">
        <v>519</v>
      </c>
      <c r="C3687" s="68">
        <v>0.1</v>
      </c>
      <c r="D3687" s="68">
        <v>1.0</v>
      </c>
      <c r="E3687" s="68">
        <v>9.0</v>
      </c>
      <c r="F3687" s="68">
        <v>0.0</v>
      </c>
      <c r="G3687" s="68">
        <v>0.851892825755109</v>
      </c>
      <c r="H3687" s="68">
        <v>1.15242271276196</v>
      </c>
      <c r="I3687" s="69">
        <v>44349.27416666667</v>
      </c>
      <c r="J3687" s="69">
        <v>44349.27454861111</v>
      </c>
      <c r="K3687">
        <f>AVERAGE(H3687:H3691)</f>
        <v>126.1640766</v>
      </c>
      <c r="L3687">
        <f>STDEV(H3687:H3691)</f>
        <v>89.00632631</v>
      </c>
      <c r="M3687" s="70">
        <v>1.15242271276196</v>
      </c>
      <c r="N3687" s="70">
        <v>1.15242271276196</v>
      </c>
      <c r="O3687" s="70">
        <v>0.851892825755109</v>
      </c>
      <c r="P3687" s="70">
        <v>0.851892825755109</v>
      </c>
    </row>
    <row r="3688" hidden="1">
      <c r="A3688" s="67" t="s">
        <v>4448</v>
      </c>
      <c r="B3688" s="67" t="s">
        <v>519</v>
      </c>
      <c r="C3688" s="68">
        <v>0.1</v>
      </c>
      <c r="D3688" s="68">
        <v>1.0</v>
      </c>
      <c r="E3688" s="68">
        <v>9.0</v>
      </c>
      <c r="F3688" s="68">
        <v>1.0</v>
      </c>
      <c r="G3688" s="68">
        <v>1.36745989798555</v>
      </c>
      <c r="H3688" s="68">
        <v>70.069726469225</v>
      </c>
      <c r="I3688" s="69">
        <v>44349.275243055556</v>
      </c>
      <c r="J3688" s="69">
        <v>44349.27778935185</v>
      </c>
      <c r="K3688">
        <f>AVERAGE(H3687:H3691)</f>
        <v>126.1640766</v>
      </c>
      <c r="L3688">
        <f>STDEV(H3687:H3691)</f>
        <v>89.00632631</v>
      </c>
      <c r="M3688" s="70">
        <v>70.069726469225</v>
      </c>
      <c r="N3688" s="70">
        <v>70.069726469225</v>
      </c>
      <c r="O3688" s="70">
        <v>1.36745989798555</v>
      </c>
      <c r="P3688" s="70">
        <v>1.36745989798555</v>
      </c>
    </row>
    <row r="3689" hidden="1">
      <c r="A3689" s="67" t="s">
        <v>4449</v>
      </c>
      <c r="B3689" s="67" t="s">
        <v>519</v>
      </c>
      <c r="C3689" s="68">
        <v>0.1</v>
      </c>
      <c r="D3689" s="68">
        <v>1.0</v>
      </c>
      <c r="E3689" s="68">
        <v>9.0</v>
      </c>
      <c r="F3689" s="68">
        <v>2.0</v>
      </c>
      <c r="G3689" s="68">
        <v>9.12906778636894</v>
      </c>
      <c r="H3689" s="68">
        <v>218.01998730305</v>
      </c>
      <c r="I3689" s="69">
        <v>44349.2784837963</v>
      </c>
      <c r="J3689" s="69">
        <v>44349.278657407405</v>
      </c>
      <c r="K3689">
        <f>AVERAGE(H3687:H3691)</f>
        <v>126.1640766</v>
      </c>
      <c r="L3689">
        <f>STDEV(H3687:H3691)</f>
        <v>89.00632631</v>
      </c>
      <c r="M3689" s="70">
        <v>218.01998730305</v>
      </c>
      <c r="N3689" s="70">
        <v>218.01998730305</v>
      </c>
      <c r="O3689" s="70">
        <v>9.12906778636894</v>
      </c>
      <c r="P3689" s="70">
        <v>9.12906778636894</v>
      </c>
    </row>
    <row r="3690" hidden="1">
      <c r="A3690" s="67" t="s">
        <v>4450</v>
      </c>
      <c r="B3690" s="67" t="s">
        <v>519</v>
      </c>
      <c r="C3690" s="68">
        <v>0.1</v>
      </c>
      <c r="D3690" s="68">
        <v>1.0</v>
      </c>
      <c r="E3690" s="68">
        <v>9.0</v>
      </c>
      <c r="F3690" s="68">
        <v>3.0</v>
      </c>
      <c r="G3690" s="68">
        <v>4.08549250771089</v>
      </c>
      <c r="H3690" s="68">
        <v>186.500852553256</v>
      </c>
      <c r="I3690" s="69">
        <v>44349.27935185185</v>
      </c>
      <c r="J3690" s="69">
        <v>44349.30097222222</v>
      </c>
      <c r="K3690">
        <f>AVERAGE(H3687:H3691)</f>
        <v>126.1640766</v>
      </c>
      <c r="L3690">
        <f>STDEV(H3687:H3691)</f>
        <v>89.00632631</v>
      </c>
      <c r="M3690" s="70">
        <v>186.500852553256</v>
      </c>
      <c r="N3690" s="70">
        <v>186.500852553256</v>
      </c>
      <c r="O3690" s="70">
        <v>4.08549250771089</v>
      </c>
      <c r="P3690" s="70">
        <v>4.08549250771089</v>
      </c>
    </row>
    <row r="3691" hidden="1">
      <c r="A3691" s="67" t="s">
        <v>4451</v>
      </c>
      <c r="B3691" s="67" t="s">
        <v>519</v>
      </c>
      <c r="C3691" s="68">
        <v>0.1</v>
      </c>
      <c r="D3691" s="68">
        <v>1.0</v>
      </c>
      <c r="E3691" s="68">
        <v>9.0</v>
      </c>
      <c r="F3691" s="68">
        <v>4.0</v>
      </c>
      <c r="G3691" s="68">
        <v>3.26527108831531</v>
      </c>
      <c r="H3691" s="68">
        <v>155.077393723007</v>
      </c>
      <c r="I3691" s="69">
        <v>44349.301666666666</v>
      </c>
      <c r="J3691" s="69">
        <v>44349.364895833336</v>
      </c>
      <c r="K3691">
        <f>AVERAGE(H3687:H3691)</f>
        <v>126.1640766</v>
      </c>
      <c r="L3691">
        <f>STDEV(H3687:H3691)</f>
        <v>89.00632631</v>
      </c>
      <c r="M3691" s="70">
        <v>155.077393723007</v>
      </c>
      <c r="N3691" s="70">
        <v>155.077393723007</v>
      </c>
      <c r="O3691" s="70">
        <v>3.26527108831531</v>
      </c>
      <c r="P3691" s="70">
        <v>3.26527108831531</v>
      </c>
    </row>
    <row r="3692" hidden="1">
      <c r="A3692" s="67" t="s">
        <v>4452</v>
      </c>
      <c r="B3692" s="67" t="s">
        <v>519</v>
      </c>
      <c r="C3692" s="68">
        <v>0.25</v>
      </c>
      <c r="D3692" s="68">
        <v>0.1</v>
      </c>
      <c r="E3692" s="68">
        <v>9.0</v>
      </c>
      <c r="F3692" s="68">
        <v>0.0</v>
      </c>
      <c r="G3692" s="68">
        <v>1.08813236561883</v>
      </c>
      <c r="H3692" s="68">
        <v>1.45988965629567</v>
      </c>
      <c r="I3692" s="69">
        <v>44349.365590277775</v>
      </c>
      <c r="J3692" s="69">
        <v>44349.36577546296</v>
      </c>
      <c r="K3692">
        <f>AVERAGE(H3692:H3696)</f>
        <v>122.1704071</v>
      </c>
      <c r="L3692">
        <f>STDEV(H3692:H3696)</f>
        <v>68.93740552</v>
      </c>
      <c r="M3692" s="70">
        <v>1.45988965629567</v>
      </c>
      <c r="N3692" s="70">
        <v>1.45988965629567</v>
      </c>
      <c r="O3692" s="70">
        <v>1.08813236561883</v>
      </c>
      <c r="P3692" s="70">
        <v>1.08813236561883</v>
      </c>
    </row>
    <row r="3693" hidden="1">
      <c r="A3693" s="67" t="s">
        <v>4453</v>
      </c>
      <c r="B3693" s="67" t="s">
        <v>519</v>
      </c>
      <c r="C3693" s="68">
        <v>0.25</v>
      </c>
      <c r="D3693" s="68">
        <v>0.1</v>
      </c>
      <c r="E3693" s="68">
        <v>9.0</v>
      </c>
      <c r="F3693" s="68">
        <v>1.0</v>
      </c>
      <c r="G3693" s="68">
        <v>3.22860923995589</v>
      </c>
      <c r="H3693" s="68">
        <v>159.797185399962</v>
      </c>
      <c r="I3693" s="69">
        <v>44349.36646990741</v>
      </c>
      <c r="J3693" s="69">
        <v>44349.55179398148</v>
      </c>
      <c r="K3693">
        <f>AVERAGE(H3692:H3696)</f>
        <v>122.1704071</v>
      </c>
      <c r="L3693">
        <f>STDEV(H3692:H3696)</f>
        <v>68.93740552</v>
      </c>
      <c r="M3693" s="70">
        <v>159.797185399962</v>
      </c>
      <c r="N3693" s="70">
        <v>159.797185399962</v>
      </c>
      <c r="O3693" s="70">
        <v>3.22860923995589</v>
      </c>
      <c r="P3693" s="70">
        <v>3.22860923995589</v>
      </c>
    </row>
    <row r="3694" hidden="1">
      <c r="A3694" s="67" t="s">
        <v>4454</v>
      </c>
      <c r="B3694" s="67" t="s">
        <v>519</v>
      </c>
      <c r="C3694" s="68">
        <v>0.25</v>
      </c>
      <c r="D3694" s="68">
        <v>0.1</v>
      </c>
      <c r="E3694" s="68">
        <v>9.0</v>
      </c>
      <c r="F3694" s="68">
        <v>2.0</v>
      </c>
      <c r="G3694" s="68">
        <v>5.98639310552609</v>
      </c>
      <c r="H3694" s="68">
        <v>170.267639260771</v>
      </c>
      <c r="I3694" s="69">
        <v>44349.55248842593</v>
      </c>
      <c r="J3694" s="69">
        <v>44349.55258101852</v>
      </c>
      <c r="K3694">
        <f>AVERAGE(H3692:H3696)</f>
        <v>122.1704071</v>
      </c>
      <c r="L3694">
        <f>STDEV(H3692:H3696)</f>
        <v>68.93740552</v>
      </c>
      <c r="M3694" s="70">
        <v>170.267639260771</v>
      </c>
      <c r="N3694" s="70">
        <v>170.267639260771</v>
      </c>
      <c r="O3694" s="70">
        <v>5.98639310552609</v>
      </c>
      <c r="P3694" s="70">
        <v>5.98639310552609</v>
      </c>
    </row>
    <row r="3695" hidden="1">
      <c r="A3695" s="67" t="s">
        <v>4455</v>
      </c>
      <c r="B3695" s="67" t="s">
        <v>519</v>
      </c>
      <c r="C3695" s="68">
        <v>0.25</v>
      </c>
      <c r="D3695" s="68">
        <v>0.1</v>
      </c>
      <c r="E3695" s="68">
        <v>9.0</v>
      </c>
      <c r="F3695" s="68">
        <v>3.0</v>
      </c>
      <c r="G3695" s="68">
        <v>6.38201910527102</v>
      </c>
      <c r="H3695" s="68">
        <v>146.63820278525</v>
      </c>
      <c r="I3695" s="69">
        <v>44349.55327546296</v>
      </c>
      <c r="J3695" s="69">
        <v>44349.55341435185</v>
      </c>
      <c r="K3695">
        <f>AVERAGE(H3692:H3696)</f>
        <v>122.1704071</v>
      </c>
      <c r="L3695">
        <f>STDEV(H3692:H3696)</f>
        <v>68.93740552</v>
      </c>
      <c r="M3695" s="70">
        <v>146.63820278525</v>
      </c>
      <c r="N3695" s="70">
        <v>146.63820278525</v>
      </c>
      <c r="O3695" s="70">
        <v>6.38201910527102</v>
      </c>
      <c r="P3695" s="70">
        <v>6.38201910527102</v>
      </c>
    </row>
    <row r="3696" hidden="1">
      <c r="A3696" s="67" t="s">
        <v>4456</v>
      </c>
      <c r="B3696" s="67" t="s">
        <v>519</v>
      </c>
      <c r="C3696" s="68">
        <v>0.25</v>
      </c>
      <c r="D3696" s="68">
        <v>0.1</v>
      </c>
      <c r="E3696" s="68">
        <v>9.0</v>
      </c>
      <c r="F3696" s="68">
        <v>4.0</v>
      </c>
      <c r="G3696" s="68">
        <v>5.63037801875538</v>
      </c>
      <c r="H3696" s="68">
        <v>132.689118342232</v>
      </c>
      <c r="I3696" s="69">
        <v>44349.5541087963</v>
      </c>
      <c r="J3696" s="69">
        <v>44349.55415509259</v>
      </c>
      <c r="K3696">
        <f>AVERAGE(H3692:H3696)</f>
        <v>122.1704071</v>
      </c>
      <c r="L3696">
        <f>STDEV(H3692:H3696)</f>
        <v>68.93740552</v>
      </c>
      <c r="M3696" s="70">
        <v>132.689118342232</v>
      </c>
      <c r="N3696" s="70">
        <v>132.689118342232</v>
      </c>
      <c r="O3696" s="70">
        <v>5.63037801875538</v>
      </c>
      <c r="P3696" s="70">
        <v>5.63037801875538</v>
      </c>
    </row>
    <row r="3697" hidden="1">
      <c r="A3697" s="67" t="s">
        <v>4457</v>
      </c>
      <c r="B3697" s="67" t="s">
        <v>519</v>
      </c>
      <c r="C3697" s="68">
        <v>0.25</v>
      </c>
      <c r="D3697" s="68">
        <v>0.25</v>
      </c>
      <c r="E3697" s="68">
        <v>9.0</v>
      </c>
      <c r="F3697" s="68">
        <v>0.0</v>
      </c>
      <c r="G3697" s="68">
        <v>4.19047229783197</v>
      </c>
      <c r="H3697" s="68">
        <v>186.213361005299</v>
      </c>
      <c r="I3697" s="69">
        <v>44349.55484953704</v>
      </c>
      <c r="J3697" s="69">
        <v>44349.67049768518</v>
      </c>
      <c r="K3697">
        <f>AVERAGE(H3697:H3701)</f>
        <v>100.3459345</v>
      </c>
      <c r="L3697">
        <f>STDEV(H3697:H3701)</f>
        <v>70.74017455</v>
      </c>
      <c r="M3697" s="70">
        <v>186.213361005299</v>
      </c>
      <c r="N3697" s="70">
        <v>186.213361005299</v>
      </c>
      <c r="O3697" s="70">
        <v>4.19047229783197</v>
      </c>
      <c r="P3697" s="70">
        <v>4.19047229783197</v>
      </c>
    </row>
    <row r="3698" hidden="1">
      <c r="A3698" s="67" t="s">
        <v>4458</v>
      </c>
      <c r="B3698" s="67" t="s">
        <v>519</v>
      </c>
      <c r="C3698" s="68">
        <v>0.25</v>
      </c>
      <c r="D3698" s="68">
        <v>0.25</v>
      </c>
      <c r="E3698" s="68">
        <v>9.0</v>
      </c>
      <c r="F3698" s="68">
        <v>1.0</v>
      </c>
      <c r="G3698" s="68">
        <v>1.35135249479007</v>
      </c>
      <c r="H3698" s="68">
        <v>69.4758399447292</v>
      </c>
      <c r="I3698" s="69">
        <v>44349.67119212963</v>
      </c>
      <c r="J3698" s="69">
        <v>44349.673483796294</v>
      </c>
      <c r="K3698">
        <f>AVERAGE(H3697:H3701)</f>
        <v>100.3459345</v>
      </c>
      <c r="L3698">
        <f>STDEV(H3697:H3701)</f>
        <v>70.74017455</v>
      </c>
      <c r="M3698" s="70">
        <v>69.4758399447292</v>
      </c>
      <c r="N3698" s="70">
        <v>69.4758399447292</v>
      </c>
      <c r="O3698" s="70">
        <v>1.35135249479007</v>
      </c>
      <c r="P3698" s="70">
        <v>1.35135249479007</v>
      </c>
    </row>
    <row r="3699" hidden="1">
      <c r="A3699" s="67" t="s">
        <v>4459</v>
      </c>
      <c r="B3699" s="67" t="s">
        <v>519</v>
      </c>
      <c r="C3699" s="68">
        <v>0.25</v>
      </c>
      <c r="D3699" s="68">
        <v>0.25</v>
      </c>
      <c r="E3699" s="68">
        <v>9.0</v>
      </c>
      <c r="F3699" s="68">
        <v>2.0</v>
      </c>
      <c r="G3699" s="68">
        <v>2.64397974277779</v>
      </c>
      <c r="H3699" s="68">
        <v>4.14308284676004</v>
      </c>
      <c r="I3699" s="69">
        <v>44349.67417824074</v>
      </c>
      <c r="J3699" s="69">
        <v>44349.674305555556</v>
      </c>
      <c r="K3699">
        <f>AVERAGE(H3697:H3701)</f>
        <v>100.3459345</v>
      </c>
      <c r="L3699">
        <f>STDEV(H3697:H3701)</f>
        <v>70.74017455</v>
      </c>
      <c r="M3699" s="70">
        <v>4.14308284676004</v>
      </c>
      <c r="N3699" s="70">
        <v>4.14308284676004</v>
      </c>
      <c r="O3699" s="70">
        <v>2.64397974277779</v>
      </c>
      <c r="P3699" s="70">
        <v>2.64397974277779</v>
      </c>
    </row>
    <row r="3700" hidden="1">
      <c r="A3700" s="67" t="s">
        <v>4460</v>
      </c>
      <c r="B3700" s="67" t="s">
        <v>519</v>
      </c>
      <c r="C3700" s="68">
        <v>0.25</v>
      </c>
      <c r="D3700" s="68">
        <v>0.25</v>
      </c>
      <c r="E3700" s="68">
        <v>9.0</v>
      </c>
      <c r="F3700" s="68">
        <v>3.0</v>
      </c>
      <c r="G3700" s="68">
        <v>3.87414290526148</v>
      </c>
      <c r="H3700" s="68">
        <v>149.114057946094</v>
      </c>
      <c r="I3700" s="69">
        <v>44349.675</v>
      </c>
      <c r="J3700" s="69">
        <v>44349.67521990741</v>
      </c>
      <c r="K3700">
        <f>AVERAGE(H3697:H3701)</f>
        <v>100.3459345</v>
      </c>
      <c r="L3700">
        <f>STDEV(H3697:H3701)</f>
        <v>70.74017455</v>
      </c>
      <c r="M3700" s="70">
        <v>149.114057946094</v>
      </c>
      <c r="N3700" s="70">
        <v>149.114057946094</v>
      </c>
      <c r="O3700" s="70">
        <v>3.87414290526148</v>
      </c>
      <c r="P3700" s="70">
        <v>3.87414290526148</v>
      </c>
    </row>
    <row r="3701" hidden="1">
      <c r="A3701" s="67" t="s">
        <v>4461</v>
      </c>
      <c r="B3701" s="67" t="s">
        <v>519</v>
      </c>
      <c r="C3701" s="68">
        <v>0.25</v>
      </c>
      <c r="D3701" s="68">
        <v>0.25</v>
      </c>
      <c r="E3701" s="68">
        <v>9.0</v>
      </c>
      <c r="F3701" s="68">
        <v>4.0</v>
      </c>
      <c r="G3701" s="68">
        <v>1.50801914444233</v>
      </c>
      <c r="H3701" s="68">
        <v>92.7833305964991</v>
      </c>
      <c r="I3701" s="69">
        <v>44349.67591435185</v>
      </c>
      <c r="J3701" s="69">
        <v>44349.67827546296</v>
      </c>
      <c r="K3701">
        <f>AVERAGE(H3697:H3701)</f>
        <v>100.3459345</v>
      </c>
      <c r="L3701">
        <f>STDEV(H3697:H3701)</f>
        <v>70.74017455</v>
      </c>
      <c r="M3701" s="70">
        <v>92.7833305964991</v>
      </c>
      <c r="N3701" s="70">
        <v>92.7833305964991</v>
      </c>
      <c r="O3701" s="70">
        <v>1.50801914444233</v>
      </c>
      <c r="P3701" s="70">
        <v>1.50801914444233</v>
      </c>
    </row>
    <row r="3702" hidden="1">
      <c r="A3702" s="67" t="s">
        <v>4462</v>
      </c>
      <c r="B3702" s="67" t="s">
        <v>519</v>
      </c>
      <c r="C3702" s="68">
        <v>0.25</v>
      </c>
      <c r="D3702" s="68">
        <v>0.5</v>
      </c>
      <c r="E3702" s="68">
        <v>9.0</v>
      </c>
      <c r="F3702" s="68">
        <v>0.0</v>
      </c>
      <c r="G3702" s="68">
        <v>3.42531312857749</v>
      </c>
      <c r="H3702" s="68">
        <v>168.178693780163</v>
      </c>
      <c r="I3702" s="69">
        <v>44349.678981481484</v>
      </c>
      <c r="J3702" s="69">
        <v>44349.80258101852</v>
      </c>
      <c r="K3702">
        <f>AVERAGE(H3702:H3706)</f>
        <v>94.69313293</v>
      </c>
      <c r="L3702">
        <f>STDEV(H3702:H3706)</f>
        <v>91.86296159</v>
      </c>
      <c r="M3702" s="70">
        <v>168.178693780163</v>
      </c>
      <c r="N3702" s="70">
        <v>168.178693780163</v>
      </c>
      <c r="O3702" s="70">
        <v>3.42531312857749</v>
      </c>
      <c r="P3702" s="70">
        <v>3.42531312857749</v>
      </c>
    </row>
    <row r="3703" hidden="1">
      <c r="A3703" s="67" t="s">
        <v>4463</v>
      </c>
      <c r="B3703" s="67" t="s">
        <v>519</v>
      </c>
      <c r="C3703" s="68">
        <v>0.25</v>
      </c>
      <c r="D3703" s="68">
        <v>0.5</v>
      </c>
      <c r="E3703" s="68">
        <v>9.0</v>
      </c>
      <c r="F3703" s="68">
        <v>1.0</v>
      </c>
      <c r="G3703" s="68">
        <v>0.317145370870006</v>
      </c>
      <c r="H3703" s="68">
        <v>0.406115963760371</v>
      </c>
      <c r="I3703" s="69">
        <v>44349.80327546296</v>
      </c>
      <c r="J3703" s="69">
        <v>44349.80334490741</v>
      </c>
      <c r="K3703">
        <f>AVERAGE(H3702:H3706)</f>
        <v>94.69313293</v>
      </c>
      <c r="L3703">
        <f>STDEV(H3702:H3706)</f>
        <v>91.86296159</v>
      </c>
      <c r="M3703" s="70">
        <v>0.406115963760371</v>
      </c>
      <c r="N3703" s="70">
        <v>0.406115963760371</v>
      </c>
      <c r="O3703" s="70">
        <v>0.317145370870006</v>
      </c>
      <c r="P3703" s="70">
        <v>0.317145370870006</v>
      </c>
    </row>
    <row r="3704" hidden="1">
      <c r="A3704" s="67" t="s">
        <v>4464</v>
      </c>
      <c r="B3704" s="67" t="s">
        <v>519</v>
      </c>
      <c r="C3704" s="68">
        <v>0.25</v>
      </c>
      <c r="D3704" s="68">
        <v>0.5</v>
      </c>
      <c r="E3704" s="68">
        <v>9.0</v>
      </c>
      <c r="F3704" s="68">
        <v>2.0</v>
      </c>
      <c r="G3704" s="68">
        <v>2.64397974277779</v>
      </c>
      <c r="H3704" s="68">
        <v>4.14308284676004</v>
      </c>
      <c r="I3704" s="69">
        <v>44349.80403935185</v>
      </c>
      <c r="J3704" s="69">
        <v>44349.80417824074</v>
      </c>
      <c r="K3704">
        <f>AVERAGE(H3702:H3706)</f>
        <v>94.69313293</v>
      </c>
      <c r="L3704">
        <f>STDEV(H3702:H3706)</f>
        <v>91.86296159</v>
      </c>
      <c r="M3704" s="70">
        <v>4.14308284676004</v>
      </c>
      <c r="N3704" s="70">
        <v>4.14308284676004</v>
      </c>
      <c r="O3704" s="70">
        <v>2.64397974277779</v>
      </c>
      <c r="P3704" s="70">
        <v>2.64397974277779</v>
      </c>
    </row>
    <row r="3705" hidden="1">
      <c r="A3705" s="67" t="s">
        <v>4465</v>
      </c>
      <c r="B3705" s="67" t="s">
        <v>519</v>
      </c>
      <c r="C3705" s="68">
        <v>0.25</v>
      </c>
      <c r="D3705" s="68">
        <v>0.5</v>
      </c>
      <c r="E3705" s="68">
        <v>9.0</v>
      </c>
      <c r="F3705" s="68">
        <v>3.0</v>
      </c>
      <c r="G3705" s="68">
        <v>2.14785583037755</v>
      </c>
      <c r="H3705" s="68">
        <v>100.039197510472</v>
      </c>
      <c r="I3705" s="69">
        <v>44349.804872685185</v>
      </c>
      <c r="J3705" s="69">
        <v>44349.80741898148</v>
      </c>
      <c r="K3705">
        <f>AVERAGE(H3702:H3706)</f>
        <v>94.69313293</v>
      </c>
      <c r="L3705">
        <f>STDEV(H3702:H3706)</f>
        <v>91.86296159</v>
      </c>
      <c r="M3705" s="70">
        <v>100.039197510472</v>
      </c>
      <c r="N3705" s="70">
        <v>100.039197510472</v>
      </c>
      <c r="O3705" s="70">
        <v>2.14785583037755</v>
      </c>
      <c r="P3705" s="70">
        <v>2.14785583037755</v>
      </c>
    </row>
    <row r="3706" hidden="1">
      <c r="A3706" s="67" t="s">
        <v>4466</v>
      </c>
      <c r="B3706" s="67" t="s">
        <v>519</v>
      </c>
      <c r="C3706" s="68">
        <v>0.25</v>
      </c>
      <c r="D3706" s="68">
        <v>0.5</v>
      </c>
      <c r="E3706" s="68">
        <v>9.0</v>
      </c>
      <c r="F3706" s="68">
        <v>4.0</v>
      </c>
      <c r="G3706" s="68">
        <v>7.42972547872371</v>
      </c>
      <c r="H3706" s="68">
        <v>200.698574533702</v>
      </c>
      <c r="I3706" s="69">
        <v>44349.80811342593</v>
      </c>
      <c r="J3706" s="69">
        <v>44349.80847222222</v>
      </c>
      <c r="K3706">
        <f>AVERAGE(H3702:H3706)</f>
        <v>94.69313293</v>
      </c>
      <c r="L3706">
        <f>STDEV(H3702:H3706)</f>
        <v>91.86296159</v>
      </c>
      <c r="M3706" s="70">
        <v>200.698574533702</v>
      </c>
      <c r="N3706" s="70">
        <v>200.698574533702</v>
      </c>
      <c r="O3706" s="70">
        <v>7.42972547872371</v>
      </c>
      <c r="P3706" s="70">
        <v>7.42972547872371</v>
      </c>
    </row>
    <row r="3707" hidden="1">
      <c r="A3707" s="67" t="s">
        <v>4467</v>
      </c>
      <c r="B3707" s="67" t="s">
        <v>519</v>
      </c>
      <c r="C3707" s="68">
        <v>0.25</v>
      </c>
      <c r="D3707" s="68">
        <v>0.75</v>
      </c>
      <c r="E3707" s="68">
        <v>9.0</v>
      </c>
      <c r="F3707" s="68">
        <v>0.0</v>
      </c>
      <c r="G3707" s="68">
        <v>8.11324264447142</v>
      </c>
      <c r="H3707" s="68">
        <v>269.384063907873</v>
      </c>
      <c r="I3707" s="69">
        <v>44349.809166666666</v>
      </c>
      <c r="J3707" s="69">
        <v>44349.81009259259</v>
      </c>
      <c r="K3707">
        <f>AVERAGE(H3707:H3711)</f>
        <v>128.7436848</v>
      </c>
      <c r="L3707">
        <f>STDEV(H3707:H3711)</f>
        <v>101.4954337</v>
      </c>
      <c r="M3707" s="70">
        <v>269.384063907873</v>
      </c>
      <c r="N3707" s="70">
        <v>269.384063907873</v>
      </c>
      <c r="O3707" s="70">
        <v>8.11324264447142</v>
      </c>
      <c r="P3707" s="70">
        <v>8.11324264447142</v>
      </c>
    </row>
    <row r="3708" hidden="1">
      <c r="A3708" s="67" t="s">
        <v>4468</v>
      </c>
      <c r="B3708" s="67" t="s">
        <v>519</v>
      </c>
      <c r="C3708" s="68">
        <v>0.25</v>
      </c>
      <c r="D3708" s="68">
        <v>0.75</v>
      </c>
      <c r="E3708" s="68">
        <v>9.0</v>
      </c>
      <c r="F3708" s="68">
        <v>1.0</v>
      </c>
      <c r="G3708" s="68">
        <v>3.37785718520133</v>
      </c>
      <c r="H3708" s="68">
        <v>165.172778431466</v>
      </c>
      <c r="I3708" s="69">
        <v>44349.81078703704</v>
      </c>
      <c r="J3708" s="69">
        <v>44349.870717592596</v>
      </c>
      <c r="K3708">
        <f>AVERAGE(H3707:H3711)</f>
        <v>128.7436848</v>
      </c>
      <c r="L3708">
        <f>STDEV(H3707:H3711)</f>
        <v>101.4954337</v>
      </c>
      <c r="M3708" s="70">
        <v>165.172778431466</v>
      </c>
      <c r="N3708" s="70">
        <v>165.172778431466</v>
      </c>
      <c r="O3708" s="70">
        <v>3.37785718520133</v>
      </c>
      <c r="P3708" s="70">
        <v>3.37785718520133</v>
      </c>
    </row>
    <row r="3709" hidden="1">
      <c r="A3709" s="67" t="s">
        <v>4469</v>
      </c>
      <c r="B3709" s="67" t="s">
        <v>519</v>
      </c>
      <c r="C3709" s="68">
        <v>0.25</v>
      </c>
      <c r="D3709" s="68">
        <v>0.75</v>
      </c>
      <c r="E3709" s="68">
        <v>9.0</v>
      </c>
      <c r="F3709" s="68">
        <v>2.0</v>
      </c>
      <c r="G3709" s="68">
        <v>1.35118690778432</v>
      </c>
      <c r="H3709" s="68">
        <v>69.4434749037707</v>
      </c>
      <c r="I3709" s="69">
        <v>44349.871412037035</v>
      </c>
      <c r="J3709" s="69">
        <v>44349.87658564815</v>
      </c>
      <c r="K3709">
        <f>AVERAGE(H3707:H3711)</f>
        <v>128.7436848</v>
      </c>
      <c r="L3709">
        <f>STDEV(H3707:H3711)</f>
        <v>101.4954337</v>
      </c>
      <c r="M3709" s="70">
        <v>69.4434749037707</v>
      </c>
      <c r="N3709" s="70">
        <v>69.4434749037707</v>
      </c>
      <c r="O3709" s="70">
        <v>1.35118690778432</v>
      </c>
      <c r="P3709" s="70">
        <v>1.35118690778432</v>
      </c>
    </row>
    <row r="3710" hidden="1">
      <c r="A3710" s="67" t="s">
        <v>4470</v>
      </c>
      <c r="B3710" s="67" t="s">
        <v>519</v>
      </c>
      <c r="C3710" s="68">
        <v>0.25</v>
      </c>
      <c r="D3710" s="68">
        <v>0.75</v>
      </c>
      <c r="E3710" s="68">
        <v>9.0</v>
      </c>
      <c r="F3710" s="68">
        <v>3.0</v>
      </c>
      <c r="G3710" s="68">
        <v>3.39059271743947</v>
      </c>
      <c r="H3710" s="68">
        <v>139.311132301107</v>
      </c>
      <c r="I3710" s="69">
        <v>44349.877280092594</v>
      </c>
      <c r="J3710" s="69">
        <v>44349.89806712963</v>
      </c>
      <c r="K3710">
        <f>AVERAGE(H3707:H3711)</f>
        <v>128.7436848</v>
      </c>
      <c r="L3710">
        <f>STDEV(H3707:H3711)</f>
        <v>101.4954337</v>
      </c>
      <c r="M3710" s="70">
        <v>139.311132301107</v>
      </c>
      <c r="N3710" s="70">
        <v>139.311132301107</v>
      </c>
      <c r="O3710" s="70">
        <v>3.39059271743947</v>
      </c>
      <c r="P3710" s="70">
        <v>3.39059271743947</v>
      </c>
    </row>
    <row r="3711" hidden="1">
      <c r="A3711" s="67" t="s">
        <v>4471</v>
      </c>
      <c r="B3711" s="67" t="s">
        <v>519</v>
      </c>
      <c r="C3711" s="68">
        <v>0.25</v>
      </c>
      <c r="D3711" s="68">
        <v>0.75</v>
      </c>
      <c r="E3711" s="68">
        <v>9.0</v>
      </c>
      <c r="F3711" s="68">
        <v>4.0</v>
      </c>
      <c r="G3711" s="68">
        <v>0.318624724666863</v>
      </c>
      <c r="H3711" s="68">
        <v>0.406974241682714</v>
      </c>
      <c r="I3711" s="69">
        <v>44349.89876157408</v>
      </c>
      <c r="J3711" s="69">
        <v>44349.89891203704</v>
      </c>
      <c r="K3711">
        <f>AVERAGE(H3707:H3711)</f>
        <v>128.7436848</v>
      </c>
      <c r="L3711">
        <f>STDEV(H3707:H3711)</f>
        <v>101.4954337</v>
      </c>
      <c r="M3711" s="70">
        <v>0.406974241682714</v>
      </c>
      <c r="N3711" s="70">
        <v>0.406974241682714</v>
      </c>
      <c r="O3711" s="70">
        <v>0.318624724666863</v>
      </c>
      <c r="P3711" s="70">
        <v>0.318624724666863</v>
      </c>
    </row>
    <row r="3712" hidden="1">
      <c r="A3712" s="67" t="s">
        <v>4472</v>
      </c>
      <c r="B3712" s="67" t="s">
        <v>519</v>
      </c>
      <c r="C3712" s="68">
        <v>0.25</v>
      </c>
      <c r="D3712" s="68">
        <v>1.0</v>
      </c>
      <c r="E3712" s="68">
        <v>9.0</v>
      </c>
      <c r="F3712" s="68">
        <v>0.0</v>
      </c>
      <c r="G3712" s="68">
        <v>2.390524062042</v>
      </c>
      <c r="H3712" s="68">
        <v>103.690193970998</v>
      </c>
      <c r="I3712" s="69">
        <v>44349.89960648148</v>
      </c>
      <c r="J3712" s="69">
        <v>44349.903645833336</v>
      </c>
      <c r="K3712">
        <f>AVERAGE(H3712:H3716)</f>
        <v>165.2856728</v>
      </c>
      <c r="L3712">
        <f>STDEV(H3712:H3716)</f>
        <v>41.83488054</v>
      </c>
      <c r="M3712" s="70">
        <v>103.690193970998</v>
      </c>
      <c r="N3712" s="70">
        <v>103.690193970998</v>
      </c>
      <c r="O3712" s="70">
        <v>2.390524062042</v>
      </c>
      <c r="P3712" s="70">
        <v>2.390524062042</v>
      </c>
    </row>
    <row r="3713" hidden="1">
      <c r="A3713" s="67" t="s">
        <v>4473</v>
      </c>
      <c r="B3713" s="67" t="s">
        <v>519</v>
      </c>
      <c r="C3713" s="68">
        <v>0.25</v>
      </c>
      <c r="D3713" s="68">
        <v>1.0</v>
      </c>
      <c r="E3713" s="68">
        <v>9.0</v>
      </c>
      <c r="F3713" s="68">
        <v>1.0</v>
      </c>
      <c r="G3713" s="68">
        <v>2.87615504571862</v>
      </c>
      <c r="H3713" s="68">
        <v>152.836265143134</v>
      </c>
      <c r="I3713" s="69">
        <v>44349.904340277775</v>
      </c>
      <c r="J3713" s="69">
        <v>44350.006840277776</v>
      </c>
      <c r="K3713">
        <f>AVERAGE(H3712:H3716)</f>
        <v>165.2856728</v>
      </c>
      <c r="L3713">
        <f>STDEV(H3712:H3716)</f>
        <v>41.83488054</v>
      </c>
      <c r="M3713" s="70">
        <v>152.836265143134</v>
      </c>
      <c r="N3713" s="70">
        <v>152.836265143134</v>
      </c>
      <c r="O3713" s="70">
        <v>2.87615504571862</v>
      </c>
      <c r="P3713" s="70">
        <v>2.87615504571862</v>
      </c>
    </row>
    <row r="3714" hidden="1">
      <c r="A3714" s="67" t="s">
        <v>4474</v>
      </c>
      <c r="B3714" s="67" t="s">
        <v>519</v>
      </c>
      <c r="C3714" s="68">
        <v>0.25</v>
      </c>
      <c r="D3714" s="68">
        <v>1.0</v>
      </c>
      <c r="E3714" s="68">
        <v>9.0</v>
      </c>
      <c r="F3714" s="68">
        <v>2.0</v>
      </c>
      <c r="G3714" s="68">
        <v>5.51733934892071</v>
      </c>
      <c r="H3714" s="68">
        <v>173.001112412973</v>
      </c>
      <c r="I3714" s="69">
        <v>44350.00753472222</v>
      </c>
      <c r="J3714" s="69">
        <v>44350.0077662037</v>
      </c>
      <c r="K3714">
        <f>AVERAGE(H3712:H3716)</f>
        <v>165.2856728</v>
      </c>
      <c r="L3714">
        <f>STDEV(H3712:H3716)</f>
        <v>41.83488054</v>
      </c>
      <c r="M3714" s="70">
        <v>173.001112412973</v>
      </c>
      <c r="N3714" s="70">
        <v>173.001112412973</v>
      </c>
      <c r="O3714" s="70">
        <v>5.51733934892071</v>
      </c>
      <c r="P3714" s="70">
        <v>5.51733934892071</v>
      </c>
    </row>
    <row r="3715" hidden="1">
      <c r="A3715" s="67" t="s">
        <v>4475</v>
      </c>
      <c r="B3715" s="67" t="s">
        <v>519</v>
      </c>
      <c r="C3715" s="68">
        <v>0.25</v>
      </c>
      <c r="D3715" s="68">
        <v>1.0</v>
      </c>
      <c r="E3715" s="68">
        <v>9.0</v>
      </c>
      <c r="F3715" s="68">
        <v>3.0</v>
      </c>
      <c r="G3715" s="68">
        <v>3.98264254354101</v>
      </c>
      <c r="H3715" s="68">
        <v>178.546723112981</v>
      </c>
      <c r="I3715" s="69">
        <v>44350.00846064815</v>
      </c>
      <c r="J3715" s="69">
        <v>44350.01490740741</v>
      </c>
      <c r="K3715">
        <f>AVERAGE(H3712:H3716)</f>
        <v>165.2856728</v>
      </c>
      <c r="L3715">
        <f>STDEV(H3712:H3716)</f>
        <v>41.83488054</v>
      </c>
      <c r="M3715" s="70">
        <v>178.546723112981</v>
      </c>
      <c r="N3715" s="70">
        <v>178.546723112981</v>
      </c>
      <c r="O3715" s="70">
        <v>3.98264254354101</v>
      </c>
      <c r="P3715" s="70">
        <v>3.98264254354101</v>
      </c>
    </row>
    <row r="3716" hidden="1">
      <c r="A3716" s="67" t="s">
        <v>4476</v>
      </c>
      <c r="B3716" s="67" t="s">
        <v>519</v>
      </c>
      <c r="C3716" s="68">
        <v>0.25</v>
      </c>
      <c r="D3716" s="68">
        <v>1.0</v>
      </c>
      <c r="E3716" s="68">
        <v>9.0</v>
      </c>
      <c r="F3716" s="68">
        <v>4.0</v>
      </c>
      <c r="G3716" s="68">
        <v>9.14079037505962</v>
      </c>
      <c r="H3716" s="68">
        <v>218.354069153855</v>
      </c>
      <c r="I3716" s="69">
        <v>44350.015601851854</v>
      </c>
      <c r="J3716" s="69">
        <v>44350.015752314815</v>
      </c>
      <c r="K3716">
        <f>AVERAGE(H3712:H3716)</f>
        <v>165.2856728</v>
      </c>
      <c r="L3716">
        <f>STDEV(H3712:H3716)</f>
        <v>41.83488054</v>
      </c>
      <c r="M3716" s="70">
        <v>218.354069153855</v>
      </c>
      <c r="N3716" s="70">
        <v>218.354069153855</v>
      </c>
      <c r="O3716" s="70">
        <v>9.14079037505962</v>
      </c>
      <c r="P3716" s="70">
        <v>9.14079037505962</v>
      </c>
    </row>
    <row r="3717" hidden="1">
      <c r="A3717" s="67" t="s">
        <v>4477</v>
      </c>
      <c r="B3717" s="67" t="s">
        <v>519</v>
      </c>
      <c r="C3717" s="68">
        <v>0.5</v>
      </c>
      <c r="D3717" s="68">
        <v>0.1</v>
      </c>
      <c r="E3717" s="68">
        <v>9.0</v>
      </c>
      <c r="F3717" s="68">
        <v>0.0</v>
      </c>
      <c r="G3717" s="68">
        <v>3.34412130428627</v>
      </c>
      <c r="H3717" s="68">
        <v>163.771211383593</v>
      </c>
      <c r="I3717" s="69">
        <v>44350.01644675926</v>
      </c>
      <c r="J3717" s="69">
        <v>44350.07168981482</v>
      </c>
      <c r="K3717">
        <f>AVERAGE(H3717:H3721)</f>
        <v>97.0874219</v>
      </c>
      <c r="L3717">
        <f>STDEV(H3717:H3721)</f>
        <v>87.6007415</v>
      </c>
      <c r="M3717" s="70">
        <v>163.771211383593</v>
      </c>
      <c r="N3717" s="70">
        <v>163.771211383593</v>
      </c>
      <c r="O3717" s="70">
        <v>3.34412130428627</v>
      </c>
      <c r="P3717" s="70">
        <v>3.34412130428627</v>
      </c>
    </row>
    <row r="3718" hidden="1">
      <c r="A3718" s="67" t="s">
        <v>4478</v>
      </c>
      <c r="B3718" s="67" t="s">
        <v>519</v>
      </c>
      <c r="C3718" s="68">
        <v>0.5</v>
      </c>
      <c r="D3718" s="68">
        <v>0.1</v>
      </c>
      <c r="E3718" s="68">
        <v>9.0</v>
      </c>
      <c r="F3718" s="68">
        <v>1.0</v>
      </c>
      <c r="G3718" s="68">
        <v>1.07726357757199</v>
      </c>
      <c r="H3718" s="68">
        <v>1.44783123058301</v>
      </c>
      <c r="I3718" s="69">
        <v>44350.072384259256</v>
      </c>
      <c r="J3718" s="69">
        <v>44350.07255787037</v>
      </c>
      <c r="K3718">
        <f>AVERAGE(H3717:H3721)</f>
        <v>97.0874219</v>
      </c>
      <c r="L3718">
        <f>STDEV(H3717:H3721)</f>
        <v>87.6007415</v>
      </c>
      <c r="M3718" s="70">
        <v>1.44783123058301</v>
      </c>
      <c r="N3718" s="70">
        <v>1.44783123058301</v>
      </c>
      <c r="O3718" s="70">
        <v>1.07726357757199</v>
      </c>
      <c r="P3718" s="70">
        <v>1.07726357757199</v>
      </c>
    </row>
    <row r="3719" hidden="1">
      <c r="A3719" s="67" t="s">
        <v>4479</v>
      </c>
      <c r="B3719" s="67" t="s">
        <v>519</v>
      </c>
      <c r="C3719" s="68">
        <v>0.5</v>
      </c>
      <c r="D3719" s="68">
        <v>0.1</v>
      </c>
      <c r="E3719" s="68">
        <v>9.0</v>
      </c>
      <c r="F3719" s="68">
        <v>2.0</v>
      </c>
      <c r="G3719" s="68">
        <v>4.31099342304194</v>
      </c>
      <c r="H3719" s="68">
        <v>156.990838478665</v>
      </c>
      <c r="I3719" s="69">
        <v>44350.07325231482</v>
      </c>
      <c r="J3719" s="69">
        <v>44350.0740625</v>
      </c>
      <c r="K3719">
        <f>AVERAGE(H3717:H3721)</f>
        <v>97.0874219</v>
      </c>
      <c r="L3719">
        <f>STDEV(H3717:H3721)</f>
        <v>87.6007415</v>
      </c>
      <c r="M3719" s="70">
        <v>156.990838478665</v>
      </c>
      <c r="N3719" s="70">
        <v>156.990838478665</v>
      </c>
      <c r="O3719" s="70">
        <v>4.31099342304194</v>
      </c>
      <c r="P3719" s="70">
        <v>4.31099342304194</v>
      </c>
    </row>
    <row r="3720" hidden="1">
      <c r="A3720" s="67" t="s">
        <v>4480</v>
      </c>
      <c r="B3720" s="67" t="s">
        <v>519</v>
      </c>
      <c r="C3720" s="68">
        <v>0.5</v>
      </c>
      <c r="D3720" s="68">
        <v>0.1</v>
      </c>
      <c r="E3720" s="68">
        <v>9.0</v>
      </c>
      <c r="F3720" s="68">
        <v>3.0</v>
      </c>
      <c r="G3720" s="68">
        <v>3.86223616336135</v>
      </c>
      <c r="H3720" s="68">
        <v>162.343422173131</v>
      </c>
      <c r="I3720" s="69">
        <v>44350.07475694444</v>
      </c>
      <c r="J3720" s="69">
        <v>44350.08961805556</v>
      </c>
      <c r="K3720">
        <f>AVERAGE(H3717:H3721)</f>
        <v>97.0874219</v>
      </c>
      <c r="L3720">
        <f>STDEV(H3717:H3721)</f>
        <v>87.6007415</v>
      </c>
      <c r="M3720" s="70">
        <v>162.343422173131</v>
      </c>
      <c r="N3720" s="70">
        <v>162.343422173131</v>
      </c>
      <c r="O3720" s="70">
        <v>3.86223616336135</v>
      </c>
      <c r="P3720" s="70">
        <v>3.86223616336135</v>
      </c>
    </row>
    <row r="3721" hidden="1">
      <c r="A3721" s="67" t="s">
        <v>4481</v>
      </c>
      <c r="B3721" s="67" t="s">
        <v>519</v>
      </c>
      <c r="C3721" s="68">
        <v>0.5</v>
      </c>
      <c r="D3721" s="68">
        <v>0.1</v>
      </c>
      <c r="E3721" s="68">
        <v>9.0</v>
      </c>
      <c r="F3721" s="68">
        <v>4.0</v>
      </c>
      <c r="G3721" s="68">
        <v>0.510089622993547</v>
      </c>
      <c r="H3721" s="68">
        <v>0.883806223126507</v>
      </c>
      <c r="I3721" s="69">
        <v>44350.0903125</v>
      </c>
      <c r="J3721" s="69">
        <v>44350.091412037036</v>
      </c>
      <c r="K3721">
        <f>AVERAGE(H3717:H3721)</f>
        <v>97.0874219</v>
      </c>
      <c r="L3721">
        <f>STDEV(H3717:H3721)</f>
        <v>87.6007415</v>
      </c>
      <c r="M3721" s="70">
        <v>0.883806223126507</v>
      </c>
      <c r="N3721" s="70">
        <v>0.883806223126507</v>
      </c>
      <c r="O3721" s="70">
        <v>0.510089622993547</v>
      </c>
      <c r="P3721" s="70">
        <v>0.510089622993547</v>
      </c>
    </row>
    <row r="3722" hidden="1">
      <c r="A3722" s="67" t="s">
        <v>4482</v>
      </c>
      <c r="B3722" s="67" t="s">
        <v>519</v>
      </c>
      <c r="C3722" s="68">
        <v>0.5</v>
      </c>
      <c r="D3722" s="68">
        <v>0.25</v>
      </c>
      <c r="E3722" s="68">
        <v>9.0</v>
      </c>
      <c r="F3722" s="68">
        <v>0.0</v>
      </c>
      <c r="G3722" s="68">
        <v>4.80443529366474</v>
      </c>
      <c r="H3722" s="68">
        <v>180.59667657014</v>
      </c>
      <c r="I3722" s="69">
        <v>44296.22127314815</v>
      </c>
      <c r="J3722" s="69">
        <v>44296.228113425925</v>
      </c>
      <c r="K3722">
        <f>AVERAGE(H3722:H3726)</f>
        <v>126.3372273</v>
      </c>
      <c r="L3722">
        <f>STDEV(H3722:H3726)</f>
        <v>74.10998046</v>
      </c>
      <c r="M3722" s="70">
        <v>180.59667657014</v>
      </c>
      <c r="N3722" s="70">
        <v>180.59667657014</v>
      </c>
      <c r="O3722" s="70">
        <v>4.80443529366474</v>
      </c>
      <c r="P3722" s="70">
        <v>4.80443529366474</v>
      </c>
    </row>
    <row r="3723" hidden="1">
      <c r="A3723" s="67" t="s">
        <v>4483</v>
      </c>
      <c r="B3723" s="67" t="s">
        <v>519</v>
      </c>
      <c r="C3723" s="68">
        <v>0.5</v>
      </c>
      <c r="D3723" s="68">
        <v>0.25</v>
      </c>
      <c r="E3723" s="68">
        <v>9.0</v>
      </c>
      <c r="F3723" s="68">
        <v>1.0</v>
      </c>
      <c r="G3723" s="68">
        <v>3.18779306549698</v>
      </c>
      <c r="H3723" s="68">
        <v>166.670366792465</v>
      </c>
      <c r="I3723" s="69">
        <v>44296.22880787037</v>
      </c>
      <c r="J3723" s="69">
        <v>44296.338275462964</v>
      </c>
      <c r="K3723">
        <f>AVERAGE(H3722:H3726)</f>
        <v>126.3372273</v>
      </c>
      <c r="L3723">
        <f>STDEV(H3722:H3726)</f>
        <v>74.10998046</v>
      </c>
      <c r="M3723" s="70">
        <v>166.670366792465</v>
      </c>
      <c r="N3723" s="70">
        <v>166.670366792465</v>
      </c>
      <c r="O3723" s="70">
        <v>3.18779306549698</v>
      </c>
      <c r="P3723" s="70">
        <v>3.18779306549698</v>
      </c>
    </row>
    <row r="3724" hidden="1">
      <c r="A3724" s="67" t="s">
        <v>4484</v>
      </c>
      <c r="B3724" s="67" t="s">
        <v>519</v>
      </c>
      <c r="C3724" s="68">
        <v>0.5</v>
      </c>
      <c r="D3724" s="68">
        <v>0.25</v>
      </c>
      <c r="E3724" s="68">
        <v>9.0</v>
      </c>
      <c r="F3724" s="68">
        <v>2.0</v>
      </c>
      <c r="G3724" s="68">
        <v>0.377529980522562</v>
      </c>
      <c r="H3724" s="68">
        <v>0.485240991428228</v>
      </c>
      <c r="I3724" s="69">
        <v>44296.33896990741</v>
      </c>
      <c r="J3724" s="69">
        <v>44296.33914351852</v>
      </c>
      <c r="K3724">
        <f>AVERAGE(H3722:H3726)</f>
        <v>126.3372273</v>
      </c>
      <c r="L3724">
        <f>STDEV(H3722:H3726)</f>
        <v>74.10998046</v>
      </c>
      <c r="M3724" s="70">
        <v>0.485240991428228</v>
      </c>
      <c r="N3724" s="70">
        <v>0.485240991428228</v>
      </c>
      <c r="O3724" s="70">
        <v>0.377529980522562</v>
      </c>
      <c r="P3724" s="70">
        <v>0.377529980522562</v>
      </c>
    </row>
    <row r="3725" hidden="1">
      <c r="A3725" s="67" t="s">
        <v>4485</v>
      </c>
      <c r="B3725" s="67" t="s">
        <v>519</v>
      </c>
      <c r="C3725" s="68">
        <v>0.5</v>
      </c>
      <c r="D3725" s="68">
        <v>0.25</v>
      </c>
      <c r="E3725" s="68">
        <v>9.0</v>
      </c>
      <c r="F3725" s="68">
        <v>3.0</v>
      </c>
      <c r="G3725" s="68">
        <v>4.66171639339358</v>
      </c>
      <c r="H3725" s="68">
        <v>165.107900734379</v>
      </c>
      <c r="I3725" s="69">
        <v>44296.339837962965</v>
      </c>
      <c r="J3725" s="69">
        <v>44296.34005787037</v>
      </c>
      <c r="K3725">
        <f>AVERAGE(H3722:H3726)</f>
        <v>126.3372273</v>
      </c>
      <c r="L3725">
        <f>STDEV(H3722:H3726)</f>
        <v>74.10998046</v>
      </c>
      <c r="M3725" s="70">
        <v>165.107900734379</v>
      </c>
      <c r="N3725" s="70">
        <v>165.107900734379</v>
      </c>
      <c r="O3725" s="70">
        <v>4.66171639339358</v>
      </c>
      <c r="P3725" s="70">
        <v>4.66171639339358</v>
      </c>
    </row>
    <row r="3726" hidden="1">
      <c r="A3726" s="67" t="s">
        <v>4486</v>
      </c>
      <c r="B3726" s="67" t="s">
        <v>519</v>
      </c>
      <c r="C3726" s="68">
        <v>0.5</v>
      </c>
      <c r="D3726" s="68">
        <v>0.25</v>
      </c>
      <c r="E3726" s="68">
        <v>9.0</v>
      </c>
      <c r="F3726" s="68">
        <v>4.0</v>
      </c>
      <c r="G3726" s="68">
        <v>2.6891265147993</v>
      </c>
      <c r="H3726" s="68">
        <v>118.825951468679</v>
      </c>
      <c r="I3726" s="69">
        <v>44296.34075231481</v>
      </c>
      <c r="J3726" s="69">
        <v>44296.34134259259</v>
      </c>
      <c r="K3726">
        <f>AVERAGE(H3722:H3726)</f>
        <v>126.3372273</v>
      </c>
      <c r="L3726">
        <f>STDEV(H3722:H3726)</f>
        <v>74.10998046</v>
      </c>
      <c r="M3726" s="70">
        <v>118.825951468679</v>
      </c>
      <c r="N3726" s="70">
        <v>118.825951468679</v>
      </c>
      <c r="O3726" s="70">
        <v>2.6891265147993</v>
      </c>
      <c r="P3726" s="70">
        <v>2.6891265147993</v>
      </c>
    </row>
    <row r="3727" hidden="1">
      <c r="A3727" s="67" t="s">
        <v>4487</v>
      </c>
      <c r="B3727" s="67" t="s">
        <v>519</v>
      </c>
      <c r="C3727" s="68">
        <v>0.5</v>
      </c>
      <c r="D3727" s="68">
        <v>0.5</v>
      </c>
      <c r="E3727" s="68">
        <v>9.0</v>
      </c>
      <c r="F3727" s="68">
        <v>0.0</v>
      </c>
      <c r="G3727" s="68">
        <v>1.69291691727593</v>
      </c>
      <c r="H3727" s="68">
        <v>102.711208741053</v>
      </c>
      <c r="I3727" s="69">
        <v>44350.09210648148</v>
      </c>
      <c r="J3727" s="69">
        <v>44350.09340277778</v>
      </c>
      <c r="K3727">
        <f>AVERAGE(H3727:H3731)</f>
        <v>129.6475877</v>
      </c>
      <c r="L3727">
        <f>STDEV(H3727:H3731)</f>
        <v>79.41228924</v>
      </c>
      <c r="M3727" s="70">
        <v>102.711208741053</v>
      </c>
      <c r="N3727" s="70">
        <v>102.711208741053</v>
      </c>
      <c r="O3727" s="70">
        <v>1.69291691727593</v>
      </c>
      <c r="P3727" s="70">
        <v>1.69291691727593</v>
      </c>
    </row>
    <row r="3728" hidden="1">
      <c r="A3728" s="67" t="s">
        <v>4488</v>
      </c>
      <c r="B3728" s="67" t="s">
        <v>519</v>
      </c>
      <c r="C3728" s="68">
        <v>0.5</v>
      </c>
      <c r="D3728" s="68">
        <v>0.5</v>
      </c>
      <c r="E3728" s="68">
        <v>9.0</v>
      </c>
      <c r="F3728" s="68">
        <v>1.0</v>
      </c>
      <c r="G3728" s="68">
        <v>7.55869338733336</v>
      </c>
      <c r="H3728" s="68">
        <v>202.71089928391</v>
      </c>
      <c r="I3728" s="69">
        <v>44350.09409722222</v>
      </c>
      <c r="J3728" s="69">
        <v>44350.09452546296</v>
      </c>
      <c r="K3728">
        <f>AVERAGE(H3727:H3731)</f>
        <v>129.6475877</v>
      </c>
      <c r="L3728">
        <f>STDEV(H3727:H3731)</f>
        <v>79.41228924</v>
      </c>
      <c r="M3728" s="70">
        <v>202.71089928391</v>
      </c>
      <c r="N3728" s="70">
        <v>202.71089928391</v>
      </c>
      <c r="O3728" s="70">
        <v>7.55869338733336</v>
      </c>
      <c r="P3728" s="70">
        <v>7.55869338733336</v>
      </c>
    </row>
    <row r="3729" hidden="1">
      <c r="A3729" s="67" t="s">
        <v>4489</v>
      </c>
      <c r="B3729" s="67" t="s">
        <v>519</v>
      </c>
      <c r="C3729" s="68">
        <v>0.5</v>
      </c>
      <c r="D3729" s="68">
        <v>0.5</v>
      </c>
      <c r="E3729" s="68">
        <v>9.0</v>
      </c>
      <c r="F3729" s="68">
        <v>2.0</v>
      </c>
      <c r="G3729" s="68">
        <v>3.56195695505096</v>
      </c>
      <c r="H3729" s="68">
        <v>174.979588563663</v>
      </c>
      <c r="I3729" s="69">
        <v>44350.09521990741</v>
      </c>
      <c r="J3729" s="69">
        <v>44350.187997685185</v>
      </c>
      <c r="K3729">
        <f>AVERAGE(H3727:H3731)</f>
        <v>129.6475877</v>
      </c>
      <c r="L3729">
        <f>STDEV(H3727:H3731)</f>
        <v>79.41228924</v>
      </c>
      <c r="M3729" s="70">
        <v>174.979588563663</v>
      </c>
      <c r="N3729" s="70">
        <v>174.979588563663</v>
      </c>
      <c r="O3729" s="70">
        <v>3.56195695505096</v>
      </c>
      <c r="P3729" s="70">
        <v>3.56195695505096</v>
      </c>
    </row>
    <row r="3730" hidden="1">
      <c r="A3730" s="67" t="s">
        <v>4490</v>
      </c>
      <c r="B3730" s="67" t="s">
        <v>519</v>
      </c>
      <c r="C3730" s="68">
        <v>0.5</v>
      </c>
      <c r="D3730" s="68">
        <v>0.5</v>
      </c>
      <c r="E3730" s="68">
        <v>9.0</v>
      </c>
      <c r="F3730" s="68">
        <v>3.0</v>
      </c>
      <c r="G3730" s="68">
        <v>3.94125065111799</v>
      </c>
      <c r="H3730" s="68">
        <v>164.304911573665</v>
      </c>
      <c r="I3730" s="69">
        <v>44350.18869212963</v>
      </c>
      <c r="J3730" s="69">
        <v>44350.19375</v>
      </c>
      <c r="K3730">
        <f>AVERAGE(H3727:H3731)</f>
        <v>129.6475877</v>
      </c>
      <c r="L3730">
        <f>STDEV(H3727:H3731)</f>
        <v>79.41228924</v>
      </c>
      <c r="M3730" s="70">
        <v>164.304911573665</v>
      </c>
      <c r="N3730" s="70">
        <v>164.304911573665</v>
      </c>
      <c r="O3730" s="70">
        <v>3.94125065111799</v>
      </c>
      <c r="P3730" s="70">
        <v>3.94125065111799</v>
      </c>
    </row>
    <row r="3731" hidden="1">
      <c r="A3731" s="67" t="s">
        <v>4491</v>
      </c>
      <c r="B3731" s="67" t="s">
        <v>519</v>
      </c>
      <c r="C3731" s="68">
        <v>0.5</v>
      </c>
      <c r="D3731" s="68">
        <v>0.5</v>
      </c>
      <c r="E3731" s="68">
        <v>9.0</v>
      </c>
      <c r="F3731" s="68">
        <v>4.0</v>
      </c>
      <c r="G3731" s="68">
        <v>0.482045444604762</v>
      </c>
      <c r="H3731" s="68">
        <v>3.53133055560754</v>
      </c>
      <c r="I3731" s="69">
        <v>44350.194444444445</v>
      </c>
      <c r="J3731" s="69">
        <v>44350.195914351854</v>
      </c>
      <c r="K3731">
        <f>AVERAGE(H3727:H3731)</f>
        <v>129.6475877</v>
      </c>
      <c r="L3731">
        <f>STDEV(H3727:H3731)</f>
        <v>79.41228924</v>
      </c>
      <c r="M3731" s="70">
        <v>3.53133055560754</v>
      </c>
      <c r="N3731" s="70">
        <v>3.53133055560754</v>
      </c>
      <c r="O3731" s="70">
        <v>0.482045444604762</v>
      </c>
      <c r="P3731" s="70">
        <v>0.482045444604762</v>
      </c>
    </row>
    <row r="3732" hidden="1">
      <c r="A3732" s="67" t="s">
        <v>4492</v>
      </c>
      <c r="B3732" s="67" t="s">
        <v>519</v>
      </c>
      <c r="C3732" s="68">
        <v>0.5</v>
      </c>
      <c r="D3732" s="68">
        <v>0.75</v>
      </c>
      <c r="E3732" s="68">
        <v>9.0</v>
      </c>
      <c r="F3732" s="68">
        <v>0.0</v>
      </c>
      <c r="G3732" s="68">
        <v>6.94498109002424</v>
      </c>
      <c r="H3732" s="68">
        <v>208.030263793283</v>
      </c>
      <c r="I3732" s="69">
        <v>44350.196608796294</v>
      </c>
      <c r="J3732" s="69">
        <v>44350.19697916666</v>
      </c>
      <c r="K3732">
        <f>AVERAGE(H3732:H3736)</f>
        <v>140.0651907</v>
      </c>
      <c r="L3732">
        <f>STDEV(H3732:H3736)</f>
        <v>80.1211942</v>
      </c>
      <c r="M3732" s="70">
        <v>208.030263793283</v>
      </c>
      <c r="N3732" s="70">
        <v>208.030263793283</v>
      </c>
      <c r="O3732" s="70">
        <v>6.94498109002424</v>
      </c>
      <c r="P3732" s="70">
        <v>6.94498109002424</v>
      </c>
    </row>
    <row r="3733" hidden="1">
      <c r="A3733" s="67" t="s">
        <v>4493</v>
      </c>
      <c r="B3733" s="67" t="s">
        <v>519</v>
      </c>
      <c r="C3733" s="68">
        <v>0.5</v>
      </c>
      <c r="D3733" s="68">
        <v>0.75</v>
      </c>
      <c r="E3733" s="68">
        <v>9.0</v>
      </c>
      <c r="F3733" s="68">
        <v>1.0</v>
      </c>
      <c r="G3733" s="68">
        <v>5.95664373356254</v>
      </c>
      <c r="H3733" s="68">
        <v>163.95434023011</v>
      </c>
      <c r="I3733" s="69">
        <v>44350.19767361111</v>
      </c>
      <c r="J3733" s="69">
        <v>44350.19777777778</v>
      </c>
      <c r="K3733">
        <f>AVERAGE(H3732:H3736)</f>
        <v>140.0651907</v>
      </c>
      <c r="L3733">
        <f>STDEV(H3732:H3736)</f>
        <v>80.1211942</v>
      </c>
      <c r="M3733" s="70">
        <v>163.95434023011</v>
      </c>
      <c r="N3733" s="70">
        <v>163.95434023011</v>
      </c>
      <c r="O3733" s="70">
        <v>5.95664373356254</v>
      </c>
      <c r="P3733" s="70">
        <v>5.95664373356254</v>
      </c>
    </row>
    <row r="3734" hidden="1">
      <c r="A3734" s="67" t="s">
        <v>4494</v>
      </c>
      <c r="B3734" s="67" t="s">
        <v>519</v>
      </c>
      <c r="C3734" s="68">
        <v>0.5</v>
      </c>
      <c r="D3734" s="68">
        <v>0.75</v>
      </c>
      <c r="E3734" s="68">
        <v>9.0</v>
      </c>
      <c r="F3734" s="68">
        <v>2.0</v>
      </c>
      <c r="G3734" s="68">
        <v>3.29871913577327</v>
      </c>
      <c r="H3734" s="68">
        <v>162.296452893862</v>
      </c>
      <c r="I3734" s="69">
        <v>44350.19847222222</v>
      </c>
      <c r="J3734" s="69">
        <v>44350.391539351855</v>
      </c>
      <c r="K3734">
        <f>AVERAGE(H3732:H3736)</f>
        <v>140.0651907</v>
      </c>
      <c r="L3734">
        <f>STDEV(H3732:H3736)</f>
        <v>80.1211942</v>
      </c>
      <c r="M3734" s="70">
        <v>162.296452893862</v>
      </c>
      <c r="N3734" s="70">
        <v>162.296452893862</v>
      </c>
      <c r="O3734" s="70">
        <v>3.29871913577327</v>
      </c>
      <c r="P3734" s="70">
        <v>3.29871913577327</v>
      </c>
    </row>
    <row r="3735" hidden="1">
      <c r="A3735" s="67" t="s">
        <v>4495</v>
      </c>
      <c r="B3735" s="67" t="s">
        <v>519</v>
      </c>
      <c r="C3735" s="68">
        <v>0.5</v>
      </c>
      <c r="D3735" s="68">
        <v>0.75</v>
      </c>
      <c r="E3735" s="68">
        <v>9.0</v>
      </c>
      <c r="F3735" s="68">
        <v>3.0</v>
      </c>
      <c r="G3735" s="68">
        <v>0.690909858998972</v>
      </c>
      <c r="H3735" s="68">
        <v>0.907582222574204</v>
      </c>
      <c r="I3735" s="69">
        <v>44350.392233796294</v>
      </c>
      <c r="J3735" s="69">
        <v>44350.39265046296</v>
      </c>
      <c r="K3735">
        <f>AVERAGE(H3732:H3736)</f>
        <v>140.0651907</v>
      </c>
      <c r="L3735">
        <f>STDEV(H3732:H3736)</f>
        <v>80.1211942</v>
      </c>
      <c r="M3735" s="70">
        <v>0.907582222574204</v>
      </c>
      <c r="N3735" s="70">
        <v>0.907582222574204</v>
      </c>
      <c r="O3735" s="70">
        <v>0.690909858998972</v>
      </c>
      <c r="P3735" s="70">
        <v>0.690909858998972</v>
      </c>
    </row>
    <row r="3736" hidden="1">
      <c r="A3736" s="67" t="s">
        <v>4496</v>
      </c>
      <c r="B3736" s="67" t="s">
        <v>519</v>
      </c>
      <c r="C3736" s="68">
        <v>0.5</v>
      </c>
      <c r="D3736" s="68">
        <v>0.75</v>
      </c>
      <c r="E3736" s="68">
        <v>9.0</v>
      </c>
      <c r="F3736" s="68">
        <v>4.0</v>
      </c>
      <c r="G3736" s="68">
        <v>4.41663021185456</v>
      </c>
      <c r="H3736" s="68">
        <v>165.137314587756</v>
      </c>
      <c r="I3736" s="69">
        <v>44350.39334490741</v>
      </c>
      <c r="J3736" s="69">
        <v>44350.39344907407</v>
      </c>
      <c r="K3736">
        <f>AVERAGE(H3732:H3736)</f>
        <v>140.0651907</v>
      </c>
      <c r="L3736">
        <f>STDEV(H3732:H3736)</f>
        <v>80.1211942</v>
      </c>
      <c r="M3736" s="70">
        <v>165.137314587756</v>
      </c>
      <c r="N3736" s="70">
        <v>165.137314587756</v>
      </c>
      <c r="O3736" s="70">
        <v>4.41663021185456</v>
      </c>
      <c r="P3736" s="70">
        <v>4.41663021185456</v>
      </c>
    </row>
    <row r="3737" hidden="1">
      <c r="A3737" s="67" t="s">
        <v>4497</v>
      </c>
      <c r="B3737" s="67" t="s">
        <v>519</v>
      </c>
      <c r="C3737" s="68">
        <v>0.5</v>
      </c>
      <c r="D3737" s="68">
        <v>1.0</v>
      </c>
      <c r="E3737" s="68">
        <v>9.0</v>
      </c>
      <c r="F3737" s="68">
        <v>0.0</v>
      </c>
      <c r="G3737" s="68">
        <v>1.06623448990932</v>
      </c>
      <c r="H3737" s="68">
        <v>54.4076703444967</v>
      </c>
      <c r="I3737" s="69">
        <v>44350.39414351852</v>
      </c>
      <c r="J3737" s="69">
        <v>44350.400034722225</v>
      </c>
      <c r="K3737">
        <f>AVERAGE(H3737:H3741)</f>
        <v>152.4510973</v>
      </c>
      <c r="L3737">
        <f>STDEV(H3737:H3741)</f>
        <v>62.11533666</v>
      </c>
      <c r="M3737" s="70">
        <v>54.4076703444967</v>
      </c>
      <c r="N3737" s="70">
        <v>54.4076703444967</v>
      </c>
      <c r="O3737" s="70">
        <v>1.06623448990932</v>
      </c>
      <c r="P3737" s="70">
        <v>1.06623448990932</v>
      </c>
    </row>
    <row r="3738" hidden="1">
      <c r="A3738" s="67" t="s">
        <v>4498</v>
      </c>
      <c r="B3738" s="67" t="s">
        <v>519</v>
      </c>
      <c r="C3738" s="68">
        <v>0.5</v>
      </c>
      <c r="D3738" s="68">
        <v>1.0</v>
      </c>
      <c r="E3738" s="68">
        <v>9.0</v>
      </c>
      <c r="F3738" s="68">
        <v>1.0</v>
      </c>
      <c r="G3738" s="68">
        <v>2.60198587746839</v>
      </c>
      <c r="H3738" s="68">
        <v>135.780478083349</v>
      </c>
      <c r="I3738" s="69">
        <v>44350.400729166664</v>
      </c>
      <c r="J3738" s="69">
        <v>44350.401087962964</v>
      </c>
      <c r="K3738">
        <f>AVERAGE(H3737:H3741)</f>
        <v>152.4510973</v>
      </c>
      <c r="L3738">
        <f>STDEV(H3737:H3741)</f>
        <v>62.11533666</v>
      </c>
      <c r="M3738" s="70">
        <v>135.780478083349</v>
      </c>
      <c r="N3738" s="70">
        <v>135.780478083349</v>
      </c>
      <c r="O3738" s="70">
        <v>2.60198587746839</v>
      </c>
      <c r="P3738" s="70">
        <v>2.60198587746839</v>
      </c>
    </row>
    <row r="3739" hidden="1">
      <c r="A3739" s="67" t="s">
        <v>4499</v>
      </c>
      <c r="B3739" s="67" t="s">
        <v>519</v>
      </c>
      <c r="C3739" s="68">
        <v>0.5</v>
      </c>
      <c r="D3739" s="68">
        <v>1.0</v>
      </c>
      <c r="E3739" s="68">
        <v>9.0</v>
      </c>
      <c r="F3739" s="68">
        <v>2.0</v>
      </c>
      <c r="G3739" s="68">
        <v>5.77194875782325</v>
      </c>
      <c r="H3739" s="68">
        <v>175.640290283618</v>
      </c>
      <c r="I3739" s="69">
        <v>44350.40178240741</v>
      </c>
      <c r="J3739" s="69">
        <v>44350.40199074074</v>
      </c>
      <c r="K3739">
        <f>AVERAGE(H3737:H3741)</f>
        <v>152.4510973</v>
      </c>
      <c r="L3739">
        <f>STDEV(H3737:H3741)</f>
        <v>62.11533666</v>
      </c>
      <c r="M3739" s="70">
        <v>175.640290283618</v>
      </c>
      <c r="N3739" s="70">
        <v>175.640290283618</v>
      </c>
      <c r="O3739" s="70">
        <v>5.77194875782325</v>
      </c>
      <c r="P3739" s="70">
        <v>5.77194875782325</v>
      </c>
    </row>
    <row r="3740" hidden="1">
      <c r="A3740" s="67" t="s">
        <v>4500</v>
      </c>
      <c r="B3740" s="67" t="s">
        <v>519</v>
      </c>
      <c r="C3740" s="68">
        <v>0.5</v>
      </c>
      <c r="D3740" s="68">
        <v>1.0</v>
      </c>
      <c r="E3740" s="68">
        <v>9.0</v>
      </c>
      <c r="F3740" s="68">
        <v>3.0</v>
      </c>
      <c r="G3740" s="68">
        <v>9.14687245401639</v>
      </c>
      <c r="H3740" s="68">
        <v>218.421183904872</v>
      </c>
      <c r="I3740" s="69">
        <v>44350.40268518519</v>
      </c>
      <c r="J3740" s="69">
        <v>44350.40282407407</v>
      </c>
      <c r="K3740">
        <f>AVERAGE(H3737:H3741)</f>
        <v>152.4510973</v>
      </c>
      <c r="L3740">
        <f>STDEV(H3737:H3741)</f>
        <v>62.11533666</v>
      </c>
      <c r="M3740" s="70">
        <v>218.421183904872</v>
      </c>
      <c r="N3740" s="70">
        <v>218.421183904872</v>
      </c>
      <c r="O3740" s="70">
        <v>9.14687245401639</v>
      </c>
      <c r="P3740" s="70">
        <v>9.14687245401639</v>
      </c>
    </row>
    <row r="3741" hidden="1">
      <c r="A3741" s="67" t="s">
        <v>4501</v>
      </c>
      <c r="B3741" s="67" t="s">
        <v>519</v>
      </c>
      <c r="C3741" s="68">
        <v>0.5</v>
      </c>
      <c r="D3741" s="68">
        <v>1.0</v>
      </c>
      <c r="E3741" s="68">
        <v>9.0</v>
      </c>
      <c r="F3741" s="68">
        <v>4.0</v>
      </c>
      <c r="G3741" s="68">
        <v>3.79838328153079</v>
      </c>
      <c r="H3741" s="68">
        <v>178.005863660295</v>
      </c>
      <c r="I3741" s="69">
        <v>44350.40351851852</v>
      </c>
      <c r="J3741" s="69">
        <v>44350.520520833335</v>
      </c>
      <c r="K3741">
        <f>AVERAGE(H3737:H3741)</f>
        <v>152.4510973</v>
      </c>
      <c r="L3741">
        <f>STDEV(H3737:H3741)</f>
        <v>62.11533666</v>
      </c>
      <c r="M3741" s="70">
        <v>178.005863660295</v>
      </c>
      <c r="N3741" s="70">
        <v>178.005863660295</v>
      </c>
      <c r="O3741" s="70">
        <v>3.79838328153079</v>
      </c>
      <c r="P3741" s="70">
        <v>3.79838328153079</v>
      </c>
    </row>
    <row r="3742" hidden="1">
      <c r="A3742" s="67" t="s">
        <v>4502</v>
      </c>
      <c r="B3742" s="67" t="s">
        <v>519</v>
      </c>
      <c r="C3742" s="68">
        <v>0.75</v>
      </c>
      <c r="D3742" s="68">
        <v>0.1</v>
      </c>
      <c r="E3742" s="68">
        <v>9.0</v>
      </c>
      <c r="F3742" s="68">
        <v>0.0</v>
      </c>
      <c r="G3742" s="68">
        <v>0.397667612026156</v>
      </c>
      <c r="H3742" s="68">
        <v>0.500655777214547</v>
      </c>
      <c r="I3742" s="69">
        <v>44350.521215277775</v>
      </c>
      <c r="J3742" s="69">
        <v>44350.52135416667</v>
      </c>
      <c r="K3742">
        <f>AVERAGE(H3742:H3746)</f>
        <v>89.33851263</v>
      </c>
      <c r="L3742">
        <f>STDEV(H3742:H3746)</f>
        <v>85.8369977</v>
      </c>
      <c r="M3742" s="70">
        <v>0.500655777214547</v>
      </c>
      <c r="N3742" s="70">
        <v>0.500655777214547</v>
      </c>
      <c r="O3742" s="70">
        <v>0.397667612026156</v>
      </c>
      <c r="P3742" s="70">
        <v>0.397667612026156</v>
      </c>
    </row>
    <row r="3743" hidden="1">
      <c r="A3743" s="67" t="s">
        <v>4503</v>
      </c>
      <c r="B3743" s="67" t="s">
        <v>519</v>
      </c>
      <c r="C3743" s="68">
        <v>0.75</v>
      </c>
      <c r="D3743" s="68">
        <v>0.1</v>
      </c>
      <c r="E3743" s="68">
        <v>9.0</v>
      </c>
      <c r="F3743" s="68">
        <v>1.0</v>
      </c>
      <c r="G3743" s="68">
        <v>3.47967669414614</v>
      </c>
      <c r="H3743" s="68">
        <v>170.71345187353</v>
      </c>
      <c r="I3743" s="69">
        <v>44350.522048611114</v>
      </c>
      <c r="J3743" s="69">
        <v>44350.61524305555</v>
      </c>
      <c r="K3743">
        <f>AVERAGE(H3742:H3746)</f>
        <v>89.33851263</v>
      </c>
      <c r="L3743">
        <f>STDEV(H3742:H3746)</f>
        <v>85.8369977</v>
      </c>
      <c r="M3743" s="70">
        <v>170.71345187353</v>
      </c>
      <c r="N3743" s="70">
        <v>170.71345187353</v>
      </c>
      <c r="O3743" s="70">
        <v>3.47967669414614</v>
      </c>
      <c r="P3743" s="70">
        <v>3.47967669414614</v>
      </c>
    </row>
    <row r="3744" hidden="1">
      <c r="A3744" s="67" t="s">
        <v>4504</v>
      </c>
      <c r="B3744" s="67" t="s">
        <v>519</v>
      </c>
      <c r="C3744" s="68">
        <v>0.75</v>
      </c>
      <c r="D3744" s="68">
        <v>0.1</v>
      </c>
      <c r="E3744" s="68">
        <v>9.0</v>
      </c>
      <c r="F3744" s="68">
        <v>2.0</v>
      </c>
      <c r="G3744" s="68">
        <v>4.52434826684037</v>
      </c>
      <c r="H3744" s="68">
        <v>172.982300492334</v>
      </c>
      <c r="I3744" s="69">
        <v>44350.6159375</v>
      </c>
      <c r="J3744" s="69">
        <v>44350.623020833336</v>
      </c>
      <c r="K3744">
        <f>AVERAGE(H3742:H3746)</f>
        <v>89.33851263</v>
      </c>
      <c r="L3744">
        <f>STDEV(H3742:H3746)</f>
        <v>85.8369977</v>
      </c>
      <c r="M3744" s="70">
        <v>172.982300492334</v>
      </c>
      <c r="N3744" s="70">
        <v>172.982300492334</v>
      </c>
      <c r="O3744" s="70">
        <v>4.52434826684037</v>
      </c>
      <c r="P3744" s="70">
        <v>4.52434826684037</v>
      </c>
    </row>
    <row r="3745" hidden="1">
      <c r="A3745" s="67" t="s">
        <v>4505</v>
      </c>
      <c r="B3745" s="67" t="s">
        <v>519</v>
      </c>
      <c r="C3745" s="68">
        <v>0.75</v>
      </c>
      <c r="D3745" s="68">
        <v>0.1</v>
      </c>
      <c r="E3745" s="68">
        <v>9.0</v>
      </c>
      <c r="F3745" s="68">
        <v>3.0</v>
      </c>
      <c r="G3745" s="68">
        <v>0.712828389333324</v>
      </c>
      <c r="H3745" s="68">
        <v>0.949621251469742</v>
      </c>
      <c r="I3745" s="69">
        <v>44350.62372685185</v>
      </c>
      <c r="J3745" s="69">
        <v>44350.62414351852</v>
      </c>
      <c r="K3745">
        <f>AVERAGE(H3742:H3746)</f>
        <v>89.33851263</v>
      </c>
      <c r="L3745">
        <f>STDEV(H3742:H3746)</f>
        <v>85.8369977</v>
      </c>
      <c r="M3745" s="70">
        <v>0.949621251469742</v>
      </c>
      <c r="N3745" s="70">
        <v>0.949621251469742</v>
      </c>
      <c r="O3745" s="70">
        <v>0.712828389333324</v>
      </c>
      <c r="P3745" s="70">
        <v>0.712828389333324</v>
      </c>
    </row>
    <row r="3746" hidden="1">
      <c r="A3746" s="67" t="s">
        <v>4506</v>
      </c>
      <c r="B3746" s="67" t="s">
        <v>519</v>
      </c>
      <c r="C3746" s="68">
        <v>0.75</v>
      </c>
      <c r="D3746" s="68">
        <v>0.1</v>
      </c>
      <c r="E3746" s="68">
        <v>9.0</v>
      </c>
      <c r="F3746" s="68">
        <v>4.0</v>
      </c>
      <c r="G3746" s="68">
        <v>2.46997884930782</v>
      </c>
      <c r="H3746" s="68">
        <v>101.546533745243</v>
      </c>
      <c r="I3746" s="69">
        <v>44350.62483796296</v>
      </c>
      <c r="J3746" s="69">
        <v>44350.625914351855</v>
      </c>
      <c r="K3746">
        <f>AVERAGE(H3742:H3746)</f>
        <v>89.33851263</v>
      </c>
      <c r="L3746">
        <f>STDEV(H3742:H3746)</f>
        <v>85.8369977</v>
      </c>
      <c r="M3746" s="70">
        <v>101.546533745243</v>
      </c>
      <c r="N3746" s="70">
        <v>101.546533745243</v>
      </c>
      <c r="O3746" s="70">
        <v>2.46997884930782</v>
      </c>
      <c r="P3746" s="70">
        <v>2.46997884930782</v>
      </c>
    </row>
    <row r="3747" hidden="1">
      <c r="A3747" s="67" t="s">
        <v>4507</v>
      </c>
      <c r="B3747" s="67" t="s">
        <v>519</v>
      </c>
      <c r="C3747" s="68">
        <v>0.75</v>
      </c>
      <c r="D3747" s="68">
        <v>0.25</v>
      </c>
      <c r="E3747" s="68">
        <v>9.0</v>
      </c>
      <c r="F3747" s="68">
        <v>0.0</v>
      </c>
      <c r="G3747" s="68">
        <v>3.76298851300709</v>
      </c>
      <c r="H3747" s="68">
        <v>175.765698640344</v>
      </c>
      <c r="I3747" s="69">
        <v>44350.626608796294</v>
      </c>
      <c r="J3747" s="69">
        <v>44350.83696759259</v>
      </c>
      <c r="K3747">
        <f>AVERAGE(H3747:H3751)</f>
        <v>82.83667226</v>
      </c>
      <c r="L3747">
        <f>STDEV(H3747:H3751)</f>
        <v>73.76063674</v>
      </c>
      <c r="M3747" s="70">
        <v>175.765698640344</v>
      </c>
      <c r="N3747" s="70">
        <v>175.765698640344</v>
      </c>
      <c r="O3747" s="70">
        <v>3.76298851300709</v>
      </c>
      <c r="P3747" s="70">
        <v>3.76298851300709</v>
      </c>
    </row>
    <row r="3748" hidden="1">
      <c r="A3748" s="67" t="s">
        <v>4508</v>
      </c>
      <c r="B3748" s="67" t="s">
        <v>519</v>
      </c>
      <c r="C3748" s="68">
        <v>0.75</v>
      </c>
      <c r="D3748" s="68">
        <v>0.25</v>
      </c>
      <c r="E3748" s="68">
        <v>9.0</v>
      </c>
      <c r="F3748" s="68">
        <v>1.0</v>
      </c>
      <c r="G3748" s="68">
        <v>0.978084293222673</v>
      </c>
      <c r="H3748" s="68">
        <v>14.663927487366</v>
      </c>
      <c r="I3748" s="69">
        <v>44350.83766203704</v>
      </c>
      <c r="J3748" s="69">
        <v>44350.837743055556</v>
      </c>
      <c r="K3748">
        <f>AVERAGE(H3747:H3751)</f>
        <v>82.83667226</v>
      </c>
      <c r="L3748">
        <f>STDEV(H3747:H3751)</f>
        <v>73.76063674</v>
      </c>
      <c r="M3748" s="70">
        <v>14.663927487366</v>
      </c>
      <c r="N3748" s="70">
        <v>14.663927487366</v>
      </c>
      <c r="O3748" s="70">
        <v>0.978084293222673</v>
      </c>
      <c r="P3748" s="70">
        <v>0.978084293222673</v>
      </c>
    </row>
    <row r="3749" hidden="1">
      <c r="A3749" s="67" t="s">
        <v>4509</v>
      </c>
      <c r="B3749" s="67" t="s">
        <v>519</v>
      </c>
      <c r="C3749" s="68">
        <v>0.75</v>
      </c>
      <c r="D3749" s="68">
        <v>0.25</v>
      </c>
      <c r="E3749" s="68">
        <v>9.0</v>
      </c>
      <c r="F3749" s="68">
        <v>2.0</v>
      </c>
      <c r="G3749" s="68">
        <v>2.56930405577822</v>
      </c>
      <c r="H3749" s="68">
        <v>116.051237965202</v>
      </c>
      <c r="I3749" s="69">
        <v>44350.8384375</v>
      </c>
      <c r="J3749" s="69">
        <v>44350.839780092596</v>
      </c>
      <c r="K3749">
        <f>AVERAGE(H3747:H3751)</f>
        <v>82.83667226</v>
      </c>
      <c r="L3749">
        <f>STDEV(H3747:H3751)</f>
        <v>73.76063674</v>
      </c>
      <c r="M3749" s="70">
        <v>116.051237965202</v>
      </c>
      <c r="N3749" s="70">
        <v>116.051237965202</v>
      </c>
      <c r="O3749" s="70">
        <v>2.56930405577822</v>
      </c>
      <c r="P3749" s="70">
        <v>2.56930405577822</v>
      </c>
    </row>
    <row r="3750" hidden="1">
      <c r="A3750" s="67" t="s">
        <v>4510</v>
      </c>
      <c r="B3750" s="67" t="s">
        <v>519</v>
      </c>
      <c r="C3750" s="68">
        <v>0.75</v>
      </c>
      <c r="D3750" s="68">
        <v>0.25</v>
      </c>
      <c r="E3750" s="68">
        <v>9.0</v>
      </c>
      <c r="F3750" s="68">
        <v>3.0</v>
      </c>
      <c r="G3750" s="68">
        <v>2.645284727068</v>
      </c>
      <c r="H3750" s="68">
        <v>107.216415671547</v>
      </c>
      <c r="I3750" s="69">
        <v>44350.840474537035</v>
      </c>
      <c r="J3750" s="69">
        <v>44350.84133101852</v>
      </c>
      <c r="K3750">
        <f>AVERAGE(H3747:H3751)</f>
        <v>82.83667226</v>
      </c>
      <c r="L3750">
        <f>STDEV(H3747:H3751)</f>
        <v>73.76063674</v>
      </c>
      <c r="M3750" s="70">
        <v>107.216415671547</v>
      </c>
      <c r="N3750" s="70">
        <v>107.216415671547</v>
      </c>
      <c r="O3750" s="70">
        <v>2.645284727068</v>
      </c>
      <c r="P3750" s="70">
        <v>2.645284727068</v>
      </c>
    </row>
    <row r="3751" hidden="1">
      <c r="A3751" s="67" t="s">
        <v>4511</v>
      </c>
      <c r="B3751" s="67" t="s">
        <v>519</v>
      </c>
      <c r="C3751" s="68">
        <v>0.75</v>
      </c>
      <c r="D3751" s="68">
        <v>0.25</v>
      </c>
      <c r="E3751" s="68">
        <v>9.0</v>
      </c>
      <c r="F3751" s="68">
        <v>4.0</v>
      </c>
      <c r="G3751" s="68">
        <v>0.378303970595577</v>
      </c>
      <c r="H3751" s="68">
        <v>0.486081541458648</v>
      </c>
      <c r="I3751" s="69">
        <v>44350.84202546296</v>
      </c>
      <c r="J3751" s="69">
        <v>44350.84216435185</v>
      </c>
      <c r="K3751">
        <f>AVERAGE(H3747:H3751)</f>
        <v>82.83667226</v>
      </c>
      <c r="L3751">
        <f>STDEV(H3747:H3751)</f>
        <v>73.76063674</v>
      </c>
      <c r="M3751" s="70">
        <v>0.486081541458648</v>
      </c>
      <c r="N3751" s="70">
        <v>0.486081541458648</v>
      </c>
      <c r="O3751" s="70">
        <v>0.378303970595577</v>
      </c>
      <c r="P3751" s="70">
        <v>0.378303970595577</v>
      </c>
    </row>
    <row r="3752" hidden="1">
      <c r="A3752" s="67" t="s">
        <v>4512</v>
      </c>
      <c r="B3752" s="67" t="s">
        <v>519</v>
      </c>
      <c r="C3752" s="68">
        <v>0.75</v>
      </c>
      <c r="D3752" s="68">
        <v>0.5</v>
      </c>
      <c r="E3752" s="68">
        <v>9.0</v>
      </c>
      <c r="F3752" s="68">
        <v>0.0</v>
      </c>
      <c r="G3752" s="68">
        <v>3.02015596547598</v>
      </c>
      <c r="H3752" s="68">
        <v>119.062780846756</v>
      </c>
      <c r="I3752" s="69">
        <v>44350.8428587963</v>
      </c>
      <c r="J3752" s="69">
        <v>44350.84337962963</v>
      </c>
      <c r="K3752">
        <f>AVERAGE(H3752:H3756)</f>
        <v>132.0643133</v>
      </c>
      <c r="L3752">
        <f>STDEV(H3752:H3756)</f>
        <v>79.52903179</v>
      </c>
      <c r="M3752" s="70">
        <v>119.062780846756</v>
      </c>
      <c r="N3752" s="70">
        <v>119.062780846756</v>
      </c>
      <c r="O3752" s="70">
        <v>3.02015596547598</v>
      </c>
      <c r="P3752" s="70">
        <v>3.02015596547598</v>
      </c>
    </row>
    <row r="3753" hidden="1">
      <c r="A3753" s="67" t="s">
        <v>4513</v>
      </c>
      <c r="B3753" s="67" t="s">
        <v>519</v>
      </c>
      <c r="C3753" s="68">
        <v>0.75</v>
      </c>
      <c r="D3753" s="68">
        <v>0.5</v>
      </c>
      <c r="E3753" s="68">
        <v>9.0</v>
      </c>
      <c r="F3753" s="68">
        <v>1.0</v>
      </c>
      <c r="G3753" s="68">
        <v>6.45276690652418</v>
      </c>
      <c r="H3753" s="68">
        <v>193.414717425069</v>
      </c>
      <c r="I3753" s="69">
        <v>44350.84407407408</v>
      </c>
      <c r="J3753" s="69">
        <v>44350.84417824074</v>
      </c>
      <c r="K3753">
        <f>AVERAGE(H3752:H3756)</f>
        <v>132.0643133</v>
      </c>
      <c r="L3753">
        <f>STDEV(H3752:H3756)</f>
        <v>79.52903179</v>
      </c>
      <c r="M3753" s="70">
        <v>193.414717425069</v>
      </c>
      <c r="N3753" s="70">
        <v>193.414717425069</v>
      </c>
      <c r="O3753" s="70">
        <v>6.45276690652418</v>
      </c>
      <c r="P3753" s="70">
        <v>6.45276690652418</v>
      </c>
    </row>
    <row r="3754" hidden="1">
      <c r="A3754" s="67" t="s">
        <v>4514</v>
      </c>
      <c r="B3754" s="67" t="s">
        <v>519</v>
      </c>
      <c r="C3754" s="68">
        <v>0.75</v>
      </c>
      <c r="D3754" s="68">
        <v>0.5</v>
      </c>
      <c r="E3754" s="68">
        <v>9.0</v>
      </c>
      <c r="F3754" s="68">
        <v>2.0</v>
      </c>
      <c r="G3754" s="68">
        <v>5.62733607971688</v>
      </c>
      <c r="H3754" s="68">
        <v>192.814794617661</v>
      </c>
      <c r="I3754" s="69">
        <v>44350.844872685186</v>
      </c>
      <c r="J3754" s="69">
        <v>44350.84861111111</v>
      </c>
      <c r="K3754">
        <f>AVERAGE(H3752:H3756)</f>
        <v>132.0643133</v>
      </c>
      <c r="L3754">
        <f>STDEV(H3752:H3756)</f>
        <v>79.52903179</v>
      </c>
      <c r="M3754" s="70">
        <v>192.814794617661</v>
      </c>
      <c r="N3754" s="70">
        <v>192.814794617661</v>
      </c>
      <c r="O3754" s="70">
        <v>5.62733607971688</v>
      </c>
      <c r="P3754" s="70">
        <v>5.62733607971688</v>
      </c>
    </row>
    <row r="3755" hidden="1">
      <c r="A3755" s="67" t="s">
        <v>4515</v>
      </c>
      <c r="B3755" s="67" t="s">
        <v>519</v>
      </c>
      <c r="C3755" s="68">
        <v>0.75</v>
      </c>
      <c r="D3755" s="68">
        <v>0.5</v>
      </c>
      <c r="E3755" s="68">
        <v>9.0</v>
      </c>
      <c r="F3755" s="68">
        <v>3.0</v>
      </c>
      <c r="G3755" s="68">
        <v>0.71205655889852</v>
      </c>
      <c r="H3755" s="68">
        <v>0.948977832482219</v>
      </c>
      <c r="I3755" s="69">
        <v>44350.84930555556</v>
      </c>
      <c r="J3755" s="69">
        <v>44350.8497337963</v>
      </c>
      <c r="K3755">
        <f>AVERAGE(H3752:H3756)</f>
        <v>132.0643133</v>
      </c>
      <c r="L3755">
        <f>STDEV(H3752:H3756)</f>
        <v>79.52903179</v>
      </c>
      <c r="M3755" s="70">
        <v>0.948977832482219</v>
      </c>
      <c r="N3755" s="70">
        <v>0.948977832482219</v>
      </c>
      <c r="O3755" s="70">
        <v>0.71205655889852</v>
      </c>
      <c r="P3755" s="70">
        <v>0.71205655889852</v>
      </c>
    </row>
    <row r="3756" hidden="1">
      <c r="A3756" s="67" t="s">
        <v>4516</v>
      </c>
      <c r="B3756" s="67" t="s">
        <v>519</v>
      </c>
      <c r="C3756" s="68">
        <v>0.75</v>
      </c>
      <c r="D3756" s="68">
        <v>0.5</v>
      </c>
      <c r="E3756" s="68">
        <v>9.0</v>
      </c>
      <c r="F3756" s="68">
        <v>4.0</v>
      </c>
      <c r="G3756" s="68">
        <v>2.96542673451479</v>
      </c>
      <c r="H3756" s="68">
        <v>154.080295679201</v>
      </c>
      <c r="I3756" s="69">
        <v>44350.85042824074</v>
      </c>
      <c r="J3756" s="69">
        <v>44350.981099537035</v>
      </c>
      <c r="K3756">
        <f>AVERAGE(H3752:H3756)</f>
        <v>132.0643133</v>
      </c>
      <c r="L3756">
        <f>STDEV(H3752:H3756)</f>
        <v>79.52903179</v>
      </c>
      <c r="M3756" s="70">
        <v>154.080295679201</v>
      </c>
      <c r="N3756" s="70">
        <v>154.080295679201</v>
      </c>
      <c r="O3756" s="70">
        <v>2.96542673451479</v>
      </c>
      <c r="P3756" s="70">
        <v>2.96542673451479</v>
      </c>
    </row>
    <row r="3757" hidden="1">
      <c r="A3757" s="67" t="s">
        <v>4517</v>
      </c>
      <c r="B3757" s="67" t="s">
        <v>519</v>
      </c>
      <c r="C3757" s="68">
        <v>0.75</v>
      </c>
      <c r="D3757" s="68">
        <v>0.75</v>
      </c>
      <c r="E3757" s="68">
        <v>9.0</v>
      </c>
      <c r="F3757" s="68">
        <v>0.0</v>
      </c>
      <c r="G3757" s="68">
        <v>3.39765650918449</v>
      </c>
      <c r="H3757" s="68">
        <v>164.754312805224</v>
      </c>
      <c r="I3757" s="69">
        <v>44350.98179398148</v>
      </c>
      <c r="J3757" s="69">
        <v>44351.20190972222</v>
      </c>
      <c r="K3757">
        <f>AVERAGE(H3757:H3761)</f>
        <v>100.1802655</v>
      </c>
      <c r="L3757">
        <f>STDEV(H3757:H3761)</f>
        <v>86.21993795</v>
      </c>
      <c r="M3757" s="70">
        <v>164.754312805224</v>
      </c>
      <c r="N3757" s="70">
        <v>164.754312805224</v>
      </c>
      <c r="O3757" s="70">
        <v>3.39765650918449</v>
      </c>
      <c r="P3757" s="70">
        <v>3.39765650918449</v>
      </c>
    </row>
    <row r="3758" hidden="1">
      <c r="A3758" s="67" t="s">
        <v>4518</v>
      </c>
      <c r="B3758" s="67" t="s">
        <v>519</v>
      </c>
      <c r="C3758" s="68">
        <v>0.75</v>
      </c>
      <c r="D3758" s="68">
        <v>0.75</v>
      </c>
      <c r="E3758" s="68">
        <v>9.0</v>
      </c>
      <c r="F3758" s="68">
        <v>1.0</v>
      </c>
      <c r="G3758" s="68">
        <v>3.89518028695006</v>
      </c>
      <c r="H3758" s="68">
        <v>147.049945191096</v>
      </c>
      <c r="I3758" s="69">
        <v>44351.20260416667</v>
      </c>
      <c r="J3758" s="69">
        <v>44351.20358796296</v>
      </c>
      <c r="K3758">
        <f>AVERAGE(H3757:H3761)</f>
        <v>100.1802655</v>
      </c>
      <c r="L3758">
        <f>STDEV(H3757:H3761)</f>
        <v>86.21993795</v>
      </c>
      <c r="M3758" s="70">
        <v>147.049945191096</v>
      </c>
      <c r="N3758" s="70">
        <v>147.049945191096</v>
      </c>
      <c r="O3758" s="70">
        <v>3.89518028695006</v>
      </c>
      <c r="P3758" s="70">
        <v>3.89518028695006</v>
      </c>
    </row>
    <row r="3759" hidden="1">
      <c r="A3759" s="67" t="s">
        <v>4519</v>
      </c>
      <c r="B3759" s="67" t="s">
        <v>519</v>
      </c>
      <c r="C3759" s="68">
        <v>0.75</v>
      </c>
      <c r="D3759" s="68">
        <v>0.75</v>
      </c>
      <c r="E3759" s="68">
        <v>9.0</v>
      </c>
      <c r="F3759" s="68">
        <v>2.0</v>
      </c>
      <c r="G3759" s="68">
        <v>0.712862435196883</v>
      </c>
      <c r="H3759" s="68">
        <v>0.949929176183165</v>
      </c>
      <c r="I3759" s="69">
        <v>44351.20428240741</v>
      </c>
      <c r="J3759" s="69">
        <v>44351.20471064815</v>
      </c>
      <c r="K3759">
        <f>AVERAGE(H3757:H3761)</f>
        <v>100.1802655</v>
      </c>
      <c r="L3759">
        <f>STDEV(H3757:H3761)</f>
        <v>86.21993795</v>
      </c>
      <c r="M3759" s="70">
        <v>0.949929176183165</v>
      </c>
      <c r="N3759" s="70">
        <v>0.949929176183165</v>
      </c>
      <c r="O3759" s="70">
        <v>0.712862435196883</v>
      </c>
      <c r="P3759" s="70">
        <v>0.712862435196883</v>
      </c>
    </row>
    <row r="3760" hidden="1">
      <c r="A3760" s="67" t="s">
        <v>4520</v>
      </c>
      <c r="B3760" s="67" t="s">
        <v>519</v>
      </c>
      <c r="C3760" s="68">
        <v>0.75</v>
      </c>
      <c r="D3760" s="68">
        <v>0.75</v>
      </c>
      <c r="E3760" s="68">
        <v>9.0</v>
      </c>
      <c r="F3760" s="68">
        <v>3.0</v>
      </c>
      <c r="G3760" s="68">
        <v>5.72226463287394</v>
      </c>
      <c r="H3760" s="68">
        <v>176.072635022893</v>
      </c>
      <c r="I3760" s="69">
        <v>44351.205405092594</v>
      </c>
      <c r="J3760" s="69">
        <v>44351.20564814815</v>
      </c>
      <c r="K3760">
        <f>AVERAGE(H3757:H3761)</f>
        <v>100.1802655</v>
      </c>
      <c r="L3760">
        <f>STDEV(H3757:H3761)</f>
        <v>86.21993795</v>
      </c>
      <c r="M3760" s="70">
        <v>176.072635022893</v>
      </c>
      <c r="N3760" s="70">
        <v>176.072635022893</v>
      </c>
      <c r="O3760" s="70">
        <v>5.72226463287394</v>
      </c>
      <c r="P3760" s="70">
        <v>5.72226463287394</v>
      </c>
    </row>
    <row r="3761" hidden="1">
      <c r="A3761" s="67" t="s">
        <v>4521</v>
      </c>
      <c r="B3761" s="67" t="s">
        <v>519</v>
      </c>
      <c r="C3761" s="68">
        <v>0.75</v>
      </c>
      <c r="D3761" s="68">
        <v>0.75</v>
      </c>
      <c r="E3761" s="68">
        <v>9.0</v>
      </c>
      <c r="F3761" s="68">
        <v>4.0</v>
      </c>
      <c r="G3761" s="68">
        <v>2.35611386906543</v>
      </c>
      <c r="H3761" s="68">
        <v>12.0745055307116</v>
      </c>
      <c r="I3761" s="69">
        <v>44351.206342592595</v>
      </c>
      <c r="J3761" s="69">
        <v>44351.20638888889</v>
      </c>
      <c r="K3761">
        <f>AVERAGE(H3757:H3761)</f>
        <v>100.1802655</v>
      </c>
      <c r="L3761">
        <f>STDEV(H3757:H3761)</f>
        <v>86.21993795</v>
      </c>
      <c r="M3761" s="70">
        <v>12.0745055307116</v>
      </c>
      <c r="N3761" s="70">
        <v>12.0745055307116</v>
      </c>
      <c r="O3761" s="70">
        <v>2.35611386906543</v>
      </c>
      <c r="P3761" s="70">
        <v>2.35611386906543</v>
      </c>
    </row>
    <row r="3762" hidden="1">
      <c r="A3762" s="67" t="s">
        <v>4522</v>
      </c>
      <c r="B3762" s="67" t="s">
        <v>519</v>
      </c>
      <c r="C3762" s="68">
        <v>0.75</v>
      </c>
      <c r="D3762" s="68">
        <v>1.0</v>
      </c>
      <c r="E3762" s="68">
        <v>9.0</v>
      </c>
      <c r="F3762" s="68">
        <v>0.0</v>
      </c>
      <c r="G3762" s="68">
        <v>9.17672354867105</v>
      </c>
      <c r="H3762" s="68">
        <v>218.79142230488</v>
      </c>
      <c r="I3762" s="69">
        <v>44351.207083333335</v>
      </c>
      <c r="J3762" s="69">
        <v>44351.20725694444</v>
      </c>
      <c r="K3762">
        <f>AVERAGE(H3762:H3766)</f>
        <v>111.1115943</v>
      </c>
      <c r="L3762">
        <f>STDEV(H3762:H3766)</f>
        <v>102.9644659</v>
      </c>
      <c r="M3762" s="70">
        <v>218.79142230488</v>
      </c>
      <c r="N3762" s="70">
        <v>218.79142230488</v>
      </c>
      <c r="O3762" s="70">
        <v>9.17672354867105</v>
      </c>
      <c r="P3762" s="70">
        <v>9.17672354867105</v>
      </c>
    </row>
    <row r="3763" hidden="1">
      <c r="A3763" s="67" t="s">
        <v>4523</v>
      </c>
      <c r="B3763" s="67" t="s">
        <v>519</v>
      </c>
      <c r="C3763" s="68">
        <v>0.75</v>
      </c>
      <c r="D3763" s="68">
        <v>1.0</v>
      </c>
      <c r="E3763" s="68">
        <v>9.0</v>
      </c>
      <c r="F3763" s="68">
        <v>1.0</v>
      </c>
      <c r="G3763" s="68">
        <v>0.696332658760867</v>
      </c>
      <c r="H3763" s="68">
        <v>0.915935142035601</v>
      </c>
      <c r="I3763" s="69">
        <v>44351.20795138889</v>
      </c>
      <c r="J3763" s="69">
        <v>44351.20836805556</v>
      </c>
      <c r="K3763">
        <f>AVERAGE(H3762:H3766)</f>
        <v>111.1115943</v>
      </c>
      <c r="L3763">
        <f>STDEV(H3762:H3766)</f>
        <v>102.9644659</v>
      </c>
      <c r="M3763" s="70">
        <v>0.915935142035601</v>
      </c>
      <c r="N3763" s="70">
        <v>0.915935142035601</v>
      </c>
      <c r="O3763" s="70">
        <v>0.696332658760867</v>
      </c>
      <c r="P3763" s="70">
        <v>0.696332658760867</v>
      </c>
    </row>
    <row r="3764" hidden="1">
      <c r="A3764" s="67" t="s">
        <v>4524</v>
      </c>
      <c r="B3764" s="67" t="s">
        <v>519</v>
      </c>
      <c r="C3764" s="68">
        <v>0.75</v>
      </c>
      <c r="D3764" s="68">
        <v>1.0</v>
      </c>
      <c r="E3764" s="68">
        <v>9.0</v>
      </c>
      <c r="F3764" s="68">
        <v>2.0</v>
      </c>
      <c r="G3764" s="68">
        <v>0.434269144776912</v>
      </c>
      <c r="H3764" s="68">
        <v>0.517953783045733</v>
      </c>
      <c r="I3764" s="69">
        <v>44351.2090625</v>
      </c>
      <c r="J3764" s="69">
        <v>44351.20924768518</v>
      </c>
      <c r="K3764">
        <f>AVERAGE(H3762:H3766)</f>
        <v>111.1115943</v>
      </c>
      <c r="L3764">
        <f>STDEV(H3762:H3766)</f>
        <v>102.9644659</v>
      </c>
      <c r="M3764" s="70">
        <v>0.517953783045733</v>
      </c>
      <c r="N3764" s="70">
        <v>0.517953783045733</v>
      </c>
      <c r="O3764" s="70">
        <v>0.434269144776912</v>
      </c>
      <c r="P3764" s="70">
        <v>0.434269144776912</v>
      </c>
    </row>
    <row r="3765" hidden="1">
      <c r="A3765" s="67" t="s">
        <v>4525</v>
      </c>
      <c r="B3765" s="67" t="s">
        <v>519</v>
      </c>
      <c r="C3765" s="68">
        <v>0.75</v>
      </c>
      <c r="D3765" s="68">
        <v>1.0</v>
      </c>
      <c r="E3765" s="68">
        <v>9.0</v>
      </c>
      <c r="F3765" s="68">
        <v>3.0</v>
      </c>
      <c r="G3765" s="68">
        <v>5.5665458571332</v>
      </c>
      <c r="H3765" s="68">
        <v>172.186654205307</v>
      </c>
      <c r="I3765" s="69">
        <v>44351.20994212963</v>
      </c>
      <c r="J3765" s="69">
        <v>44351.21019675926</v>
      </c>
      <c r="K3765">
        <f>AVERAGE(H3762:H3766)</f>
        <v>111.1115943</v>
      </c>
      <c r="L3765">
        <f>STDEV(H3762:H3766)</f>
        <v>102.9644659</v>
      </c>
      <c r="M3765" s="70">
        <v>172.186654205307</v>
      </c>
      <c r="N3765" s="70">
        <v>172.186654205307</v>
      </c>
      <c r="O3765" s="70">
        <v>5.5665458571332</v>
      </c>
      <c r="P3765" s="70">
        <v>5.5665458571332</v>
      </c>
    </row>
    <row r="3766" hidden="1">
      <c r="A3766" s="67" t="s">
        <v>4526</v>
      </c>
      <c r="B3766" s="67" t="s">
        <v>519</v>
      </c>
      <c r="C3766" s="68">
        <v>0.75</v>
      </c>
      <c r="D3766" s="68">
        <v>1.0</v>
      </c>
      <c r="E3766" s="68">
        <v>9.0</v>
      </c>
      <c r="F3766" s="68">
        <v>4.0</v>
      </c>
      <c r="G3766" s="68">
        <v>3.33541401891722</v>
      </c>
      <c r="H3766" s="68">
        <v>163.146005913525</v>
      </c>
      <c r="I3766" s="69">
        <v>44351.2108912037</v>
      </c>
      <c r="J3766" s="69">
        <v>44351.34483796296</v>
      </c>
      <c r="K3766">
        <f>AVERAGE(H3762:H3766)</f>
        <v>111.1115943</v>
      </c>
      <c r="L3766">
        <f>STDEV(H3762:H3766)</f>
        <v>102.9644659</v>
      </c>
      <c r="M3766" s="70">
        <v>163.146005913525</v>
      </c>
      <c r="N3766" s="70">
        <v>163.146005913525</v>
      </c>
      <c r="O3766" s="70">
        <v>3.33541401891722</v>
      </c>
      <c r="P3766" s="70">
        <v>3.33541401891722</v>
      </c>
    </row>
    <row r="3767" hidden="1">
      <c r="A3767" s="67" t="s">
        <v>4527</v>
      </c>
      <c r="B3767" s="67" t="s">
        <v>519</v>
      </c>
      <c r="C3767" s="68">
        <v>1.0</v>
      </c>
      <c r="D3767" s="68">
        <v>0.1</v>
      </c>
      <c r="E3767" s="68">
        <v>9.0</v>
      </c>
      <c r="F3767" s="68">
        <v>0.0</v>
      </c>
      <c r="G3767" s="68">
        <v>3.04001185707481</v>
      </c>
      <c r="H3767" s="68">
        <v>120.550564790365</v>
      </c>
      <c r="I3767" s="69">
        <v>44351.34553240741</v>
      </c>
      <c r="J3767" s="69">
        <v>44351.34818287037</v>
      </c>
      <c r="K3767">
        <f>AVERAGE(H3767:H3771)</f>
        <v>121.6205201</v>
      </c>
      <c r="L3767">
        <f>STDEV(H3767:H3771)</f>
        <v>101.4032469</v>
      </c>
      <c r="M3767" s="70">
        <v>120.550564790365</v>
      </c>
      <c r="N3767" s="70">
        <v>120.550564790365</v>
      </c>
      <c r="O3767" s="70">
        <v>3.04001185707481</v>
      </c>
      <c r="P3767" s="70">
        <v>3.04001185707481</v>
      </c>
    </row>
    <row r="3768" hidden="1">
      <c r="A3768" s="67" t="s">
        <v>4528</v>
      </c>
      <c r="B3768" s="67" t="s">
        <v>519</v>
      </c>
      <c r="C3768" s="68">
        <v>1.0</v>
      </c>
      <c r="D3768" s="68">
        <v>0.1</v>
      </c>
      <c r="E3768" s="68">
        <v>9.0</v>
      </c>
      <c r="F3768" s="68">
        <v>1.0</v>
      </c>
      <c r="G3768" s="68">
        <v>9.72559336160817</v>
      </c>
      <c r="H3768" s="68">
        <v>275.254722536825</v>
      </c>
      <c r="I3768" s="69">
        <v>44351.34887731481</v>
      </c>
      <c r="J3768" s="69">
        <v>44351.35078703704</v>
      </c>
      <c r="K3768">
        <f>AVERAGE(H3767:H3771)</f>
        <v>121.6205201</v>
      </c>
      <c r="L3768">
        <f>STDEV(H3767:H3771)</f>
        <v>101.4032469</v>
      </c>
      <c r="M3768" s="70">
        <v>275.254722536825</v>
      </c>
      <c r="N3768" s="70">
        <v>275.254722536825</v>
      </c>
      <c r="O3768" s="70">
        <v>9.72559336160817</v>
      </c>
      <c r="P3768" s="70">
        <v>9.72559336160817</v>
      </c>
    </row>
    <row r="3769" hidden="1">
      <c r="A3769" s="67" t="s">
        <v>4529</v>
      </c>
      <c r="B3769" s="67" t="s">
        <v>519</v>
      </c>
      <c r="C3769" s="68">
        <v>1.0</v>
      </c>
      <c r="D3769" s="68">
        <v>0.1</v>
      </c>
      <c r="E3769" s="68">
        <v>9.0</v>
      </c>
      <c r="F3769" s="68">
        <v>2.0</v>
      </c>
      <c r="G3769" s="68">
        <v>2.79174325879502</v>
      </c>
      <c r="H3769" s="68">
        <v>140.356875906185</v>
      </c>
      <c r="I3769" s="69">
        <v>44351.351481481484</v>
      </c>
      <c r="J3769" s="69">
        <v>44351.43319444444</v>
      </c>
      <c r="K3769">
        <f>AVERAGE(H3767:H3771)</f>
        <v>121.6205201</v>
      </c>
      <c r="L3769">
        <f>STDEV(H3767:H3771)</f>
        <v>101.4032469</v>
      </c>
      <c r="M3769" s="70">
        <v>140.356875906185</v>
      </c>
      <c r="N3769" s="70">
        <v>140.356875906185</v>
      </c>
      <c r="O3769" s="70">
        <v>2.79174325879502</v>
      </c>
      <c r="P3769" s="70">
        <v>2.79174325879502</v>
      </c>
    </row>
    <row r="3770" hidden="1">
      <c r="A3770" s="67" t="s">
        <v>4530</v>
      </c>
      <c r="B3770" s="67" t="s">
        <v>519</v>
      </c>
      <c r="C3770" s="68">
        <v>1.0</v>
      </c>
      <c r="D3770" s="68">
        <v>0.1</v>
      </c>
      <c r="E3770" s="68">
        <v>9.0</v>
      </c>
      <c r="F3770" s="68">
        <v>3.0</v>
      </c>
      <c r="G3770" s="68">
        <v>1.44541165453081</v>
      </c>
      <c r="H3770" s="68">
        <v>71.3457872174524</v>
      </c>
      <c r="I3770" s="69">
        <v>44351.43388888889</v>
      </c>
      <c r="J3770" s="69">
        <v>44351.4353125</v>
      </c>
      <c r="K3770">
        <f>AVERAGE(H3767:H3771)</f>
        <v>121.6205201</v>
      </c>
      <c r="L3770">
        <f>STDEV(H3767:H3771)</f>
        <v>101.4032469</v>
      </c>
      <c r="M3770" s="70">
        <v>71.3457872174524</v>
      </c>
      <c r="N3770" s="70">
        <v>71.3457872174524</v>
      </c>
      <c r="O3770" s="70">
        <v>1.44541165453081</v>
      </c>
      <c r="P3770" s="70">
        <v>1.44541165453081</v>
      </c>
    </row>
    <row r="3771" hidden="1">
      <c r="A3771" s="67" t="s">
        <v>4531</v>
      </c>
      <c r="B3771" s="67" t="s">
        <v>519</v>
      </c>
      <c r="C3771" s="68">
        <v>1.0</v>
      </c>
      <c r="D3771" s="68">
        <v>0.1</v>
      </c>
      <c r="E3771" s="68">
        <v>9.0</v>
      </c>
      <c r="F3771" s="68">
        <v>4.0</v>
      </c>
      <c r="G3771" s="68">
        <v>0.48849280875151</v>
      </c>
      <c r="H3771" s="68">
        <v>0.594650157417558</v>
      </c>
      <c r="I3771" s="69">
        <v>44351.436006944445</v>
      </c>
      <c r="J3771" s="69">
        <v>44351.43701388889</v>
      </c>
      <c r="K3771">
        <f>AVERAGE(H3767:H3771)</f>
        <v>121.6205201</v>
      </c>
      <c r="L3771">
        <f>STDEV(H3767:H3771)</f>
        <v>101.4032469</v>
      </c>
      <c r="M3771" s="70">
        <v>0.594650157417558</v>
      </c>
      <c r="N3771" s="70">
        <v>0.594650157417558</v>
      </c>
      <c r="O3771" s="70">
        <v>0.48849280875151</v>
      </c>
      <c r="P3771" s="70">
        <v>0.48849280875151</v>
      </c>
    </row>
    <row r="3772" hidden="1">
      <c r="A3772" s="67" t="s">
        <v>4532</v>
      </c>
      <c r="B3772" s="67" t="s">
        <v>519</v>
      </c>
      <c r="C3772" s="68">
        <v>1.0</v>
      </c>
      <c r="D3772" s="68">
        <v>0.25</v>
      </c>
      <c r="E3772" s="68">
        <v>9.0</v>
      </c>
      <c r="F3772" s="68">
        <v>0.0</v>
      </c>
      <c r="G3772" s="68">
        <v>2.54090628088614</v>
      </c>
      <c r="H3772" s="68">
        <v>115.479584212318</v>
      </c>
      <c r="I3772" s="69">
        <v>44351.43770833333</v>
      </c>
      <c r="J3772" s="69">
        <v>44351.439247685186</v>
      </c>
      <c r="K3772">
        <f>AVERAGE(H3772:H3776)</f>
        <v>141.209245</v>
      </c>
      <c r="L3772">
        <f>STDEV(H3772:H3776)</f>
        <v>94.48070348</v>
      </c>
      <c r="M3772" s="70">
        <v>115.479584212318</v>
      </c>
      <c r="N3772" s="70">
        <v>115.479584212318</v>
      </c>
      <c r="O3772" s="70">
        <v>2.54090628088614</v>
      </c>
      <c r="P3772" s="70">
        <v>2.54090628088614</v>
      </c>
    </row>
    <row r="3773" hidden="1">
      <c r="A3773" s="67" t="s">
        <v>4533</v>
      </c>
      <c r="B3773" s="67" t="s">
        <v>519</v>
      </c>
      <c r="C3773" s="68">
        <v>1.0</v>
      </c>
      <c r="D3773" s="68">
        <v>0.25</v>
      </c>
      <c r="E3773" s="68">
        <v>9.0</v>
      </c>
      <c r="F3773" s="68">
        <v>1.0</v>
      </c>
      <c r="G3773" s="68">
        <v>2.82527239303917</v>
      </c>
      <c r="H3773" s="68">
        <v>156.202345612743</v>
      </c>
      <c r="I3773" s="69">
        <v>44351.43994212963</v>
      </c>
      <c r="J3773" s="69">
        <v>44352.618842592594</v>
      </c>
      <c r="K3773">
        <f>AVERAGE(H3772:H3776)</f>
        <v>141.209245</v>
      </c>
      <c r="L3773">
        <f>STDEV(H3772:H3776)</f>
        <v>94.48070348</v>
      </c>
      <c r="M3773" s="70">
        <v>156.202345612743</v>
      </c>
      <c r="N3773" s="70">
        <v>156.202345612743</v>
      </c>
      <c r="O3773" s="70">
        <v>2.82527239303917</v>
      </c>
      <c r="P3773" s="70">
        <v>2.82527239303917</v>
      </c>
    </row>
    <row r="3774" hidden="1">
      <c r="A3774" s="67" t="s">
        <v>4534</v>
      </c>
      <c r="B3774" s="67" t="s">
        <v>519</v>
      </c>
      <c r="C3774" s="68">
        <v>1.0</v>
      </c>
      <c r="D3774" s="68">
        <v>0.25</v>
      </c>
      <c r="E3774" s="68">
        <v>9.0</v>
      </c>
      <c r="F3774" s="68">
        <v>2.0</v>
      </c>
      <c r="G3774" s="68">
        <v>4.73108344918172</v>
      </c>
      <c r="H3774" s="68">
        <v>165.905801749439</v>
      </c>
      <c r="I3774" s="69">
        <v>44352.61953703704</v>
      </c>
      <c r="J3774" s="69">
        <v>44352.61971064815</v>
      </c>
      <c r="K3774">
        <f>AVERAGE(H3772:H3776)</f>
        <v>141.209245</v>
      </c>
      <c r="L3774">
        <f>STDEV(H3772:H3776)</f>
        <v>94.48070348</v>
      </c>
      <c r="M3774" s="70">
        <v>165.905801749439</v>
      </c>
      <c r="N3774" s="70">
        <v>165.905801749439</v>
      </c>
      <c r="O3774" s="70">
        <v>4.73108344918172</v>
      </c>
      <c r="P3774" s="70">
        <v>4.73108344918172</v>
      </c>
    </row>
    <row r="3775" hidden="1">
      <c r="A3775" s="67" t="s">
        <v>4535</v>
      </c>
      <c r="B3775" s="67" t="s">
        <v>519</v>
      </c>
      <c r="C3775" s="68">
        <v>1.0</v>
      </c>
      <c r="D3775" s="68">
        <v>0.25</v>
      </c>
      <c r="E3775" s="68">
        <v>9.0</v>
      </c>
      <c r="F3775" s="68">
        <v>3.0</v>
      </c>
      <c r="G3775" s="68">
        <v>9.61167389315985</v>
      </c>
      <c r="H3775" s="68">
        <v>264.828335791515</v>
      </c>
      <c r="I3775" s="69">
        <v>44352.620405092595</v>
      </c>
      <c r="J3775" s="69">
        <v>44352.621875</v>
      </c>
      <c r="K3775">
        <f>AVERAGE(H3772:H3776)</f>
        <v>141.209245</v>
      </c>
      <c r="L3775">
        <f>STDEV(H3772:H3776)</f>
        <v>94.48070348</v>
      </c>
      <c r="M3775" s="70">
        <v>264.828335791515</v>
      </c>
      <c r="N3775" s="70">
        <v>264.828335791515</v>
      </c>
      <c r="O3775" s="70">
        <v>9.61167389315985</v>
      </c>
      <c r="P3775" s="70">
        <v>9.61167389315985</v>
      </c>
    </row>
    <row r="3776" hidden="1">
      <c r="A3776" s="67" t="s">
        <v>4536</v>
      </c>
      <c r="B3776" s="67" t="s">
        <v>519</v>
      </c>
      <c r="C3776" s="68">
        <v>1.0</v>
      </c>
      <c r="D3776" s="68">
        <v>0.25</v>
      </c>
      <c r="E3776" s="68">
        <v>9.0</v>
      </c>
      <c r="F3776" s="68">
        <v>4.0</v>
      </c>
      <c r="G3776" s="68">
        <v>2.31399089044691</v>
      </c>
      <c r="H3776" s="68">
        <v>3.63015760803822</v>
      </c>
      <c r="I3776" s="69">
        <v>44352.622569444444</v>
      </c>
      <c r="J3776" s="69">
        <v>44352.62260416667</v>
      </c>
      <c r="K3776">
        <f>AVERAGE(H3772:H3776)</f>
        <v>141.209245</v>
      </c>
      <c r="L3776">
        <f>STDEV(H3772:H3776)</f>
        <v>94.48070348</v>
      </c>
      <c r="M3776" s="70">
        <v>3.63015760803822</v>
      </c>
      <c r="N3776" s="70">
        <v>3.63015760803822</v>
      </c>
      <c r="O3776" s="70">
        <v>2.31399089044691</v>
      </c>
      <c r="P3776" s="70">
        <v>2.31399089044691</v>
      </c>
    </row>
    <row r="3777" hidden="1">
      <c r="A3777" s="67" t="s">
        <v>4537</v>
      </c>
      <c r="B3777" s="67" t="s">
        <v>519</v>
      </c>
      <c r="C3777" s="68">
        <v>1.0</v>
      </c>
      <c r="D3777" s="68">
        <v>0.5</v>
      </c>
      <c r="E3777" s="68">
        <v>9.0</v>
      </c>
      <c r="F3777" s="68">
        <v>0.0</v>
      </c>
      <c r="G3777" s="68">
        <v>2.34194976491112</v>
      </c>
      <c r="H3777" s="68">
        <v>133.351304100613</v>
      </c>
      <c r="I3777" s="69">
        <v>44352.62329861111</v>
      </c>
      <c r="J3777" s="69">
        <v>44352.826840277776</v>
      </c>
      <c r="K3777">
        <f>AVERAGE(H3777:H3781)</f>
        <v>209.403347</v>
      </c>
      <c r="L3777">
        <f>STDEV(H3777:H3781)</f>
        <v>54.15544016</v>
      </c>
      <c r="M3777" s="70">
        <v>133.351304100613</v>
      </c>
      <c r="N3777" s="70">
        <v>133.351304100613</v>
      </c>
      <c r="O3777" s="70">
        <v>2.34194976491112</v>
      </c>
      <c r="P3777" s="70">
        <v>2.34194976491112</v>
      </c>
    </row>
    <row r="3778" hidden="1">
      <c r="A3778" s="67" t="s">
        <v>4538</v>
      </c>
      <c r="B3778" s="67" t="s">
        <v>519</v>
      </c>
      <c r="C3778" s="68">
        <v>1.0</v>
      </c>
      <c r="D3778" s="68">
        <v>0.5</v>
      </c>
      <c r="E3778" s="68">
        <v>9.0</v>
      </c>
      <c r="F3778" s="68">
        <v>1.0</v>
      </c>
      <c r="G3778" s="68">
        <v>7.01339542562921</v>
      </c>
      <c r="H3778" s="68">
        <v>202.366690699716</v>
      </c>
      <c r="I3778" s="69">
        <v>44352.82753472222</v>
      </c>
      <c r="J3778" s="69">
        <v>44352.82763888889</v>
      </c>
      <c r="K3778">
        <f>AVERAGE(H3777:H3781)</f>
        <v>209.403347</v>
      </c>
      <c r="L3778">
        <f>STDEV(H3777:H3781)</f>
        <v>54.15544016</v>
      </c>
      <c r="M3778" s="70">
        <v>202.366690699716</v>
      </c>
      <c r="N3778" s="70">
        <v>202.366690699716</v>
      </c>
      <c r="O3778" s="70">
        <v>7.01339542562921</v>
      </c>
      <c r="P3778" s="70">
        <v>7.01339542562921</v>
      </c>
    </row>
    <row r="3779" hidden="1">
      <c r="A3779" s="67" t="s">
        <v>4539</v>
      </c>
      <c r="B3779" s="67" t="s">
        <v>519</v>
      </c>
      <c r="C3779" s="68">
        <v>1.0</v>
      </c>
      <c r="D3779" s="68">
        <v>0.5</v>
      </c>
      <c r="E3779" s="68">
        <v>9.0</v>
      </c>
      <c r="F3779" s="68">
        <v>2.0</v>
      </c>
      <c r="G3779" s="68">
        <v>4.81070079762129</v>
      </c>
      <c r="H3779" s="68">
        <v>207.642615845979</v>
      </c>
      <c r="I3779" s="69">
        <v>44352.82833333333</v>
      </c>
      <c r="J3779" s="69">
        <v>44352.82842592592</v>
      </c>
      <c r="K3779">
        <f>AVERAGE(H3777:H3781)</f>
        <v>209.403347</v>
      </c>
      <c r="L3779">
        <f>STDEV(H3777:H3781)</f>
        <v>54.15544016</v>
      </c>
      <c r="M3779" s="70">
        <v>207.642615845979</v>
      </c>
      <c r="N3779" s="70">
        <v>207.642615845979</v>
      </c>
      <c r="O3779" s="70">
        <v>4.81070079762129</v>
      </c>
      <c r="P3779" s="70">
        <v>4.81070079762129</v>
      </c>
    </row>
    <row r="3780" hidden="1">
      <c r="A3780" s="67" t="s">
        <v>4540</v>
      </c>
      <c r="B3780" s="67" t="s">
        <v>519</v>
      </c>
      <c r="C3780" s="68">
        <v>1.0</v>
      </c>
      <c r="D3780" s="68">
        <v>0.5</v>
      </c>
      <c r="E3780" s="68">
        <v>9.0</v>
      </c>
      <c r="F3780" s="68">
        <v>3.0</v>
      </c>
      <c r="G3780" s="68">
        <v>9.12529280114634</v>
      </c>
      <c r="H3780" s="68">
        <v>217.953248741654</v>
      </c>
      <c r="I3780" s="69">
        <v>44352.82912037037</v>
      </c>
      <c r="J3780" s="69">
        <v>44352.82928240741</v>
      </c>
      <c r="K3780">
        <f>AVERAGE(H3777:H3781)</f>
        <v>209.403347</v>
      </c>
      <c r="L3780">
        <f>STDEV(H3777:H3781)</f>
        <v>54.15544016</v>
      </c>
      <c r="M3780" s="70">
        <v>217.953248741654</v>
      </c>
      <c r="N3780" s="70">
        <v>217.953248741654</v>
      </c>
      <c r="O3780" s="70">
        <v>9.12529280114634</v>
      </c>
      <c r="P3780" s="70">
        <v>9.12529280114634</v>
      </c>
    </row>
    <row r="3781" hidden="1">
      <c r="A3781" s="67" t="s">
        <v>4541</v>
      </c>
      <c r="B3781" s="67" t="s">
        <v>519</v>
      </c>
      <c r="C3781" s="68">
        <v>1.0</v>
      </c>
      <c r="D3781" s="68">
        <v>0.5</v>
      </c>
      <c r="E3781" s="68">
        <v>9.0</v>
      </c>
      <c r="F3781" s="68">
        <v>4.0</v>
      </c>
      <c r="G3781" s="68">
        <v>12.0089582739053</v>
      </c>
      <c r="H3781" s="68">
        <v>285.702875444894</v>
      </c>
      <c r="I3781" s="69">
        <v>44352.829976851855</v>
      </c>
      <c r="J3781" s="69">
        <v>44352.83079861111</v>
      </c>
      <c r="K3781">
        <f>AVERAGE(H3777:H3781)</f>
        <v>209.403347</v>
      </c>
      <c r="L3781">
        <f>STDEV(H3777:H3781)</f>
        <v>54.15544016</v>
      </c>
      <c r="M3781" s="70">
        <v>285.702875444894</v>
      </c>
      <c r="N3781" s="70">
        <v>285.702875444894</v>
      </c>
      <c r="O3781" s="70">
        <v>12.0089582739053</v>
      </c>
      <c r="P3781" s="70">
        <v>12.0089582739053</v>
      </c>
    </row>
    <row r="3782" hidden="1">
      <c r="A3782" s="67" t="s">
        <v>4542</v>
      </c>
      <c r="B3782" s="67" t="s">
        <v>519</v>
      </c>
      <c r="C3782" s="68">
        <v>1.0</v>
      </c>
      <c r="D3782" s="68">
        <v>0.75</v>
      </c>
      <c r="E3782" s="68">
        <v>9.0</v>
      </c>
      <c r="F3782" s="68">
        <v>0.0</v>
      </c>
      <c r="G3782" s="68">
        <v>3.14053559007789</v>
      </c>
      <c r="H3782" s="68">
        <v>157.475578505678</v>
      </c>
      <c r="I3782" s="69">
        <v>44352.83149305556</v>
      </c>
      <c r="J3782" s="69">
        <v>44352.97760416667</v>
      </c>
      <c r="K3782">
        <f>AVERAGE(H3782:H3786)</f>
        <v>176.9346678</v>
      </c>
      <c r="L3782">
        <f>STDEV(H3782:H3786)</f>
        <v>102.0234522</v>
      </c>
      <c r="M3782" s="70">
        <v>157.475578505678</v>
      </c>
      <c r="N3782" s="70">
        <v>157.475578505678</v>
      </c>
      <c r="O3782" s="70">
        <v>3.14053559007789</v>
      </c>
      <c r="P3782" s="70">
        <v>3.14053559007789</v>
      </c>
    </row>
    <row r="3783" hidden="1">
      <c r="A3783" s="67" t="s">
        <v>4543</v>
      </c>
      <c r="B3783" s="67" t="s">
        <v>519</v>
      </c>
      <c r="C3783" s="68">
        <v>1.0</v>
      </c>
      <c r="D3783" s="68">
        <v>0.75</v>
      </c>
      <c r="E3783" s="68">
        <v>9.0</v>
      </c>
      <c r="F3783" s="68">
        <v>1.0</v>
      </c>
      <c r="G3783" s="68">
        <v>9.16887961277284</v>
      </c>
      <c r="H3783" s="68">
        <v>300.488693568568</v>
      </c>
      <c r="I3783" s="69">
        <v>44352.97829861111</v>
      </c>
      <c r="J3783" s="69">
        <v>44352.97834490741</v>
      </c>
      <c r="K3783">
        <f>AVERAGE(H3782:H3786)</f>
        <v>176.9346678</v>
      </c>
      <c r="L3783">
        <f>STDEV(H3782:H3786)</f>
        <v>102.0234522</v>
      </c>
      <c r="M3783" s="70">
        <v>300.488693568568</v>
      </c>
      <c r="N3783" s="70">
        <v>300.488693568568</v>
      </c>
      <c r="O3783" s="70">
        <v>9.16887961277284</v>
      </c>
      <c r="P3783" s="70">
        <v>9.16887961277284</v>
      </c>
    </row>
    <row r="3784" hidden="1">
      <c r="A3784" s="67" t="s">
        <v>4544</v>
      </c>
      <c r="B3784" s="67" t="s">
        <v>519</v>
      </c>
      <c r="C3784" s="68">
        <v>1.0</v>
      </c>
      <c r="D3784" s="68">
        <v>0.75</v>
      </c>
      <c r="E3784" s="68">
        <v>9.0</v>
      </c>
      <c r="F3784" s="68">
        <v>2.0</v>
      </c>
      <c r="G3784" s="68">
        <v>9.205506051855</v>
      </c>
      <c r="H3784" s="68">
        <v>219.163510310746</v>
      </c>
      <c r="I3784" s="69">
        <v>44352.97903935185</v>
      </c>
      <c r="J3784" s="69">
        <v>44352.97920138889</v>
      </c>
      <c r="K3784">
        <f>AVERAGE(H3782:H3786)</f>
        <v>176.9346678</v>
      </c>
      <c r="L3784">
        <f>STDEV(H3782:H3786)</f>
        <v>102.0234522</v>
      </c>
      <c r="M3784" s="70">
        <v>219.163510310746</v>
      </c>
      <c r="N3784" s="70">
        <v>219.163510310746</v>
      </c>
      <c r="O3784" s="70">
        <v>9.205506051855</v>
      </c>
      <c r="P3784" s="70">
        <v>9.205506051855</v>
      </c>
    </row>
    <row r="3785" hidden="1">
      <c r="A3785" s="67" t="s">
        <v>4545</v>
      </c>
      <c r="B3785" s="67" t="s">
        <v>519</v>
      </c>
      <c r="C3785" s="68">
        <v>1.0</v>
      </c>
      <c r="D3785" s="68">
        <v>0.75</v>
      </c>
      <c r="E3785" s="68">
        <v>9.0</v>
      </c>
      <c r="F3785" s="68">
        <v>3.0</v>
      </c>
      <c r="G3785" s="68">
        <v>1.46369844398972</v>
      </c>
      <c r="H3785" s="68">
        <v>21.6074374081023</v>
      </c>
      <c r="I3785" s="69">
        <v>44352.979895833334</v>
      </c>
      <c r="J3785" s="69">
        <v>44352.98116898148</v>
      </c>
      <c r="K3785">
        <f>AVERAGE(H3782:H3786)</f>
        <v>176.9346678</v>
      </c>
      <c r="L3785">
        <f>STDEV(H3782:H3786)</f>
        <v>102.0234522</v>
      </c>
      <c r="M3785" s="70">
        <v>21.6074374081023</v>
      </c>
      <c r="N3785" s="70">
        <v>21.6074374081023</v>
      </c>
      <c r="O3785" s="70">
        <v>1.46369844398972</v>
      </c>
      <c r="P3785" s="70">
        <v>1.46369844398972</v>
      </c>
    </row>
    <row r="3786" hidden="1">
      <c r="A3786" s="67" t="s">
        <v>4546</v>
      </c>
      <c r="B3786" s="67" t="s">
        <v>519</v>
      </c>
      <c r="C3786" s="68">
        <v>1.0</v>
      </c>
      <c r="D3786" s="68">
        <v>0.75</v>
      </c>
      <c r="E3786" s="68">
        <v>9.0</v>
      </c>
      <c r="F3786" s="68">
        <v>4.0</v>
      </c>
      <c r="G3786" s="68">
        <v>6.24548922067712</v>
      </c>
      <c r="H3786" s="68">
        <v>185.938119265794</v>
      </c>
      <c r="I3786" s="69">
        <v>44352.98186342593</v>
      </c>
      <c r="J3786" s="69">
        <v>44352.98204861111</v>
      </c>
      <c r="K3786">
        <f>AVERAGE(H3782:H3786)</f>
        <v>176.9346678</v>
      </c>
      <c r="L3786">
        <f>STDEV(H3782:H3786)</f>
        <v>102.0234522</v>
      </c>
      <c r="M3786" s="70">
        <v>185.938119265794</v>
      </c>
      <c r="N3786" s="70">
        <v>185.938119265794</v>
      </c>
      <c r="O3786" s="70">
        <v>6.24548922067712</v>
      </c>
      <c r="P3786" s="70">
        <v>6.24548922067712</v>
      </c>
    </row>
    <row r="3787" hidden="1">
      <c r="A3787" s="67" t="s">
        <v>4547</v>
      </c>
      <c r="B3787" s="67" t="s">
        <v>519</v>
      </c>
      <c r="C3787" s="68">
        <v>1.0</v>
      </c>
      <c r="D3787" s="68">
        <v>1.0</v>
      </c>
      <c r="E3787" s="68">
        <v>9.0</v>
      </c>
      <c r="F3787" s="68">
        <v>0.0</v>
      </c>
      <c r="G3787" s="68">
        <v>6.20358056967305</v>
      </c>
      <c r="H3787" s="68">
        <v>171.36236405314</v>
      </c>
      <c r="I3787" s="69">
        <v>44352.98275462963</v>
      </c>
      <c r="J3787" s="69">
        <v>44352.982824074075</v>
      </c>
      <c r="K3787">
        <f>AVERAGE(H3787:H3791)</f>
        <v>149.5561668</v>
      </c>
      <c r="L3787">
        <f>STDEV(H3787:H3791)</f>
        <v>92.20072269</v>
      </c>
      <c r="M3787" s="70">
        <v>171.36236405314</v>
      </c>
      <c r="N3787" s="70">
        <v>171.36236405314</v>
      </c>
      <c r="O3787" s="70">
        <v>6.20358056967305</v>
      </c>
      <c r="P3787" s="70">
        <v>6.20358056967305</v>
      </c>
    </row>
    <row r="3788" hidden="1">
      <c r="A3788" s="67" t="s">
        <v>4548</v>
      </c>
      <c r="B3788" s="67" t="s">
        <v>519</v>
      </c>
      <c r="C3788" s="68">
        <v>1.0</v>
      </c>
      <c r="D3788" s="68">
        <v>1.0</v>
      </c>
      <c r="E3788" s="68">
        <v>9.0</v>
      </c>
      <c r="F3788" s="68">
        <v>1.0</v>
      </c>
      <c r="G3788" s="68">
        <v>12.2926913332461</v>
      </c>
      <c r="H3788" s="68">
        <v>254.503166235031</v>
      </c>
      <c r="I3788" s="69">
        <v>44352.98351851852</v>
      </c>
      <c r="J3788" s="69">
        <v>44352.983611111114</v>
      </c>
      <c r="K3788">
        <f>AVERAGE(H3787:H3791)</f>
        <v>149.5561668</v>
      </c>
      <c r="L3788">
        <f>STDEV(H3787:H3791)</f>
        <v>92.20072269</v>
      </c>
      <c r="M3788" s="70">
        <v>254.503166235031</v>
      </c>
      <c r="N3788" s="70">
        <v>254.503166235031</v>
      </c>
      <c r="O3788" s="70">
        <v>12.2926913332461</v>
      </c>
      <c r="P3788" s="70">
        <v>12.2926913332461</v>
      </c>
    </row>
    <row r="3789" hidden="1">
      <c r="A3789" s="67" t="s">
        <v>4549</v>
      </c>
      <c r="B3789" s="67" t="s">
        <v>519</v>
      </c>
      <c r="C3789" s="68">
        <v>1.0</v>
      </c>
      <c r="D3789" s="68">
        <v>1.0</v>
      </c>
      <c r="E3789" s="68">
        <v>9.0</v>
      </c>
      <c r="F3789" s="68">
        <v>2.0</v>
      </c>
      <c r="G3789" s="68">
        <v>0.35340937214611</v>
      </c>
      <c r="H3789" s="68">
        <v>0.468282556680679</v>
      </c>
      <c r="I3789" s="69">
        <v>44352.984305555554</v>
      </c>
      <c r="J3789" s="69">
        <v>44352.984351851854</v>
      </c>
      <c r="K3789">
        <f>AVERAGE(H3787:H3791)</f>
        <v>149.5561668</v>
      </c>
      <c r="L3789">
        <f>STDEV(H3787:H3791)</f>
        <v>92.20072269</v>
      </c>
      <c r="M3789" s="70">
        <v>0.468282556680679</v>
      </c>
      <c r="N3789" s="70">
        <v>0.468282556680679</v>
      </c>
      <c r="O3789" s="70">
        <v>0.35340937214611</v>
      </c>
      <c r="P3789" s="70">
        <v>0.35340937214611</v>
      </c>
    </row>
    <row r="3790" hidden="1">
      <c r="A3790" s="67" t="s">
        <v>4550</v>
      </c>
      <c r="B3790" s="67" t="s">
        <v>519</v>
      </c>
      <c r="C3790" s="68">
        <v>1.0</v>
      </c>
      <c r="D3790" s="68">
        <v>1.0</v>
      </c>
      <c r="E3790" s="68">
        <v>9.0</v>
      </c>
      <c r="F3790" s="68">
        <v>3.0</v>
      </c>
      <c r="G3790" s="68">
        <v>3.114430242612</v>
      </c>
      <c r="H3790" s="68">
        <v>156.370708622541</v>
      </c>
      <c r="I3790" s="69">
        <v>44352.98504629629</v>
      </c>
      <c r="J3790" s="69">
        <v>44353.20371527778</v>
      </c>
      <c r="K3790">
        <f>AVERAGE(H3787:H3791)</f>
        <v>149.5561668</v>
      </c>
      <c r="L3790">
        <f>STDEV(H3787:H3791)</f>
        <v>92.20072269</v>
      </c>
      <c r="M3790" s="70">
        <v>156.370708622541</v>
      </c>
      <c r="N3790" s="70">
        <v>156.370708622541</v>
      </c>
      <c r="O3790" s="70">
        <v>3.114430242612</v>
      </c>
      <c r="P3790" s="70">
        <v>3.114430242612</v>
      </c>
    </row>
    <row r="3791" hidden="1">
      <c r="A3791" s="67" t="s">
        <v>4551</v>
      </c>
      <c r="B3791" s="67" t="s">
        <v>519</v>
      </c>
      <c r="C3791" s="68">
        <v>1.0</v>
      </c>
      <c r="D3791" s="68">
        <v>1.0</v>
      </c>
      <c r="E3791" s="68">
        <v>9.0</v>
      </c>
      <c r="F3791" s="68">
        <v>4.0</v>
      </c>
      <c r="G3791" s="68">
        <v>4.41346280902672</v>
      </c>
      <c r="H3791" s="68">
        <v>165.076312396887</v>
      </c>
      <c r="I3791" s="69">
        <v>44353.204409722224</v>
      </c>
      <c r="J3791" s="69">
        <v>44353.20450231482</v>
      </c>
      <c r="K3791">
        <f>AVERAGE(H3787:H3791)</f>
        <v>149.5561668</v>
      </c>
      <c r="L3791">
        <f>STDEV(H3787:H3791)</f>
        <v>92.20072269</v>
      </c>
      <c r="M3791" s="70">
        <v>165.076312396887</v>
      </c>
      <c r="N3791" s="70">
        <v>165.076312396887</v>
      </c>
      <c r="O3791" s="70">
        <v>4.41346280902672</v>
      </c>
      <c r="P3791" s="70">
        <v>4.41346280902672</v>
      </c>
    </row>
    <row r="3792">
      <c r="A3792" s="67"/>
      <c r="B3792" s="67"/>
      <c r="C3792" s="67"/>
      <c r="D3792" s="67"/>
      <c r="E3792" s="67"/>
      <c r="F3792" s="67"/>
      <c r="G3792" s="67"/>
      <c r="H3792" s="68"/>
      <c r="I3792" s="71"/>
      <c r="J3792" s="71"/>
      <c r="M3792" s="72"/>
      <c r="N3792" s="72"/>
      <c r="O3792" s="72"/>
      <c r="P3792" s="72"/>
    </row>
    <row r="3793">
      <c r="A3793" s="67"/>
      <c r="B3793" s="67"/>
      <c r="C3793" s="67"/>
      <c r="D3793" s="67"/>
      <c r="E3793" s="67"/>
      <c r="F3793" s="67"/>
      <c r="G3793" s="67"/>
      <c r="H3793" s="68"/>
      <c r="I3793" s="71"/>
      <c r="J3793" s="71"/>
      <c r="M3793" s="72"/>
      <c r="N3793" s="72"/>
      <c r="O3793" s="72"/>
      <c r="P3793" s="72"/>
    </row>
  </sheetData>
  <autoFilter ref="$A$1:$P$3791">
    <filterColumn colId="2">
      <filters>
        <filter val="0"/>
      </filters>
    </filterColumn>
    <filterColumn colId="1">
      <filters>
        <filter val="easycategs"/>
        <filter val="priority12x3x4"/>
        <filter val="awaitingsml"/>
        <filter val="kmeans-iter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38"/>
    <col customWidth="1" min="3" max="3" width="5.13"/>
    <col customWidth="1" min="4" max="4" width="8.0"/>
    <col customWidth="1" min="5" max="5" width="5.38"/>
    <col customWidth="1" min="6" max="6" width="5.75"/>
    <col customWidth="1" min="7" max="7" width="16.13"/>
    <col customWidth="1" min="8" max="8" width="17.25"/>
    <col customWidth="1" min="9" max="9" width="3.63"/>
    <col customWidth="1" min="12" max="13" width="8.0"/>
    <col customWidth="1" min="14" max="14" width="5.13"/>
    <col customWidth="1" min="15" max="15" width="3.63"/>
    <col customWidth="1" min="16" max="16" width="6.88"/>
    <col customWidth="1" min="17" max="19" width="11.63"/>
    <col customWidth="1" min="20" max="20" width="10.75"/>
    <col customWidth="1" min="21" max="21" width="11.63"/>
    <col customWidth="1" min="22" max="28" width="10.75"/>
    <col customWidth="1" min="29" max="29" width="3.75"/>
    <col customWidth="1" min="30" max="30" width="3.63"/>
    <col customWidth="1" min="37" max="43" width="3.63"/>
    <col customWidth="1" min="44" max="44" width="4.25"/>
  </cols>
  <sheetData>
    <row r="1">
      <c r="A1" s="35" t="s">
        <v>777</v>
      </c>
      <c r="J1" s="73"/>
      <c r="K1" s="73" t="s">
        <v>4554</v>
      </c>
      <c r="AD1" s="34"/>
      <c r="AE1" s="34" t="s">
        <v>4555</v>
      </c>
      <c r="AK1" s="34"/>
      <c r="AL1" s="34"/>
      <c r="AM1" s="34"/>
      <c r="AN1" s="34"/>
      <c r="AO1" s="34"/>
      <c r="AP1" s="34"/>
      <c r="AQ1" s="34"/>
      <c r="AR1" s="34"/>
      <c r="AS1" s="34" t="s">
        <v>4556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</row>
    <row r="2">
      <c r="A2" s="43" t="str">
        <f t="shared" ref="A2:A301" si="1">IF(B2="awaitingsml","ITC-state",IF(B2="easycategs","ITC-category",IF(B2="priority12x3x4","ITC-priority",IF(B2="kmeans","CTC",IF(B2="kmeans-iter","CTC-ITER",NA())))))</f>
        <v>ITC-state</v>
      </c>
      <c r="J2" s="26" t="s">
        <v>4557</v>
      </c>
      <c r="K2" s="26" t="s">
        <v>790</v>
      </c>
      <c r="L2" s="26" t="s">
        <v>778</v>
      </c>
      <c r="M2" s="48" t="s">
        <v>779</v>
      </c>
      <c r="N2" s="74" t="s">
        <v>780</v>
      </c>
      <c r="O2" s="48" t="s">
        <v>4</v>
      </c>
      <c r="P2" s="35" t="s">
        <v>791</v>
      </c>
      <c r="Q2" s="75" t="s">
        <v>4558</v>
      </c>
      <c r="R2" s="75" t="s">
        <v>4559</v>
      </c>
      <c r="S2" s="75" t="s">
        <v>4560</v>
      </c>
      <c r="T2" s="75" t="s">
        <v>4561</v>
      </c>
      <c r="U2" s="75" t="s">
        <v>4562</v>
      </c>
      <c r="V2" s="75" t="s">
        <v>4563</v>
      </c>
      <c r="W2" s="76" t="s">
        <v>4564</v>
      </c>
      <c r="X2" s="76" t="s">
        <v>4565</v>
      </c>
      <c r="Y2" s="76" t="s">
        <v>4566</v>
      </c>
      <c r="Z2" s="76" t="s">
        <v>4567</v>
      </c>
      <c r="AA2" s="76" t="s">
        <v>4568</v>
      </c>
      <c r="AB2" s="76" t="s">
        <v>4569</v>
      </c>
      <c r="AD2" s="75" t="s">
        <v>4</v>
      </c>
      <c r="AE2" s="75" t="s">
        <v>4570</v>
      </c>
      <c r="AF2" s="77" t="str">
        <f>IFERROR(__xludf.DUMMYFUNCTION("TRANSPOSE(UNIQUE(K3:K801))"),"CTC")</f>
        <v>CTC</v>
      </c>
      <c r="AG2" s="77" t="str">
        <f>IFERROR(__xludf.DUMMYFUNCTION("""COMPUTED_VALUE"""),"CTC-ITER")</f>
        <v>CTC-ITER</v>
      </c>
      <c r="AH2" s="77" t="str">
        <f>IFERROR(__xludf.DUMMYFUNCTION("""COMPUTED_VALUE"""),"ITC-category")</f>
        <v>ITC-category</v>
      </c>
      <c r="AI2" s="77" t="str">
        <f>IFERROR(__xludf.DUMMYFUNCTION("""COMPUTED_VALUE"""),"ITC-priority")</f>
        <v>ITC-priority</v>
      </c>
      <c r="AJ2" s="77" t="str">
        <f>IFERROR(__xludf.DUMMYFUNCTION("""COMPUTED_VALUE"""),"ITC-state")</f>
        <v>ITC-state</v>
      </c>
      <c r="AK2" s="38" t="str">
        <f>IFERROR(__xludf.DUMMYFUNCTION("""COMPUTED_VALUE"""),"#N/A")</f>
        <v>#N/A</v>
      </c>
      <c r="AM2" s="38" t="s">
        <v>4571</v>
      </c>
      <c r="AN2" s="38" t="s">
        <v>4572</v>
      </c>
      <c r="AO2" s="38" t="s">
        <v>4573</v>
      </c>
      <c r="AP2" s="38" t="s">
        <v>4574</v>
      </c>
      <c r="AQ2" s="38" t="s">
        <v>4575</v>
      </c>
      <c r="AR2" s="78"/>
      <c r="AS2" s="76" t="s">
        <v>4570</v>
      </c>
      <c r="AT2" s="79" t="str">
        <f>IFERROR(__xludf.DUMMYFUNCTION("TRANSPOSE(UNIQUE(K3:K801))"),"CTC")</f>
        <v>CTC</v>
      </c>
      <c r="AU2" s="79" t="str">
        <f>IFERROR(__xludf.DUMMYFUNCTION("""COMPUTED_VALUE"""),"CTC-ITER")</f>
        <v>CTC-ITER</v>
      </c>
      <c r="AV2" s="79" t="str">
        <f>IFERROR(__xludf.DUMMYFUNCTION("""COMPUTED_VALUE"""),"ITC-category")</f>
        <v>ITC-category</v>
      </c>
      <c r="AW2" s="79" t="str">
        <f>IFERROR(__xludf.DUMMYFUNCTION("""COMPUTED_VALUE"""),"ITC-priority")</f>
        <v>ITC-priority</v>
      </c>
      <c r="AX2" s="80" t="str">
        <f>IFERROR(__xludf.DUMMYFUNCTION("""COMPUTED_VALUE"""),"ITC-state")</f>
        <v>ITC-state</v>
      </c>
      <c r="AY2" s="80" t="str">
        <f>IFERROR(__xludf.DUMMYFUNCTION("""COMPUTED_VALUE"""),"#N/A")</f>
        <v>#N/A</v>
      </c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</row>
    <row r="3">
      <c r="A3" s="43" t="str">
        <f t="shared" si="1"/>
        <v>ITC-state</v>
      </c>
      <c r="J3" s="81" t="str">
        <f t="shared" ref="J3:J42" si="4">CONCAT(K3,CONCAT("-",M3))</f>
        <v>CTC-0</v>
      </c>
      <c r="K3" s="81" t="str">
        <f>IFERROR(__xludf.DUMMYFUNCTION("SORT(UNIQUE(A2:E801),1,TRUE)"),"CTC")</f>
        <v>CTC</v>
      </c>
      <c r="L3" s="39" t="str">
        <f>IFERROR(__xludf.DUMMYFUNCTION("""COMPUTED_VALUE"""),"kmeans")</f>
        <v>kmeans</v>
      </c>
      <c r="M3" s="39">
        <f>IFERROR(__xludf.DUMMYFUNCTION("""COMPUTED_VALUE"""),0.0)</f>
        <v>0</v>
      </c>
      <c r="N3" s="39">
        <f>IFERROR(__xludf.DUMMYFUNCTION("""COMPUTED_VALUE"""),0.0)</f>
        <v>0</v>
      </c>
      <c r="O3" s="39">
        <f>IFERROR(__xludf.DUMMYFUNCTION("""COMPUTED_VALUE"""),2.0)</f>
        <v>2</v>
      </c>
      <c r="P3" s="39">
        <f>IFERROR(__xludf.DUMMYFUNCTION("COUNT(FILTER(G:G,A:A=K3,C:C=M3,D:D=N3,E:E=O3))"),5.0)</f>
        <v>5</v>
      </c>
      <c r="Q3" s="82">
        <f>IFERROR(__xludf.DUMMYFUNCTION("AVERAGE(FILTER(G:G,A:A=K3,C:C=M3,D:D=N3,E:E=O3))"),3.639354718043466)</f>
        <v>3.639354718</v>
      </c>
      <c r="R3" s="83">
        <f>IFERROR(__xludf.DUMMYFUNCTION("STDEV(FILTER(G:G,A:A=K3,C:C=M3,D:D=N3,E:E=O3))"),2.984125426720822)</f>
        <v>2.984125427</v>
      </c>
      <c r="S3" s="83">
        <f>IFERROR(__xludf.DUMMYFUNCTION("MIN(FILTER(G:G,A:A=K3,C:C=M3,D:D=N3,E:E=O3))"),0.65137378331599)</f>
        <v>0.6513737833</v>
      </c>
      <c r="T3" s="82">
        <f>IFERROR(__xludf.DUMMYFUNCTION("MAX(FILTER(G:G,A:A=K3,C:C=M3,D:D=N3,E:E=O3))"),8.14927675289396)</f>
        <v>8.149276753</v>
      </c>
      <c r="U3" s="82">
        <f>IFERROR(__xludf.DUMMYFUNCTION("QUARTILE(FILTER(G:G,A:A=K3,C:C=M3,D:D=N3,E:E=O3),1)"),1.35224836248878)</f>
        <v>1.352248362</v>
      </c>
      <c r="V3" s="82">
        <f>IFERROR(__xludf.DUMMYFUNCTION("QUARTILE(FILTER(G:G,A:A=K3,C:C=M3,D:D=N3,E:E=O3),3)"),4.66575292774046)</f>
        <v>4.665752928</v>
      </c>
      <c r="W3" s="84">
        <f>IFERROR(__xludf.DUMMYFUNCTION("AVERAGE(FILTER(H:H,A:A=K3,C:C=M3,D:D=N3,E:E=O3))"),133.96860082466162)</f>
        <v>133.9686008</v>
      </c>
      <c r="X3" s="84">
        <f>IFERROR(__xludf.DUMMYFUNCTION("STDEV(FILTER(H:H,A:A=K3,C:C=M3,D:D=N3,E:E=O3))"),107.4041582577734)</f>
        <v>107.4041583</v>
      </c>
      <c r="Y3" s="84">
        <f>IFERROR(__xludf.DUMMYFUNCTION("MIN(FILTER(H:H,A:A=K3,C:C=M3,D:D=N3,E:E=O3))"),1.20275038736496)</f>
        <v>1.202750387</v>
      </c>
      <c r="Z3" s="84">
        <f>IFERROR(__xludf.DUMMYFUNCTION("MAX(FILTER(H:H,A:A=K3,C:C=M3,D:D=N3,E:E=O3))"),286.798803218638)</f>
        <v>286.7988032</v>
      </c>
      <c r="AA3" s="84">
        <f>IFERROR(__xludf.DUMMYFUNCTION("QUARTILE(FILTER(H:H,A:A=K3,C:C=M3,D:D=N3,E:E=O3),1)"),69.5144870271492)</f>
        <v>69.51448703</v>
      </c>
      <c r="AB3" s="84">
        <f>IFERROR(__xludf.DUMMYFUNCTION("QUARTILE(FILTER(H:H,A:A=K3,C:C=M3,D:D=N3,E:E=O3),3)"),159.262898993153)</f>
        <v>159.262899</v>
      </c>
      <c r="AD3" s="82">
        <f t="shared" ref="AD3:AD42" si="5">O3</f>
        <v>2</v>
      </c>
      <c r="AE3" s="82">
        <f t="shared" ref="AE3:AE42" si="6">Q3</f>
        <v>3.639354718</v>
      </c>
      <c r="AF3" s="82">
        <f t="shared" ref="AF3:AJ3" si="2">IF($K3=AF$2,$R3,NA())</f>
        <v>2.984125427</v>
      </c>
      <c r="AG3" s="82" t="str">
        <f t="shared" si="2"/>
        <v>#N/A</v>
      </c>
      <c r="AH3" s="82" t="str">
        <f t="shared" si="2"/>
        <v>#N/A</v>
      </c>
      <c r="AI3" s="82" t="str">
        <f t="shared" si="2"/>
        <v>#N/A</v>
      </c>
      <c r="AJ3" s="82" t="str">
        <f t="shared" si="2"/>
        <v>#N/A</v>
      </c>
      <c r="AR3" s="85"/>
      <c r="AS3" s="84">
        <f t="shared" ref="AS3:AS42" si="8">W3</f>
        <v>133.9686008</v>
      </c>
      <c r="AT3" s="84">
        <f t="shared" ref="AT3:AX3" si="3">IF($K3=AF$2,$X3,NA())</f>
        <v>107.4041583</v>
      </c>
      <c r="AU3" s="84" t="str">
        <f t="shared" si="3"/>
        <v>#N/A</v>
      </c>
      <c r="AV3" s="84" t="str">
        <f t="shared" si="3"/>
        <v>#N/A</v>
      </c>
      <c r="AW3" s="84" t="str">
        <f t="shared" si="3"/>
        <v>#N/A</v>
      </c>
      <c r="AX3" s="84" t="str">
        <f t="shared" si="3"/>
        <v>#N/A</v>
      </c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</row>
    <row r="4">
      <c r="A4" s="43" t="str">
        <f t="shared" si="1"/>
        <v>ITC-state</v>
      </c>
      <c r="J4" s="81" t="str">
        <f t="shared" si="4"/>
        <v>CTC-0</v>
      </c>
      <c r="K4" s="39" t="str">
        <f>IFERROR(__xludf.DUMMYFUNCTION("""COMPUTED_VALUE"""),"CTC")</f>
        <v>CTC</v>
      </c>
      <c r="L4" s="39" t="str">
        <f>IFERROR(__xludf.DUMMYFUNCTION("""COMPUTED_VALUE"""),"kmeans")</f>
        <v>kmeans</v>
      </c>
      <c r="M4" s="39">
        <f>IFERROR(__xludf.DUMMYFUNCTION("""COMPUTED_VALUE"""),0.0)</f>
        <v>0</v>
      </c>
      <c r="N4" s="39">
        <f>IFERROR(__xludf.DUMMYFUNCTION("""COMPUTED_VALUE"""),0.0)</f>
        <v>0</v>
      </c>
      <c r="O4" s="39">
        <f>IFERROR(__xludf.DUMMYFUNCTION("""COMPUTED_VALUE"""),3.0)</f>
        <v>3</v>
      </c>
      <c r="P4" s="39">
        <f>IFERROR(__xludf.DUMMYFUNCTION("COUNT(FILTER(G:G,A:A=K4,C:C=M4,D:D=N4,E:E=O4))"),5.0)</f>
        <v>5</v>
      </c>
      <c r="Q4" s="82">
        <f>IFERROR(__xludf.DUMMYFUNCTION("AVERAGE(FILTER(G:G,A:A=K4,C:C=M4,D:D=N4,E:E=O4))"),3.1486005791651657)</f>
        <v>3.148600579</v>
      </c>
      <c r="R4" s="83">
        <f>IFERROR(__xludf.DUMMYFUNCTION("STDEV(FILTER(G:G,A:A=K4,C:C=M4,D:D=N4,E:E=O4))"),3.064019115491422)</f>
        <v>3.064019115</v>
      </c>
      <c r="S4" s="83">
        <f>IFERROR(__xludf.DUMMYFUNCTION("MIN(FILTER(G:G,A:A=K4,C:C=M4,D:D=N4,E:E=O4))"),0.651993091739278)</f>
        <v>0.6519930917</v>
      </c>
      <c r="T4" s="82">
        <f>IFERROR(__xludf.DUMMYFUNCTION("MAX(FILTER(G:G,A:A=K4,C:C=M4,D:D=N4,E:E=O4))"),8.20616189081472)</f>
        <v>8.206161891</v>
      </c>
      <c r="U4" s="82">
        <f>IFERROR(__xludf.DUMMYFUNCTION("QUARTILE(FILTER(G:G,A:A=K4,C:C=M4,D:D=N4,E:E=O4),1)"),1.35224836248878)</f>
        <v>1.352248362</v>
      </c>
      <c r="V4" s="82">
        <f>IFERROR(__xludf.DUMMYFUNCTION("QUARTILE(FILTER(G:G,A:A=K4,C:C=M4,D:D=N4,E:E=O4),3)"),3.82026564237486)</f>
        <v>3.820265642</v>
      </c>
      <c r="W4" s="84">
        <f>IFERROR(__xludf.DUMMYFUNCTION("AVERAGE(FILTER(H:H,A:A=K4,C:C=M4,D:D=N4,E:E=O4))"),110.71862470392148)</f>
        <v>110.7186247</v>
      </c>
      <c r="X4" s="84">
        <f>IFERROR(__xludf.DUMMYFUNCTION("STDEV(FILTER(H:H,A:A=K4,C:C=M4,D:D=N4,E:E=O4))"),117.40932664080658)</f>
        <v>117.4093266</v>
      </c>
      <c r="Y4" s="84">
        <f>IFERROR(__xludf.DUMMYFUNCTION("MIN(FILTER(H:H,A:A=K4,C:C=M4,D:D=N4,E:E=O4))"),1.20202488595701)</f>
        <v>1.202024886</v>
      </c>
      <c r="Z4" s="84">
        <f>IFERROR(__xludf.DUMMYFUNCTION("MAX(FILTER(H:H,A:A=K4,C:C=M4,D:D=N4,E:E=O4))"),287.925670854504)</f>
        <v>287.9256709</v>
      </c>
      <c r="AA4" s="84">
        <f>IFERROR(__xludf.DUMMYFUNCTION("QUARTILE(FILTER(H:H,A:A=K4,C:C=M4,D:D=N4,E:E=O4),1)"),27.8513587008941)</f>
        <v>27.8513587</v>
      </c>
      <c r="AB4" s="84">
        <f>IFERROR(__xludf.DUMMYFUNCTION("QUARTILE(FILTER(H:H,A:A=K4,C:C=M4,D:D=N4,E:E=O4),3)"),167.099582051103)</f>
        <v>167.0995821</v>
      </c>
      <c r="AD4" s="82">
        <f t="shared" si="5"/>
        <v>3</v>
      </c>
      <c r="AE4" s="82">
        <f t="shared" si="6"/>
        <v>3.148600579</v>
      </c>
      <c r="AF4" s="82">
        <f t="shared" ref="AF4:AJ4" si="7">IF($K4=AF$2,$R4,NA())</f>
        <v>3.064019115</v>
      </c>
      <c r="AG4" s="82" t="str">
        <f t="shared" si="7"/>
        <v>#N/A</v>
      </c>
      <c r="AH4" s="82" t="str">
        <f t="shared" si="7"/>
        <v>#N/A</v>
      </c>
      <c r="AI4" s="82" t="str">
        <f t="shared" si="7"/>
        <v>#N/A</v>
      </c>
      <c r="AJ4" s="82" t="str">
        <f t="shared" si="7"/>
        <v>#N/A</v>
      </c>
      <c r="AR4" s="85"/>
      <c r="AS4" s="84">
        <f t="shared" si="8"/>
        <v>110.7186247</v>
      </c>
      <c r="AT4" s="84">
        <f t="shared" ref="AT4:AX4" si="9">IF($K4=AF$2,$X4,NA())</f>
        <v>117.4093266</v>
      </c>
      <c r="AU4" s="84" t="str">
        <f t="shared" si="9"/>
        <v>#N/A</v>
      </c>
      <c r="AV4" s="84" t="str">
        <f t="shared" si="9"/>
        <v>#N/A</v>
      </c>
      <c r="AW4" s="84" t="str">
        <f t="shared" si="9"/>
        <v>#N/A</v>
      </c>
      <c r="AX4" s="84" t="str">
        <f t="shared" si="9"/>
        <v>#N/A</v>
      </c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</row>
    <row r="5">
      <c r="A5" s="43" t="str">
        <f t="shared" si="1"/>
        <v>ITC-state</v>
      </c>
      <c r="J5" s="81" t="str">
        <f t="shared" si="4"/>
        <v>CTC-0</v>
      </c>
      <c r="K5" s="39" t="str">
        <f>IFERROR(__xludf.DUMMYFUNCTION("""COMPUTED_VALUE"""),"CTC")</f>
        <v>CTC</v>
      </c>
      <c r="L5" s="39" t="str">
        <f>IFERROR(__xludf.DUMMYFUNCTION("""COMPUTED_VALUE"""),"kmeans")</f>
        <v>kmeans</v>
      </c>
      <c r="M5" s="39">
        <f>IFERROR(__xludf.DUMMYFUNCTION("""COMPUTED_VALUE"""),0.0)</f>
        <v>0</v>
      </c>
      <c r="N5" s="39">
        <f>IFERROR(__xludf.DUMMYFUNCTION("""COMPUTED_VALUE"""),0.0)</f>
        <v>0</v>
      </c>
      <c r="O5" s="39">
        <f>IFERROR(__xludf.DUMMYFUNCTION("""COMPUTED_VALUE"""),4.0)</f>
        <v>4</v>
      </c>
      <c r="P5" s="39">
        <f>IFERROR(__xludf.DUMMYFUNCTION("COUNT(FILTER(G:G,A:A=K5,C:C=M5,D:D=N5,E:E=O5))"),5.0)</f>
        <v>5</v>
      </c>
      <c r="Q5" s="82">
        <f>IFERROR(__xludf.DUMMYFUNCTION("AVERAGE(FILTER(G:G,A:A=K5,C:C=M5,D:D=N5,E:E=O5))"),4.19591357193754)</f>
        <v>4.195913572</v>
      </c>
      <c r="R5" s="83">
        <f>IFERROR(__xludf.DUMMYFUNCTION("STDEV(FILTER(G:G,A:A=K5,C:C=M5,D:D=N5,E:E=O5))"),3.405565536321154)</f>
        <v>3.405565536</v>
      </c>
      <c r="S5" s="83">
        <f>IFERROR(__xludf.DUMMYFUNCTION("MIN(FILTER(G:G,A:A=K5,C:C=M5,D:D=N5,E:E=O5))"),0.651956825806734)</f>
        <v>0.6519568258</v>
      </c>
      <c r="T5" s="82">
        <f>IFERROR(__xludf.DUMMYFUNCTION("MAX(FILTER(G:G,A:A=K5,C:C=M5,D:D=N5,E:E=O5))"),8.20611783734031)</f>
        <v>8.206117837</v>
      </c>
      <c r="U5" s="82">
        <f>IFERROR(__xludf.DUMMYFUNCTION("QUARTILE(FILTER(G:G,A:A=K5,C:C=M5,D:D=N5,E:E=O5),1)"),1.70736050287242)</f>
        <v>1.707360503</v>
      </c>
      <c r="V5" s="82">
        <f>IFERROR(__xludf.DUMMYFUNCTION("QUARTILE(FILTER(G:G,A:A=K5,C:C=M5,D:D=N5,E:E=O5),3)"),7.3879357347271)</f>
        <v>7.387935735</v>
      </c>
      <c r="W5" s="84">
        <f>IFERROR(__xludf.DUMMYFUNCTION("AVERAGE(FILTER(H:H,A:A=K5,C:C=M5,D:D=N5,E:E=O5))"),145.64137488264396)</f>
        <v>145.6413749</v>
      </c>
      <c r="X5" s="84">
        <f>IFERROR(__xludf.DUMMYFUNCTION("STDEV(FILTER(H:H,A:A=K5,C:C=M5,D:D=N5,E:E=O5))"),133.19413523975254)</f>
        <v>133.1941352</v>
      </c>
      <c r="Y5" s="84">
        <f>IFERROR(__xludf.DUMMYFUNCTION("MIN(FILTER(H:H,A:A=K5,C:C=M5,D:D=N5,E:E=O5))"),1.2021543421018)</f>
        <v>1.202154342</v>
      </c>
      <c r="Z5" s="84">
        <f>IFERROR(__xludf.DUMMYFUNCTION("MAX(FILTER(H:H,A:A=K5,C:C=M5,D:D=N5,E:E=O5))"),287.927364137155)</f>
        <v>287.9273641</v>
      </c>
      <c r="AA5" s="84">
        <f>IFERROR(__xludf.DUMMYFUNCTION("QUARTILE(FILTER(H:H,A:A=K5,C:C=M5,D:D=N5,E:E=O5),1)"),27.7095600058281)</f>
        <v>27.70956001</v>
      </c>
      <c r="AB5" s="84">
        <f>IFERROR(__xludf.DUMMYFUNCTION("QUARTILE(FILTER(H:H,A:A=K5,C:C=M5,D:D=N5,E:E=O5),3)"),271.777004126744)</f>
        <v>271.7770041</v>
      </c>
      <c r="AD5" s="82">
        <f t="shared" si="5"/>
        <v>4</v>
      </c>
      <c r="AE5" s="82">
        <f t="shared" si="6"/>
        <v>4.195913572</v>
      </c>
      <c r="AF5" s="82">
        <f t="shared" ref="AF5:AJ5" si="10">IF($K5=AF$2,$R5,NA())</f>
        <v>3.405565536</v>
      </c>
      <c r="AG5" s="82" t="str">
        <f t="shared" si="10"/>
        <v>#N/A</v>
      </c>
      <c r="AH5" s="82" t="str">
        <f t="shared" si="10"/>
        <v>#N/A</v>
      </c>
      <c r="AI5" s="82" t="str">
        <f t="shared" si="10"/>
        <v>#N/A</v>
      </c>
      <c r="AJ5" s="82" t="str">
        <f t="shared" si="10"/>
        <v>#N/A</v>
      </c>
      <c r="AR5" s="85"/>
      <c r="AS5" s="84">
        <f t="shared" si="8"/>
        <v>145.6413749</v>
      </c>
      <c r="AT5" s="84">
        <f t="shared" ref="AT5:AX5" si="11">IF($K5=AF$2,$X5,NA())</f>
        <v>133.1941352</v>
      </c>
      <c r="AU5" s="84" t="str">
        <f t="shared" si="11"/>
        <v>#N/A</v>
      </c>
      <c r="AV5" s="84" t="str">
        <f t="shared" si="11"/>
        <v>#N/A</v>
      </c>
      <c r="AW5" s="84" t="str">
        <f t="shared" si="11"/>
        <v>#N/A</v>
      </c>
      <c r="AX5" s="84" t="str">
        <f t="shared" si="11"/>
        <v>#N/A</v>
      </c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</row>
    <row r="6">
      <c r="A6" s="43" t="str">
        <f t="shared" si="1"/>
        <v>ITC-state</v>
      </c>
      <c r="J6" s="81" t="str">
        <f t="shared" si="4"/>
        <v>CTC-0</v>
      </c>
      <c r="K6" s="39" t="str">
        <f>IFERROR(__xludf.DUMMYFUNCTION("""COMPUTED_VALUE"""),"CTC")</f>
        <v>CTC</v>
      </c>
      <c r="L6" s="39" t="str">
        <f>IFERROR(__xludf.DUMMYFUNCTION("""COMPUTED_VALUE"""),"kmeans")</f>
        <v>kmeans</v>
      </c>
      <c r="M6" s="39">
        <f>IFERROR(__xludf.DUMMYFUNCTION("""COMPUTED_VALUE"""),0.0)</f>
        <v>0</v>
      </c>
      <c r="N6" s="39">
        <f>IFERROR(__xludf.DUMMYFUNCTION("""COMPUTED_VALUE"""),0.0)</f>
        <v>0</v>
      </c>
      <c r="O6" s="39">
        <f>IFERROR(__xludf.DUMMYFUNCTION("""COMPUTED_VALUE"""),5.0)</f>
        <v>5</v>
      </c>
      <c r="P6" s="39">
        <f>IFERROR(__xludf.DUMMYFUNCTION("COUNT(FILTER(G:G,A:A=K6,C:C=M6,D:D=N6,E:E=O6))"),5.0)</f>
        <v>5</v>
      </c>
      <c r="Q6" s="82">
        <f>IFERROR(__xludf.DUMMYFUNCTION("AVERAGE(FILTER(G:G,A:A=K6,C:C=M6,D:D=N6,E:E=O6))"),3.1486005791651657)</f>
        <v>3.148600579</v>
      </c>
      <c r="R6" s="83">
        <f>IFERROR(__xludf.DUMMYFUNCTION("STDEV(FILTER(G:G,A:A=K6,C:C=M6,D:D=N6,E:E=O6))"),3.064019115491422)</f>
        <v>3.064019115</v>
      </c>
      <c r="S6" s="83">
        <f>IFERROR(__xludf.DUMMYFUNCTION("MIN(FILTER(G:G,A:A=K6,C:C=M6,D:D=N6,E:E=O6))"),0.651993091739278)</f>
        <v>0.6519930917</v>
      </c>
      <c r="T6" s="82">
        <f>IFERROR(__xludf.DUMMYFUNCTION("MAX(FILTER(G:G,A:A=K6,C:C=M6,D:D=N6,E:E=O6))"),8.20616189081472)</f>
        <v>8.206161891</v>
      </c>
      <c r="U6" s="82">
        <f>IFERROR(__xludf.DUMMYFUNCTION("QUARTILE(FILTER(G:G,A:A=K6,C:C=M6,D:D=N6,E:E=O6),1)"),1.35224836248878)</f>
        <v>1.352248362</v>
      </c>
      <c r="V6" s="82">
        <f>IFERROR(__xludf.DUMMYFUNCTION("QUARTILE(FILTER(G:G,A:A=K6,C:C=M6,D:D=N6,E:E=O6),3)"),3.82026564237486)</f>
        <v>3.820265642</v>
      </c>
      <c r="W6" s="84">
        <f>IFERROR(__xludf.DUMMYFUNCTION("AVERAGE(FILTER(H:H,A:A=K6,C:C=M6,D:D=N6,E:E=O6))"),110.71862470392148)</f>
        <v>110.7186247</v>
      </c>
      <c r="X6" s="84">
        <f>IFERROR(__xludf.DUMMYFUNCTION("STDEV(FILTER(H:H,A:A=K6,C:C=M6,D:D=N6,E:E=O6))"),117.40932664080658)</f>
        <v>117.4093266</v>
      </c>
      <c r="Y6" s="84">
        <f>IFERROR(__xludf.DUMMYFUNCTION("MIN(FILTER(H:H,A:A=K6,C:C=M6,D:D=N6,E:E=O6))"),1.20202488595701)</f>
        <v>1.202024886</v>
      </c>
      <c r="Z6" s="84">
        <f>IFERROR(__xludf.DUMMYFUNCTION("MAX(FILTER(H:H,A:A=K6,C:C=M6,D:D=N6,E:E=O6))"),287.925670854504)</f>
        <v>287.9256709</v>
      </c>
      <c r="AA6" s="84">
        <f>IFERROR(__xludf.DUMMYFUNCTION("QUARTILE(FILTER(H:H,A:A=K6,C:C=M6,D:D=N6,E:E=O6),1)"),27.8513587008941)</f>
        <v>27.8513587</v>
      </c>
      <c r="AB6" s="84">
        <f>IFERROR(__xludf.DUMMYFUNCTION("QUARTILE(FILTER(H:H,A:A=K6,C:C=M6,D:D=N6,E:E=O6),3)"),167.099582051103)</f>
        <v>167.0995821</v>
      </c>
      <c r="AD6" s="82">
        <f t="shared" si="5"/>
        <v>5</v>
      </c>
      <c r="AE6" s="82">
        <f t="shared" si="6"/>
        <v>3.148600579</v>
      </c>
      <c r="AF6" s="82">
        <f t="shared" ref="AF6:AJ6" si="12">IF($K6=AF$2,$R6,NA())</f>
        <v>3.064019115</v>
      </c>
      <c r="AG6" s="82" t="str">
        <f t="shared" si="12"/>
        <v>#N/A</v>
      </c>
      <c r="AH6" s="82" t="str">
        <f t="shared" si="12"/>
        <v>#N/A</v>
      </c>
      <c r="AI6" s="82" t="str">
        <f t="shared" si="12"/>
        <v>#N/A</v>
      </c>
      <c r="AJ6" s="82" t="str">
        <f t="shared" si="12"/>
        <v>#N/A</v>
      </c>
      <c r="AR6" s="85"/>
      <c r="AS6" s="84">
        <f t="shared" si="8"/>
        <v>110.7186247</v>
      </c>
      <c r="AT6" s="84">
        <f t="shared" ref="AT6:AX6" si="13">IF($K6=AF$2,$X6,NA())</f>
        <v>117.4093266</v>
      </c>
      <c r="AU6" s="84" t="str">
        <f t="shared" si="13"/>
        <v>#N/A</v>
      </c>
      <c r="AV6" s="84" t="str">
        <f t="shared" si="13"/>
        <v>#N/A</v>
      </c>
      <c r="AW6" s="84" t="str">
        <f t="shared" si="13"/>
        <v>#N/A</v>
      </c>
      <c r="AX6" s="84" t="str">
        <f t="shared" si="13"/>
        <v>#N/A</v>
      </c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</row>
    <row r="7">
      <c r="A7" s="43" t="str">
        <f t="shared" si="1"/>
        <v>ITC-state</v>
      </c>
      <c r="J7" s="81" t="str">
        <f t="shared" si="4"/>
        <v>CTC-0</v>
      </c>
      <c r="K7" s="39" t="str">
        <f>IFERROR(__xludf.DUMMYFUNCTION("""COMPUTED_VALUE"""),"CTC")</f>
        <v>CTC</v>
      </c>
      <c r="L7" s="39" t="str">
        <f>IFERROR(__xludf.DUMMYFUNCTION("""COMPUTED_VALUE"""),"kmeans")</f>
        <v>kmeans</v>
      </c>
      <c r="M7" s="39">
        <f>IFERROR(__xludf.DUMMYFUNCTION("""COMPUTED_VALUE"""),0.0)</f>
        <v>0</v>
      </c>
      <c r="N7" s="39">
        <f>IFERROR(__xludf.DUMMYFUNCTION("""COMPUTED_VALUE"""),0.0)</f>
        <v>0</v>
      </c>
      <c r="O7" s="39">
        <f>IFERROR(__xludf.DUMMYFUNCTION("""COMPUTED_VALUE"""),6.0)</f>
        <v>6</v>
      </c>
      <c r="P7" s="39">
        <f>IFERROR(__xludf.DUMMYFUNCTION("COUNT(FILTER(G:G,A:A=K7,C:C=M7,D:D=N7,E:E=O7))"),5.0)</f>
        <v>5</v>
      </c>
      <c r="Q7" s="82">
        <f>IFERROR(__xludf.DUMMYFUNCTION("AVERAGE(FILTER(G:G,A:A=K7,C:C=M7,D:D=N7,E:E=O7))"),2.9208159236648674)</f>
        <v>2.920815924</v>
      </c>
      <c r="R7" s="83">
        <f>IFERROR(__xludf.DUMMYFUNCTION("STDEV(FILTER(G:G,A:A=K7,C:C=M7,D:D=N7,E:E=O7))"),3.1815903249621327)</f>
        <v>3.181590325</v>
      </c>
      <c r="S7" s="83">
        <f>IFERROR(__xludf.DUMMYFUNCTION("MIN(FILTER(G:G,A:A=K7,C:C=M7,D:D=N7,E:E=O7))"),0.651382921876665)</f>
        <v>0.6513829219</v>
      </c>
      <c r="T7" s="82">
        <f>IFERROR(__xludf.DUMMYFUNCTION("MAX(FILTER(G:G,A:A=K7,C:C=M7,D:D=N7,E:E=O7))"),8.14927675289396)</f>
        <v>8.149276753</v>
      </c>
      <c r="U7" s="82">
        <f>IFERROR(__xludf.DUMMYFUNCTION("QUARTILE(FILTER(G:G,A:A=K7,C:C=M7,D:D=N7,E:E=O7),1)"),0.712997756536142)</f>
        <v>0.7129977565</v>
      </c>
      <c r="V7" s="82">
        <f>IFERROR(__xludf.DUMMYFUNCTION("QUARTILE(FILTER(G:G,A:A=K7,C:C=M7,D:D=N7,E:E=O7),3)"),3.73817382452879)</f>
        <v>3.738173825</v>
      </c>
      <c r="W7" s="84">
        <f>IFERROR(__xludf.DUMMYFUNCTION("AVERAGE(FILTER(H:H,A:A=K7,C:C=M7,D:D=N7,E:E=O7))"),103.75869482563387)</f>
        <v>103.7586948</v>
      </c>
      <c r="X7" s="84">
        <f>IFERROR(__xludf.DUMMYFUNCTION("STDEV(FILTER(H:H,A:A=K7,C:C=M7,D:D=N7,E:E=O7))"),121.41263090375739)</f>
        <v>121.4126309</v>
      </c>
      <c r="Y7" s="84">
        <f>IFERROR(__xludf.DUMMYFUNCTION("MIN(FILTER(H:H,A:A=K7,C:C=M7,D:D=N7,E:E=O7))"),0.950093966860787)</f>
        <v>0.9500939669</v>
      </c>
      <c r="Z7" s="84">
        <f>IFERROR(__xludf.DUMMYFUNCTION("MAX(FILTER(H:H,A:A=K7,C:C=M7,D:D=N7,E:E=O7))"),286.798803218638)</f>
        <v>286.7988032</v>
      </c>
      <c r="AA7" s="84">
        <f>IFERROR(__xludf.DUMMYFUNCTION("QUARTILE(FILTER(H:H,A:A=K7,C:C=M7,D:D=N7,E:E=O7),1)"),1.20143378849441)</f>
        <v>1.201433788</v>
      </c>
      <c r="AB7" s="84">
        <f>IFERROR(__xludf.DUMMYFUNCTION("QUARTILE(FILTER(H:H,A:A=K7,C:C=M7,D:D=N7,E:E=O7),3)"),160.328656127027)</f>
        <v>160.3286561</v>
      </c>
      <c r="AD7" s="82">
        <f t="shared" si="5"/>
        <v>6</v>
      </c>
      <c r="AE7" s="82">
        <f t="shared" si="6"/>
        <v>2.920815924</v>
      </c>
      <c r="AF7" s="82">
        <f t="shared" ref="AF7:AJ7" si="14">IF($K7=AF$2,$R7,NA())</f>
        <v>3.181590325</v>
      </c>
      <c r="AG7" s="82" t="str">
        <f t="shared" si="14"/>
        <v>#N/A</v>
      </c>
      <c r="AH7" s="82" t="str">
        <f t="shared" si="14"/>
        <v>#N/A</v>
      </c>
      <c r="AI7" s="82" t="str">
        <f t="shared" si="14"/>
        <v>#N/A</v>
      </c>
      <c r="AJ7" s="82" t="str">
        <f t="shared" si="14"/>
        <v>#N/A</v>
      </c>
      <c r="AR7" s="85"/>
      <c r="AS7" s="84">
        <f t="shared" si="8"/>
        <v>103.7586948</v>
      </c>
      <c r="AT7" s="84">
        <f t="shared" ref="AT7:AX7" si="15">IF($K7=AF$2,$X7,NA())</f>
        <v>121.4126309</v>
      </c>
      <c r="AU7" s="84" t="str">
        <f t="shared" si="15"/>
        <v>#N/A</v>
      </c>
      <c r="AV7" s="84" t="str">
        <f t="shared" si="15"/>
        <v>#N/A</v>
      </c>
      <c r="AW7" s="84" t="str">
        <f t="shared" si="15"/>
        <v>#N/A</v>
      </c>
      <c r="AX7" s="84" t="str">
        <f t="shared" si="15"/>
        <v>#N/A</v>
      </c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</row>
    <row r="8">
      <c r="A8" s="43" t="str">
        <f t="shared" si="1"/>
        <v>ITC-state</v>
      </c>
      <c r="J8" s="81" t="str">
        <f t="shared" si="4"/>
        <v>CTC-0</v>
      </c>
      <c r="K8" s="39" t="str">
        <f>IFERROR(__xludf.DUMMYFUNCTION("""COMPUTED_VALUE"""),"CTC")</f>
        <v>CTC</v>
      </c>
      <c r="L8" s="39" t="str">
        <f>IFERROR(__xludf.DUMMYFUNCTION("""COMPUTED_VALUE"""),"kmeans")</f>
        <v>kmeans</v>
      </c>
      <c r="M8" s="39">
        <f>IFERROR(__xludf.DUMMYFUNCTION("""COMPUTED_VALUE"""),0.0)</f>
        <v>0</v>
      </c>
      <c r="N8" s="39">
        <f>IFERROR(__xludf.DUMMYFUNCTION("""COMPUTED_VALUE"""),0.0)</f>
        <v>0</v>
      </c>
      <c r="O8" s="39">
        <f>IFERROR(__xludf.DUMMYFUNCTION("""COMPUTED_VALUE"""),7.0)</f>
        <v>7</v>
      </c>
      <c r="P8" s="39">
        <f>IFERROR(__xludf.DUMMYFUNCTION("COUNT(FILTER(G:G,A:A=K8,C:C=M8,D:D=N8,E:E=O8))"),5.0)</f>
        <v>5</v>
      </c>
      <c r="Q8" s="82">
        <f>IFERROR(__xludf.DUMMYFUNCTION("AVERAGE(FILTER(G:G,A:A=K8,C:C=M8,D:D=N8,E:E=O8))"),2.989738124387078)</f>
        <v>2.989738124</v>
      </c>
      <c r="R8" s="83">
        <f>IFERROR(__xludf.DUMMYFUNCTION("STDEV(FILTER(G:G,A:A=K8,C:C=M8,D:D=N8,E:E=O8))"),3.1309526987063716)</f>
        <v>3.130952699</v>
      </c>
      <c r="S8" s="83">
        <f>IFERROR(__xludf.DUMMYFUNCTION("MIN(FILTER(G:G,A:A=K8,C:C=M8,D:D=N8,E:E=O8))"),0.65172119244634)</f>
        <v>0.6517211924</v>
      </c>
      <c r="T8" s="82">
        <f>IFERROR(__xludf.DUMMYFUNCTION("MAX(FILTER(G:G,A:A=K8,C:C=M8,D:D=N8,E:E=O8))"),8.20616189081472)</f>
        <v>8.206161891</v>
      </c>
      <c r="U8" s="82">
        <f>IFERROR(__xludf.DUMMYFUNCTION("QUARTILE(FILTER(G:G,A:A=K8,C:C=M8,D:D=N8,E:E=O8),1)"),0.84548789308218)</f>
        <v>0.8454878931</v>
      </c>
      <c r="V8" s="82">
        <f>IFERROR(__xludf.DUMMYFUNCTION("QUARTILE(FILTER(G:G,A:A=K8,C:C=M8,D:D=N8,E:E=O8),3)"),3.5355555199338)</f>
        <v>3.53555552</v>
      </c>
      <c r="W8" s="84">
        <f>IFERROR(__xludf.DUMMYFUNCTION("AVERAGE(FILTER(H:H,A:A=K8,C:C=M8,D:D=N8,E:E=O8))"),95.38964512618558)</f>
        <v>95.38964513</v>
      </c>
      <c r="X8" s="84">
        <f>IFERROR(__xludf.DUMMYFUNCTION("STDEV(FILTER(H:H,A:A=K8,C:C=M8,D:D=N8,E:E=O8))"),125.93536648831116)</f>
        <v>125.9353665</v>
      </c>
      <c r="Y8" s="84">
        <f>IFERROR(__xludf.DUMMYFUNCTION("MIN(FILTER(H:H,A:A=K8,C:C=M8,D:D=N8,E:E=O8))"),1.14526909868345)</f>
        <v>1.145269099</v>
      </c>
      <c r="Z8" s="84">
        <f>IFERROR(__xludf.DUMMYFUNCTION("MAX(FILTER(H:H,A:A=K8,C:C=M8,D:D=N8,E:E=O8))"),287.925670854504)</f>
        <v>287.9256709</v>
      </c>
      <c r="AA8" s="84">
        <f>IFERROR(__xludf.DUMMYFUNCTION("QUARTILE(FILTER(H:H,A:A=K8,C:C=M8,D:D=N8,E:E=O8),1)"),1.20143362464837)</f>
        <v>1.201433625</v>
      </c>
      <c r="AB8" s="84">
        <f>IFERROR(__xludf.DUMMYFUNCTION("QUARTILE(FILTER(H:H,A:A=K8,C:C=M8,D:D=N8,E:E=O8),3)"),158.938628102538)</f>
        <v>158.9386281</v>
      </c>
      <c r="AD8" s="82">
        <f t="shared" si="5"/>
        <v>7</v>
      </c>
      <c r="AE8" s="82">
        <f t="shared" si="6"/>
        <v>2.989738124</v>
      </c>
      <c r="AF8" s="82">
        <f t="shared" ref="AF8:AJ8" si="16">IF($K8=AF$2,$R8,NA())</f>
        <v>3.130952699</v>
      </c>
      <c r="AG8" s="82" t="str">
        <f t="shared" si="16"/>
        <v>#N/A</v>
      </c>
      <c r="AH8" s="82" t="str">
        <f t="shared" si="16"/>
        <v>#N/A</v>
      </c>
      <c r="AI8" s="82" t="str">
        <f t="shared" si="16"/>
        <v>#N/A</v>
      </c>
      <c r="AJ8" s="82" t="str">
        <f t="shared" si="16"/>
        <v>#N/A</v>
      </c>
      <c r="AR8" s="85"/>
      <c r="AS8" s="84">
        <f t="shared" si="8"/>
        <v>95.38964513</v>
      </c>
      <c r="AT8" s="84">
        <f t="shared" ref="AT8:AX8" si="17">IF($K8=AF$2,$X8,NA())</f>
        <v>125.9353665</v>
      </c>
      <c r="AU8" s="84" t="str">
        <f t="shared" si="17"/>
        <v>#N/A</v>
      </c>
      <c r="AV8" s="84" t="str">
        <f t="shared" si="17"/>
        <v>#N/A</v>
      </c>
      <c r="AW8" s="84" t="str">
        <f t="shared" si="17"/>
        <v>#N/A</v>
      </c>
      <c r="AX8" s="84" t="str">
        <f t="shared" si="17"/>
        <v>#N/A</v>
      </c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</row>
    <row r="9">
      <c r="A9" s="43" t="str">
        <f t="shared" si="1"/>
        <v>ITC-state</v>
      </c>
      <c r="J9" s="81" t="str">
        <f t="shared" si="4"/>
        <v>CTC-0</v>
      </c>
      <c r="K9" s="39" t="str">
        <f>IFERROR(__xludf.DUMMYFUNCTION("""COMPUTED_VALUE"""),"CTC")</f>
        <v>CTC</v>
      </c>
      <c r="L9" s="39" t="str">
        <f>IFERROR(__xludf.DUMMYFUNCTION("""COMPUTED_VALUE"""),"kmeans")</f>
        <v>kmeans</v>
      </c>
      <c r="M9" s="39">
        <f>IFERROR(__xludf.DUMMYFUNCTION("""COMPUTED_VALUE"""),0.0)</f>
        <v>0</v>
      </c>
      <c r="N9" s="39">
        <f>IFERROR(__xludf.DUMMYFUNCTION("""COMPUTED_VALUE"""),0.0)</f>
        <v>0</v>
      </c>
      <c r="O9" s="39">
        <f>IFERROR(__xludf.DUMMYFUNCTION("""COMPUTED_VALUE"""),8.0)</f>
        <v>8</v>
      </c>
      <c r="P9" s="39">
        <f>IFERROR(__xludf.DUMMYFUNCTION("COUNT(FILTER(G:G,A:A=K9,C:C=M9,D:D=N9,E:E=O9))"),5.0)</f>
        <v>5</v>
      </c>
      <c r="Q9" s="82">
        <f>IFERROR(__xludf.DUMMYFUNCTION("AVERAGE(FILTER(G:G,A:A=K9,C:C=M9,D:D=N9,E:E=O9))"),4.148725797537233)</f>
        <v>4.148725798</v>
      </c>
      <c r="R9" s="83">
        <f>IFERROR(__xludf.DUMMYFUNCTION("STDEV(FILTER(G:G,A:A=K9,C:C=M9,D:D=N9,E:E=O9))"),3.450377523228995)</f>
        <v>3.450377523</v>
      </c>
      <c r="S9" s="83">
        <f>IFERROR(__xludf.DUMMYFUNCTION("MIN(FILTER(G:G,A:A=K9,C:C=M9,D:D=N9,E:E=O9))"),0.651525494115797)</f>
        <v>0.6515254941</v>
      </c>
      <c r="T9" s="82">
        <f>IFERROR(__xludf.DUMMYFUNCTION("MAX(FILTER(G:G,A:A=K9,C:C=M9,D:D=N9,E:E=O9))"),8.15118760509514)</f>
        <v>8.151187605</v>
      </c>
      <c r="U9" s="82">
        <f>IFERROR(__xludf.DUMMYFUNCTION("QUARTILE(FILTER(G:G,A:A=K9,C:C=M9,D:D=N9,E:E=O9),1)"),1.35224836248878)</f>
        <v>1.352248362</v>
      </c>
      <c r="V9" s="82">
        <f>IFERROR(__xludf.DUMMYFUNCTION("QUARTILE(FILTER(G:G,A:A=K9,C:C=M9,D:D=N9,E:E=O9),3)"),7.40681908391703)</f>
        <v>7.406819084</v>
      </c>
      <c r="W9" s="84">
        <f>IFERROR(__xludf.DUMMYFUNCTION("AVERAGE(FILTER(H:H,A:A=K9,C:C=M9,D:D=N9,E:E=O9))"),154.03177460386678)</f>
        <v>154.0317746</v>
      </c>
      <c r="X9" s="84">
        <f>IFERROR(__xludf.DUMMYFUNCTION("STDEV(FILTER(H:H,A:A=K9,C:C=M9,D:D=N9,E:E=O9))"),124.76972984437623)</f>
        <v>124.7697298</v>
      </c>
      <c r="Y9" s="84">
        <f>IFERROR(__xludf.DUMMYFUNCTION("MIN(FILTER(H:H,A:A=K9,C:C=M9,D:D=N9,E:E=O9))"),1.20166231292261)</f>
        <v>1.201662313</v>
      </c>
      <c r="Z9" s="84">
        <f>IFERROR(__xludf.DUMMYFUNCTION("MAX(FILTER(H:H,A:A=K9,C:C=M9,D:D=N9,E:E=O9))"),286.835282397151)</f>
        <v>286.8352824</v>
      </c>
      <c r="AA9" s="84">
        <f>IFERROR(__xludf.DUMMYFUNCTION("QUARTILE(FILTER(H:H,A:A=K9,C:C=M9,D:D=N9,E:E=O9),1)"),69.5144870271492)</f>
        <v>69.51448703</v>
      </c>
      <c r="AB9" s="84">
        <f>IFERROR(__xludf.DUMMYFUNCTION("QUARTILE(FILTER(H:H,A:A=K9,C:C=M9,D:D=N9,E:E=O9),3)"),272.137763705172)</f>
        <v>272.1377637</v>
      </c>
      <c r="AD9" s="82">
        <f t="shared" si="5"/>
        <v>8</v>
      </c>
      <c r="AE9" s="82">
        <f t="shared" si="6"/>
        <v>4.148725798</v>
      </c>
      <c r="AF9" s="82">
        <f t="shared" ref="AF9:AJ9" si="18">IF($K9=AF$2,$R9,NA())</f>
        <v>3.450377523</v>
      </c>
      <c r="AG9" s="82" t="str">
        <f t="shared" si="18"/>
        <v>#N/A</v>
      </c>
      <c r="AH9" s="82" t="str">
        <f t="shared" si="18"/>
        <v>#N/A</v>
      </c>
      <c r="AI9" s="82" t="str">
        <f t="shared" si="18"/>
        <v>#N/A</v>
      </c>
      <c r="AJ9" s="82" t="str">
        <f t="shared" si="18"/>
        <v>#N/A</v>
      </c>
      <c r="AR9" s="85"/>
      <c r="AS9" s="84">
        <f t="shared" si="8"/>
        <v>154.0317746</v>
      </c>
      <c r="AT9" s="84">
        <f t="shared" ref="AT9:AX9" si="19">IF($K9=AF$2,$X9,NA())</f>
        <v>124.7697298</v>
      </c>
      <c r="AU9" s="84" t="str">
        <f t="shared" si="19"/>
        <v>#N/A</v>
      </c>
      <c r="AV9" s="84" t="str">
        <f t="shared" si="19"/>
        <v>#N/A</v>
      </c>
      <c r="AW9" s="84" t="str">
        <f t="shared" si="19"/>
        <v>#N/A</v>
      </c>
      <c r="AX9" s="84" t="str">
        <f t="shared" si="19"/>
        <v>#N/A</v>
      </c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</row>
    <row r="10">
      <c r="A10" s="43" t="str">
        <f t="shared" si="1"/>
        <v>ITC-state</v>
      </c>
      <c r="J10" s="81" t="str">
        <f t="shared" si="4"/>
        <v>CTC-0</v>
      </c>
      <c r="K10" s="39" t="str">
        <f>IFERROR(__xludf.DUMMYFUNCTION("""COMPUTED_VALUE"""),"CTC")</f>
        <v>CTC</v>
      </c>
      <c r="L10" s="39" t="str">
        <f>IFERROR(__xludf.DUMMYFUNCTION("""COMPUTED_VALUE"""),"kmeans")</f>
        <v>kmeans</v>
      </c>
      <c r="M10" s="39">
        <f>IFERROR(__xludf.DUMMYFUNCTION("""COMPUTED_VALUE"""),0.0)</f>
        <v>0</v>
      </c>
      <c r="N10" s="39">
        <f>IFERROR(__xludf.DUMMYFUNCTION("""COMPUTED_VALUE"""),0.0)</f>
        <v>0</v>
      </c>
      <c r="O10" s="39">
        <f>IFERROR(__xludf.DUMMYFUNCTION("""COMPUTED_VALUE"""),9.0)</f>
        <v>9</v>
      </c>
      <c r="P10" s="39">
        <f>IFERROR(__xludf.DUMMYFUNCTION("COUNT(FILTER(G:G,A:A=K10,C:C=M10,D:D=N10,E:E=O10))"),5.0)</f>
        <v>5</v>
      </c>
      <c r="Q10" s="82">
        <f>IFERROR(__xludf.DUMMYFUNCTION("AVERAGE(FILTER(G:G,A:A=K10,C:C=M10,D:D=N10,E:E=O10))"),3.0913924836902416)</f>
        <v>3.091392484</v>
      </c>
      <c r="R10" s="83">
        <f>IFERROR(__xludf.DUMMYFUNCTION("STDEV(FILTER(G:G,A:A=K10,C:C=M10,D:D=N10,E:E=O10))"),3.036381230847635)</f>
        <v>3.036381231</v>
      </c>
      <c r="S10" s="83">
        <f>IFERROR(__xludf.DUMMYFUNCTION("MIN(FILTER(G:G,A:A=K10,C:C=M10,D:D=N10,E:E=O10))"),0.712647031637279)</f>
        <v>0.7126470316</v>
      </c>
      <c r="T10" s="82">
        <f>IFERROR(__xludf.DUMMYFUNCTION("MAX(FILTER(G:G,A:A=K10,C:C=M10,D:D=N10,E:E=O10))"),8.20526233873179)</f>
        <v>8.205262339</v>
      </c>
      <c r="U10" s="82">
        <f>IFERROR(__xludf.DUMMYFUNCTION("QUARTILE(FILTER(G:G,A:A=K10,C:C=M10,D:D=N10,E:E=O10),1)"),1.35202678106678)</f>
        <v>1.352026781</v>
      </c>
      <c r="V10" s="82">
        <f>IFERROR(__xludf.DUMMYFUNCTION("QUARTILE(FILTER(G:G,A:A=K10,C:C=M10,D:D=N10,E:E=O10),3)"),3.47305516038037)</f>
        <v>3.47305516</v>
      </c>
      <c r="W10" s="84">
        <f>IFERROR(__xludf.DUMMYFUNCTION("AVERAGE(FILTER(H:H,A:A=K10,C:C=M10,D:D=N10,E:E=O10))"),108.64659579203803)</f>
        <v>108.6465958</v>
      </c>
      <c r="X10" s="84">
        <f>IFERROR(__xludf.DUMMYFUNCTION("STDEV(FILTER(H:H,A:A=K10,C:C=M10,D:D=N10,E:E=O10))"),116.30997866187857)</f>
        <v>116.3099787</v>
      </c>
      <c r="Y10" s="84">
        <f>IFERROR(__xludf.DUMMYFUNCTION("MIN(FILTER(H:H,A:A=K10,C:C=M10,D:D=N10,E:E=O10))"),0.949268918176112)</f>
        <v>0.9492689182</v>
      </c>
      <c r="Z10" s="84">
        <f>IFERROR(__xludf.DUMMYFUNCTION("MAX(FILTER(H:H,A:A=K10,C:C=M10,D:D=N10,E:E=O10))"),287.912479994382)</f>
        <v>287.91248</v>
      </c>
      <c r="AA10" s="84">
        <f>IFERROR(__xludf.DUMMYFUNCTION("QUARTILE(FILTER(H:H,A:A=K10,C:C=M10,D:D=N10,E:E=O10),1)"),27.9434022515176)</f>
        <v>27.94340225</v>
      </c>
      <c r="AB10" s="84">
        <f>IFERROR(__xludf.DUMMYFUNCTION("QUARTILE(FILTER(H:H,A:A=K10,C:C=M10,D:D=N10,E:E=O10),3)"),156.930883450401)</f>
        <v>156.9308835</v>
      </c>
      <c r="AD10" s="82">
        <f t="shared" si="5"/>
        <v>9</v>
      </c>
      <c r="AE10" s="82">
        <f t="shared" si="6"/>
        <v>3.091392484</v>
      </c>
      <c r="AF10" s="82">
        <f t="shared" ref="AF10:AJ10" si="20">IF($K10=AF$2,$R10,NA())</f>
        <v>3.036381231</v>
      </c>
      <c r="AG10" s="82" t="str">
        <f t="shared" si="20"/>
        <v>#N/A</v>
      </c>
      <c r="AH10" s="82" t="str">
        <f t="shared" si="20"/>
        <v>#N/A</v>
      </c>
      <c r="AI10" s="82" t="str">
        <f t="shared" si="20"/>
        <v>#N/A</v>
      </c>
      <c r="AJ10" s="82" t="str">
        <f t="shared" si="20"/>
        <v>#N/A</v>
      </c>
      <c r="AR10" s="85"/>
      <c r="AS10" s="84">
        <f t="shared" si="8"/>
        <v>108.6465958</v>
      </c>
      <c r="AT10" s="84">
        <f t="shared" ref="AT10:AX10" si="21">IF($K10=AF$2,$X10,NA())</f>
        <v>116.3099787</v>
      </c>
      <c r="AU10" s="84" t="str">
        <f t="shared" si="21"/>
        <v>#N/A</v>
      </c>
      <c r="AV10" s="84" t="str">
        <f t="shared" si="21"/>
        <v>#N/A</v>
      </c>
      <c r="AW10" s="84" t="str">
        <f t="shared" si="21"/>
        <v>#N/A</v>
      </c>
      <c r="AX10" s="84" t="str">
        <f t="shared" si="21"/>
        <v>#N/A</v>
      </c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</row>
    <row r="11">
      <c r="A11" s="43" t="str">
        <f t="shared" si="1"/>
        <v>ITC-state</v>
      </c>
      <c r="J11" s="81" t="str">
        <f t="shared" si="4"/>
        <v>CTC-0</v>
      </c>
      <c r="K11" s="39" t="str">
        <f>IFERROR(__xludf.DUMMYFUNCTION("""COMPUTED_VALUE"""),"CTC")</f>
        <v>CTC</v>
      </c>
      <c r="L11" s="39" t="str">
        <f>IFERROR(__xludf.DUMMYFUNCTION("""COMPUTED_VALUE"""),"kmeans")</f>
        <v>kmeans</v>
      </c>
      <c r="M11" s="39">
        <f>IFERROR(__xludf.DUMMYFUNCTION("""COMPUTED_VALUE"""),0.0)</f>
        <v>0</v>
      </c>
      <c r="N11" s="39">
        <f>IFERROR(__xludf.DUMMYFUNCTION("""COMPUTED_VALUE"""),0.0)</f>
        <v>0</v>
      </c>
      <c r="O11" s="39">
        <f>IFERROR(__xludf.DUMMYFUNCTION("""COMPUTED_VALUE"""),10.0)</f>
        <v>10</v>
      </c>
      <c r="P11" s="39">
        <f>IFERROR(__xludf.DUMMYFUNCTION("COUNT(FILTER(G:G,A:A=K11,C:C=M11,D:D=N11,E:E=O11))"),5.0)</f>
        <v>5</v>
      </c>
      <c r="Q11" s="86">
        <f>IFERROR(__xludf.DUMMYFUNCTION("AVERAGE(FILTER(G:G,A:A=K11,C:C=M11,D:D=N11,E:E=O11))"),3.1486005791651657)</f>
        <v>3.148600579</v>
      </c>
      <c r="R11" s="83">
        <f>IFERROR(__xludf.DUMMYFUNCTION("STDEV(FILTER(G:G,A:A=K11,C:C=M11,D:D=N11,E:E=O11))"),3.064019115491422)</f>
        <v>3.064019115</v>
      </c>
      <c r="S11" s="87">
        <f>IFERROR(__xludf.DUMMYFUNCTION("MIN(FILTER(G:G,A:A=K11,C:C=M11,D:D=N11,E:E=O11))"),0.651993091739278)</f>
        <v>0.6519930917</v>
      </c>
      <c r="T11" s="86">
        <f>IFERROR(__xludf.DUMMYFUNCTION("MAX(FILTER(G:G,A:A=K11,C:C=M11,D:D=N11,E:E=O11))"),8.20616189081472)</f>
        <v>8.206161891</v>
      </c>
      <c r="U11" s="82">
        <f>IFERROR(__xludf.DUMMYFUNCTION("QUARTILE(FILTER(G:G,A:A=K11,C:C=M11,D:D=N11,E:E=O11),1)"),1.35224836248878)</f>
        <v>1.352248362</v>
      </c>
      <c r="V11" s="82">
        <f>IFERROR(__xludf.DUMMYFUNCTION("QUARTILE(FILTER(G:G,A:A=K11,C:C=M11,D:D=N11,E:E=O11),3)"),3.82026564237486)</f>
        <v>3.820265642</v>
      </c>
      <c r="W11" s="84">
        <f>IFERROR(__xludf.DUMMYFUNCTION("AVERAGE(FILTER(H:H,A:A=K11,C:C=M11,D:D=N11,E:E=O11))"),110.71862470392148)</f>
        <v>110.7186247</v>
      </c>
      <c r="X11" s="84">
        <f>IFERROR(__xludf.DUMMYFUNCTION("STDEV(FILTER(H:H,A:A=K11,C:C=M11,D:D=N11,E:E=O11))"),117.40932664080658)</f>
        <v>117.4093266</v>
      </c>
      <c r="Y11" s="84">
        <f>IFERROR(__xludf.DUMMYFUNCTION("MIN(FILTER(H:H,A:A=K11,C:C=M11,D:D=N11,E:E=O11))"),1.20202488595701)</f>
        <v>1.202024886</v>
      </c>
      <c r="Z11" s="84">
        <f>IFERROR(__xludf.DUMMYFUNCTION("MAX(FILTER(H:H,A:A=K11,C:C=M11,D:D=N11,E:E=O11))"),287.925670854504)</f>
        <v>287.9256709</v>
      </c>
      <c r="AA11" s="84">
        <f>IFERROR(__xludf.DUMMYFUNCTION("QUARTILE(FILTER(H:H,A:A=K11,C:C=M11,D:D=N11,E:E=O11),1)"),27.8513587008941)</f>
        <v>27.8513587</v>
      </c>
      <c r="AB11" s="84">
        <f>IFERROR(__xludf.DUMMYFUNCTION("QUARTILE(FILTER(H:H,A:A=K11,C:C=M11,D:D=N11,E:E=O11),3)"),167.099582051103)</f>
        <v>167.0995821</v>
      </c>
      <c r="AD11" s="82">
        <f t="shared" si="5"/>
        <v>10</v>
      </c>
      <c r="AE11" s="86">
        <f t="shared" si="6"/>
        <v>3.148600579</v>
      </c>
      <c r="AF11" s="82">
        <f t="shared" ref="AF11:AJ11" si="22">IF($K11=AF$2,$R11,NA())</f>
        <v>3.064019115</v>
      </c>
      <c r="AG11" s="82" t="str">
        <f t="shared" si="22"/>
        <v>#N/A</v>
      </c>
      <c r="AH11" s="82" t="str">
        <f t="shared" si="22"/>
        <v>#N/A</v>
      </c>
      <c r="AI11" s="82" t="str">
        <f t="shared" si="22"/>
        <v>#N/A</v>
      </c>
      <c r="AJ11" s="82" t="str">
        <f t="shared" si="22"/>
        <v>#N/A</v>
      </c>
      <c r="AR11" s="85"/>
      <c r="AS11" s="84">
        <f t="shared" si="8"/>
        <v>110.7186247</v>
      </c>
      <c r="AT11" s="84">
        <f t="shared" ref="AT11:AX11" si="23">IF($K11=AF$2,$X11,NA())</f>
        <v>117.4093266</v>
      </c>
      <c r="AU11" s="84" t="str">
        <f t="shared" si="23"/>
        <v>#N/A</v>
      </c>
      <c r="AV11" s="84" t="str">
        <f t="shared" si="23"/>
        <v>#N/A</v>
      </c>
      <c r="AW11" s="84" t="str">
        <f t="shared" si="23"/>
        <v>#N/A</v>
      </c>
      <c r="AX11" s="84" t="str">
        <f t="shared" si="23"/>
        <v>#N/A</v>
      </c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</row>
    <row r="12">
      <c r="A12" s="43" t="str">
        <f t="shared" si="1"/>
        <v>ITC-state</v>
      </c>
      <c r="J12" s="81" t="str">
        <f t="shared" si="4"/>
        <v>CTC-ITER-0</v>
      </c>
      <c r="K12" s="39" t="str">
        <f>IFERROR(__xludf.DUMMYFUNCTION("""COMPUTED_VALUE"""),"CTC-ITER")</f>
        <v>CTC-ITER</v>
      </c>
      <c r="L12" s="39" t="str">
        <f>IFERROR(__xludf.DUMMYFUNCTION("""COMPUTED_VALUE"""),"kmeans-iter")</f>
        <v>kmeans-iter</v>
      </c>
      <c r="M12" s="39">
        <f>IFERROR(__xludf.DUMMYFUNCTION("""COMPUTED_VALUE"""),0.0)</f>
        <v>0</v>
      </c>
      <c r="N12" s="39">
        <f>IFERROR(__xludf.DUMMYFUNCTION("""COMPUTED_VALUE"""),0.0)</f>
        <v>0</v>
      </c>
      <c r="O12" s="39">
        <f>IFERROR(__xludf.DUMMYFUNCTION("""COMPUTED_VALUE"""),1.0)</f>
        <v>1</v>
      </c>
      <c r="P12" s="39">
        <f>IFERROR(__xludf.DUMMYFUNCTION("COUNT(FILTER(G:G,A:A=K12,C:C=M12,D:D=N12,E:E=O12))"),5.0)</f>
        <v>5</v>
      </c>
      <c r="Q12" s="82">
        <f>IFERROR(__xludf.DUMMYFUNCTION("AVERAGE(FILTER(G:G,A:A=K12,C:C=M12,D:D=N12,E:E=O12))"),3.252)</f>
        <v>3.252</v>
      </c>
      <c r="R12" s="83">
        <f>IFERROR(__xludf.DUMMYFUNCTION("STDEV(FILTER(G:G,A:A=K12,C:C=M12,D:D=N12,E:E=O12))"),2.9658590661054682)</f>
        <v>2.965859066</v>
      </c>
      <c r="S12" s="83">
        <f>IFERROR(__xludf.DUMMYFUNCTION("MIN(FILTER(G:G,A:A=K12,C:C=M12,D:D=N12,E:E=O12))"),0.65)</f>
        <v>0.65</v>
      </c>
      <c r="T12" s="82">
        <f>IFERROR(__xludf.DUMMYFUNCTION("MAX(FILTER(G:G,A:A=K12,C:C=M12,D:D=N12,E:E=O12))"),8.16)</f>
        <v>8.16</v>
      </c>
      <c r="U12" s="82">
        <f>IFERROR(__xludf.DUMMYFUNCTION("QUARTILE(FILTER(G:G,A:A=K12,C:C=M12,D:D=N12,E:E=O12),1)"),1.35)</f>
        <v>1.35</v>
      </c>
      <c r="V12" s="82">
        <f>IFERROR(__xludf.DUMMYFUNCTION("QUARTILE(FILTER(G:G,A:A=K12,C:C=M12,D:D=N12,E:E=O12),3)"),3.61)</f>
        <v>3.61</v>
      </c>
      <c r="W12" s="84">
        <f>IFERROR(__xludf.DUMMYFUNCTION("AVERAGE(FILTER(H:H,A:A=K12,C:C=M12,D:D=N12,E:E=O12))"),129.2916243398)</f>
        <v>129.2916243</v>
      </c>
      <c r="X12" s="84">
        <f>IFERROR(__xludf.DUMMYFUNCTION("STDEV(FILTER(H:H,A:A=K12,C:C=M12,D:D=N12,E:E=O12))"),106.77878848542154)</f>
        <v>106.7787885</v>
      </c>
      <c r="Y12" s="84">
        <f>IFERROR(__xludf.DUMMYFUNCTION("MIN(FILTER(H:H,A:A=K12,C:C=M12,D:D=N12,E:E=O12))"),1.201201269)</f>
        <v>1.201201269</v>
      </c>
      <c r="Z12" s="84">
        <f>IFERROR(__xludf.DUMMYFUNCTION("MAX(FILTER(H:H,A:A=K12,C:C=M12,D:D=N12,E:E=O12))"),286.9544343)</f>
        <v>286.9544343</v>
      </c>
      <c r="AA12" s="84">
        <f>IFERROR(__xludf.DUMMYFUNCTION("QUARTILE(FILTER(H:H,A:A=K12,C:C=M12,D:D=N12,E:E=O12),1)"),69.51448703)</f>
        <v>69.51448703</v>
      </c>
      <c r="AB12" s="84">
        <f>IFERROR(__xludf.DUMMYFUNCTION("QUARTILE(FILTER(H:H,A:A=K12,C:C=M12,D:D=N12,E:E=O12),3)"),156.8970179)</f>
        <v>156.8970179</v>
      </c>
      <c r="AD12" s="82">
        <f t="shared" si="5"/>
        <v>1</v>
      </c>
      <c r="AE12" s="82">
        <f t="shared" si="6"/>
        <v>3.252</v>
      </c>
      <c r="AF12" s="82" t="str">
        <f t="shared" ref="AF12:AJ12" si="24">IF($K12=AF$2,$R12,NA())</f>
        <v>#N/A</v>
      </c>
      <c r="AG12" s="82">
        <f t="shared" si="24"/>
        <v>2.965859066</v>
      </c>
      <c r="AH12" s="82" t="str">
        <f t="shared" si="24"/>
        <v>#N/A</v>
      </c>
      <c r="AI12" s="82" t="str">
        <f t="shared" si="24"/>
        <v>#N/A</v>
      </c>
      <c r="AJ12" s="82" t="str">
        <f t="shared" si="24"/>
        <v>#N/A</v>
      </c>
      <c r="AR12" s="85"/>
      <c r="AS12" s="84">
        <f t="shared" si="8"/>
        <v>129.2916243</v>
      </c>
      <c r="AT12" s="84" t="str">
        <f t="shared" ref="AT12:AX12" si="25">IF($K12=AF$2,$X12,NA())</f>
        <v>#N/A</v>
      </c>
      <c r="AU12" s="84">
        <f t="shared" si="25"/>
        <v>106.7787885</v>
      </c>
      <c r="AV12" s="84" t="str">
        <f t="shared" si="25"/>
        <v>#N/A</v>
      </c>
      <c r="AW12" s="84" t="str">
        <f t="shared" si="25"/>
        <v>#N/A</v>
      </c>
      <c r="AX12" s="84" t="str">
        <f t="shared" si="25"/>
        <v>#N/A</v>
      </c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</row>
    <row r="13">
      <c r="A13" s="43" t="str">
        <f t="shared" si="1"/>
        <v>ITC-state</v>
      </c>
      <c r="J13" s="81" t="str">
        <f t="shared" si="4"/>
        <v>ITC-category-1</v>
      </c>
      <c r="K13" s="39" t="str">
        <f>IFERROR(__xludf.DUMMYFUNCTION("""COMPUTED_VALUE"""),"ITC-category")</f>
        <v>ITC-category</v>
      </c>
      <c r="L13" s="39" t="str">
        <f>IFERROR(__xludf.DUMMYFUNCTION("""COMPUTED_VALUE"""),"easycategs")</f>
        <v>easycategs</v>
      </c>
      <c r="M13" s="39">
        <f>IFERROR(__xludf.DUMMYFUNCTION("""COMPUTED_VALUE"""),1.0)</f>
        <v>1</v>
      </c>
      <c r="N13" s="39">
        <f>IFERROR(__xludf.DUMMYFUNCTION("""COMPUTED_VALUE"""),1.0)</f>
        <v>1</v>
      </c>
      <c r="O13" s="39">
        <f>IFERROR(__xludf.DUMMYFUNCTION("""COMPUTED_VALUE"""),1.0)</f>
        <v>1</v>
      </c>
      <c r="P13" s="39">
        <f>IFERROR(__xludf.DUMMYFUNCTION("COUNT(FILTER(G:G,A:A=K13,C:C=M13,D:D=N13,E:E=O13))"),5.0)</f>
        <v>5</v>
      </c>
      <c r="Q13" s="82">
        <f>IFERROR(__xludf.DUMMYFUNCTION("AVERAGE(FILTER(G:G,A:A=K13,C:C=M13,D:D=N13,E:E=O13))"),3.5673323283103118)</f>
        <v>3.567332328</v>
      </c>
      <c r="R13" s="83">
        <f>IFERROR(__xludf.DUMMYFUNCTION("STDEV(FILTER(G:G,A:A=K13,C:C=M13,D:D=N13,E:E=O13))"),2.927033382430406)</f>
        <v>2.927033382</v>
      </c>
      <c r="S13" s="83">
        <f>IFERROR(__xludf.DUMMYFUNCTION("MIN(FILTER(G:G,A:A=K13,C:C=M13,D:D=N13,E:E=O13))"),0.708177920832769)</f>
        <v>0.7081779208</v>
      </c>
      <c r="T13" s="82">
        <f>IFERROR(__xludf.DUMMYFUNCTION("MAX(FILTER(G:G,A:A=K13,C:C=M13,D:D=N13,E:E=O13))"),8.29395582759207)</f>
        <v>8.293955828</v>
      </c>
      <c r="U13" s="82">
        <f>IFERROR(__xludf.DUMMYFUNCTION("QUARTILE(FILTER(G:G,A:A=K13,C:C=M13,D:D=N13,E:E=O13),1)"),1.74665259385652)</f>
        <v>1.746652594</v>
      </c>
      <c r="V13" s="82">
        <f>IFERROR(__xludf.DUMMYFUNCTION("QUARTILE(FILTER(G:G,A:A=K13,C:C=M13,D:D=N13,E:E=O13),3)"),4.01212283749124)</f>
        <v>4.012122837</v>
      </c>
      <c r="W13" s="84">
        <f>IFERROR(__xludf.DUMMYFUNCTION("AVERAGE(FILTER(H:H,A:A=K13,C:C=M13,D:D=N13,E:E=O13))"),135.7481977177315)</f>
        <v>135.7481977</v>
      </c>
      <c r="X13" s="84">
        <f>IFERROR(__xludf.DUMMYFUNCTION("STDEV(FILTER(H:H,A:A=K13,C:C=M13,D:D=N13,E:E=O13))"),110.15424652054162)</f>
        <v>110.1542465</v>
      </c>
      <c r="Y13" s="84">
        <f>IFERROR(__xludf.DUMMYFUNCTION("MIN(FILTER(H:H,A:A=K13,C:C=M13,D:D=N13,E:E=O13))"),0.944709338392836)</f>
        <v>0.9447093384</v>
      </c>
      <c r="Z13" s="84">
        <f>IFERROR(__xludf.DUMMYFUNCTION("MAX(FILTER(H:H,A:A=K13,C:C=M13,D:D=N13,E:E=O13))"),288.88475631828)</f>
        <v>288.8847563</v>
      </c>
      <c r="AA13" s="84">
        <f>IFERROR(__xludf.DUMMYFUNCTION("QUARTILE(FILTER(H:H,A:A=K13,C:C=M13,D:D=N13,E:E=O13),1)"),71.2873430859307)</f>
        <v>71.28734309</v>
      </c>
      <c r="AB13" s="84">
        <f>IFERROR(__xludf.DUMMYFUNCTION("QUARTILE(FILTER(H:H,A:A=K13,C:C=M13,D:D=N13,E:E=O13),3)"),187.914993726584)</f>
        <v>187.9149937</v>
      </c>
      <c r="AD13" s="82">
        <f t="shared" si="5"/>
        <v>1</v>
      </c>
      <c r="AE13" s="82">
        <f t="shared" si="6"/>
        <v>3.567332328</v>
      </c>
      <c r="AF13" s="82" t="str">
        <f t="shared" ref="AF13:AJ13" si="26">IF($K13=AF$2,$R13,NA())</f>
        <v>#N/A</v>
      </c>
      <c r="AG13" s="82" t="str">
        <f t="shared" si="26"/>
        <v>#N/A</v>
      </c>
      <c r="AH13" s="82">
        <f t="shared" si="26"/>
        <v>2.927033382</v>
      </c>
      <c r="AI13" s="82" t="str">
        <f t="shared" si="26"/>
        <v>#N/A</v>
      </c>
      <c r="AJ13" s="82" t="str">
        <f t="shared" si="26"/>
        <v>#N/A</v>
      </c>
      <c r="AR13" s="85"/>
      <c r="AS13" s="84">
        <f t="shared" si="8"/>
        <v>135.7481977</v>
      </c>
      <c r="AT13" s="84" t="str">
        <f t="shared" ref="AT13:AX13" si="27">IF($K13=AF$2,$X13,NA())</f>
        <v>#N/A</v>
      </c>
      <c r="AU13" s="84" t="str">
        <f t="shared" si="27"/>
        <v>#N/A</v>
      </c>
      <c r="AV13" s="84">
        <f t="shared" si="27"/>
        <v>110.1542465</v>
      </c>
      <c r="AW13" s="84" t="str">
        <f t="shared" si="27"/>
        <v>#N/A</v>
      </c>
      <c r="AX13" s="84" t="str">
        <f t="shared" si="27"/>
        <v>#N/A</v>
      </c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</row>
    <row r="14">
      <c r="A14" s="43" t="str">
        <f t="shared" si="1"/>
        <v>ITC-state</v>
      </c>
      <c r="J14" s="81" t="str">
        <f t="shared" si="4"/>
        <v>ITC-category-1</v>
      </c>
      <c r="K14" s="39" t="str">
        <f>IFERROR(__xludf.DUMMYFUNCTION("""COMPUTED_VALUE"""),"ITC-category")</f>
        <v>ITC-category</v>
      </c>
      <c r="L14" s="39" t="str">
        <f>IFERROR(__xludf.DUMMYFUNCTION("""COMPUTED_VALUE"""),"easycategs")</f>
        <v>easycategs</v>
      </c>
      <c r="M14" s="39">
        <f>IFERROR(__xludf.DUMMYFUNCTION("""COMPUTED_VALUE"""),1.0)</f>
        <v>1</v>
      </c>
      <c r="N14" s="39">
        <f>IFERROR(__xludf.DUMMYFUNCTION("""COMPUTED_VALUE"""),1.0)</f>
        <v>1</v>
      </c>
      <c r="O14" s="39">
        <f>IFERROR(__xludf.DUMMYFUNCTION("""COMPUTED_VALUE"""),2.0)</f>
        <v>2</v>
      </c>
      <c r="P14" s="39">
        <f>IFERROR(__xludf.DUMMYFUNCTION("COUNT(FILTER(G:G,A:A=K14,C:C=M14,D:D=N14,E:E=O14))"),5.0)</f>
        <v>5</v>
      </c>
      <c r="Q14" s="82">
        <f>IFERROR(__xludf.DUMMYFUNCTION("AVERAGE(FILTER(G:G,A:A=K14,C:C=M14,D:D=N14,E:E=O14))"),1.6345331105130143)</f>
        <v>1.634533111</v>
      </c>
      <c r="R14" s="83">
        <f>IFERROR(__xludf.DUMMYFUNCTION("STDEV(FILTER(G:G,A:A=K14,C:C=M14,D:D=N14,E:E=O14))"),1.6177498115937234)</f>
        <v>1.617749812</v>
      </c>
      <c r="S14" s="83">
        <f>IFERROR(__xludf.DUMMYFUNCTION("MIN(FILTER(G:G,A:A=K14,C:C=M14,D:D=N14,E:E=O14))"),0.464590140147063)</f>
        <v>0.4645901401</v>
      </c>
      <c r="T14" s="82">
        <f>IFERROR(__xludf.DUMMYFUNCTION("MAX(FILTER(G:G,A:A=K14,C:C=M14,D:D=N14,E:E=O14))"),4.34701397093844)</f>
        <v>4.347013971</v>
      </c>
      <c r="U14" s="82">
        <f>IFERROR(__xludf.DUMMYFUNCTION("QUARTILE(FILTER(G:G,A:A=K14,C:C=M14,D:D=N14,E:E=O14),1)"),0.70824463417538)</f>
        <v>0.7082446342</v>
      </c>
      <c r="V14" s="82">
        <f>IFERROR(__xludf.DUMMYFUNCTION("QUARTILE(FILTER(G:G,A:A=K14,C:C=M14,D:D=N14,E:E=O14),3)"),1.91558020720815)</f>
        <v>1.915580207</v>
      </c>
      <c r="W14" s="84">
        <f>IFERROR(__xludf.DUMMYFUNCTION("AVERAGE(FILTER(H:H,A:A=K14,C:C=M14,D:D=N14,E:E=O14))"),53.822320736203906)</f>
        <v>53.82232074</v>
      </c>
      <c r="X14" s="84">
        <f>IFERROR(__xludf.DUMMYFUNCTION("STDEV(FILTER(H:H,A:A=K14,C:C=M14,D:D=N14,E:E=O14))"),82.16606347436799)</f>
        <v>82.16606347</v>
      </c>
      <c r="Y14" s="84">
        <f>IFERROR(__xludf.DUMMYFUNCTION("MIN(FILTER(H:H,A:A=K14,C:C=M14,D:D=N14,E:E=O14))"),0.556985070722892)</f>
        <v>0.5569850707</v>
      </c>
      <c r="Z14" s="84">
        <f>IFERROR(__xludf.DUMMYFUNCTION("MAX(FILTER(H:H,A:A=K14,C:C=M14,D:D=N14,E:E=O14))"),188.638761794415)</f>
        <v>188.6387618</v>
      </c>
      <c r="AA14" s="84">
        <f>IFERROR(__xludf.DUMMYFUNCTION("QUARTILE(FILTER(H:H,A:A=K14,C:C=M14,D:D=N14,E:E=O14),1)"),0.945286099682805)</f>
        <v>0.9452860997</v>
      </c>
      <c r="AB14" s="84">
        <f>IFERROR(__xludf.DUMMYFUNCTION("QUARTILE(FILTER(H:H,A:A=K14,C:C=M14,D:D=N14,E:E=O14),3)"),76.8034928814996)</f>
        <v>76.80349288</v>
      </c>
      <c r="AD14" s="82">
        <f t="shared" si="5"/>
        <v>2</v>
      </c>
      <c r="AE14" s="82">
        <f t="shared" si="6"/>
        <v>1.634533111</v>
      </c>
      <c r="AF14" s="82" t="str">
        <f t="shared" ref="AF14:AJ14" si="28">IF($K14=AF$2,$R14,NA())</f>
        <v>#N/A</v>
      </c>
      <c r="AG14" s="82" t="str">
        <f t="shared" si="28"/>
        <v>#N/A</v>
      </c>
      <c r="AH14" s="82">
        <f t="shared" si="28"/>
        <v>1.617749812</v>
      </c>
      <c r="AI14" s="82" t="str">
        <f t="shared" si="28"/>
        <v>#N/A</v>
      </c>
      <c r="AJ14" s="82" t="str">
        <f t="shared" si="28"/>
        <v>#N/A</v>
      </c>
      <c r="AR14" s="85"/>
      <c r="AS14" s="84">
        <f t="shared" si="8"/>
        <v>53.82232074</v>
      </c>
      <c r="AT14" s="84" t="str">
        <f t="shared" ref="AT14:AX14" si="29">IF($K14=AF$2,$X14,NA())</f>
        <v>#N/A</v>
      </c>
      <c r="AU14" s="84" t="str">
        <f t="shared" si="29"/>
        <v>#N/A</v>
      </c>
      <c r="AV14" s="84">
        <f t="shared" si="29"/>
        <v>82.16606347</v>
      </c>
      <c r="AW14" s="84" t="str">
        <f t="shared" si="29"/>
        <v>#N/A</v>
      </c>
      <c r="AX14" s="84" t="str">
        <f t="shared" si="29"/>
        <v>#N/A</v>
      </c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</row>
    <row r="15">
      <c r="A15" s="43" t="str">
        <f t="shared" si="1"/>
        <v>ITC-state</v>
      </c>
      <c r="J15" s="81" t="str">
        <f t="shared" si="4"/>
        <v>ITC-category-1</v>
      </c>
      <c r="K15" s="39" t="str">
        <f>IFERROR(__xludf.DUMMYFUNCTION("""COMPUTED_VALUE"""),"ITC-category")</f>
        <v>ITC-category</v>
      </c>
      <c r="L15" s="39" t="str">
        <f>IFERROR(__xludf.DUMMYFUNCTION("""COMPUTED_VALUE"""),"easycategs")</f>
        <v>easycategs</v>
      </c>
      <c r="M15" s="39">
        <f>IFERROR(__xludf.DUMMYFUNCTION("""COMPUTED_VALUE"""),1.0)</f>
        <v>1</v>
      </c>
      <c r="N15" s="39">
        <f>IFERROR(__xludf.DUMMYFUNCTION("""COMPUTED_VALUE"""),1.0)</f>
        <v>1</v>
      </c>
      <c r="O15" s="39">
        <f>IFERROR(__xludf.DUMMYFUNCTION("""COMPUTED_VALUE"""),3.0)</f>
        <v>3</v>
      </c>
      <c r="P15" s="39">
        <f>IFERROR(__xludf.DUMMYFUNCTION("COUNT(FILTER(G:G,A:A=K15,C:C=M15,D:D=N15,E:E=O15))"),5.0)</f>
        <v>5</v>
      </c>
      <c r="Q15" s="82">
        <f>IFERROR(__xludf.DUMMYFUNCTION("AVERAGE(FILTER(G:G,A:A=K15,C:C=M15,D:D=N15,E:E=O15))"),2.336274564233208)</f>
        <v>2.336274564</v>
      </c>
      <c r="R15" s="83">
        <f>IFERROR(__xludf.DUMMYFUNCTION("STDEV(FILTER(G:G,A:A=K15,C:C=M15,D:D=N15,E:E=O15))"),1.3900112067888033)</f>
        <v>1.390011207</v>
      </c>
      <c r="S15" s="83">
        <f>IFERROR(__xludf.DUMMYFUNCTION("MIN(FILTER(G:G,A:A=K15,C:C=M15,D:D=N15,E:E=O15))"),0.736192093514763)</f>
        <v>0.7361920935</v>
      </c>
      <c r="T15" s="82">
        <f>IFERROR(__xludf.DUMMYFUNCTION("MAX(FILTER(G:G,A:A=K15,C:C=M15,D:D=N15,E:E=O15))"),4.21702655993677)</f>
        <v>4.21702656</v>
      </c>
      <c r="U15" s="82">
        <f>IFERROR(__xludf.DUMMYFUNCTION("QUARTILE(FILTER(G:G,A:A=K15,C:C=M15,D:D=N15,E:E=O15),1)"),1.21593702315599)</f>
        <v>1.215937023</v>
      </c>
      <c r="V15" s="82">
        <f>IFERROR(__xludf.DUMMYFUNCTION("QUARTILE(FILTER(G:G,A:A=K15,C:C=M15,D:D=N15,E:E=O15),3)"),2.86417161633114)</f>
        <v>2.864171616</v>
      </c>
      <c r="W15" s="84">
        <f>IFERROR(__xludf.DUMMYFUNCTION("AVERAGE(FILTER(H:H,A:A=K15,C:C=M15,D:D=N15,E:E=O15))"),69.8486616836278)</f>
        <v>69.84866168</v>
      </c>
      <c r="X15" s="84">
        <f>IFERROR(__xludf.DUMMYFUNCTION("STDEV(FILTER(H:H,A:A=K15,C:C=M15,D:D=N15,E:E=O15))"),86.69844102156644)</f>
        <v>86.69844102</v>
      </c>
      <c r="Y15" s="84">
        <f>IFERROR(__xludf.DUMMYFUNCTION("MIN(FILTER(H:H,A:A=K15,C:C=M15,D:D=N15,E:E=O15))"),0.950544336758399)</f>
        <v>0.9505443368</v>
      </c>
      <c r="Z15" s="84">
        <f>IFERROR(__xludf.DUMMYFUNCTION("MAX(FILTER(H:H,A:A=K15,C:C=M15,D:D=N15,E:E=O15))"),176.844909291369)</f>
        <v>176.8449093</v>
      </c>
      <c r="AA15" s="84">
        <f>IFERROR(__xludf.DUMMYFUNCTION("QUARTILE(FILTER(H:H,A:A=K15,C:C=M15,D:D=N15,E:E=O15),1)"),4.14886586724848)</f>
        <v>4.148865867</v>
      </c>
      <c r="AB15" s="84">
        <f>IFERROR(__xludf.DUMMYFUNCTION("QUARTILE(FILTER(H:H,A:A=K15,C:C=M15,D:D=N15,E:E=O15),3)"),151.376675065505)</f>
        <v>151.3766751</v>
      </c>
      <c r="AD15" s="82">
        <f t="shared" si="5"/>
        <v>3</v>
      </c>
      <c r="AE15" s="82">
        <f t="shared" si="6"/>
        <v>2.336274564</v>
      </c>
      <c r="AF15" s="82" t="str">
        <f t="shared" ref="AF15:AJ15" si="30">IF($K15=AF$2,$R15,NA())</f>
        <v>#N/A</v>
      </c>
      <c r="AG15" s="82" t="str">
        <f t="shared" si="30"/>
        <v>#N/A</v>
      </c>
      <c r="AH15" s="82">
        <f t="shared" si="30"/>
        <v>1.390011207</v>
      </c>
      <c r="AI15" s="82" t="str">
        <f t="shared" si="30"/>
        <v>#N/A</v>
      </c>
      <c r="AJ15" s="82" t="str">
        <f t="shared" si="30"/>
        <v>#N/A</v>
      </c>
      <c r="AR15" s="85"/>
      <c r="AS15" s="84">
        <f t="shared" si="8"/>
        <v>69.84866168</v>
      </c>
      <c r="AT15" s="84" t="str">
        <f t="shared" ref="AT15:AX15" si="31">IF($K15=AF$2,$X15,NA())</f>
        <v>#N/A</v>
      </c>
      <c r="AU15" s="84" t="str">
        <f t="shared" si="31"/>
        <v>#N/A</v>
      </c>
      <c r="AV15" s="84">
        <f t="shared" si="31"/>
        <v>86.69844102</v>
      </c>
      <c r="AW15" s="84" t="str">
        <f t="shared" si="31"/>
        <v>#N/A</v>
      </c>
      <c r="AX15" s="84" t="str">
        <f t="shared" si="31"/>
        <v>#N/A</v>
      </c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</row>
    <row r="16">
      <c r="A16" s="43" t="str">
        <f t="shared" si="1"/>
        <v>ITC-state</v>
      </c>
      <c r="J16" s="81" t="str">
        <f t="shared" si="4"/>
        <v>ITC-category-1</v>
      </c>
      <c r="K16" s="39" t="str">
        <f>IFERROR(__xludf.DUMMYFUNCTION("""COMPUTED_VALUE"""),"ITC-category")</f>
        <v>ITC-category</v>
      </c>
      <c r="L16" s="39" t="str">
        <f>IFERROR(__xludf.DUMMYFUNCTION("""COMPUTED_VALUE"""),"easycategs")</f>
        <v>easycategs</v>
      </c>
      <c r="M16" s="39">
        <f>IFERROR(__xludf.DUMMYFUNCTION("""COMPUTED_VALUE"""),1.0)</f>
        <v>1</v>
      </c>
      <c r="N16" s="39">
        <f>IFERROR(__xludf.DUMMYFUNCTION("""COMPUTED_VALUE"""),1.0)</f>
        <v>1</v>
      </c>
      <c r="O16" s="39">
        <f>IFERROR(__xludf.DUMMYFUNCTION("""COMPUTED_VALUE"""),4.0)</f>
        <v>4</v>
      </c>
      <c r="P16" s="39">
        <f>IFERROR(__xludf.DUMMYFUNCTION("COUNT(FILTER(G:G,A:A=K16,C:C=M16,D:D=N16,E:E=O16))"),5.0)</f>
        <v>5</v>
      </c>
      <c r="Q16" s="82">
        <f>IFERROR(__xludf.DUMMYFUNCTION("AVERAGE(FILTER(G:G,A:A=K16,C:C=M16,D:D=N16,E:E=O16))"),1.9712553239928812)</f>
        <v>1.971255324</v>
      </c>
      <c r="R16" s="83">
        <f>IFERROR(__xludf.DUMMYFUNCTION("STDEV(FILTER(G:G,A:A=K16,C:C=M16,D:D=N16,E:E=O16))"),1.3186560855040925)</f>
        <v>1.318656086</v>
      </c>
      <c r="S16" s="83">
        <f>IFERROR(__xludf.DUMMYFUNCTION("MIN(FILTER(G:G,A:A=K16,C:C=M16,D:D=N16,E:E=O16))"),0.463883064978275)</f>
        <v>0.463883065</v>
      </c>
      <c r="T16" s="82">
        <f>IFERROR(__xludf.DUMMYFUNCTION("MAX(FILTER(G:G,A:A=K16,C:C=M16,D:D=N16,E:E=O16))"),3.90195060597229)</f>
        <v>3.901950606</v>
      </c>
      <c r="U16" s="82">
        <f>IFERROR(__xludf.DUMMYFUNCTION("QUARTILE(FILTER(G:G,A:A=K16,C:C=M16,D:D=N16,E:E=O16),1)"),1.21703352778983)</f>
        <v>1.217033528</v>
      </c>
      <c r="V16" s="82">
        <f>IFERROR(__xludf.DUMMYFUNCTION("QUARTILE(FILTER(G:G,A:A=K16,C:C=M16,D:D=N16,E:E=O16),3)"),2.54417407836283)</f>
        <v>2.544174078</v>
      </c>
      <c r="W16" s="84">
        <f>IFERROR(__xludf.DUMMYFUNCTION("AVERAGE(FILTER(H:H,A:A=K16,C:C=M16,D:D=N16,E:E=O16))"),70.53566117076517)</f>
        <v>70.53566117</v>
      </c>
      <c r="X16" s="84">
        <f>IFERROR(__xludf.DUMMYFUNCTION("STDEV(FILTER(H:H,A:A=K16,C:C=M16,D:D=N16,E:E=O16))"),78.33114806128468)</f>
        <v>78.33114806</v>
      </c>
      <c r="Y16" s="84">
        <f>IFERROR(__xludf.DUMMYFUNCTION("MIN(FILTER(H:H,A:A=K16,C:C=M16,D:D=N16,E:E=O16))"),0.556393237464974)</f>
        <v>0.5563932375</v>
      </c>
      <c r="Z16" s="84">
        <f>IFERROR(__xludf.DUMMYFUNCTION("MAX(FILTER(H:H,A:A=K16,C:C=M16,D:D=N16,E:E=O16))"),174.882172136775)</f>
        <v>174.8821721</v>
      </c>
      <c r="AA16" s="84">
        <f>IFERROR(__xludf.DUMMYFUNCTION("QUARTILE(FILTER(H:H,A:A=K16,C:C=M16,D:D=N16,E:E=O16),1)"),15.9319582041984)</f>
        <v>15.9319582</v>
      </c>
      <c r="AB16" s="84">
        <f>IFERROR(__xludf.DUMMYFUNCTION("QUARTILE(FILTER(H:H,A:A=K16,C:C=M16,D:D=N16,E:E=O16),3)"),133.433911989087)</f>
        <v>133.433912</v>
      </c>
      <c r="AD16" s="82">
        <f t="shared" si="5"/>
        <v>4</v>
      </c>
      <c r="AE16" s="82">
        <f t="shared" si="6"/>
        <v>1.971255324</v>
      </c>
      <c r="AF16" s="82" t="str">
        <f t="shared" ref="AF16:AJ16" si="32">IF($K16=AF$2,$R16,NA())</f>
        <v>#N/A</v>
      </c>
      <c r="AG16" s="82" t="str">
        <f t="shared" si="32"/>
        <v>#N/A</v>
      </c>
      <c r="AH16" s="82">
        <f t="shared" si="32"/>
        <v>1.318656086</v>
      </c>
      <c r="AI16" s="82" t="str">
        <f t="shared" si="32"/>
        <v>#N/A</v>
      </c>
      <c r="AJ16" s="82" t="str">
        <f t="shared" si="32"/>
        <v>#N/A</v>
      </c>
      <c r="AR16" s="85"/>
      <c r="AS16" s="84">
        <f t="shared" si="8"/>
        <v>70.53566117</v>
      </c>
      <c r="AT16" s="84" t="str">
        <f t="shared" ref="AT16:AX16" si="33">IF($K16=AF$2,$X16,NA())</f>
        <v>#N/A</v>
      </c>
      <c r="AU16" s="84" t="str">
        <f t="shared" si="33"/>
        <v>#N/A</v>
      </c>
      <c r="AV16" s="84">
        <f t="shared" si="33"/>
        <v>78.33114806</v>
      </c>
      <c r="AW16" s="84" t="str">
        <f t="shared" si="33"/>
        <v>#N/A</v>
      </c>
      <c r="AX16" s="84" t="str">
        <f t="shared" si="33"/>
        <v>#N/A</v>
      </c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</row>
    <row r="17">
      <c r="A17" s="43" t="str">
        <f t="shared" si="1"/>
        <v>ITC-state</v>
      </c>
      <c r="J17" s="81" t="str">
        <f t="shared" si="4"/>
        <v>ITC-category-1</v>
      </c>
      <c r="K17" s="39" t="str">
        <f>IFERROR(__xludf.DUMMYFUNCTION("""COMPUTED_VALUE"""),"ITC-category")</f>
        <v>ITC-category</v>
      </c>
      <c r="L17" s="39" t="str">
        <f>IFERROR(__xludf.DUMMYFUNCTION("""COMPUTED_VALUE"""),"easycategs")</f>
        <v>easycategs</v>
      </c>
      <c r="M17" s="39">
        <f>IFERROR(__xludf.DUMMYFUNCTION("""COMPUTED_VALUE"""),1.0)</f>
        <v>1</v>
      </c>
      <c r="N17" s="39">
        <f>IFERROR(__xludf.DUMMYFUNCTION("""COMPUTED_VALUE"""),1.0)</f>
        <v>1</v>
      </c>
      <c r="O17" s="39">
        <f>IFERROR(__xludf.DUMMYFUNCTION("""COMPUTED_VALUE"""),5.0)</f>
        <v>5</v>
      </c>
      <c r="P17" s="39">
        <f>IFERROR(__xludf.DUMMYFUNCTION("COUNT(FILTER(G:G,A:A=K17,C:C=M17,D:D=N17,E:E=O17))"),5.0)</f>
        <v>5</v>
      </c>
      <c r="Q17" s="82">
        <f>IFERROR(__xludf.DUMMYFUNCTION("AVERAGE(FILTER(G:G,A:A=K17,C:C=M17,D:D=N17,E:E=O17))"),3.498001839771274)</f>
        <v>3.49800184</v>
      </c>
      <c r="R17" s="83">
        <f>IFERROR(__xludf.DUMMYFUNCTION("STDEV(FILTER(G:G,A:A=K17,C:C=M17,D:D=N17,E:E=O17))"),2.2882637067330056)</f>
        <v>2.288263707</v>
      </c>
      <c r="S17" s="83">
        <f>IFERROR(__xludf.DUMMYFUNCTION("MIN(FILTER(G:G,A:A=K17,C:C=M17,D:D=N17,E:E=O17))"),0.706975593186279)</f>
        <v>0.7069755932</v>
      </c>
      <c r="T17" s="82">
        <f>IFERROR(__xludf.DUMMYFUNCTION("MAX(FILTER(G:G,A:A=K17,C:C=M17,D:D=N17,E:E=O17))"),6.95744990431435)</f>
        <v>6.957449904</v>
      </c>
      <c r="U17" s="82">
        <f>IFERROR(__xludf.DUMMYFUNCTION("QUARTILE(FILTER(G:G,A:A=K17,C:C=M17,D:D=N17,E:E=O17),1)"),2.57246213396168)</f>
        <v>2.572462134</v>
      </c>
      <c r="V17" s="82">
        <f>IFERROR(__xludf.DUMMYFUNCTION("QUARTILE(FILTER(G:G,A:A=K17,C:C=M17,D:D=N17,E:E=O17),3)"),4.01212283749124)</f>
        <v>4.012122837</v>
      </c>
      <c r="W17" s="84">
        <f>IFERROR(__xludf.DUMMYFUNCTION("AVERAGE(FILTER(H:H,A:A=K17,C:C=M17,D:D=N17,E:E=O17))"),130.1666112948393)</f>
        <v>130.1666113</v>
      </c>
      <c r="X17" s="84">
        <f>IFERROR(__xludf.DUMMYFUNCTION("STDEV(FILTER(H:H,A:A=K17,C:C=M17,D:D=N17,E:E=O17))"),75.29718424814988)</f>
        <v>75.29718425</v>
      </c>
      <c r="Y17" s="84">
        <f>IFERROR(__xludf.DUMMYFUNCTION("MIN(FILTER(H:H,A:A=K17,C:C=M17,D:D=N17,E:E=O17))"),0.943808022031494)</f>
        <v>0.943808022</v>
      </c>
      <c r="Z17" s="84">
        <f>IFERROR(__xludf.DUMMYFUNCTION("MAX(FILTER(H:H,A:A=K17,C:C=M17,D:D=N17,E:E=O17))"),187.914993726584)</f>
        <v>187.9149937</v>
      </c>
      <c r="AA17" s="84">
        <f>IFERROR(__xludf.DUMMYFUNCTION("QUARTILE(FILTER(H:H,A:A=K17,C:C=M17,D:D=N17,E:E=O17),1)"),134.340117638335)</f>
        <v>134.3401176</v>
      </c>
      <c r="AB17" s="84">
        <f>IFERROR(__xludf.DUMMYFUNCTION("QUARTILE(FILTER(H:H,A:A=K17,C:C=M17,D:D=N17,E:E=O17),3)"),177.291684722384)</f>
        <v>177.2916847</v>
      </c>
      <c r="AD17" s="82">
        <f t="shared" si="5"/>
        <v>5</v>
      </c>
      <c r="AE17" s="82">
        <f t="shared" si="6"/>
        <v>3.49800184</v>
      </c>
      <c r="AF17" s="82" t="str">
        <f t="shared" ref="AF17:AJ17" si="34">IF($K17=AF$2,$R17,NA())</f>
        <v>#N/A</v>
      </c>
      <c r="AG17" s="82" t="str">
        <f t="shared" si="34"/>
        <v>#N/A</v>
      </c>
      <c r="AH17" s="82">
        <f t="shared" si="34"/>
        <v>2.288263707</v>
      </c>
      <c r="AI17" s="82" t="str">
        <f t="shared" si="34"/>
        <v>#N/A</v>
      </c>
      <c r="AJ17" s="82" t="str">
        <f t="shared" si="34"/>
        <v>#N/A</v>
      </c>
      <c r="AR17" s="85"/>
      <c r="AS17" s="84">
        <f t="shared" si="8"/>
        <v>130.1666113</v>
      </c>
      <c r="AT17" s="84" t="str">
        <f t="shared" ref="AT17:AX17" si="35">IF($K17=AF$2,$X17,NA())</f>
        <v>#N/A</v>
      </c>
      <c r="AU17" s="84" t="str">
        <f t="shared" si="35"/>
        <v>#N/A</v>
      </c>
      <c r="AV17" s="84">
        <f t="shared" si="35"/>
        <v>75.29718425</v>
      </c>
      <c r="AW17" s="84" t="str">
        <f t="shared" si="35"/>
        <v>#N/A</v>
      </c>
      <c r="AX17" s="84" t="str">
        <f t="shared" si="35"/>
        <v>#N/A</v>
      </c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</row>
    <row r="18">
      <c r="A18" s="43" t="str">
        <f t="shared" si="1"/>
        <v>ITC-state</v>
      </c>
      <c r="J18" s="81" t="str">
        <f t="shared" si="4"/>
        <v>ITC-category-1</v>
      </c>
      <c r="K18" s="39" t="str">
        <f>IFERROR(__xludf.DUMMYFUNCTION("""COMPUTED_VALUE"""),"ITC-category")</f>
        <v>ITC-category</v>
      </c>
      <c r="L18" s="39" t="str">
        <f>IFERROR(__xludf.DUMMYFUNCTION("""COMPUTED_VALUE"""),"easycategs")</f>
        <v>easycategs</v>
      </c>
      <c r="M18" s="39">
        <f>IFERROR(__xludf.DUMMYFUNCTION("""COMPUTED_VALUE"""),1.0)</f>
        <v>1</v>
      </c>
      <c r="N18" s="39">
        <f>IFERROR(__xludf.DUMMYFUNCTION("""COMPUTED_VALUE"""),1.0)</f>
        <v>1</v>
      </c>
      <c r="O18" s="39">
        <f>IFERROR(__xludf.DUMMYFUNCTION("""COMPUTED_VALUE"""),6.0)</f>
        <v>6</v>
      </c>
      <c r="P18" s="39">
        <f>IFERROR(__xludf.DUMMYFUNCTION("COUNT(FILTER(G:G,A:A=K18,C:C=M18,D:D=N18,E:E=O18))"),5.0)</f>
        <v>5</v>
      </c>
      <c r="Q18" s="82">
        <f>IFERROR(__xludf.DUMMYFUNCTION("AVERAGE(FILTER(G:G,A:A=K18,C:C=M18,D:D=N18,E:E=O18))"),2.654645555466272)</f>
        <v>2.654645555</v>
      </c>
      <c r="R18" s="83">
        <f>IFERROR(__xludf.DUMMYFUNCTION("STDEV(FILTER(G:G,A:A=K18,C:C=M18,D:D=N18,E:E=O18))"),1.2851546981491018)</f>
        <v>1.285154698</v>
      </c>
      <c r="S18" s="83">
        <f>IFERROR(__xludf.DUMMYFUNCTION("MIN(FILTER(G:G,A:A=K18,C:C=M18,D:D=N18,E:E=O18))"),0.655813194572591)</f>
        <v>0.6558131946</v>
      </c>
      <c r="T18" s="82">
        <f>IFERROR(__xludf.DUMMYFUNCTION("MAX(FILTER(G:G,A:A=K18,C:C=M18,D:D=N18,E:E=O18))"),4.12801039710343)</f>
        <v>4.128010397</v>
      </c>
      <c r="U18" s="82">
        <f>IFERROR(__xludf.DUMMYFUNCTION("QUARTILE(FILTER(G:G,A:A=K18,C:C=M18,D:D=N18,E:E=O18),1)"),2.53417956688083)</f>
        <v>2.534179567</v>
      </c>
      <c r="V18" s="82">
        <f>IFERROR(__xludf.DUMMYFUNCTION("QUARTILE(FILTER(G:G,A:A=K18,C:C=M18,D:D=N18,E:E=O18),3)"),3.30717909054713)</f>
        <v>3.307179091</v>
      </c>
      <c r="W18" s="84">
        <f>IFERROR(__xludf.DUMMYFUNCTION("AVERAGE(FILTER(H:H,A:A=K18,C:C=M18,D:D=N18,E:E=O18))"),95.73291616623276)</f>
        <v>95.73291617</v>
      </c>
      <c r="X18" s="84">
        <f>IFERROR(__xludf.DUMMYFUNCTION("STDEV(FILTER(H:H,A:A=K18,C:C=M18,D:D=N18,E:E=O18))"),86.30795713563856)</f>
        <v>86.30795714</v>
      </c>
      <c r="Y18" s="84">
        <f>IFERROR(__xludf.DUMMYFUNCTION("MIN(FILTER(H:H,A:A=K18,C:C=M18,D:D=N18,E:E=O18))"),1.21621069159429)</f>
        <v>1.216210692</v>
      </c>
      <c r="Z18" s="84">
        <f>IFERROR(__xludf.DUMMYFUNCTION("MAX(FILTER(H:H,A:A=K18,C:C=M18,D:D=N18,E:E=O18))"),173.497085009774)</f>
        <v>173.497085</v>
      </c>
      <c r="AA18" s="84">
        <f>IFERROR(__xludf.DUMMYFUNCTION("QUARTILE(FILTER(H:H,A:A=K18,C:C=M18,D:D=N18,E:E=O18),1)"),4.14886586724848)</f>
        <v>4.148865867</v>
      </c>
      <c r="AB18" s="84">
        <f>IFERROR(__xludf.DUMMYFUNCTION("QUARTILE(FILTER(H:H,A:A=K18,C:C=M18,D:D=N18,E:E=O18),3)"),166.627446312101)</f>
        <v>166.6274463</v>
      </c>
      <c r="AD18" s="82">
        <f t="shared" si="5"/>
        <v>6</v>
      </c>
      <c r="AE18" s="82">
        <f t="shared" si="6"/>
        <v>2.654645555</v>
      </c>
      <c r="AF18" s="82" t="str">
        <f t="shared" ref="AF18:AJ18" si="36">IF($K18=AF$2,$R18,NA())</f>
        <v>#N/A</v>
      </c>
      <c r="AG18" s="82" t="str">
        <f t="shared" si="36"/>
        <v>#N/A</v>
      </c>
      <c r="AH18" s="82">
        <f t="shared" si="36"/>
        <v>1.285154698</v>
      </c>
      <c r="AI18" s="82" t="str">
        <f t="shared" si="36"/>
        <v>#N/A</v>
      </c>
      <c r="AJ18" s="82" t="str">
        <f t="shared" si="36"/>
        <v>#N/A</v>
      </c>
      <c r="AR18" s="85"/>
      <c r="AS18" s="84">
        <f t="shared" si="8"/>
        <v>95.73291617</v>
      </c>
      <c r="AT18" s="84" t="str">
        <f t="shared" ref="AT18:AX18" si="37">IF($K18=AF$2,$X18,NA())</f>
        <v>#N/A</v>
      </c>
      <c r="AU18" s="84" t="str">
        <f t="shared" si="37"/>
        <v>#N/A</v>
      </c>
      <c r="AV18" s="84">
        <f t="shared" si="37"/>
        <v>86.30795714</v>
      </c>
      <c r="AW18" s="84" t="str">
        <f t="shared" si="37"/>
        <v>#N/A</v>
      </c>
      <c r="AX18" s="84" t="str">
        <f t="shared" si="37"/>
        <v>#N/A</v>
      </c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</row>
    <row r="19">
      <c r="A19" s="43" t="str">
        <f t="shared" si="1"/>
        <v>ITC-state</v>
      </c>
      <c r="J19" s="81" t="str">
        <f t="shared" si="4"/>
        <v>ITC-category-1</v>
      </c>
      <c r="K19" s="39" t="str">
        <f>IFERROR(__xludf.DUMMYFUNCTION("""COMPUTED_VALUE"""),"ITC-category")</f>
        <v>ITC-category</v>
      </c>
      <c r="L19" s="39" t="str">
        <f>IFERROR(__xludf.DUMMYFUNCTION("""COMPUTED_VALUE"""),"easycategs")</f>
        <v>easycategs</v>
      </c>
      <c r="M19" s="39">
        <f>IFERROR(__xludf.DUMMYFUNCTION("""COMPUTED_VALUE"""),1.0)</f>
        <v>1</v>
      </c>
      <c r="N19" s="39">
        <f>IFERROR(__xludf.DUMMYFUNCTION("""COMPUTED_VALUE"""),1.0)</f>
        <v>1</v>
      </c>
      <c r="O19" s="39">
        <f>IFERROR(__xludf.DUMMYFUNCTION("""COMPUTED_VALUE"""),7.0)</f>
        <v>7</v>
      </c>
      <c r="P19" s="39">
        <f>IFERROR(__xludf.DUMMYFUNCTION("COUNT(FILTER(G:G,A:A=K19,C:C=M19,D:D=N19,E:E=O19))"),5.0)</f>
        <v>5</v>
      </c>
      <c r="Q19" s="82">
        <f>IFERROR(__xludf.DUMMYFUNCTION("AVERAGE(FILTER(G:G,A:A=K19,C:C=M19,D:D=N19,E:E=O19))"),3.1910292405075813)</f>
        <v>3.191029241</v>
      </c>
      <c r="R19" s="83">
        <f>IFERROR(__xludf.DUMMYFUNCTION("STDEV(FILTER(G:G,A:A=K19,C:C=M19,D:D=N19,E:E=O19))"),1.9172562764923864)</f>
        <v>1.917256276</v>
      </c>
      <c r="S19" s="83">
        <f>IFERROR(__xludf.DUMMYFUNCTION("MIN(FILTER(G:G,A:A=K19,C:C=M19,D:D=N19,E:E=O19))"),0.656337409753558)</f>
        <v>0.6563374098</v>
      </c>
      <c r="T19" s="82">
        <f>IFERROR(__xludf.DUMMYFUNCTION("MAX(FILTER(G:G,A:A=K19,C:C=M19,D:D=N19,E:E=O19))"),5.40541737044138)</f>
        <v>5.40541737</v>
      </c>
      <c r="U19" s="82">
        <f>IFERROR(__xludf.DUMMYFUNCTION("QUARTILE(FILTER(G:G,A:A=K19,C:C=M19,D:D=N19,E:E=O19),1)"),2.45668706190117)</f>
        <v>2.456687062</v>
      </c>
      <c r="V19" s="82">
        <f>IFERROR(__xludf.DUMMYFUNCTION("QUARTILE(FILTER(G:G,A:A=K19,C:C=M19,D:D=N19,E:E=O19),3)"),4.78603931869797)</f>
        <v>4.786039319</v>
      </c>
      <c r="W19" s="84">
        <f>IFERROR(__xludf.DUMMYFUNCTION("AVERAGE(FILTER(H:H,A:A=K19,C:C=M19,D:D=N19,E:E=O19))"),101.28203054991766)</f>
        <v>101.2820305</v>
      </c>
      <c r="X19" s="84">
        <f>IFERROR(__xludf.DUMMYFUNCTION("STDEV(FILTER(H:H,A:A=K19,C:C=M19,D:D=N19,E:E=O19))"),98.71180362787523)</f>
        <v>98.71180363</v>
      </c>
      <c r="Y19" s="84">
        <f>IFERROR(__xludf.DUMMYFUNCTION("MIN(FILTER(H:H,A:A=K19,C:C=M19,D:D=N19,E:E=O19))"),1.21872212457015)</f>
        <v>1.218722125</v>
      </c>
      <c r="Z19" s="84">
        <f>IFERROR(__xludf.DUMMYFUNCTION("MAX(FILTER(H:H,A:A=K19,C:C=M19,D:D=N19,E:E=O19))"),226.951229971479)</f>
        <v>226.95123</v>
      </c>
      <c r="AA19" s="84">
        <f>IFERROR(__xludf.DUMMYFUNCTION("QUARTILE(FILTER(H:H,A:A=K19,C:C=M19,D:D=N19,E:E=O19),1)"),4.15203700319512)</f>
        <v>4.152037003</v>
      </c>
      <c r="AB19" s="84">
        <f>IFERROR(__xludf.DUMMYFUNCTION("QUARTILE(FILTER(H:H,A:A=K19,C:C=M19,D:D=N19,E:E=O19),3)"),161.319409386054)</f>
        <v>161.3194094</v>
      </c>
      <c r="AD19" s="82">
        <f t="shared" si="5"/>
        <v>7</v>
      </c>
      <c r="AE19" s="82">
        <f t="shared" si="6"/>
        <v>3.191029241</v>
      </c>
      <c r="AF19" s="82" t="str">
        <f t="shared" ref="AF19:AJ19" si="38">IF($K19=AF$2,$R19,NA())</f>
        <v>#N/A</v>
      </c>
      <c r="AG19" s="82" t="str">
        <f t="shared" si="38"/>
        <v>#N/A</v>
      </c>
      <c r="AH19" s="82">
        <f t="shared" si="38"/>
        <v>1.917256276</v>
      </c>
      <c r="AI19" s="82" t="str">
        <f t="shared" si="38"/>
        <v>#N/A</v>
      </c>
      <c r="AJ19" s="82" t="str">
        <f t="shared" si="38"/>
        <v>#N/A</v>
      </c>
      <c r="AR19" s="85"/>
      <c r="AS19" s="84">
        <f t="shared" si="8"/>
        <v>101.2820305</v>
      </c>
      <c r="AT19" s="84" t="str">
        <f t="shared" ref="AT19:AX19" si="39">IF($K19=AF$2,$X19,NA())</f>
        <v>#N/A</v>
      </c>
      <c r="AU19" s="84" t="str">
        <f t="shared" si="39"/>
        <v>#N/A</v>
      </c>
      <c r="AV19" s="84">
        <f t="shared" si="39"/>
        <v>98.71180363</v>
      </c>
      <c r="AW19" s="84" t="str">
        <f t="shared" si="39"/>
        <v>#N/A</v>
      </c>
      <c r="AX19" s="84" t="str">
        <f t="shared" si="39"/>
        <v>#N/A</v>
      </c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</row>
    <row r="20">
      <c r="A20" s="43" t="str">
        <f t="shared" si="1"/>
        <v>ITC-state</v>
      </c>
      <c r="J20" s="81" t="str">
        <f t="shared" si="4"/>
        <v>ITC-category-1</v>
      </c>
      <c r="K20" s="39" t="str">
        <f>IFERROR(__xludf.DUMMYFUNCTION("""COMPUTED_VALUE"""),"ITC-category")</f>
        <v>ITC-category</v>
      </c>
      <c r="L20" s="39" t="str">
        <f>IFERROR(__xludf.DUMMYFUNCTION("""COMPUTED_VALUE"""),"easycategs")</f>
        <v>easycategs</v>
      </c>
      <c r="M20" s="39">
        <f>IFERROR(__xludf.DUMMYFUNCTION("""COMPUTED_VALUE"""),1.0)</f>
        <v>1</v>
      </c>
      <c r="N20" s="39">
        <f>IFERROR(__xludf.DUMMYFUNCTION("""COMPUTED_VALUE"""),1.0)</f>
        <v>1</v>
      </c>
      <c r="O20" s="39">
        <f>IFERROR(__xludf.DUMMYFUNCTION("""COMPUTED_VALUE"""),8.0)</f>
        <v>8</v>
      </c>
      <c r="P20" s="39">
        <f>IFERROR(__xludf.DUMMYFUNCTION("COUNT(FILTER(G:G,A:A=K20,C:C=M20,D:D=N20,E:E=O20))"),5.0)</f>
        <v>5</v>
      </c>
      <c r="Q20" s="82">
        <f>IFERROR(__xludf.DUMMYFUNCTION("AVERAGE(FILTER(G:G,A:A=K20,C:C=M20,D:D=N20,E:E=O20))"),2.577037710756616)</f>
        <v>2.577037711</v>
      </c>
      <c r="R20" s="83">
        <f>IFERROR(__xludf.DUMMYFUNCTION("STDEV(FILTER(G:G,A:A=K20,C:C=M20,D:D=N20,E:E=O20))"),1.7212643105325935)</f>
        <v>1.721264311</v>
      </c>
      <c r="S20" s="83">
        <f>IFERROR(__xludf.DUMMYFUNCTION("MIN(FILTER(G:G,A:A=K20,C:C=M20,D:D=N20,E:E=O20))"),0.656520435272242)</f>
        <v>0.6565204353</v>
      </c>
      <c r="T20" s="82">
        <f>IFERROR(__xludf.DUMMYFUNCTION("MAX(FILTER(G:G,A:A=K20,C:C=M20,D:D=N20,E:E=O20))"),4.01212283749124)</f>
        <v>4.012122837</v>
      </c>
      <c r="U20" s="82">
        <f>IFERROR(__xludf.DUMMYFUNCTION("QUARTILE(FILTER(G:G,A:A=K20,C:C=M20,D:D=N20,E:E=O20),1)"),0.73722706430504)</f>
        <v>0.7372270643</v>
      </c>
      <c r="V20" s="82">
        <f>IFERROR(__xludf.DUMMYFUNCTION("QUARTILE(FILTER(G:G,A:A=K20,C:C=M20,D:D=N20,E:E=O20),3)"),3.82587725415536)</f>
        <v>3.825877254</v>
      </c>
      <c r="W20" s="84">
        <f>IFERROR(__xludf.DUMMYFUNCTION("AVERAGE(FILTER(H:H,A:A=K20,C:C=M20,D:D=N20,E:E=O20))"),100.62021135659822)</f>
        <v>100.6202114</v>
      </c>
      <c r="X20" s="84">
        <f>IFERROR(__xludf.DUMMYFUNCTION("STDEV(FILTER(H:H,A:A=K20,C:C=M20,D:D=N20,E:E=O20))"),91.97077452767114)</f>
        <v>91.97077453</v>
      </c>
      <c r="Y20" s="84">
        <f>IFERROR(__xludf.DUMMYFUNCTION("MIN(FILTER(H:H,A:A=K20,C:C=M20,D:D=N20,E:E=O20))"),0.951560817488761)</f>
        <v>0.9515608175</v>
      </c>
      <c r="Z20" s="84">
        <f>IFERROR(__xludf.DUMMYFUNCTION("MAX(FILTER(H:H,A:A=K20,C:C=M20,D:D=N20,E:E=O20))"),187.914993726584)</f>
        <v>187.9149937</v>
      </c>
      <c r="AA20" s="84">
        <f>IFERROR(__xludf.DUMMYFUNCTION("QUARTILE(FILTER(H:H,A:A=K20,C:C=M20,D:D=N20,E:E=O20),1)"),1.21803430612041)</f>
        <v>1.218034306</v>
      </c>
      <c r="AB20" s="84">
        <f>IFERROR(__xludf.DUMMYFUNCTION("QUARTILE(FILTER(H:H,A:A=K20,C:C=M20,D:D=N20,E:E=O20),3)"),165.241492084846)</f>
        <v>165.2414921</v>
      </c>
      <c r="AD20" s="82">
        <f t="shared" si="5"/>
        <v>8</v>
      </c>
      <c r="AE20" s="82">
        <f t="shared" si="6"/>
        <v>2.577037711</v>
      </c>
      <c r="AF20" s="82" t="str">
        <f t="shared" ref="AF20:AJ20" si="40">IF($K20=AF$2,$R20,NA())</f>
        <v>#N/A</v>
      </c>
      <c r="AG20" s="82" t="str">
        <f t="shared" si="40"/>
        <v>#N/A</v>
      </c>
      <c r="AH20" s="82">
        <f t="shared" si="40"/>
        <v>1.721264311</v>
      </c>
      <c r="AI20" s="82" t="str">
        <f t="shared" si="40"/>
        <v>#N/A</v>
      </c>
      <c r="AJ20" s="82" t="str">
        <f t="shared" si="40"/>
        <v>#N/A</v>
      </c>
      <c r="AR20" s="85"/>
      <c r="AS20" s="84">
        <f t="shared" si="8"/>
        <v>100.6202114</v>
      </c>
      <c r="AT20" s="84" t="str">
        <f t="shared" ref="AT20:AX20" si="41">IF($K20=AF$2,$X20,NA())</f>
        <v>#N/A</v>
      </c>
      <c r="AU20" s="84" t="str">
        <f t="shared" si="41"/>
        <v>#N/A</v>
      </c>
      <c r="AV20" s="84">
        <f t="shared" si="41"/>
        <v>91.97077453</v>
      </c>
      <c r="AW20" s="84" t="str">
        <f t="shared" si="41"/>
        <v>#N/A</v>
      </c>
      <c r="AX20" s="84" t="str">
        <f t="shared" si="41"/>
        <v>#N/A</v>
      </c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</row>
    <row r="21">
      <c r="A21" s="43" t="str">
        <f t="shared" si="1"/>
        <v>ITC-state</v>
      </c>
      <c r="J21" s="81" t="str">
        <f t="shared" si="4"/>
        <v>ITC-category-1</v>
      </c>
      <c r="K21" s="39" t="str">
        <f>IFERROR(__xludf.DUMMYFUNCTION("""COMPUTED_VALUE"""),"ITC-category")</f>
        <v>ITC-category</v>
      </c>
      <c r="L21" s="39" t="str">
        <f>IFERROR(__xludf.DUMMYFUNCTION("""COMPUTED_VALUE"""),"easycategs")</f>
        <v>easycategs</v>
      </c>
      <c r="M21" s="39">
        <f>IFERROR(__xludf.DUMMYFUNCTION("""COMPUTED_VALUE"""),1.0)</f>
        <v>1</v>
      </c>
      <c r="N21" s="39">
        <f>IFERROR(__xludf.DUMMYFUNCTION("""COMPUTED_VALUE"""),1.0)</f>
        <v>1</v>
      </c>
      <c r="O21" s="39">
        <f>IFERROR(__xludf.DUMMYFUNCTION("""COMPUTED_VALUE"""),9.0)</f>
        <v>9</v>
      </c>
      <c r="P21" s="39">
        <f>IFERROR(__xludf.DUMMYFUNCTION("COUNT(FILTER(G:G,A:A=K21,C:C=M21,D:D=N21,E:E=O21))"),5.0)</f>
        <v>5</v>
      </c>
      <c r="Q21" s="82">
        <f>IFERROR(__xludf.DUMMYFUNCTION("AVERAGE(FILTER(G:G,A:A=K21,C:C=M21,D:D=N21,E:E=O21))"),3.2983481071999585)</f>
        <v>3.298348107</v>
      </c>
      <c r="R21" s="83">
        <f>IFERROR(__xludf.DUMMYFUNCTION("STDEV(FILTER(G:G,A:A=K21,C:C=M21,D:D=N21,E:E=O21))"),1.5772494298211395)</f>
        <v>1.57724943</v>
      </c>
      <c r="S21" s="83">
        <f>IFERROR(__xludf.DUMMYFUNCTION("MIN(FILTER(G:G,A:A=K21,C:C=M21,D:D=N21,E:E=O21))"),0.736192093514763)</f>
        <v>0.7361920935</v>
      </c>
      <c r="T21" s="82">
        <f>IFERROR(__xludf.DUMMYFUNCTION("MAX(FILTER(G:G,A:A=K21,C:C=M21,D:D=N21,E:E=O21))"),4.5436761869075)</f>
        <v>4.543676187</v>
      </c>
      <c r="U21" s="82">
        <f>IFERROR(__xludf.DUMMYFUNCTION("QUARTILE(FILTER(G:G,A:A=K21,C:C=M21,D:D=N21,E:E=O21),1)"),2.84354586453417)</f>
        <v>2.843545865</v>
      </c>
      <c r="V21" s="82">
        <f>IFERROR(__xludf.DUMMYFUNCTION("QUARTILE(FILTER(G:G,A:A=K21,C:C=M21,D:D=N21,E:E=O21),3)"),4.35620355355212)</f>
        <v>4.356203554</v>
      </c>
      <c r="W21" s="84">
        <f>IFERROR(__xludf.DUMMYFUNCTION("AVERAGE(FILTER(H:H,A:A=K21,C:C=M21,D:D=N21,E:E=O21))"),136.4409765536023)</f>
        <v>136.4409766</v>
      </c>
      <c r="X21" s="84">
        <f>IFERROR(__xludf.DUMMYFUNCTION("STDEV(FILTER(H:H,A:A=K21,C:C=M21,D:D=N21,E:E=O21))"),81.70640366801865)</f>
        <v>81.70640367</v>
      </c>
      <c r="Y21" s="84">
        <f>IFERROR(__xludf.DUMMYFUNCTION("MIN(FILTER(H:H,A:A=K21,C:C=M21,D:D=N21,E:E=O21))"),0.950544336758399)</f>
        <v>0.9505443368</v>
      </c>
      <c r="Z21" s="84">
        <f>IFERROR(__xludf.DUMMYFUNCTION("MAX(FILTER(H:H,A:A=K21,C:C=M21,D:D=N21,E:E=O21))"),201.173200647244)</f>
        <v>201.1732006</v>
      </c>
      <c r="AA21" s="84">
        <f>IFERROR(__xludf.DUMMYFUNCTION("QUARTILE(FILTER(H:H,A:A=K21,C:C=M21,D:D=N21,E:E=O21),1)"),120.389560310756)</f>
        <v>120.3895603</v>
      </c>
      <c r="AB21" s="84">
        <f>IFERROR(__xludf.DUMMYFUNCTION("QUARTILE(FILTER(H:H,A:A=K21,C:C=M21,D:D=N21,E:E=O21),3)"),187.914993726584)</f>
        <v>187.9149937</v>
      </c>
      <c r="AD21" s="82">
        <f t="shared" si="5"/>
        <v>9</v>
      </c>
      <c r="AE21" s="82">
        <f t="shared" si="6"/>
        <v>3.298348107</v>
      </c>
      <c r="AF21" s="82" t="str">
        <f t="shared" ref="AF21:AJ21" si="42">IF($K21=AF$2,$R21,NA())</f>
        <v>#N/A</v>
      </c>
      <c r="AG21" s="82" t="str">
        <f t="shared" si="42"/>
        <v>#N/A</v>
      </c>
      <c r="AH21" s="82">
        <f t="shared" si="42"/>
        <v>1.57724943</v>
      </c>
      <c r="AI21" s="82" t="str">
        <f t="shared" si="42"/>
        <v>#N/A</v>
      </c>
      <c r="AJ21" s="82" t="str">
        <f t="shared" si="42"/>
        <v>#N/A</v>
      </c>
      <c r="AR21" s="85"/>
      <c r="AS21" s="84">
        <f t="shared" si="8"/>
        <v>136.4409766</v>
      </c>
      <c r="AT21" s="84" t="str">
        <f t="shared" ref="AT21:AX21" si="43">IF($K21=AF$2,$X21,NA())</f>
        <v>#N/A</v>
      </c>
      <c r="AU21" s="84" t="str">
        <f t="shared" si="43"/>
        <v>#N/A</v>
      </c>
      <c r="AV21" s="84">
        <f t="shared" si="43"/>
        <v>81.70640367</v>
      </c>
      <c r="AW21" s="84" t="str">
        <f t="shared" si="43"/>
        <v>#N/A</v>
      </c>
      <c r="AX21" s="84" t="str">
        <f t="shared" si="43"/>
        <v>#N/A</v>
      </c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</row>
    <row r="22">
      <c r="A22" s="43" t="str">
        <f t="shared" si="1"/>
        <v>ITC-state</v>
      </c>
      <c r="J22" s="81" t="str">
        <f t="shared" si="4"/>
        <v>ITC-category-1</v>
      </c>
      <c r="K22" s="39" t="str">
        <f>IFERROR(__xludf.DUMMYFUNCTION("""COMPUTED_VALUE"""),"ITC-category")</f>
        <v>ITC-category</v>
      </c>
      <c r="L22" s="39" t="str">
        <f>IFERROR(__xludf.DUMMYFUNCTION("""COMPUTED_VALUE"""),"easycategs")</f>
        <v>easycategs</v>
      </c>
      <c r="M22" s="39">
        <f>IFERROR(__xludf.DUMMYFUNCTION("""COMPUTED_VALUE"""),1.0)</f>
        <v>1</v>
      </c>
      <c r="N22" s="39">
        <f>IFERROR(__xludf.DUMMYFUNCTION("""COMPUTED_VALUE"""),1.0)</f>
        <v>1</v>
      </c>
      <c r="O22" s="39">
        <f>IFERROR(__xludf.DUMMYFUNCTION("""COMPUTED_VALUE"""),10.0)</f>
        <v>10</v>
      </c>
      <c r="P22" s="39">
        <f>IFERROR(__xludf.DUMMYFUNCTION("COUNT(FILTER(G:G,A:A=K22,C:C=M22,D:D=N22,E:E=O22))"),5.0)</f>
        <v>5</v>
      </c>
      <c r="Q22" s="82">
        <f>IFERROR(__xludf.DUMMYFUNCTION("AVERAGE(FILTER(G:G,A:A=K22,C:C=M22,D:D=N22,E:E=O22))"),4.108638078655096)</f>
        <v>4.108638079</v>
      </c>
      <c r="R22" s="83">
        <f>IFERROR(__xludf.DUMMYFUNCTION("STDEV(FILTER(G:G,A:A=K22,C:C=M22,D:D=N22,E:E=O22))"),2.6261090644705853)</f>
        <v>2.626109064</v>
      </c>
      <c r="S22" s="83">
        <f>IFERROR(__xludf.DUMMYFUNCTION("MIN(FILTER(G:G,A:A=K22,C:C=M22,D:D=N22,E:E=O22))"),0.463699646319632)</f>
        <v>0.4636996463</v>
      </c>
      <c r="T22" s="82">
        <f>IFERROR(__xludf.DUMMYFUNCTION("MAX(FILTER(G:G,A:A=K22,C:C=M22,D:D=N22,E:E=O22))"),7.32476618117347)</f>
        <v>7.324766181</v>
      </c>
      <c r="U22" s="82">
        <f>IFERROR(__xludf.DUMMYFUNCTION("QUARTILE(FILTER(G:G,A:A=K22,C:C=M22,D:D=N22,E:E=O22),1)"),2.66774778794052)</f>
        <v>2.667747788</v>
      </c>
      <c r="V22" s="82">
        <f>IFERROR(__xludf.DUMMYFUNCTION("QUARTILE(FILTER(G:G,A:A=K22,C:C=M22,D:D=N22,E:E=O22),3)"),5.30105788592121)</f>
        <v>5.301057886</v>
      </c>
      <c r="W22" s="84">
        <f>IFERROR(__xludf.DUMMYFUNCTION("AVERAGE(FILTER(H:H,A:A=K22,C:C=M22,D:D=N22,E:E=O22))"),147.08609941859882)</f>
        <v>147.0860994</v>
      </c>
      <c r="X22" s="84">
        <f>IFERROR(__xludf.DUMMYFUNCTION("STDEV(FILTER(H:H,A:A=K22,C:C=M22,D:D=N22,E:E=O22))"),89.44359485849135)</f>
        <v>89.44359486</v>
      </c>
      <c r="Y22" s="84">
        <f>IFERROR(__xludf.DUMMYFUNCTION("MIN(FILTER(H:H,A:A=K22,C:C=M22,D:D=N22,E:E=O22))"),0.556153026606167)</f>
        <v>0.5561530266</v>
      </c>
      <c r="Z22" s="84">
        <f>IFERROR(__xludf.DUMMYFUNCTION("MAX(FILTER(H:H,A:A=K22,C:C=M22,D:D=N22,E:E=O22))"),222.760046978741)</f>
        <v>222.760047</v>
      </c>
      <c r="AA22" s="84">
        <f>IFERROR(__xludf.DUMMYFUNCTION("QUARTILE(FILTER(H:H,A:A=K22,C:C=M22,D:D=N22,E:E=O22),1)"),136.759088520592)</f>
        <v>136.7590885</v>
      </c>
      <c r="AB22" s="84">
        <f>IFERROR(__xludf.DUMMYFUNCTION("QUARTILE(FILTER(H:H,A:A=K22,C:C=M22,D:D=N22,E:E=O22),3)"),214.145201713005)</f>
        <v>214.1452017</v>
      </c>
      <c r="AD22" s="82">
        <f t="shared" si="5"/>
        <v>10</v>
      </c>
      <c r="AE22" s="82">
        <f t="shared" si="6"/>
        <v>4.108638079</v>
      </c>
      <c r="AF22" s="82" t="str">
        <f t="shared" ref="AF22:AJ22" si="44">IF($K22=AF$2,$R22,NA())</f>
        <v>#N/A</v>
      </c>
      <c r="AG22" s="82" t="str">
        <f t="shared" si="44"/>
        <v>#N/A</v>
      </c>
      <c r="AH22" s="82">
        <f t="shared" si="44"/>
        <v>2.626109064</v>
      </c>
      <c r="AI22" s="82" t="str">
        <f t="shared" si="44"/>
        <v>#N/A</v>
      </c>
      <c r="AJ22" s="82" t="str">
        <f t="shared" si="44"/>
        <v>#N/A</v>
      </c>
      <c r="AR22" s="85"/>
      <c r="AS22" s="84">
        <f t="shared" si="8"/>
        <v>147.0860994</v>
      </c>
      <c r="AT22" s="84" t="str">
        <f t="shared" ref="AT22:AX22" si="45">IF($K22=AF$2,$X22,NA())</f>
        <v>#N/A</v>
      </c>
      <c r="AU22" s="84" t="str">
        <f t="shared" si="45"/>
        <v>#N/A</v>
      </c>
      <c r="AV22" s="84">
        <f t="shared" si="45"/>
        <v>89.44359486</v>
      </c>
      <c r="AW22" s="84" t="str">
        <f t="shared" si="45"/>
        <v>#N/A</v>
      </c>
      <c r="AX22" s="84" t="str">
        <f t="shared" si="45"/>
        <v>#N/A</v>
      </c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</row>
    <row r="23">
      <c r="A23" s="43" t="str">
        <f t="shared" si="1"/>
        <v>ITC-state</v>
      </c>
      <c r="J23" s="81" t="str">
        <f t="shared" si="4"/>
        <v>ITC-priority-1</v>
      </c>
      <c r="K23" s="39" t="str">
        <f>IFERROR(__xludf.DUMMYFUNCTION("""COMPUTED_VALUE"""),"ITC-priority")</f>
        <v>ITC-priority</v>
      </c>
      <c r="L23" s="39" t="str">
        <f>IFERROR(__xludf.DUMMYFUNCTION("""COMPUTED_VALUE"""),"priority12x3x4")</f>
        <v>priority12x3x4</v>
      </c>
      <c r="M23" s="39">
        <f>IFERROR(__xludf.DUMMYFUNCTION("""COMPUTED_VALUE"""),1.0)</f>
        <v>1</v>
      </c>
      <c r="N23" s="39">
        <f>IFERROR(__xludf.DUMMYFUNCTION("""COMPUTED_VALUE"""),1.0)</f>
        <v>1</v>
      </c>
      <c r="O23" s="39">
        <f>IFERROR(__xludf.DUMMYFUNCTION("""COMPUTED_VALUE"""),1.0)</f>
        <v>1</v>
      </c>
      <c r="P23" s="39">
        <f>IFERROR(__xludf.DUMMYFUNCTION("COUNT(FILTER(G:G,A:A=K23,C:C=M23,D:D=N23,E:E=O23))"),5.0)</f>
        <v>5</v>
      </c>
      <c r="Q23" s="82">
        <f>IFERROR(__xludf.DUMMYFUNCTION("AVERAGE(FILTER(G:G,A:A=K23,C:C=M23,D:D=N23,E:E=O23))"),4.756536838303626)</f>
        <v>4.756536838</v>
      </c>
      <c r="R23" s="83">
        <f>IFERROR(__xludf.DUMMYFUNCTION("STDEV(FILTER(G:G,A:A=K23,C:C=M23,D:D=N23,E:E=O23))"),5.465818518768293)</f>
        <v>5.465818519</v>
      </c>
      <c r="S23" s="83">
        <f>IFERROR(__xludf.DUMMYFUNCTION("MIN(FILTER(G:G,A:A=K23,C:C=M23,D:D=N23,E:E=O23))"),0.453966619139546)</f>
        <v>0.4539666191</v>
      </c>
      <c r="T23" s="82">
        <f>IFERROR(__xludf.DUMMYFUNCTION("MAX(FILTER(G:G,A:A=K23,C:C=M23,D:D=N23,E:E=O23))"),13.8739388214106)</f>
        <v>13.87393882</v>
      </c>
      <c r="U23" s="82">
        <f>IFERROR(__xludf.DUMMYFUNCTION("QUARTILE(FILTER(G:G,A:A=K23,C:C=M23,D:D=N23,E:E=O23),1)"),0.921000420857574)</f>
        <v>0.9210004209</v>
      </c>
      <c r="V23" s="82">
        <f>IFERROR(__xludf.DUMMYFUNCTION("QUARTILE(FILTER(G:G,A:A=K23,C:C=M23,D:D=N23,E:E=O23),3)"),5.42246469496464)</f>
        <v>5.422464695</v>
      </c>
      <c r="W23" s="84">
        <f>IFERROR(__xludf.DUMMYFUNCTION("AVERAGE(FILTER(H:H,A:A=K23,C:C=M23,D:D=N23,E:E=O23))"),120.31664536498286)</f>
        <v>120.3166454</v>
      </c>
      <c r="X23" s="84">
        <f>IFERROR(__xludf.DUMMYFUNCTION("STDEV(FILTER(H:H,A:A=K23,C:C=M23,D:D=N23,E:E=O23))"),117.89970225343399)</f>
        <v>117.8997023</v>
      </c>
      <c r="Y23" s="84">
        <f>IFERROR(__xludf.DUMMYFUNCTION("MIN(FILTER(H:H,A:A=K23,C:C=M23,D:D=N23,E:E=O23))"),0.536387596530594)</f>
        <v>0.5363875965</v>
      </c>
      <c r="Z23" s="84">
        <f>IFERROR(__xludf.DUMMYFUNCTION("MAX(FILTER(H:H,A:A=K23,C:C=M23,D:D=N23,E:E=O23))"),273.347825166358)</f>
        <v>273.3478252</v>
      </c>
      <c r="AA23" s="84">
        <f>IFERROR(__xludf.DUMMYFUNCTION("QUARTILE(FILTER(H:H,A:A=K23,C:C=M23,D:D=N23,E:E=O23),1)"),1.60983228544373)</f>
        <v>1.609832285</v>
      </c>
      <c r="AB23" s="84">
        <f>IFERROR(__xludf.DUMMYFUNCTION("QUARTILE(FILTER(H:H,A:A=K23,C:C=M23,D:D=N23,E:E=O23),3)"),169.857992921404)</f>
        <v>169.8579929</v>
      </c>
      <c r="AD23" s="82">
        <f t="shared" si="5"/>
        <v>1</v>
      </c>
      <c r="AE23" s="82">
        <f t="shared" si="6"/>
        <v>4.756536838</v>
      </c>
      <c r="AF23" s="82" t="str">
        <f t="shared" ref="AF23:AJ23" si="46">IF($K23=AF$2,$R23,NA())</f>
        <v>#N/A</v>
      </c>
      <c r="AG23" s="82" t="str">
        <f t="shared" si="46"/>
        <v>#N/A</v>
      </c>
      <c r="AH23" s="82" t="str">
        <f t="shared" si="46"/>
        <v>#N/A</v>
      </c>
      <c r="AI23" s="82">
        <f t="shared" si="46"/>
        <v>5.465818519</v>
      </c>
      <c r="AJ23" s="82" t="str">
        <f t="shared" si="46"/>
        <v>#N/A</v>
      </c>
      <c r="AR23" s="85"/>
      <c r="AS23" s="84">
        <f t="shared" si="8"/>
        <v>120.3166454</v>
      </c>
      <c r="AT23" s="84" t="str">
        <f t="shared" ref="AT23:AX23" si="47">IF($K23=AF$2,$X23,NA())</f>
        <v>#N/A</v>
      </c>
      <c r="AU23" s="84" t="str">
        <f t="shared" si="47"/>
        <v>#N/A</v>
      </c>
      <c r="AV23" s="84" t="str">
        <f t="shared" si="47"/>
        <v>#N/A</v>
      </c>
      <c r="AW23" s="84">
        <f t="shared" si="47"/>
        <v>117.8997023</v>
      </c>
      <c r="AX23" s="84" t="str">
        <f t="shared" si="47"/>
        <v>#N/A</v>
      </c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</row>
    <row r="24">
      <c r="A24" s="43" t="str">
        <f t="shared" si="1"/>
        <v>ITC-state</v>
      </c>
      <c r="J24" s="81" t="str">
        <f t="shared" si="4"/>
        <v>ITC-priority-1</v>
      </c>
      <c r="K24" s="39" t="str">
        <f>IFERROR(__xludf.DUMMYFUNCTION("""COMPUTED_VALUE"""),"ITC-priority")</f>
        <v>ITC-priority</v>
      </c>
      <c r="L24" s="39" t="str">
        <f>IFERROR(__xludf.DUMMYFUNCTION("""COMPUTED_VALUE"""),"priority12x3x4")</f>
        <v>priority12x3x4</v>
      </c>
      <c r="M24" s="39">
        <f>IFERROR(__xludf.DUMMYFUNCTION("""COMPUTED_VALUE"""),1.0)</f>
        <v>1</v>
      </c>
      <c r="N24" s="39">
        <f>IFERROR(__xludf.DUMMYFUNCTION("""COMPUTED_VALUE"""),1.0)</f>
        <v>1</v>
      </c>
      <c r="O24" s="39">
        <f>IFERROR(__xludf.DUMMYFUNCTION("""COMPUTED_VALUE"""),2.0)</f>
        <v>2</v>
      </c>
      <c r="P24" s="39">
        <f>IFERROR(__xludf.DUMMYFUNCTION("COUNT(FILTER(G:G,A:A=K24,C:C=M24,D:D=N24,E:E=O24))"),5.0)</f>
        <v>5</v>
      </c>
      <c r="Q24" s="82">
        <f>IFERROR(__xludf.DUMMYFUNCTION("AVERAGE(FILTER(G:G,A:A=K24,C:C=M24,D:D=N24,E:E=O24))"),5.167074419301613)</f>
        <v>5.167074419</v>
      </c>
      <c r="R24" s="83">
        <f>IFERROR(__xludf.DUMMYFUNCTION("STDEV(FILTER(G:G,A:A=K24,C:C=M24,D:D=N24,E:E=O24))"),2.6861827984703175)</f>
        <v>2.686182798</v>
      </c>
      <c r="S24" s="83">
        <f>IFERROR(__xludf.DUMMYFUNCTION("MIN(FILTER(G:G,A:A=K24,C:C=M24,D:D=N24,E:E=O24))"),2.66587286189983)</f>
        <v>2.665872862</v>
      </c>
      <c r="T24" s="82">
        <f>IFERROR(__xludf.DUMMYFUNCTION("MAX(FILTER(G:G,A:A=K24,C:C=M24,D:D=N24,E:E=O24))"),9.24154400802002)</f>
        <v>9.241544008</v>
      </c>
      <c r="U24" s="82">
        <f>IFERROR(__xludf.DUMMYFUNCTION("QUARTILE(FILTER(G:G,A:A=K24,C:C=M24,D:D=N24,E:E=O24),1)"),3.13792500014473)</f>
        <v>3.137925</v>
      </c>
      <c r="V24" s="82">
        <f>IFERROR(__xludf.DUMMYFUNCTION("QUARTILE(FILTER(G:G,A:A=K24,C:C=M24,D:D=N24,E:E=O24),3)"),6.33937710999437)</f>
        <v>6.33937711</v>
      </c>
      <c r="W24" s="84">
        <f>IFERROR(__xludf.DUMMYFUNCTION("AVERAGE(FILTER(H:H,A:A=K24,C:C=M24,D:D=N24,E:E=O24))"),170.7882375342862)</f>
        <v>170.7882375</v>
      </c>
      <c r="X24" s="84">
        <f>IFERROR(__xludf.DUMMYFUNCTION("STDEV(FILTER(H:H,A:A=K24,C:C=M24,D:D=N24,E:E=O24))"),30.368383941407842)</f>
        <v>30.36838394</v>
      </c>
      <c r="Y24" s="84">
        <f>IFERROR(__xludf.DUMMYFUNCTION("MIN(FILTER(H:H,A:A=K24,C:C=M24,D:D=N24,E:E=O24))"),137.777165683813)</f>
        <v>137.7771657</v>
      </c>
      <c r="Z24" s="84">
        <f>IFERROR(__xludf.DUMMYFUNCTION("MAX(FILTER(H:H,A:A=K24,C:C=M24,D:D=N24,E:E=O24))"),219.639845246567)</f>
        <v>219.6398452</v>
      </c>
      <c r="AA24" s="84">
        <f>IFERROR(__xludf.DUMMYFUNCTION("QUARTILE(FILTER(H:H,A:A=K24,C:C=M24,D:D=N24,E:E=O24),1)"),157.311124026336)</f>
        <v>157.311124</v>
      </c>
      <c r="AB24" s="84">
        <f>IFERROR(__xludf.DUMMYFUNCTION("QUARTILE(FILTER(H:H,A:A=K24,C:C=M24,D:D=N24,E:E=O24),3)"),173.369441513312)</f>
        <v>173.3694415</v>
      </c>
      <c r="AD24" s="82">
        <f t="shared" si="5"/>
        <v>2</v>
      </c>
      <c r="AE24" s="82">
        <f t="shared" si="6"/>
        <v>5.167074419</v>
      </c>
      <c r="AF24" s="82" t="str">
        <f t="shared" ref="AF24:AJ24" si="48">IF($K24=AF$2,$R24,NA())</f>
        <v>#N/A</v>
      </c>
      <c r="AG24" s="82" t="str">
        <f t="shared" si="48"/>
        <v>#N/A</v>
      </c>
      <c r="AH24" s="82" t="str">
        <f t="shared" si="48"/>
        <v>#N/A</v>
      </c>
      <c r="AI24" s="82">
        <f t="shared" si="48"/>
        <v>2.686182798</v>
      </c>
      <c r="AJ24" s="82" t="str">
        <f t="shared" si="48"/>
        <v>#N/A</v>
      </c>
      <c r="AR24" s="85"/>
      <c r="AS24" s="84">
        <f t="shared" si="8"/>
        <v>170.7882375</v>
      </c>
      <c r="AT24" s="84" t="str">
        <f t="shared" ref="AT24:AX24" si="49">IF($K24=AF$2,$X24,NA())</f>
        <v>#N/A</v>
      </c>
      <c r="AU24" s="84" t="str">
        <f t="shared" si="49"/>
        <v>#N/A</v>
      </c>
      <c r="AV24" s="84" t="str">
        <f t="shared" si="49"/>
        <v>#N/A</v>
      </c>
      <c r="AW24" s="84">
        <f t="shared" si="49"/>
        <v>30.36838394</v>
      </c>
      <c r="AX24" s="84" t="str">
        <f t="shared" si="49"/>
        <v>#N/A</v>
      </c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</row>
    <row r="25">
      <c r="A25" s="43" t="str">
        <f t="shared" si="1"/>
        <v>ITC-state</v>
      </c>
      <c r="J25" s="81" t="str">
        <f t="shared" si="4"/>
        <v>ITC-priority-1</v>
      </c>
      <c r="K25" s="39" t="str">
        <f>IFERROR(__xludf.DUMMYFUNCTION("""COMPUTED_VALUE"""),"ITC-priority")</f>
        <v>ITC-priority</v>
      </c>
      <c r="L25" s="39" t="str">
        <f>IFERROR(__xludf.DUMMYFUNCTION("""COMPUTED_VALUE"""),"priority12x3x4")</f>
        <v>priority12x3x4</v>
      </c>
      <c r="M25" s="39">
        <f>IFERROR(__xludf.DUMMYFUNCTION("""COMPUTED_VALUE"""),1.0)</f>
        <v>1</v>
      </c>
      <c r="N25" s="39">
        <f>IFERROR(__xludf.DUMMYFUNCTION("""COMPUTED_VALUE"""),1.0)</f>
        <v>1</v>
      </c>
      <c r="O25" s="39">
        <f>IFERROR(__xludf.DUMMYFUNCTION("""COMPUTED_VALUE"""),3.0)</f>
        <v>3</v>
      </c>
      <c r="P25" s="39">
        <f>IFERROR(__xludf.DUMMYFUNCTION("COUNT(FILTER(G:G,A:A=K25,C:C=M25,D:D=N25,E:E=O25))"),5.0)</f>
        <v>5</v>
      </c>
      <c r="Q25" s="82">
        <f>IFERROR(__xludf.DUMMYFUNCTION("AVERAGE(FILTER(G:G,A:A=K25,C:C=M25,D:D=N25,E:E=O25))"),5.122983487664831)</f>
        <v>5.122983488</v>
      </c>
      <c r="R25" s="83">
        <f>IFERROR(__xludf.DUMMYFUNCTION("STDEV(FILTER(G:G,A:A=K25,C:C=M25,D:D=N25,E:E=O25))"),6.457461852914629)</f>
        <v>6.457461853</v>
      </c>
      <c r="S25" s="83">
        <f>IFERROR(__xludf.DUMMYFUNCTION("MIN(FILTER(G:G,A:A=K25,C:C=M25,D:D=N25,E:E=O25))"),0.159111599352397)</f>
        <v>0.1591115994</v>
      </c>
      <c r="T25" s="82">
        <f>IFERROR(__xludf.DUMMYFUNCTION("MAX(FILTER(G:G,A:A=K25,C:C=M25,D:D=N25,E:E=O25))"),16.0699163391306)</f>
        <v>16.06991634</v>
      </c>
      <c r="U25" s="82">
        <f>IFERROR(__xludf.DUMMYFUNCTION("QUARTILE(FILTER(G:G,A:A=K25,C:C=M25,D:D=N25,E:E=O25),1)"),0.858184707382862)</f>
        <v>0.8581847074</v>
      </c>
      <c r="V25" s="82">
        <f>IFERROR(__xludf.DUMMYFUNCTION("QUARTILE(FILTER(G:G,A:A=K25,C:C=M25,D:D=N25,E:E=O25),3)"),5.41606119858966)</f>
        <v>5.416061199</v>
      </c>
      <c r="W25" s="84">
        <f>IFERROR(__xludf.DUMMYFUNCTION("AVERAGE(FILTER(H:H,A:A=K25,C:C=M25,D:D=N25,E:E=O25))"),120.15510659733613)</f>
        <v>120.1551066</v>
      </c>
      <c r="X25" s="84">
        <f>IFERROR(__xludf.DUMMYFUNCTION("STDEV(FILTER(H:H,A:A=K25,C:C=M25,D:D=N25,E:E=O25))"),117.90365879726033)</f>
        <v>117.9036588</v>
      </c>
      <c r="Y25" s="84">
        <f>IFERROR(__xludf.DUMMYFUNCTION("MIN(FILTER(H:H,A:A=K25,C:C=M25,D:D=N25,E:E=O25))"),0.331849744796775)</f>
        <v>0.3318497448</v>
      </c>
      <c r="Z25" s="84">
        <f>IFERROR(__xludf.DUMMYFUNCTION("MAX(FILTER(H:H,A:A=K25,C:C=M25,D:D=N25,E:E=O25))"),273.126226694253)</f>
        <v>273.1262267</v>
      </c>
      <c r="AA25" s="84">
        <f>IFERROR(__xludf.DUMMYFUNCTION("QUARTILE(FILTER(H:H,A:A=K25,C:C=M25,D:D=N25,E:E=O25),1)"),1.42962927632696)</f>
        <v>1.429629276</v>
      </c>
      <c r="AB25" s="84">
        <f>IFERROR(__xludf.DUMMYFUNCTION("QUARTILE(FILTER(H:H,A:A=K25,C:C=M25,D:D=N25,E:E=O25),3)"),169.645092041061)</f>
        <v>169.645092</v>
      </c>
      <c r="AD25" s="82">
        <f t="shared" si="5"/>
        <v>3</v>
      </c>
      <c r="AE25" s="82">
        <f t="shared" si="6"/>
        <v>5.122983488</v>
      </c>
      <c r="AF25" s="82" t="str">
        <f t="shared" ref="AF25:AJ25" si="50">IF($K25=AF$2,$R25,NA())</f>
        <v>#N/A</v>
      </c>
      <c r="AG25" s="82" t="str">
        <f t="shared" si="50"/>
        <v>#N/A</v>
      </c>
      <c r="AH25" s="82" t="str">
        <f t="shared" si="50"/>
        <v>#N/A</v>
      </c>
      <c r="AI25" s="82">
        <f t="shared" si="50"/>
        <v>6.457461853</v>
      </c>
      <c r="AJ25" s="82" t="str">
        <f t="shared" si="50"/>
        <v>#N/A</v>
      </c>
      <c r="AR25" s="85"/>
      <c r="AS25" s="84">
        <f t="shared" si="8"/>
        <v>120.1551066</v>
      </c>
      <c r="AT25" s="84" t="str">
        <f t="shared" ref="AT25:AX25" si="51">IF($K25=AF$2,$X25,NA())</f>
        <v>#N/A</v>
      </c>
      <c r="AU25" s="84" t="str">
        <f t="shared" si="51"/>
        <v>#N/A</v>
      </c>
      <c r="AV25" s="84" t="str">
        <f t="shared" si="51"/>
        <v>#N/A</v>
      </c>
      <c r="AW25" s="84">
        <f t="shared" si="51"/>
        <v>117.9036588</v>
      </c>
      <c r="AX25" s="84" t="str">
        <f t="shared" si="51"/>
        <v>#N/A</v>
      </c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</row>
    <row r="26">
      <c r="A26" s="43" t="str">
        <f t="shared" si="1"/>
        <v>ITC-state</v>
      </c>
      <c r="J26" s="81" t="str">
        <f t="shared" si="4"/>
        <v>ITC-priority-1</v>
      </c>
      <c r="K26" s="39" t="str">
        <f>IFERROR(__xludf.DUMMYFUNCTION("""COMPUTED_VALUE"""),"ITC-priority")</f>
        <v>ITC-priority</v>
      </c>
      <c r="L26" s="39" t="str">
        <f>IFERROR(__xludf.DUMMYFUNCTION("""COMPUTED_VALUE"""),"priority12x3x4")</f>
        <v>priority12x3x4</v>
      </c>
      <c r="M26" s="39">
        <f>IFERROR(__xludf.DUMMYFUNCTION("""COMPUTED_VALUE"""),1.0)</f>
        <v>1</v>
      </c>
      <c r="N26" s="39">
        <f>IFERROR(__xludf.DUMMYFUNCTION("""COMPUTED_VALUE"""),1.0)</f>
        <v>1</v>
      </c>
      <c r="O26" s="39">
        <f>IFERROR(__xludf.DUMMYFUNCTION("""COMPUTED_VALUE"""),4.0)</f>
        <v>4</v>
      </c>
      <c r="P26" s="39">
        <f>IFERROR(__xludf.DUMMYFUNCTION("COUNT(FILTER(G:G,A:A=K26,C:C=M26,D:D=N26,E:E=O26))"),5.0)</f>
        <v>5</v>
      </c>
      <c r="Q26" s="82">
        <f>IFERROR(__xludf.DUMMYFUNCTION("AVERAGE(FILTER(G:G,A:A=K26,C:C=M26,D:D=N26,E:E=O26))"),4.746299155689219)</f>
        <v>4.746299156</v>
      </c>
      <c r="R26" s="83">
        <f>IFERROR(__xludf.DUMMYFUNCTION("STDEV(FILTER(G:G,A:A=K26,C:C=M26,D:D=N26,E:E=O26))"),3.3725270009412895)</f>
        <v>3.372527001</v>
      </c>
      <c r="S26" s="83">
        <f>IFERROR(__xludf.DUMMYFUNCTION("MIN(FILTER(G:G,A:A=K26,C:C=M26,D:D=N26,E:E=O26))"),0.481216991213257)</f>
        <v>0.4812169912</v>
      </c>
      <c r="T26" s="82">
        <f>IFERROR(__xludf.DUMMYFUNCTION("MAX(FILTER(G:G,A:A=K26,C:C=M26,D:D=N26,E:E=O26))"),9.4515330006618)</f>
        <v>9.451533001</v>
      </c>
      <c r="U26" s="82">
        <f>IFERROR(__xludf.DUMMYFUNCTION("QUARTILE(FILTER(G:G,A:A=K26,C:C=M26,D:D=N26,E:E=O26),1)"),3.11422944570414)</f>
        <v>3.114229446</v>
      </c>
      <c r="V26" s="82">
        <f>IFERROR(__xludf.DUMMYFUNCTION("QUARTILE(FILTER(G:G,A:A=K26,C:C=M26,D:D=N26,E:E=O26),3)"),6.28872957780537)</f>
        <v>6.288729578</v>
      </c>
      <c r="W26" s="84">
        <f>IFERROR(__xludf.DUMMYFUNCTION("AVERAGE(FILTER(H:H,A:A=K26,C:C=M26,D:D=N26,E:E=O26))"),143.31704474313824)</f>
        <v>143.3170447</v>
      </c>
      <c r="X26" s="84">
        <f>IFERROR(__xludf.DUMMYFUNCTION("STDEV(FILTER(H:H,A:A=K26,C:C=M26,D:D=N26,E:E=O26))"),83.76038584721636)</f>
        <v>83.76038585</v>
      </c>
      <c r="Y26" s="84">
        <f>IFERROR(__xludf.DUMMYFUNCTION("MIN(FILTER(H:H,A:A=K26,C:C=M26,D:D=N26,E:E=O26))"),0.681125972785241)</f>
        <v>0.6811259728</v>
      </c>
      <c r="Z26" s="84">
        <f>IFERROR(__xludf.DUMMYFUNCTION("MAX(FILTER(H:H,A:A=K26,C:C=M26,D:D=N26,E:E=O26))"),222.281146890041)</f>
        <v>222.2811469</v>
      </c>
      <c r="AA26" s="84">
        <f>IFERROR(__xludf.DUMMYFUNCTION("QUARTILE(FILTER(H:H,A:A=K26,C:C=M26,D:D=N26,E:E=O26),1)"),156.362759080198)</f>
        <v>156.3627591</v>
      </c>
      <c r="AB26" s="84">
        <f>IFERROR(__xludf.DUMMYFUNCTION("QUARTILE(FILTER(H:H,A:A=K26,C:C=M26,D:D=N26,E:E=O26),3)"),172.578666440902)</f>
        <v>172.5786664</v>
      </c>
      <c r="AD26" s="82">
        <f t="shared" si="5"/>
        <v>4</v>
      </c>
      <c r="AE26" s="82">
        <f t="shared" si="6"/>
        <v>4.746299156</v>
      </c>
      <c r="AF26" s="82" t="str">
        <f t="shared" ref="AF26:AJ26" si="52">IF($K26=AF$2,$R26,NA())</f>
        <v>#N/A</v>
      </c>
      <c r="AG26" s="82" t="str">
        <f t="shared" si="52"/>
        <v>#N/A</v>
      </c>
      <c r="AH26" s="82" t="str">
        <f t="shared" si="52"/>
        <v>#N/A</v>
      </c>
      <c r="AI26" s="82">
        <f t="shared" si="52"/>
        <v>3.372527001</v>
      </c>
      <c r="AJ26" s="82" t="str">
        <f t="shared" si="52"/>
        <v>#N/A</v>
      </c>
      <c r="AR26" s="85"/>
      <c r="AS26" s="84">
        <f t="shared" si="8"/>
        <v>143.3170447</v>
      </c>
      <c r="AT26" s="84" t="str">
        <f t="shared" ref="AT26:AX26" si="53">IF($K26=AF$2,$X26,NA())</f>
        <v>#N/A</v>
      </c>
      <c r="AU26" s="84" t="str">
        <f t="shared" si="53"/>
        <v>#N/A</v>
      </c>
      <c r="AV26" s="84" t="str">
        <f t="shared" si="53"/>
        <v>#N/A</v>
      </c>
      <c r="AW26" s="84">
        <f t="shared" si="53"/>
        <v>83.76038585</v>
      </c>
      <c r="AX26" s="84" t="str">
        <f t="shared" si="53"/>
        <v>#N/A</v>
      </c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</row>
    <row r="27">
      <c r="A27" s="43" t="str">
        <f t="shared" si="1"/>
        <v>ITC-state</v>
      </c>
      <c r="J27" s="81" t="str">
        <f t="shared" si="4"/>
        <v>ITC-priority-1</v>
      </c>
      <c r="K27" s="39" t="str">
        <f>IFERROR(__xludf.DUMMYFUNCTION("""COMPUTED_VALUE"""),"ITC-priority")</f>
        <v>ITC-priority</v>
      </c>
      <c r="L27" s="39" t="str">
        <f>IFERROR(__xludf.DUMMYFUNCTION("""COMPUTED_VALUE"""),"priority12x3x4")</f>
        <v>priority12x3x4</v>
      </c>
      <c r="M27" s="39">
        <f>IFERROR(__xludf.DUMMYFUNCTION("""COMPUTED_VALUE"""),1.0)</f>
        <v>1</v>
      </c>
      <c r="N27" s="39">
        <f>IFERROR(__xludf.DUMMYFUNCTION("""COMPUTED_VALUE"""),1.0)</f>
        <v>1</v>
      </c>
      <c r="O27" s="39">
        <f>IFERROR(__xludf.DUMMYFUNCTION("""COMPUTED_VALUE"""),5.0)</f>
        <v>5</v>
      </c>
      <c r="P27" s="39">
        <f>IFERROR(__xludf.DUMMYFUNCTION("COUNT(FILTER(G:G,A:A=K27,C:C=M27,D:D=N27,E:E=O27))"),5.0)</f>
        <v>5</v>
      </c>
      <c r="Q27" s="82">
        <f>IFERROR(__xludf.DUMMYFUNCTION("AVERAGE(FILTER(G:G,A:A=K27,C:C=M27,D:D=N27,E:E=O27))"),4.151096211689603)</f>
        <v>4.151096212</v>
      </c>
      <c r="R27" s="83">
        <f>IFERROR(__xludf.DUMMYFUNCTION("STDEV(FILTER(G:G,A:A=K27,C:C=M27,D:D=N27,E:E=O27))"),4.693588071985302)</f>
        <v>4.693588072</v>
      </c>
      <c r="S27" s="83">
        <f>IFERROR(__xludf.DUMMYFUNCTION("MIN(FILTER(G:G,A:A=K27,C:C=M27,D:D=N27,E:E=O27))"),0.159111599352397)</f>
        <v>0.1591115994</v>
      </c>
      <c r="T27" s="82">
        <f>IFERROR(__xludf.DUMMYFUNCTION("MAX(FILTER(G:G,A:A=K27,C:C=M27,D:D=N27,E:E=O27))"),11.6143962719938)</f>
        <v>11.61439627</v>
      </c>
      <c r="U27" s="82">
        <f>IFERROR(__xludf.DUMMYFUNCTION("QUARTILE(FILTER(G:G,A:A=K27,C:C=M27,D:D=N27,E:E=O27),1)"),0.440563429974047)</f>
        <v>0.44056343</v>
      </c>
      <c r="V27" s="82">
        <f>IFERROR(__xludf.DUMMYFUNCTION("QUARTILE(FILTER(G:G,A:A=K27,C:C=M27,D:D=N27,E:E=O27),3)"),5.42950189100578)</f>
        <v>5.429501891</v>
      </c>
      <c r="W27" s="84">
        <f>IFERROR(__xludf.DUMMYFUNCTION("AVERAGE(FILTER(H:H,A:A=K27,C:C=M27,D:D=N27,E:E=O27))"),114.82458211864623)</f>
        <v>114.8245821</v>
      </c>
      <c r="X27" s="84">
        <f>IFERROR(__xludf.DUMMYFUNCTION("STDEV(FILTER(H:H,A:A=K27,C:C=M27,D:D=N27,E:E=O27))"),110.01900782454642)</f>
        <v>110.0190078</v>
      </c>
      <c r="Y27" s="84">
        <f>IFERROR(__xludf.DUMMYFUNCTION("MIN(FILTER(H:H,A:A=K27,C:C=M27,D:D=N27,E:E=O27))"),0.331849744796775)</f>
        <v>0.3318497448</v>
      </c>
      <c r="Z27" s="84">
        <f>IFERROR(__xludf.DUMMYFUNCTION("MAX(FILTER(H:H,A:A=K27,C:C=M27,D:D=N27,E:E=O27))"),247.086442909022)</f>
        <v>247.0864429</v>
      </c>
      <c r="AA27" s="84">
        <f>IFERROR(__xludf.DUMMYFUNCTION("QUARTILE(FILTER(H:H,A:A=K27,C:C=M27,D:D=N27,E:E=O27),1)"),0.531170418323316)</f>
        <v>0.5311704183</v>
      </c>
      <c r="AB27" s="84">
        <f>IFERROR(__xludf.DUMMYFUNCTION("QUARTILE(FILTER(H:H,A:A=K27,C:C=M27,D:D=N27,E:E=O27),3)"),169.923760940601)</f>
        <v>169.9237609</v>
      </c>
      <c r="AD27" s="82">
        <f t="shared" si="5"/>
        <v>5</v>
      </c>
      <c r="AE27" s="82">
        <f t="shared" si="6"/>
        <v>4.151096212</v>
      </c>
      <c r="AF27" s="82" t="str">
        <f t="shared" ref="AF27:AJ27" si="54">IF($K27=AF$2,$R27,NA())</f>
        <v>#N/A</v>
      </c>
      <c r="AG27" s="82" t="str">
        <f t="shared" si="54"/>
        <v>#N/A</v>
      </c>
      <c r="AH27" s="82" t="str">
        <f t="shared" si="54"/>
        <v>#N/A</v>
      </c>
      <c r="AI27" s="82">
        <f t="shared" si="54"/>
        <v>4.693588072</v>
      </c>
      <c r="AJ27" s="82" t="str">
        <f t="shared" si="54"/>
        <v>#N/A</v>
      </c>
      <c r="AR27" s="85"/>
      <c r="AS27" s="84">
        <f t="shared" si="8"/>
        <v>114.8245821</v>
      </c>
      <c r="AT27" s="84" t="str">
        <f t="shared" ref="AT27:AX27" si="55">IF($K27=AF$2,$X27,NA())</f>
        <v>#N/A</v>
      </c>
      <c r="AU27" s="84" t="str">
        <f t="shared" si="55"/>
        <v>#N/A</v>
      </c>
      <c r="AV27" s="84" t="str">
        <f t="shared" si="55"/>
        <v>#N/A</v>
      </c>
      <c r="AW27" s="84">
        <f t="shared" si="55"/>
        <v>110.0190078</v>
      </c>
      <c r="AX27" s="84" t="str">
        <f t="shared" si="55"/>
        <v>#N/A</v>
      </c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</row>
    <row r="28">
      <c r="A28" s="43" t="str">
        <f t="shared" si="1"/>
        <v>ITC-state</v>
      </c>
      <c r="J28" s="81" t="str">
        <f t="shared" si="4"/>
        <v>ITC-priority-1</v>
      </c>
      <c r="K28" s="39" t="str">
        <f>IFERROR(__xludf.DUMMYFUNCTION("""COMPUTED_VALUE"""),"ITC-priority")</f>
        <v>ITC-priority</v>
      </c>
      <c r="L28" s="39" t="str">
        <f>IFERROR(__xludf.DUMMYFUNCTION("""COMPUTED_VALUE"""),"priority12x3x4")</f>
        <v>priority12x3x4</v>
      </c>
      <c r="M28" s="39">
        <f>IFERROR(__xludf.DUMMYFUNCTION("""COMPUTED_VALUE"""),1.0)</f>
        <v>1</v>
      </c>
      <c r="N28" s="39">
        <f>IFERROR(__xludf.DUMMYFUNCTION("""COMPUTED_VALUE"""),1.0)</f>
        <v>1</v>
      </c>
      <c r="O28" s="39">
        <f>IFERROR(__xludf.DUMMYFUNCTION("""COMPUTED_VALUE"""),6.0)</f>
        <v>6</v>
      </c>
      <c r="P28" s="39">
        <f>IFERROR(__xludf.DUMMYFUNCTION("COUNT(FILTER(G:G,A:A=K28,C:C=M28,D:D=N28,E:E=O28))"),5.0)</f>
        <v>5</v>
      </c>
      <c r="Q28" s="82">
        <f>IFERROR(__xludf.DUMMYFUNCTION("AVERAGE(FILTER(G:G,A:A=K28,C:C=M28,D:D=N28,E:E=O28))"),4.206229126031449)</f>
        <v>4.206229126</v>
      </c>
      <c r="R28" s="83">
        <f>IFERROR(__xludf.DUMMYFUNCTION("STDEV(FILTER(G:G,A:A=K28,C:C=M28,D:D=N28,E:E=O28))"),4.653763456560348)</f>
        <v>4.653763457</v>
      </c>
      <c r="S28" s="83">
        <f>IFERROR(__xludf.DUMMYFUNCTION("MIN(FILTER(G:G,A:A=K28,C:C=M28,D:D=N28,E:E=O28))"),0.315606184811127)</f>
        <v>0.3156061848</v>
      </c>
      <c r="T28" s="82">
        <f>IFERROR(__xludf.DUMMYFUNCTION("MAX(FILTER(G:G,A:A=K28,C:C=M28,D:D=N28,E:E=O28))"),11.5951106416635)</f>
        <v>11.59511064</v>
      </c>
      <c r="U28" s="82">
        <f>IFERROR(__xludf.DUMMYFUNCTION("QUARTILE(FILTER(G:G,A:A=K28,C:C=M28,D:D=N28,E:E=O28),1)"),0.473681116034588)</f>
        <v>0.473681116</v>
      </c>
      <c r="V28" s="82">
        <f>IFERROR(__xludf.DUMMYFUNCTION("QUARTILE(FILTER(G:G,A:A=K28,C:C=M28,D:D=N28,E:E=O28),3)"),5.53543405250226)</f>
        <v>5.535434053</v>
      </c>
      <c r="W28" s="84">
        <f>IFERROR(__xludf.DUMMYFUNCTION("AVERAGE(FILTER(H:H,A:A=K28,C:C=M28,D:D=N28,E:E=O28))"),115.2807071813389)</f>
        <v>115.2807072</v>
      </c>
      <c r="X28" s="84">
        <f>IFERROR(__xludf.DUMMYFUNCTION("STDEV(FILTER(H:H,A:A=K28,C:C=M28,D:D=N28,E:E=O28))"),110.24099699398654)</f>
        <v>110.240997</v>
      </c>
      <c r="Y28" s="84">
        <f>IFERROR(__xludf.DUMMYFUNCTION("MIN(FILTER(H:H,A:A=K28,C:C=M28,D:D=N28,E:E=O28))"),0.500707738533942)</f>
        <v>0.5007077385</v>
      </c>
      <c r="Z28" s="84">
        <f>IFERROR(__xludf.DUMMYFUNCTION("MAX(FILTER(H:H,A:A=K28,C:C=M28,D:D=N28,E:E=O28))"),247.378354121598)</f>
        <v>247.3783541</v>
      </c>
      <c r="AA28" s="84">
        <f>IFERROR(__xludf.DUMMYFUNCTION("QUARTILE(FILTER(H:H,A:A=K28,C:C=M28,D:D=N28,E:E=O28),1)"),0.666985115715644)</f>
        <v>0.6669851157</v>
      </c>
      <c r="AB28" s="84">
        <f>IFERROR(__xludf.DUMMYFUNCTION("QUARTILE(FILTER(H:H,A:A=K28,C:C=M28,D:D=N28,E:E=O28),3)"),171.626300075669)</f>
        <v>171.6263001</v>
      </c>
      <c r="AD28" s="82">
        <f t="shared" si="5"/>
        <v>6</v>
      </c>
      <c r="AE28" s="82">
        <f t="shared" si="6"/>
        <v>4.206229126</v>
      </c>
      <c r="AF28" s="82" t="str">
        <f t="shared" ref="AF28:AJ28" si="56">IF($K28=AF$2,$R28,NA())</f>
        <v>#N/A</v>
      </c>
      <c r="AG28" s="82" t="str">
        <f t="shared" si="56"/>
        <v>#N/A</v>
      </c>
      <c r="AH28" s="82" t="str">
        <f t="shared" si="56"/>
        <v>#N/A</v>
      </c>
      <c r="AI28" s="82">
        <f t="shared" si="56"/>
        <v>4.653763457</v>
      </c>
      <c r="AJ28" s="82" t="str">
        <f t="shared" si="56"/>
        <v>#N/A</v>
      </c>
      <c r="AR28" s="85"/>
      <c r="AS28" s="84">
        <f t="shared" si="8"/>
        <v>115.2807072</v>
      </c>
      <c r="AT28" s="84" t="str">
        <f t="shared" ref="AT28:AX28" si="57">IF($K28=AF$2,$X28,NA())</f>
        <v>#N/A</v>
      </c>
      <c r="AU28" s="84" t="str">
        <f t="shared" si="57"/>
        <v>#N/A</v>
      </c>
      <c r="AV28" s="84" t="str">
        <f t="shared" si="57"/>
        <v>#N/A</v>
      </c>
      <c r="AW28" s="84">
        <f t="shared" si="57"/>
        <v>110.240997</v>
      </c>
      <c r="AX28" s="84" t="str">
        <f t="shared" si="57"/>
        <v>#N/A</v>
      </c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</row>
    <row r="29">
      <c r="A29" s="43" t="str">
        <f t="shared" si="1"/>
        <v>ITC-state</v>
      </c>
      <c r="J29" s="81" t="str">
        <f t="shared" si="4"/>
        <v>ITC-priority-1</v>
      </c>
      <c r="K29" s="39" t="str">
        <f>IFERROR(__xludf.DUMMYFUNCTION("""COMPUTED_VALUE"""),"ITC-priority")</f>
        <v>ITC-priority</v>
      </c>
      <c r="L29" s="39" t="str">
        <f>IFERROR(__xludf.DUMMYFUNCTION("""COMPUTED_VALUE"""),"priority12x3x4")</f>
        <v>priority12x3x4</v>
      </c>
      <c r="M29" s="39">
        <f>IFERROR(__xludf.DUMMYFUNCTION("""COMPUTED_VALUE"""),1.0)</f>
        <v>1</v>
      </c>
      <c r="N29" s="39">
        <f>IFERROR(__xludf.DUMMYFUNCTION("""COMPUTED_VALUE"""),1.0)</f>
        <v>1</v>
      </c>
      <c r="O29" s="39">
        <f>IFERROR(__xludf.DUMMYFUNCTION("""COMPUTED_VALUE"""),7.0)</f>
        <v>7</v>
      </c>
      <c r="P29" s="39">
        <f>IFERROR(__xludf.DUMMYFUNCTION("COUNT(FILTER(G:G,A:A=K29,C:C=M29,D:D=N29,E:E=O29))"),5.0)</f>
        <v>5</v>
      </c>
      <c r="Q29" s="82">
        <f>IFERROR(__xludf.DUMMYFUNCTION("AVERAGE(FILTER(G:G,A:A=K29,C:C=M29,D:D=N29,E:E=O29))"),5.780334479028662)</f>
        <v>5.780334479</v>
      </c>
      <c r="R29" s="83">
        <f>IFERROR(__xludf.DUMMYFUNCTION("STDEV(FILTER(G:G,A:A=K29,C:C=M29,D:D=N29,E:E=O29))"),4.949732336231713)</f>
        <v>4.949732336</v>
      </c>
      <c r="S29" s="83">
        <f>IFERROR(__xludf.DUMMYFUNCTION("MIN(FILTER(G:G,A:A=K29,C:C=M29,D:D=N29,E:E=O29))"),1.16272832749694)</f>
        <v>1.162728327</v>
      </c>
      <c r="T29" s="82">
        <f>IFERROR(__xludf.DUMMYFUNCTION("MAX(FILTER(G:G,A:A=K29,C:C=M29,D:D=N29,E:E=O29))"),13.9971624640181)</f>
        <v>13.99716246</v>
      </c>
      <c r="U29" s="82">
        <f>IFERROR(__xludf.DUMMYFUNCTION("QUARTILE(FILTER(G:G,A:A=K29,C:C=M29,D:D=N29,E:E=O29),1)"),3.11409972342978)</f>
        <v>3.114099723</v>
      </c>
      <c r="V29" s="82">
        <f>IFERROR(__xludf.DUMMYFUNCTION("QUARTILE(FILTER(G:G,A:A=K29,C:C=M29,D:D=N29,E:E=O29),3)"),6.21295491510269)</f>
        <v>6.212954915</v>
      </c>
      <c r="W29" s="84">
        <f>IFERROR(__xludf.DUMMYFUNCTION("AVERAGE(FILTER(H:H,A:A=K29,C:C=M29,D:D=N29,E:E=O29))"),154.56595357565408)</f>
        <v>154.5659536</v>
      </c>
      <c r="X29" s="84">
        <f>IFERROR(__xludf.DUMMYFUNCTION("STDEV(FILTER(H:H,A:A=K29,C:C=M29,D:D=N29,E:E=O29))"),98.16970213705522)</f>
        <v>98.16970214</v>
      </c>
      <c r="Y29" s="84">
        <f>IFERROR(__xludf.DUMMYFUNCTION("MIN(FILTER(H:H,A:A=K29,C:C=M29,D:D=N29,E:E=O29))"),2.45057155961256)</f>
        <v>2.45057156</v>
      </c>
      <c r="Z29" s="84">
        <f>IFERROR(__xludf.DUMMYFUNCTION("MAX(FILTER(H:H,A:A=K29,C:C=M29,D:D=N29,E:E=O29))"),277.035793944562)</f>
        <v>277.0357939</v>
      </c>
      <c r="AA29" s="84">
        <f>IFERROR(__xludf.DUMMYFUNCTION("QUARTILE(FILTER(H:H,A:A=K29,C:C=M29,D:D=N29,E:E=O29),1)"),156.359145762468)</f>
        <v>156.3591458</v>
      </c>
      <c r="AB29" s="84">
        <f>IFERROR(__xludf.DUMMYFUNCTION("QUARTILE(FILTER(H:H,A:A=K29,C:C=M29,D:D=N29,E:E=O29),3)"),171.663736840282)</f>
        <v>171.6637368</v>
      </c>
      <c r="AD29" s="82">
        <f t="shared" si="5"/>
        <v>7</v>
      </c>
      <c r="AE29" s="82">
        <f t="shared" si="6"/>
        <v>5.780334479</v>
      </c>
      <c r="AF29" s="82" t="str">
        <f t="shared" ref="AF29:AJ29" si="58">IF($K29=AF$2,$R29,NA())</f>
        <v>#N/A</v>
      </c>
      <c r="AG29" s="82" t="str">
        <f t="shared" si="58"/>
        <v>#N/A</v>
      </c>
      <c r="AH29" s="82" t="str">
        <f t="shared" si="58"/>
        <v>#N/A</v>
      </c>
      <c r="AI29" s="82">
        <f t="shared" si="58"/>
        <v>4.949732336</v>
      </c>
      <c r="AJ29" s="82" t="str">
        <f t="shared" si="58"/>
        <v>#N/A</v>
      </c>
      <c r="AR29" s="85"/>
      <c r="AS29" s="84">
        <f t="shared" si="8"/>
        <v>154.5659536</v>
      </c>
      <c r="AT29" s="84" t="str">
        <f t="shared" ref="AT29:AX29" si="59">IF($K29=AF$2,$X29,NA())</f>
        <v>#N/A</v>
      </c>
      <c r="AU29" s="84" t="str">
        <f t="shared" si="59"/>
        <v>#N/A</v>
      </c>
      <c r="AV29" s="84" t="str">
        <f t="shared" si="59"/>
        <v>#N/A</v>
      </c>
      <c r="AW29" s="84">
        <f t="shared" si="59"/>
        <v>98.16970214</v>
      </c>
      <c r="AX29" s="84" t="str">
        <f t="shared" si="59"/>
        <v>#N/A</v>
      </c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</row>
    <row r="30">
      <c r="A30" s="43" t="str">
        <f t="shared" si="1"/>
        <v>ITC-state</v>
      </c>
      <c r="J30" s="81" t="str">
        <f t="shared" si="4"/>
        <v>ITC-priority-1</v>
      </c>
      <c r="K30" s="39" t="str">
        <f>IFERROR(__xludf.DUMMYFUNCTION("""COMPUTED_VALUE"""),"ITC-priority")</f>
        <v>ITC-priority</v>
      </c>
      <c r="L30" s="39" t="str">
        <f>IFERROR(__xludf.DUMMYFUNCTION("""COMPUTED_VALUE"""),"priority12x3x4")</f>
        <v>priority12x3x4</v>
      </c>
      <c r="M30" s="39">
        <f>IFERROR(__xludf.DUMMYFUNCTION("""COMPUTED_VALUE"""),1.0)</f>
        <v>1</v>
      </c>
      <c r="N30" s="39">
        <f>IFERROR(__xludf.DUMMYFUNCTION("""COMPUTED_VALUE"""),1.0)</f>
        <v>1</v>
      </c>
      <c r="O30" s="39">
        <f>IFERROR(__xludf.DUMMYFUNCTION("""COMPUTED_VALUE"""),8.0)</f>
        <v>8</v>
      </c>
      <c r="P30" s="39">
        <f>IFERROR(__xludf.DUMMYFUNCTION("COUNT(FILTER(G:G,A:A=K30,C:C=M30,D:D=N30,E:E=O30))"),5.0)</f>
        <v>5</v>
      </c>
      <c r="Q30" s="82">
        <f>IFERROR(__xludf.DUMMYFUNCTION("AVERAGE(FILTER(G:G,A:A=K30,C:C=M30,D:D=N30,E:E=O30))"),5.5090480496378404)</f>
        <v>5.50904805</v>
      </c>
      <c r="R30" s="83">
        <f>IFERROR(__xludf.DUMMYFUNCTION("STDEV(FILTER(G:G,A:A=K30,C:C=M30,D:D=N30,E:E=O30))"),4.8603702597026555)</f>
        <v>4.86037026</v>
      </c>
      <c r="S30" s="83">
        <f>IFERROR(__xludf.DUMMYFUNCTION("MIN(FILTER(G:G,A:A=K30,C:C=M30,D:D=N30,E:E=O30))"),0.47038039114068)</f>
        <v>0.4703803911</v>
      </c>
      <c r="T30" s="82">
        <f>IFERROR(__xludf.DUMMYFUNCTION("MAX(FILTER(G:G,A:A=K30,C:C=M30,D:D=N30,E:E=O30))"),13.3607976228812)</f>
        <v>13.36079762</v>
      </c>
      <c r="U30" s="82">
        <f>IFERROR(__xludf.DUMMYFUNCTION("QUARTILE(FILTER(G:G,A:A=K30,C:C=M30,D:D=N30,E:E=O30),1)"),3.11469490143274)</f>
        <v>3.114694901</v>
      </c>
      <c r="V30" s="82">
        <f>IFERROR(__xludf.DUMMYFUNCTION("QUARTILE(FILTER(G:G,A:A=K30,C:C=M30,D:D=N30,E:E=O30),3)"),6.20358056967305)</f>
        <v>6.20358057</v>
      </c>
      <c r="W30" s="84">
        <f>IFERROR(__xludf.DUMMYFUNCTION("AVERAGE(FILTER(H:H,A:A=K30,C:C=M30,D:D=N30,E:E=O30))"),151.85150667665016)</f>
        <v>151.8515067</v>
      </c>
      <c r="X30" s="84">
        <f>IFERROR(__xludf.DUMMYFUNCTION("STDEV(FILTER(H:H,A:A=K30,C:C=M30,D:D=N30,E:E=O30))"),95.5372849015805)</f>
        <v>95.5372849</v>
      </c>
      <c r="Y30" s="84">
        <f>IFERROR(__xludf.DUMMYFUNCTION("MIN(FILTER(H:H,A:A=K30,C:C=M30,D:D=N30,E:E=O30))"),0.632194773062802)</f>
        <v>0.6321947731</v>
      </c>
      <c r="Z30" s="84">
        <f>IFERROR(__xludf.DUMMYFUNCTION("MAX(FILTER(H:H,A:A=K30,C:C=M30,D:D=N30,E:E=O30))"),266.203777436755)</f>
        <v>266.2037774</v>
      </c>
      <c r="AA30" s="84">
        <f>IFERROR(__xludf.DUMMYFUNCTION("QUARTILE(FILTER(H:H,A:A=K30,C:C=M30,D:D=N30,E:E=O30),1)"),156.377671788528)</f>
        <v>156.3776718</v>
      </c>
      <c r="AB30" s="84">
        <f>IFERROR(__xludf.DUMMYFUNCTION("QUARTILE(FILTER(H:H,A:A=K30,C:C=M30,D:D=N30,E:E=O30),3)"),171.36236405314)</f>
        <v>171.3623641</v>
      </c>
      <c r="AD30" s="82">
        <f t="shared" si="5"/>
        <v>8</v>
      </c>
      <c r="AE30" s="82">
        <f t="shared" si="6"/>
        <v>5.50904805</v>
      </c>
      <c r="AF30" s="82" t="str">
        <f t="shared" ref="AF30:AJ30" si="60">IF($K30=AF$2,$R30,NA())</f>
        <v>#N/A</v>
      </c>
      <c r="AG30" s="82" t="str">
        <f t="shared" si="60"/>
        <v>#N/A</v>
      </c>
      <c r="AH30" s="82" t="str">
        <f t="shared" si="60"/>
        <v>#N/A</v>
      </c>
      <c r="AI30" s="82">
        <f t="shared" si="60"/>
        <v>4.86037026</v>
      </c>
      <c r="AJ30" s="82" t="str">
        <f t="shared" si="60"/>
        <v>#N/A</v>
      </c>
      <c r="AR30" s="85"/>
      <c r="AS30" s="84">
        <f t="shared" si="8"/>
        <v>151.8515067</v>
      </c>
      <c r="AT30" s="84" t="str">
        <f t="shared" ref="AT30:AX30" si="61">IF($K30=AF$2,$X30,NA())</f>
        <v>#N/A</v>
      </c>
      <c r="AU30" s="84" t="str">
        <f t="shared" si="61"/>
        <v>#N/A</v>
      </c>
      <c r="AV30" s="84" t="str">
        <f t="shared" si="61"/>
        <v>#N/A</v>
      </c>
      <c r="AW30" s="84">
        <f t="shared" si="61"/>
        <v>95.5372849</v>
      </c>
      <c r="AX30" s="84" t="str">
        <f t="shared" si="61"/>
        <v>#N/A</v>
      </c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</row>
    <row r="31">
      <c r="A31" s="43" t="str">
        <f t="shared" si="1"/>
        <v>ITC-state</v>
      </c>
      <c r="J31" s="81" t="str">
        <f t="shared" si="4"/>
        <v>ITC-priority-1</v>
      </c>
      <c r="K31" s="39" t="str">
        <f>IFERROR(__xludf.DUMMYFUNCTION("""COMPUTED_VALUE"""),"ITC-priority")</f>
        <v>ITC-priority</v>
      </c>
      <c r="L31" s="39" t="str">
        <f>IFERROR(__xludf.DUMMYFUNCTION("""COMPUTED_VALUE"""),"priority12x3x4")</f>
        <v>priority12x3x4</v>
      </c>
      <c r="M31" s="39">
        <f>IFERROR(__xludf.DUMMYFUNCTION("""COMPUTED_VALUE"""),1.0)</f>
        <v>1</v>
      </c>
      <c r="N31" s="39">
        <f>IFERROR(__xludf.DUMMYFUNCTION("""COMPUTED_VALUE"""),1.0)</f>
        <v>1</v>
      </c>
      <c r="O31" s="39">
        <f>IFERROR(__xludf.DUMMYFUNCTION("""COMPUTED_VALUE"""),9.0)</f>
        <v>9</v>
      </c>
      <c r="P31" s="39">
        <f>IFERROR(__xludf.DUMMYFUNCTION("COUNT(FILTER(G:G,A:A=K31,C:C=M31,D:D=N31,E:E=O31))"),5.0)</f>
        <v>5</v>
      </c>
      <c r="Q31" s="82">
        <f>IFERROR(__xludf.DUMMYFUNCTION("AVERAGE(FILTER(G:G,A:A=K31,C:C=M31,D:D=N31,E:E=O31))"),5.275514865340796)</f>
        <v>5.275514865</v>
      </c>
      <c r="R31" s="83">
        <f>IFERROR(__xludf.DUMMYFUNCTION("STDEV(FILTER(G:G,A:A=K31,C:C=M31,D:D=N31,E:E=O31))"),4.46493601616555)</f>
        <v>4.464936016</v>
      </c>
      <c r="S31" s="83">
        <f>IFERROR(__xludf.DUMMYFUNCTION("MIN(FILTER(G:G,A:A=K31,C:C=M31,D:D=N31,E:E=O31))"),0.35340937214611)</f>
        <v>0.3534093721</v>
      </c>
      <c r="T31" s="82">
        <f>IFERROR(__xludf.DUMMYFUNCTION("MAX(FILTER(G:G,A:A=K31,C:C=M31,D:D=N31,E:E=O31))"),12.2926913332461)</f>
        <v>12.29269133</v>
      </c>
      <c r="U31" s="82">
        <f>IFERROR(__xludf.DUMMYFUNCTION("QUARTILE(FILTER(G:G,A:A=K31,C:C=M31,D:D=N31,E:E=O31),1)"),3.114430242612)</f>
        <v>3.114430243</v>
      </c>
      <c r="V31" s="82">
        <f>IFERROR(__xludf.DUMMYFUNCTION("QUARTILE(FILTER(G:G,A:A=K31,C:C=M31,D:D=N31,E:E=O31),3)"),6.20358056967305)</f>
        <v>6.20358057</v>
      </c>
      <c r="W31" s="84">
        <f>IFERROR(__xludf.DUMMYFUNCTION("AVERAGE(FILTER(H:H,A:A=K31,C:C=M31,D:D=N31,E:E=O31))"),149.55616677285593)</f>
        <v>149.5561668</v>
      </c>
      <c r="X31" s="84">
        <f>IFERROR(__xludf.DUMMYFUNCTION("STDEV(FILTER(H:H,A:A=K31,C:C=M31,D:D=N31,E:E=O31))"),92.2007226880684)</f>
        <v>92.20072269</v>
      </c>
      <c r="Y31" s="84">
        <f>IFERROR(__xludf.DUMMYFUNCTION("MIN(FILTER(H:H,A:A=K31,C:C=M31,D:D=N31,E:E=O31))"),0.468282556680679)</f>
        <v>0.4682825567</v>
      </c>
      <c r="Z31" s="84">
        <f>IFERROR(__xludf.DUMMYFUNCTION("MAX(FILTER(H:H,A:A=K31,C:C=M31,D:D=N31,E:E=O31))"),254.503166235031)</f>
        <v>254.5031662</v>
      </c>
      <c r="AA31" s="84">
        <f>IFERROR(__xludf.DUMMYFUNCTION("QUARTILE(FILTER(H:H,A:A=K31,C:C=M31,D:D=N31,E:E=O31),1)"),156.370708622541)</f>
        <v>156.3707086</v>
      </c>
      <c r="AB31" s="84">
        <f>IFERROR(__xludf.DUMMYFUNCTION("QUARTILE(FILTER(H:H,A:A=K31,C:C=M31,D:D=N31,E:E=O31),3)"),171.36236405314)</f>
        <v>171.3623641</v>
      </c>
      <c r="AD31" s="82">
        <f t="shared" si="5"/>
        <v>9</v>
      </c>
      <c r="AE31" s="82">
        <f t="shared" si="6"/>
        <v>5.275514865</v>
      </c>
      <c r="AF31" s="82" t="str">
        <f t="shared" ref="AF31:AJ31" si="62">IF($K31=AF$2,$R31,NA())</f>
        <v>#N/A</v>
      </c>
      <c r="AG31" s="82" t="str">
        <f t="shared" si="62"/>
        <v>#N/A</v>
      </c>
      <c r="AH31" s="82" t="str">
        <f t="shared" si="62"/>
        <v>#N/A</v>
      </c>
      <c r="AI31" s="82">
        <f t="shared" si="62"/>
        <v>4.464936016</v>
      </c>
      <c r="AJ31" s="82" t="str">
        <f t="shared" si="62"/>
        <v>#N/A</v>
      </c>
      <c r="AR31" s="85"/>
      <c r="AS31" s="84">
        <f t="shared" si="8"/>
        <v>149.5561668</v>
      </c>
      <c r="AT31" s="84" t="str">
        <f t="shared" ref="AT31:AX31" si="63">IF($K31=AF$2,$X31,NA())</f>
        <v>#N/A</v>
      </c>
      <c r="AU31" s="84" t="str">
        <f t="shared" si="63"/>
        <v>#N/A</v>
      </c>
      <c r="AV31" s="84" t="str">
        <f t="shared" si="63"/>
        <v>#N/A</v>
      </c>
      <c r="AW31" s="84">
        <f t="shared" si="63"/>
        <v>92.20072269</v>
      </c>
      <c r="AX31" s="84" t="str">
        <f t="shared" si="63"/>
        <v>#N/A</v>
      </c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</row>
    <row r="32">
      <c r="A32" s="43" t="str">
        <f t="shared" si="1"/>
        <v>ITC-state</v>
      </c>
      <c r="J32" s="81" t="str">
        <f t="shared" si="4"/>
        <v>ITC-priority-1</v>
      </c>
      <c r="K32" s="39" t="str">
        <f>IFERROR(__xludf.DUMMYFUNCTION("""COMPUTED_VALUE"""),"ITC-priority")</f>
        <v>ITC-priority</v>
      </c>
      <c r="L32" s="39" t="str">
        <f>IFERROR(__xludf.DUMMYFUNCTION("""COMPUTED_VALUE"""),"priority12x3x4")</f>
        <v>priority12x3x4</v>
      </c>
      <c r="M32" s="39">
        <f>IFERROR(__xludf.DUMMYFUNCTION("""COMPUTED_VALUE"""),1.0)</f>
        <v>1</v>
      </c>
      <c r="N32" s="39">
        <f>IFERROR(__xludf.DUMMYFUNCTION("""COMPUTED_VALUE"""),1.0)</f>
        <v>1</v>
      </c>
      <c r="O32" s="39">
        <f>IFERROR(__xludf.DUMMYFUNCTION("""COMPUTED_VALUE"""),10.0)</f>
        <v>10</v>
      </c>
      <c r="P32" s="39">
        <f>IFERROR(__xludf.DUMMYFUNCTION("COUNT(FILTER(G:G,A:A=K32,C:C=M32,D:D=N32,E:E=O32))"),5.0)</f>
        <v>5</v>
      </c>
      <c r="Q32" s="82">
        <f>IFERROR(__xludf.DUMMYFUNCTION("AVERAGE(FILTER(G:G,A:A=K32,C:C=M32,D:D=N32,E:E=O32))"),4.77399132781999)</f>
        <v>4.773991328</v>
      </c>
      <c r="R32" s="83">
        <f>IFERROR(__xludf.DUMMYFUNCTION("STDEV(FILTER(G:G,A:A=K32,C:C=M32,D:D=N32,E:E=O32))"),3.800118863896774)</f>
        <v>3.800118864</v>
      </c>
      <c r="S32" s="83">
        <f>IFERROR(__xludf.DUMMYFUNCTION("MIN(FILTER(G:G,A:A=K32,C:C=M32,D:D=N32,E:E=O32))"),0.851530955718844)</f>
        <v>0.8515309557</v>
      </c>
      <c r="T32" s="82">
        <f>IFERROR(__xludf.DUMMYFUNCTION("MAX(FILTER(G:G,A:A=K32,C:C=M32,D:D=N32,E:E=O32))"),10.8647526855879)</f>
        <v>10.86475269</v>
      </c>
      <c r="U32" s="82">
        <f>IFERROR(__xludf.DUMMYFUNCTION("QUARTILE(FILTER(G:G,A:A=K32,C:C=M32,D:D=N32,E:E=O32),1)"),3.11119334689862)</f>
        <v>3.111193347</v>
      </c>
      <c r="V32" s="82">
        <f>IFERROR(__xludf.DUMMYFUNCTION("QUARTILE(FILTER(G:G,A:A=K32,C:C=M32,D:D=N32,E:E=O32),3)"),5.61391554626621)</f>
        <v>5.613915546</v>
      </c>
      <c r="W32" s="84">
        <f>IFERROR(__xludf.DUMMYFUNCTION("AVERAGE(FILTER(H:H,A:A=K32,C:C=M32,D:D=N32,E:E=O32))"),118.24938102759886)</f>
        <v>118.249381</v>
      </c>
      <c r="X32" s="84">
        <f>IFERROR(__xludf.DUMMYFUNCTION("STDEV(FILTER(H:H,A:A=K32,C:C=M32,D:D=N32,E:E=O32))"),104.86467403649701)</f>
        <v>104.864674</v>
      </c>
      <c r="Y32" s="84">
        <f>IFERROR(__xludf.DUMMYFUNCTION("MIN(FILTER(H:H,A:A=K32,C:C=M32,D:D=N32,E:E=O32))"),1.8150964898419)</f>
        <v>1.81509649</v>
      </c>
      <c r="Z32" s="84">
        <f>IFERROR(__xludf.DUMMYFUNCTION("MAX(FILTER(H:H,A:A=K32,C:C=M32,D:D=N32,E:E=O32))"),240.057844207946)</f>
        <v>240.0578442</v>
      </c>
      <c r="AA32" s="84">
        <f>IFERROR(__xludf.DUMMYFUNCTION("QUARTILE(FILTER(H:H,A:A=K32,C:C=M32,D:D=N32,E:E=O32),1)"),15.3019542701754)</f>
        <v>15.30195427</v>
      </c>
      <c r="AB32" s="84">
        <f>IFERROR(__xludf.DUMMYFUNCTION("QUARTILE(FILTER(H:H,A:A=K32,C:C=M32,D:D=N32,E:E=O32),3)"),177.846025323925)</f>
        <v>177.8460253</v>
      </c>
      <c r="AD32" s="82">
        <f t="shared" si="5"/>
        <v>10</v>
      </c>
      <c r="AE32" s="82">
        <f t="shared" si="6"/>
        <v>4.773991328</v>
      </c>
      <c r="AF32" s="82" t="str">
        <f t="shared" ref="AF32:AJ32" si="64">IF($K32=AF$2,$R32,NA())</f>
        <v>#N/A</v>
      </c>
      <c r="AG32" s="82" t="str">
        <f t="shared" si="64"/>
        <v>#N/A</v>
      </c>
      <c r="AH32" s="82" t="str">
        <f t="shared" si="64"/>
        <v>#N/A</v>
      </c>
      <c r="AI32" s="82">
        <f t="shared" si="64"/>
        <v>3.800118864</v>
      </c>
      <c r="AJ32" s="82" t="str">
        <f t="shared" si="64"/>
        <v>#N/A</v>
      </c>
      <c r="AR32" s="85"/>
      <c r="AS32" s="84">
        <f t="shared" si="8"/>
        <v>118.249381</v>
      </c>
      <c r="AT32" s="84" t="str">
        <f t="shared" ref="AT32:AX32" si="65">IF($K32=AF$2,$X32,NA())</f>
        <v>#N/A</v>
      </c>
      <c r="AU32" s="84" t="str">
        <f t="shared" si="65"/>
        <v>#N/A</v>
      </c>
      <c r="AV32" s="84" t="str">
        <f t="shared" si="65"/>
        <v>#N/A</v>
      </c>
      <c r="AW32" s="84">
        <f t="shared" si="65"/>
        <v>104.864674</v>
      </c>
      <c r="AX32" s="84" t="str">
        <f t="shared" si="65"/>
        <v>#N/A</v>
      </c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</row>
    <row r="33">
      <c r="A33" s="43" t="str">
        <f t="shared" si="1"/>
        <v>ITC-state</v>
      </c>
      <c r="J33" s="81" t="str">
        <f t="shared" si="4"/>
        <v>ITC-state-1</v>
      </c>
      <c r="K33" s="39" t="str">
        <f>IFERROR(__xludf.DUMMYFUNCTION("""COMPUTED_VALUE"""),"ITC-state")</f>
        <v>ITC-state</v>
      </c>
      <c r="L33" s="39" t="str">
        <f>IFERROR(__xludf.DUMMYFUNCTION("""COMPUTED_VALUE"""),"awaitingsml")</f>
        <v>awaitingsml</v>
      </c>
      <c r="M33" s="39">
        <f>IFERROR(__xludf.DUMMYFUNCTION("""COMPUTED_VALUE"""),1.0)</f>
        <v>1</v>
      </c>
      <c r="N33" s="39">
        <f>IFERROR(__xludf.DUMMYFUNCTION("""COMPUTED_VALUE"""),1.0)</f>
        <v>1</v>
      </c>
      <c r="O33" s="39">
        <f>IFERROR(__xludf.DUMMYFUNCTION("""COMPUTED_VALUE"""),1.0)</f>
        <v>1</v>
      </c>
      <c r="P33" s="39">
        <f>IFERROR(__xludf.DUMMYFUNCTION("COUNT(FILTER(G:G,A:A=K33,C:C=M33,D:D=N33,E:E=O33))"),5.0)</f>
        <v>5</v>
      </c>
      <c r="Q33" s="82">
        <f>IFERROR(__xludf.DUMMYFUNCTION("AVERAGE(FILTER(G:G,A:A=K33,C:C=M33,D:D=N33,E:E=O33))"),2.393635276730854)</f>
        <v>2.393635277</v>
      </c>
      <c r="R33" s="83">
        <f>IFERROR(__xludf.DUMMYFUNCTION("STDEV(FILTER(G:G,A:A=K33,C:C=M33,D:D=N33,E:E=O33))"),1.8121813841472663)</f>
        <v>1.812181384</v>
      </c>
      <c r="S33" s="83">
        <f>IFERROR(__xludf.DUMMYFUNCTION("MIN(FILTER(G:G,A:A=K33,C:C=M33,D:D=N33,E:E=O33))"),0.207414646087391)</f>
        <v>0.2074146461</v>
      </c>
      <c r="T33" s="82">
        <f>IFERROR(__xludf.DUMMYFUNCTION("MAX(FILTER(G:G,A:A=K33,C:C=M33,D:D=N33,E:E=O33))"),5.01929536082832)</f>
        <v>5.019295361</v>
      </c>
      <c r="U33" s="82">
        <f>IFERROR(__xludf.DUMMYFUNCTION("QUARTILE(FILTER(G:G,A:A=K33,C:C=M33,D:D=N33,E:E=O33),1)"),1.73190477390966)</f>
        <v>1.731904774</v>
      </c>
      <c r="V33" s="82">
        <f>IFERROR(__xludf.DUMMYFUNCTION("QUARTILE(FILTER(G:G,A:A=K33,C:C=M33,D:D=N33,E:E=O33),3)"),3.21180273864392)</f>
        <v>3.211802739</v>
      </c>
      <c r="W33" s="84">
        <f>IFERROR(__xludf.DUMMYFUNCTION("AVERAGE(FILTER(H:H,A:A=K33,C:C=M33,D:D=N33,E:E=O33))"),92.85573273433012)</f>
        <v>92.85573273</v>
      </c>
      <c r="X33" s="84">
        <f>IFERROR(__xludf.DUMMYFUNCTION("STDEV(FILTER(H:H,A:A=K33,C:C=M33,D:D=N33,E:E=O33))"),84.9424229091115)</f>
        <v>84.94242291</v>
      </c>
      <c r="Y33" s="84">
        <f>IFERROR(__xludf.DUMMYFUNCTION("MIN(FILTER(H:H,A:A=K33,C:C=M33,D:D=N33,E:E=O33))"),0.289791750987311)</f>
        <v>0.289791751</v>
      </c>
      <c r="Z33" s="84">
        <f>IFERROR(__xludf.DUMMYFUNCTION("MAX(FILTER(H:H,A:A=K33,C:C=M33,D:D=N33,E:E=O33))"),206.239878064578)</f>
        <v>206.2398781</v>
      </c>
      <c r="AA33" s="84">
        <f>IFERROR(__xludf.DUMMYFUNCTION("QUARTILE(FILTER(H:H,A:A=K33,C:C=M33,D:D=N33,E:E=O33),1)"),28.6707747824468)</f>
        <v>28.67077478</v>
      </c>
      <c r="AB33" s="84">
        <f>IFERROR(__xludf.DUMMYFUNCTION("QUARTILE(FILTER(H:H,A:A=K33,C:C=M33,D:D=N33,E:E=O33),3)"),149.009361275648)</f>
        <v>149.0093613</v>
      </c>
      <c r="AD33" s="82">
        <f t="shared" si="5"/>
        <v>1</v>
      </c>
      <c r="AE33" s="82">
        <f t="shared" si="6"/>
        <v>2.393635277</v>
      </c>
      <c r="AF33" s="82" t="str">
        <f t="shared" ref="AF33:AJ33" si="66">IF($K33=AF$2,$R33,NA())</f>
        <v>#N/A</v>
      </c>
      <c r="AG33" s="82" t="str">
        <f t="shared" si="66"/>
        <v>#N/A</v>
      </c>
      <c r="AH33" s="82" t="str">
        <f t="shared" si="66"/>
        <v>#N/A</v>
      </c>
      <c r="AI33" s="82" t="str">
        <f t="shared" si="66"/>
        <v>#N/A</v>
      </c>
      <c r="AJ33" s="82">
        <f t="shared" si="66"/>
        <v>1.812181384</v>
      </c>
      <c r="AR33" s="85"/>
      <c r="AS33" s="84">
        <f t="shared" si="8"/>
        <v>92.85573273</v>
      </c>
      <c r="AT33" s="84" t="str">
        <f t="shared" ref="AT33:AX33" si="67">IF($K33=AF$2,$X33,NA())</f>
        <v>#N/A</v>
      </c>
      <c r="AU33" s="84" t="str">
        <f t="shared" si="67"/>
        <v>#N/A</v>
      </c>
      <c r="AV33" s="84" t="str">
        <f t="shared" si="67"/>
        <v>#N/A</v>
      </c>
      <c r="AW33" s="84" t="str">
        <f t="shared" si="67"/>
        <v>#N/A</v>
      </c>
      <c r="AX33" s="84">
        <f t="shared" si="67"/>
        <v>84.94242291</v>
      </c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</row>
    <row r="34">
      <c r="A34" s="43" t="str">
        <f t="shared" si="1"/>
        <v>ITC-state</v>
      </c>
      <c r="J34" s="81" t="str">
        <f t="shared" si="4"/>
        <v>ITC-state-1</v>
      </c>
      <c r="K34" s="39" t="str">
        <f>IFERROR(__xludf.DUMMYFUNCTION("""COMPUTED_VALUE"""),"ITC-state")</f>
        <v>ITC-state</v>
      </c>
      <c r="L34" s="39" t="str">
        <f>IFERROR(__xludf.DUMMYFUNCTION("""COMPUTED_VALUE"""),"awaitingsml")</f>
        <v>awaitingsml</v>
      </c>
      <c r="M34" s="39">
        <f>IFERROR(__xludf.DUMMYFUNCTION("""COMPUTED_VALUE"""),1.0)</f>
        <v>1</v>
      </c>
      <c r="N34" s="39">
        <f>IFERROR(__xludf.DUMMYFUNCTION("""COMPUTED_VALUE"""),1.0)</f>
        <v>1</v>
      </c>
      <c r="O34" s="39">
        <f>IFERROR(__xludf.DUMMYFUNCTION("""COMPUTED_VALUE"""),2.0)</f>
        <v>2</v>
      </c>
      <c r="P34" s="39">
        <f>IFERROR(__xludf.DUMMYFUNCTION("COUNT(FILTER(G:G,A:A=K34,C:C=M34,D:D=N34,E:E=O34))"),5.0)</f>
        <v>5</v>
      </c>
      <c r="Q34" s="82">
        <f>IFERROR(__xludf.DUMMYFUNCTION("AVERAGE(FILTER(G:G,A:A=K34,C:C=M34,D:D=N34,E:E=O34))"),3.979800201055352)</f>
        <v>3.979800201</v>
      </c>
      <c r="R34" s="83">
        <f>IFERROR(__xludf.DUMMYFUNCTION("STDEV(FILTER(G:G,A:A=K34,C:C=M34,D:D=N34,E:E=O34))"),1.7707164881380122)</f>
        <v>1.770716488</v>
      </c>
      <c r="S34" s="83">
        <f>IFERROR(__xludf.DUMMYFUNCTION("MIN(FILTER(G:G,A:A=K34,C:C=M34,D:D=N34,E:E=O34))"),1.80110685338141)</f>
        <v>1.801106853</v>
      </c>
      <c r="T34" s="82">
        <f>IFERROR(__xludf.DUMMYFUNCTION("MAX(FILTER(G:G,A:A=K34,C:C=M34,D:D=N34,E:E=O34))"),6.25648055250307)</f>
        <v>6.256480553</v>
      </c>
      <c r="U34" s="82">
        <f>IFERROR(__xludf.DUMMYFUNCTION("QUARTILE(FILTER(G:G,A:A=K34,C:C=M34,D:D=N34,E:E=O34),1)"),2.67806871074015)</f>
        <v>2.678068711</v>
      </c>
      <c r="V34" s="82">
        <f>IFERROR(__xludf.DUMMYFUNCTION("QUARTILE(FILTER(G:G,A:A=K34,C:C=M34,D:D=N34,E:E=O34),3)"),4.89212705636363)</f>
        <v>4.892127056</v>
      </c>
      <c r="W34" s="84">
        <f>IFERROR(__xludf.DUMMYFUNCTION("AVERAGE(FILTER(H:H,A:A=K34,C:C=M34,D:D=N34,E:E=O34))"),125.13240452855726)</f>
        <v>125.1324045</v>
      </c>
      <c r="X34" s="84">
        <f>IFERROR(__xludf.DUMMYFUNCTION("STDEV(FILTER(H:H,A:A=K34,C:C=M34,D:D=N34,E:E=O34))"),69.655554089403)</f>
        <v>69.65555409</v>
      </c>
      <c r="Y34" s="84">
        <f>IFERROR(__xludf.DUMMYFUNCTION("MIN(FILTER(H:H,A:A=K34,C:C=M34,D:D=N34,E:E=O34))"),28.7058245125456)</f>
        <v>28.70582451</v>
      </c>
      <c r="Z34" s="84">
        <f>IFERROR(__xludf.DUMMYFUNCTION("MAX(FILTER(H:H,A:A=K34,C:C=M34,D:D=N34,E:E=O34))"),200.094180621917)</f>
        <v>200.0941806</v>
      </c>
      <c r="AA34" s="84">
        <f>IFERROR(__xludf.DUMMYFUNCTION("QUARTILE(FILTER(H:H,A:A=K34,C:C=M34,D:D=N34,E:E=O34),1)"),86.7791427050527)</f>
        <v>86.77914271</v>
      </c>
      <c r="AB34" s="84">
        <f>IFERROR(__xludf.DUMMYFUNCTION("QUARTILE(FILTER(H:H,A:A=K34,C:C=M34,D:D=N34,E:E=O34),3)"),179.842228377365)</f>
        <v>179.8422284</v>
      </c>
      <c r="AD34" s="82">
        <f t="shared" si="5"/>
        <v>2</v>
      </c>
      <c r="AE34" s="82">
        <f t="shared" si="6"/>
        <v>3.979800201</v>
      </c>
      <c r="AF34" s="82" t="str">
        <f t="shared" ref="AF34:AJ34" si="68">IF($K34=AF$2,$R34,NA())</f>
        <v>#N/A</v>
      </c>
      <c r="AG34" s="82" t="str">
        <f t="shared" si="68"/>
        <v>#N/A</v>
      </c>
      <c r="AH34" s="82" t="str">
        <f t="shared" si="68"/>
        <v>#N/A</v>
      </c>
      <c r="AI34" s="82" t="str">
        <f t="shared" si="68"/>
        <v>#N/A</v>
      </c>
      <c r="AJ34" s="82">
        <f t="shared" si="68"/>
        <v>1.770716488</v>
      </c>
      <c r="AR34" s="85"/>
      <c r="AS34" s="84">
        <f t="shared" si="8"/>
        <v>125.1324045</v>
      </c>
      <c r="AT34" s="84" t="str">
        <f t="shared" ref="AT34:AX34" si="69">IF($K34=AF$2,$X34,NA())</f>
        <v>#N/A</v>
      </c>
      <c r="AU34" s="84" t="str">
        <f t="shared" si="69"/>
        <v>#N/A</v>
      </c>
      <c r="AV34" s="84" t="str">
        <f t="shared" si="69"/>
        <v>#N/A</v>
      </c>
      <c r="AW34" s="84" t="str">
        <f t="shared" si="69"/>
        <v>#N/A</v>
      </c>
      <c r="AX34" s="84">
        <f t="shared" si="69"/>
        <v>69.65555409</v>
      </c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</row>
    <row r="35">
      <c r="A35" s="43" t="str">
        <f t="shared" si="1"/>
        <v>ITC-state</v>
      </c>
      <c r="J35" s="81" t="str">
        <f t="shared" si="4"/>
        <v>ITC-state-1</v>
      </c>
      <c r="K35" s="39" t="str">
        <f>IFERROR(__xludf.DUMMYFUNCTION("""COMPUTED_VALUE"""),"ITC-state")</f>
        <v>ITC-state</v>
      </c>
      <c r="L35" s="39" t="str">
        <f>IFERROR(__xludf.DUMMYFUNCTION("""COMPUTED_VALUE"""),"awaitingsml")</f>
        <v>awaitingsml</v>
      </c>
      <c r="M35" s="39">
        <f>IFERROR(__xludf.DUMMYFUNCTION("""COMPUTED_VALUE"""),1.0)</f>
        <v>1</v>
      </c>
      <c r="N35" s="39">
        <f>IFERROR(__xludf.DUMMYFUNCTION("""COMPUTED_VALUE"""),1.0)</f>
        <v>1</v>
      </c>
      <c r="O35" s="39">
        <f>IFERROR(__xludf.DUMMYFUNCTION("""COMPUTED_VALUE"""),3.0)</f>
        <v>3</v>
      </c>
      <c r="P35" s="39">
        <f>IFERROR(__xludf.DUMMYFUNCTION("COUNT(FILTER(G:G,A:A=K35,C:C=M35,D:D=N35,E:E=O35))"),5.0)</f>
        <v>5</v>
      </c>
      <c r="Q35" s="82">
        <f>IFERROR(__xludf.DUMMYFUNCTION("AVERAGE(FILTER(G:G,A:A=K35,C:C=M35,D:D=N35,E:E=O35))"),4.204057142035673)</f>
        <v>4.204057142</v>
      </c>
      <c r="R35" s="83">
        <f>IFERROR(__xludf.DUMMYFUNCTION("STDEV(FILTER(G:G,A:A=K35,C:C=M35,D:D=N35,E:E=O35))"),3.607121411625471)</f>
        <v>3.607121412</v>
      </c>
      <c r="S35" s="83">
        <f>IFERROR(__xludf.DUMMYFUNCTION("MIN(FILTER(G:G,A:A=K35,C:C=M35,D:D=N35,E:E=O35))"),0.480508922820292)</f>
        <v>0.4805089228</v>
      </c>
      <c r="T35" s="82">
        <f>IFERROR(__xludf.DUMMYFUNCTION("MAX(FILTER(G:G,A:A=K35,C:C=M35,D:D=N35,E:E=O35))"),8.39025998177273)</f>
        <v>8.390259982</v>
      </c>
      <c r="U35" s="82">
        <f>IFERROR(__xludf.DUMMYFUNCTION("QUARTILE(FILTER(G:G,A:A=K35,C:C=M35,D:D=N35,E:E=O35),1)"),1.73279972324326)</f>
        <v>1.732799723</v>
      </c>
      <c r="V35" s="82">
        <f>IFERROR(__xludf.DUMMYFUNCTION("QUARTILE(FILTER(G:G,A:A=K35,C:C=M35,D:D=N35,E:E=O35),3)"),7.71154032901986)</f>
        <v>7.711540329</v>
      </c>
      <c r="W35" s="84">
        <f>IFERROR(__xludf.DUMMYFUNCTION("AVERAGE(FILTER(H:H,A:A=K35,C:C=M35,D:D=N35,E:E=O35))"),147.30429973201257)</f>
        <v>147.3042997</v>
      </c>
      <c r="X35" s="84">
        <f>IFERROR(__xludf.DUMMYFUNCTION("STDEV(FILTER(H:H,A:A=K35,C:C=M35,D:D=N35,E:E=O35))"),116.3612714026173)</f>
        <v>116.3612714</v>
      </c>
      <c r="Y35" s="84">
        <f>IFERROR(__xludf.DUMMYFUNCTION("MIN(FILTER(H:H,A:A=K35,C:C=M35,D:D=N35,E:E=O35))"),0.553890011348854)</f>
        <v>0.5538900113</v>
      </c>
      <c r="Z35" s="84">
        <f>IFERROR(__xludf.DUMMYFUNCTION("MAX(FILTER(H:H,A:A=K35,C:C=M35,D:D=N35,E:E=O35))"),267.679983769275)</f>
        <v>267.6799838</v>
      </c>
      <c r="AA35" s="84">
        <f>IFERROR(__xludf.DUMMYFUNCTION("QUARTILE(FILTER(H:H,A:A=K35,C:C=M35,D:D=N35,E:E=O35),1)"),80.0909403372912)</f>
        <v>80.09094034</v>
      </c>
      <c r="AB35" s="84">
        <f>IFERROR(__xludf.DUMMYFUNCTION("QUARTILE(FILTER(H:H,A:A=K35,C:C=M35,D:D=N35,E:E=O35),3)"),262.057128876243)</f>
        <v>262.0571289</v>
      </c>
      <c r="AD35" s="82">
        <f t="shared" si="5"/>
        <v>3</v>
      </c>
      <c r="AE35" s="82">
        <f t="shared" si="6"/>
        <v>4.204057142</v>
      </c>
      <c r="AF35" s="82" t="str">
        <f t="shared" ref="AF35:AJ35" si="70">IF($K35=AF$2,$R35,NA())</f>
        <v>#N/A</v>
      </c>
      <c r="AG35" s="82" t="str">
        <f t="shared" si="70"/>
        <v>#N/A</v>
      </c>
      <c r="AH35" s="82" t="str">
        <f t="shared" si="70"/>
        <v>#N/A</v>
      </c>
      <c r="AI35" s="82" t="str">
        <f t="shared" si="70"/>
        <v>#N/A</v>
      </c>
      <c r="AJ35" s="82">
        <f t="shared" si="70"/>
        <v>3.607121412</v>
      </c>
      <c r="AR35" s="85"/>
      <c r="AS35" s="84">
        <f t="shared" si="8"/>
        <v>147.3042997</v>
      </c>
      <c r="AT35" s="84" t="str">
        <f t="shared" ref="AT35:AX35" si="71">IF($K35=AF$2,$X35,NA())</f>
        <v>#N/A</v>
      </c>
      <c r="AU35" s="84" t="str">
        <f t="shared" si="71"/>
        <v>#N/A</v>
      </c>
      <c r="AV35" s="84" t="str">
        <f t="shared" si="71"/>
        <v>#N/A</v>
      </c>
      <c r="AW35" s="84" t="str">
        <f t="shared" si="71"/>
        <v>#N/A</v>
      </c>
      <c r="AX35" s="84">
        <f t="shared" si="71"/>
        <v>116.3612714</v>
      </c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</row>
    <row r="36">
      <c r="A36" s="43" t="str">
        <f t="shared" si="1"/>
        <v>ITC-state</v>
      </c>
      <c r="J36" s="81" t="str">
        <f t="shared" si="4"/>
        <v>ITC-state-1</v>
      </c>
      <c r="K36" s="39" t="str">
        <f>IFERROR(__xludf.DUMMYFUNCTION("""COMPUTED_VALUE"""),"ITC-state")</f>
        <v>ITC-state</v>
      </c>
      <c r="L36" s="39" t="str">
        <f>IFERROR(__xludf.DUMMYFUNCTION("""COMPUTED_VALUE"""),"awaitingsml")</f>
        <v>awaitingsml</v>
      </c>
      <c r="M36" s="39">
        <f>IFERROR(__xludf.DUMMYFUNCTION("""COMPUTED_VALUE"""),1.0)</f>
        <v>1</v>
      </c>
      <c r="N36" s="39">
        <f>IFERROR(__xludf.DUMMYFUNCTION("""COMPUTED_VALUE"""),1.0)</f>
        <v>1</v>
      </c>
      <c r="O36" s="39">
        <f>IFERROR(__xludf.DUMMYFUNCTION("""COMPUTED_VALUE"""),4.0)</f>
        <v>4</v>
      </c>
      <c r="P36" s="39">
        <f>IFERROR(__xludf.DUMMYFUNCTION("COUNT(FILTER(G:G,A:A=K36,C:C=M36,D:D=N36,E:E=O36))"),5.0)</f>
        <v>5</v>
      </c>
      <c r="Q36" s="82">
        <f>IFERROR(__xludf.DUMMYFUNCTION("AVERAGE(FILTER(G:G,A:A=K36,C:C=M36,D:D=N36,E:E=O36))"),4.988211958737416)</f>
        <v>4.988211959</v>
      </c>
      <c r="R36" s="83">
        <f>IFERROR(__xludf.DUMMYFUNCTION("STDEV(FILTER(G:G,A:A=K36,C:C=M36,D:D=N36,E:E=O36))"),3.6108927181163093)</f>
        <v>3.610892718</v>
      </c>
      <c r="S36" s="83">
        <f>IFERROR(__xludf.DUMMYFUNCTION("MIN(FILTER(G:G,A:A=K36,C:C=M36,D:D=N36,E:E=O36))"),1.73190477390966)</f>
        <v>1.731904774</v>
      </c>
      <c r="T36" s="82">
        <f>IFERROR(__xludf.DUMMYFUNCTION("MAX(FILTER(G:G,A:A=K36,C:C=M36,D:D=N36,E:E=O36))"),10.1036812087903)</f>
        <v>10.10368121</v>
      </c>
      <c r="U36" s="82">
        <f>IFERROR(__xludf.DUMMYFUNCTION("QUARTILE(FILTER(G:G,A:A=K36,C:C=M36,D:D=N36,E:E=O36),1)"),2.72284254911433)</f>
        <v>2.722842549</v>
      </c>
      <c r="V36" s="82">
        <f>IFERROR(__xludf.DUMMYFUNCTION("QUARTILE(FILTER(G:G,A:A=K36,C:C=M36,D:D=N36,E:E=O36),3)"),7.44611296012217)</f>
        <v>7.44611296</v>
      </c>
      <c r="W36" s="84">
        <f>IFERROR(__xludf.DUMMYFUNCTION("AVERAGE(FILTER(H:H,A:A=K36,C:C=M36,D:D=N36,E:E=O36))"),174.6140037189627)</f>
        <v>174.6140037</v>
      </c>
      <c r="X36" s="84">
        <f>IFERROR(__xludf.DUMMYFUNCTION("STDEV(FILTER(H:H,A:A=K36,C:C=M36,D:D=N36,E:E=O36))"),87.40601504453505)</f>
        <v>87.40601504</v>
      </c>
      <c r="Y36" s="84">
        <f>IFERROR(__xludf.DUMMYFUNCTION("MIN(FILTER(H:H,A:A=K36,C:C=M36,D:D=N36,E:E=O36))"),80.0688577979905)</f>
        <v>80.0688578</v>
      </c>
      <c r="Z36" s="84">
        <f>IFERROR(__xludf.DUMMYFUNCTION("MAX(FILTER(H:H,A:A=K36,C:C=M36,D:D=N36,E:E=O36))"),305.979195471907)</f>
        <v>305.9791955</v>
      </c>
      <c r="AA36" s="84">
        <f>IFERROR(__xludf.DUMMYFUNCTION("QUARTILE(FILTER(H:H,A:A=K36,C:C=M36,D:D=N36,E:E=O36),1)"),123.374517494394)</f>
        <v>123.3745175</v>
      </c>
      <c r="AB36" s="84">
        <f>IFERROR(__xludf.DUMMYFUNCTION("QUARTILE(FILTER(H:H,A:A=K36,C:C=M36,D:D=N36,E:E=O36),3)"),210.408707413425)</f>
        <v>210.4087074</v>
      </c>
      <c r="AD36" s="82">
        <f t="shared" si="5"/>
        <v>4</v>
      </c>
      <c r="AE36" s="82">
        <f t="shared" si="6"/>
        <v>4.988211959</v>
      </c>
      <c r="AF36" s="82" t="str">
        <f t="shared" ref="AF36:AJ36" si="72">IF($K36=AF$2,$R36,NA())</f>
        <v>#N/A</v>
      </c>
      <c r="AG36" s="82" t="str">
        <f t="shared" si="72"/>
        <v>#N/A</v>
      </c>
      <c r="AH36" s="82" t="str">
        <f t="shared" si="72"/>
        <v>#N/A</v>
      </c>
      <c r="AI36" s="82" t="str">
        <f t="shared" si="72"/>
        <v>#N/A</v>
      </c>
      <c r="AJ36" s="82">
        <f t="shared" si="72"/>
        <v>3.610892718</v>
      </c>
      <c r="AR36" s="85"/>
      <c r="AS36" s="84">
        <f t="shared" si="8"/>
        <v>174.6140037</v>
      </c>
      <c r="AT36" s="84" t="str">
        <f t="shared" ref="AT36:AX36" si="73">IF($K36=AF$2,$X36,NA())</f>
        <v>#N/A</v>
      </c>
      <c r="AU36" s="84" t="str">
        <f t="shared" si="73"/>
        <v>#N/A</v>
      </c>
      <c r="AV36" s="84" t="str">
        <f t="shared" si="73"/>
        <v>#N/A</v>
      </c>
      <c r="AW36" s="84" t="str">
        <f t="shared" si="73"/>
        <v>#N/A</v>
      </c>
      <c r="AX36" s="84">
        <f t="shared" si="73"/>
        <v>87.40601504</v>
      </c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</row>
    <row r="37">
      <c r="A37" s="43" t="str">
        <f t="shared" si="1"/>
        <v>ITC-state</v>
      </c>
      <c r="J37" s="81" t="str">
        <f t="shared" si="4"/>
        <v>ITC-state-1</v>
      </c>
      <c r="K37" s="39" t="str">
        <f>IFERROR(__xludf.DUMMYFUNCTION("""COMPUTED_VALUE"""),"ITC-state")</f>
        <v>ITC-state</v>
      </c>
      <c r="L37" s="39" t="str">
        <f>IFERROR(__xludf.DUMMYFUNCTION("""COMPUTED_VALUE"""),"awaitingsml")</f>
        <v>awaitingsml</v>
      </c>
      <c r="M37" s="39">
        <f>IFERROR(__xludf.DUMMYFUNCTION("""COMPUTED_VALUE"""),1.0)</f>
        <v>1</v>
      </c>
      <c r="N37" s="39">
        <f>IFERROR(__xludf.DUMMYFUNCTION("""COMPUTED_VALUE"""),1.0)</f>
        <v>1</v>
      </c>
      <c r="O37" s="39">
        <f>IFERROR(__xludf.DUMMYFUNCTION("""COMPUTED_VALUE"""),5.0)</f>
        <v>5</v>
      </c>
      <c r="P37" s="39">
        <f>IFERROR(__xludf.DUMMYFUNCTION("COUNT(FILTER(G:G,A:A=K37,C:C=M37,D:D=N37,E:E=O37))"),5.0)</f>
        <v>5</v>
      </c>
      <c r="Q37" s="82">
        <f>IFERROR(__xludf.DUMMYFUNCTION("AVERAGE(FILTER(G:G,A:A=K37,C:C=M37,D:D=N37,E:E=O37))"),3.3105044458026653)</f>
        <v>3.310504446</v>
      </c>
      <c r="R37" s="83">
        <f>IFERROR(__xludf.DUMMYFUNCTION("STDEV(FILTER(G:G,A:A=K37,C:C=M37,D:D=N37,E:E=O37))"),3.0203386677164294)</f>
        <v>3.020338668</v>
      </c>
      <c r="S37" s="83">
        <f>IFERROR(__xludf.DUMMYFUNCTION("MIN(FILTER(G:G,A:A=K37,C:C=M37,D:D=N37,E:E=O37))"),0.481766782146622)</f>
        <v>0.4817667821</v>
      </c>
      <c r="T37" s="82">
        <f>IFERROR(__xludf.DUMMYFUNCTION("MAX(FILTER(G:G,A:A=K37,C:C=M37,D:D=N37,E:E=O37))"),6.74544150368888)</f>
        <v>6.745441504</v>
      </c>
      <c r="U37" s="82">
        <f>IFERROR(__xludf.DUMMYFUNCTION("QUARTILE(FILTER(G:G,A:A=K37,C:C=M37,D:D=N37,E:E=O37),1)"),0.581659196280914)</f>
        <v>0.5816591963</v>
      </c>
      <c r="V37" s="82">
        <f>IFERROR(__xludf.DUMMYFUNCTION("QUARTILE(FILTER(G:G,A:A=K37,C:C=M37,D:D=N37,E:E=O37),3)"),6.24129577383067)</f>
        <v>6.241295774</v>
      </c>
      <c r="W37" s="84">
        <f>IFERROR(__xludf.DUMMYFUNCTION("AVERAGE(FILTER(H:H,A:A=K37,C:C=M37,D:D=N37,E:E=O37))"),108.22628568752168)</f>
        <v>108.2262857</v>
      </c>
      <c r="X37" s="84">
        <f>IFERROR(__xludf.DUMMYFUNCTION("STDEV(FILTER(H:H,A:A=K37,C:C=M37,D:D=N37,E:E=O37))"),104.99874355583233)</f>
        <v>104.9987436</v>
      </c>
      <c r="Y37" s="84">
        <f>IFERROR(__xludf.DUMMYFUNCTION("MIN(FILTER(H:H,A:A=K37,C:C=M37,D:D=N37,E:E=O37))"),0.555112818585487)</f>
        <v>0.5551128186</v>
      </c>
      <c r="Z37" s="84">
        <f>IFERROR(__xludf.DUMMYFUNCTION("MAX(FILTER(H:H,A:A=K37,C:C=M37,D:D=N37,E:E=O37))"),228.210578845896)</f>
        <v>228.2105788</v>
      </c>
      <c r="AA37" s="84">
        <f>IFERROR(__xludf.DUMMYFUNCTION("QUARTILE(FILTER(H:H,A:A=K37,C:C=M37,D:D=N37,E:E=O37),1)"),0.745309482501829)</f>
        <v>0.7453094825</v>
      </c>
      <c r="AB37" s="84">
        <f>IFERROR(__xludf.DUMMYFUNCTION("QUARTILE(FILTER(H:H,A:A=K37,C:C=M37,D:D=N37,E:E=O37),3)"),187.661523475194)</f>
        <v>187.6615235</v>
      </c>
      <c r="AD37" s="82">
        <f t="shared" si="5"/>
        <v>5</v>
      </c>
      <c r="AE37" s="82">
        <f t="shared" si="6"/>
        <v>3.310504446</v>
      </c>
      <c r="AF37" s="82" t="str">
        <f t="shared" ref="AF37:AJ37" si="74">IF($K37=AF$2,$R37,NA())</f>
        <v>#N/A</v>
      </c>
      <c r="AG37" s="82" t="str">
        <f t="shared" si="74"/>
        <v>#N/A</v>
      </c>
      <c r="AH37" s="82" t="str">
        <f t="shared" si="74"/>
        <v>#N/A</v>
      </c>
      <c r="AI37" s="82" t="str">
        <f t="shared" si="74"/>
        <v>#N/A</v>
      </c>
      <c r="AJ37" s="82">
        <f t="shared" si="74"/>
        <v>3.020338668</v>
      </c>
      <c r="AR37" s="85"/>
      <c r="AS37" s="84">
        <f t="shared" si="8"/>
        <v>108.2262857</v>
      </c>
      <c r="AT37" s="84" t="str">
        <f t="shared" ref="AT37:AX37" si="75">IF($K37=AF$2,$X37,NA())</f>
        <v>#N/A</v>
      </c>
      <c r="AU37" s="84" t="str">
        <f t="shared" si="75"/>
        <v>#N/A</v>
      </c>
      <c r="AV37" s="84" t="str">
        <f t="shared" si="75"/>
        <v>#N/A</v>
      </c>
      <c r="AW37" s="84" t="str">
        <f t="shared" si="75"/>
        <v>#N/A</v>
      </c>
      <c r="AX37" s="84">
        <f t="shared" si="75"/>
        <v>104.9987436</v>
      </c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</row>
    <row r="38">
      <c r="A38" s="43" t="str">
        <f t="shared" si="1"/>
        <v>ITC-state</v>
      </c>
      <c r="J38" s="81" t="str">
        <f t="shared" si="4"/>
        <v>ITC-state-1</v>
      </c>
      <c r="K38" s="39" t="str">
        <f>IFERROR(__xludf.DUMMYFUNCTION("""COMPUTED_VALUE"""),"ITC-state")</f>
        <v>ITC-state</v>
      </c>
      <c r="L38" s="39" t="str">
        <f>IFERROR(__xludf.DUMMYFUNCTION("""COMPUTED_VALUE"""),"awaitingsml")</f>
        <v>awaitingsml</v>
      </c>
      <c r="M38" s="39">
        <f>IFERROR(__xludf.DUMMYFUNCTION("""COMPUTED_VALUE"""),1.0)</f>
        <v>1</v>
      </c>
      <c r="N38" s="39">
        <f>IFERROR(__xludf.DUMMYFUNCTION("""COMPUTED_VALUE"""),1.0)</f>
        <v>1</v>
      </c>
      <c r="O38" s="39">
        <f>IFERROR(__xludf.DUMMYFUNCTION("""COMPUTED_VALUE"""),6.0)</f>
        <v>6</v>
      </c>
      <c r="P38" s="39">
        <f>IFERROR(__xludf.DUMMYFUNCTION("COUNT(FILTER(G:G,A:A=K38,C:C=M38,D:D=N38,E:E=O38))"),5.0)</f>
        <v>5</v>
      </c>
      <c r="Q38" s="82">
        <f>IFERROR(__xludf.DUMMYFUNCTION("AVERAGE(FILTER(G:G,A:A=K38,C:C=M38,D:D=N38,E:E=O38))"),2.085348587494536)</f>
        <v>2.085348587</v>
      </c>
      <c r="R38" s="83">
        <f>IFERROR(__xludf.DUMMYFUNCTION("STDEV(FILTER(G:G,A:A=K38,C:C=M38,D:D=N38,E:E=O38))"),1.5166630386167657)</f>
        <v>1.516663039</v>
      </c>
      <c r="S38" s="83">
        <f>IFERROR(__xludf.DUMMYFUNCTION("MIN(FILTER(G:G,A:A=K38,C:C=M38,D:D=N38,E:E=O38))"),0.567181660740876)</f>
        <v>0.5671816607</v>
      </c>
      <c r="T38" s="82">
        <f>IFERROR(__xludf.DUMMYFUNCTION("MAX(FILTER(G:G,A:A=K38,C:C=M38,D:D=N38,E:E=O38))"),3.92928100315544)</f>
        <v>3.929281003</v>
      </c>
      <c r="U38" s="82">
        <f>IFERROR(__xludf.DUMMYFUNCTION("QUARTILE(FILTER(G:G,A:A=K38,C:C=M38,D:D=N38,E:E=O38),1)"),0.712643716149664)</f>
        <v>0.7126437161</v>
      </c>
      <c r="V38" s="82">
        <f>IFERROR(__xludf.DUMMYFUNCTION("QUARTILE(FILTER(G:G,A:A=K38,C:C=M38,D:D=N38,E:E=O38),3)"),3.33812953625291)</f>
        <v>3.338129536</v>
      </c>
      <c r="W38" s="84">
        <f>IFERROR(__xludf.DUMMYFUNCTION("AVERAGE(FILTER(H:H,A:A=K38,C:C=M38,D:D=N38,E:E=O38))"),75.44749115995066)</f>
        <v>75.44749116</v>
      </c>
      <c r="X38" s="84">
        <f>IFERROR(__xludf.DUMMYFUNCTION("STDEV(FILTER(H:H,A:A=K38,C:C=M38,D:D=N38,E:E=O38))"),87.11496465552945)</f>
        <v>87.11496466</v>
      </c>
      <c r="Y38" s="84">
        <f>IFERROR(__xludf.DUMMYFUNCTION("MIN(FILTER(H:H,A:A=K38,C:C=M38,D:D=N38,E:E=O38))"),0.711926040086939)</f>
        <v>0.7119260401</v>
      </c>
      <c r="Z38" s="84">
        <f>IFERROR(__xludf.DUMMYFUNCTION("MAX(FILTER(H:H,A:A=K38,C:C=M38,D:D=N38,E:E=O38))"),180.181311637798)</f>
        <v>180.1813116</v>
      </c>
      <c r="AA38" s="84">
        <f>IFERROR(__xludf.DUMMYFUNCTION("QUARTILE(FILTER(H:H,A:A=K38,C:C=M38,D:D=N38,E:E=O38),1)"),5.37800141906322)</f>
        <v>5.378001419</v>
      </c>
      <c r="AB38" s="84">
        <f>IFERROR(__xludf.DUMMYFUNCTION("QUARTILE(FILTER(H:H,A:A=K38,C:C=M38,D:D=N38,E:E=O38),3)"),159.079118906437)</f>
        <v>159.0791189</v>
      </c>
      <c r="AD38" s="82">
        <f t="shared" si="5"/>
        <v>6</v>
      </c>
      <c r="AE38" s="82">
        <f t="shared" si="6"/>
        <v>2.085348587</v>
      </c>
      <c r="AF38" s="82" t="str">
        <f t="shared" ref="AF38:AJ38" si="76">IF($K38=AF$2,$R38,NA())</f>
        <v>#N/A</v>
      </c>
      <c r="AG38" s="82" t="str">
        <f t="shared" si="76"/>
        <v>#N/A</v>
      </c>
      <c r="AH38" s="82" t="str">
        <f t="shared" si="76"/>
        <v>#N/A</v>
      </c>
      <c r="AI38" s="82" t="str">
        <f t="shared" si="76"/>
        <v>#N/A</v>
      </c>
      <c r="AJ38" s="82">
        <f t="shared" si="76"/>
        <v>1.516663039</v>
      </c>
      <c r="AR38" s="85"/>
      <c r="AS38" s="84">
        <f t="shared" si="8"/>
        <v>75.44749116</v>
      </c>
      <c r="AT38" s="84" t="str">
        <f t="shared" ref="AT38:AX38" si="77">IF($K38=AF$2,$X38,NA())</f>
        <v>#N/A</v>
      </c>
      <c r="AU38" s="84" t="str">
        <f t="shared" si="77"/>
        <v>#N/A</v>
      </c>
      <c r="AV38" s="84" t="str">
        <f t="shared" si="77"/>
        <v>#N/A</v>
      </c>
      <c r="AW38" s="84" t="str">
        <f t="shared" si="77"/>
        <v>#N/A</v>
      </c>
      <c r="AX38" s="84">
        <f t="shared" si="77"/>
        <v>87.11496466</v>
      </c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</row>
    <row r="39">
      <c r="A39" s="43" t="str">
        <f t="shared" si="1"/>
        <v>ITC-state</v>
      </c>
      <c r="J39" s="81" t="str">
        <f t="shared" si="4"/>
        <v>ITC-state-1</v>
      </c>
      <c r="K39" s="39" t="str">
        <f>IFERROR(__xludf.DUMMYFUNCTION("""COMPUTED_VALUE"""),"ITC-state")</f>
        <v>ITC-state</v>
      </c>
      <c r="L39" s="39" t="str">
        <f>IFERROR(__xludf.DUMMYFUNCTION("""COMPUTED_VALUE"""),"awaitingsml")</f>
        <v>awaitingsml</v>
      </c>
      <c r="M39" s="39">
        <f>IFERROR(__xludf.DUMMYFUNCTION("""COMPUTED_VALUE"""),1.0)</f>
        <v>1</v>
      </c>
      <c r="N39" s="39">
        <f>IFERROR(__xludf.DUMMYFUNCTION("""COMPUTED_VALUE"""),1.0)</f>
        <v>1</v>
      </c>
      <c r="O39" s="39">
        <f>IFERROR(__xludf.DUMMYFUNCTION("""COMPUTED_VALUE"""),7.0)</f>
        <v>7</v>
      </c>
      <c r="P39" s="39">
        <f>IFERROR(__xludf.DUMMYFUNCTION("COUNT(FILTER(G:G,A:A=K39,C:C=M39,D:D=N39,E:E=O39))"),5.0)</f>
        <v>5</v>
      </c>
      <c r="Q39" s="82">
        <f>IFERROR(__xludf.DUMMYFUNCTION("AVERAGE(FILTER(G:G,A:A=K39,C:C=M39,D:D=N39,E:E=O39))"),4.7246215272917045)</f>
        <v>4.724621527</v>
      </c>
      <c r="R39" s="83">
        <f>IFERROR(__xludf.DUMMYFUNCTION("STDEV(FILTER(G:G,A:A=K39,C:C=M39,D:D=N39,E:E=O39))"),3.2513398726289653)</f>
        <v>3.251339873</v>
      </c>
      <c r="S39" s="83">
        <f>IFERROR(__xludf.DUMMYFUNCTION("MIN(FILTER(G:G,A:A=K39,C:C=M39,D:D=N39,E:E=O39))"),1.88474147950951)</f>
        <v>1.88474148</v>
      </c>
      <c r="T39" s="82">
        <f>IFERROR(__xludf.DUMMYFUNCTION("MAX(FILTER(G:G,A:A=K39,C:C=M39,D:D=N39,E:E=O39))"),10.0771693115473)</f>
        <v>10.07716931</v>
      </c>
      <c r="U39" s="82">
        <f>IFERROR(__xludf.DUMMYFUNCTION("QUARTILE(FILTER(G:G,A:A=K39,C:C=M39,D:D=N39,E:E=O39),1)"),2.53460478785142)</f>
        <v>2.534604788</v>
      </c>
      <c r="V39" s="82">
        <f>IFERROR(__xludf.DUMMYFUNCTION("QUARTILE(FILTER(G:G,A:A=K39,C:C=M39,D:D=N39,E:E=O39),3)"),5.16410059304084)</f>
        <v>5.164100593</v>
      </c>
      <c r="W39" s="84">
        <f>IFERROR(__xludf.DUMMYFUNCTION("AVERAGE(FILTER(H:H,A:A=K39,C:C=M39,D:D=N39,E:E=O39))"),167.29744660043957)</f>
        <v>167.2974466</v>
      </c>
      <c r="X39" s="84">
        <f>IFERROR(__xludf.DUMMYFUNCTION("STDEV(FILTER(H:H,A:A=K39,C:C=M39,D:D=N39,E:E=O39))"),100.82890056963805)</f>
        <v>100.8289006</v>
      </c>
      <c r="Y39" s="84">
        <f>IFERROR(__xludf.DUMMYFUNCTION("MIN(FILTER(H:H,A:A=K39,C:C=M39,D:D=N39,E:E=O39))"),31.9516334914618)</f>
        <v>31.95163349</v>
      </c>
      <c r="Z39" s="84">
        <f>IFERROR(__xludf.DUMMYFUNCTION("MAX(FILTER(H:H,A:A=K39,C:C=M39,D:D=N39,E:E=O39))"),305.565295257475)</f>
        <v>305.5652953</v>
      </c>
      <c r="AA39" s="84">
        <f>IFERROR(__xludf.DUMMYFUNCTION("QUARTILE(FILTER(H:H,A:A=K39,C:C=M39,D:D=N39,E:E=O39),1)"),123.269473766132)</f>
        <v>123.2694738</v>
      </c>
      <c r="AB39" s="84">
        <f>IFERROR(__xludf.DUMMYFUNCTION("QUARTILE(FILTER(H:H,A:A=K39,C:C=M39,D:D=N39,E:E=O39),3)"),202.784775456904)</f>
        <v>202.7847755</v>
      </c>
      <c r="AD39" s="82">
        <f t="shared" si="5"/>
        <v>7</v>
      </c>
      <c r="AE39" s="82">
        <f t="shared" si="6"/>
        <v>4.724621527</v>
      </c>
      <c r="AF39" s="82" t="str">
        <f t="shared" ref="AF39:AJ39" si="78">IF($K39=AF$2,$R39,NA())</f>
        <v>#N/A</v>
      </c>
      <c r="AG39" s="82" t="str">
        <f t="shared" si="78"/>
        <v>#N/A</v>
      </c>
      <c r="AH39" s="82" t="str">
        <f t="shared" si="78"/>
        <v>#N/A</v>
      </c>
      <c r="AI39" s="82" t="str">
        <f t="shared" si="78"/>
        <v>#N/A</v>
      </c>
      <c r="AJ39" s="82">
        <f t="shared" si="78"/>
        <v>3.251339873</v>
      </c>
      <c r="AR39" s="85"/>
      <c r="AS39" s="84">
        <f t="shared" si="8"/>
        <v>167.2974466</v>
      </c>
      <c r="AT39" s="84" t="str">
        <f t="shared" ref="AT39:AX39" si="79">IF($K39=AF$2,$X39,NA())</f>
        <v>#N/A</v>
      </c>
      <c r="AU39" s="84" t="str">
        <f t="shared" si="79"/>
        <v>#N/A</v>
      </c>
      <c r="AV39" s="84" t="str">
        <f t="shared" si="79"/>
        <v>#N/A</v>
      </c>
      <c r="AW39" s="84" t="str">
        <f t="shared" si="79"/>
        <v>#N/A</v>
      </c>
      <c r="AX39" s="84">
        <f t="shared" si="79"/>
        <v>100.8289006</v>
      </c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</row>
    <row r="40">
      <c r="A40" s="43" t="str">
        <f t="shared" si="1"/>
        <v>ITC-state</v>
      </c>
      <c r="J40" s="81" t="str">
        <f t="shared" si="4"/>
        <v>ITC-state-1</v>
      </c>
      <c r="K40" s="39" t="str">
        <f>IFERROR(__xludf.DUMMYFUNCTION("""COMPUTED_VALUE"""),"ITC-state")</f>
        <v>ITC-state</v>
      </c>
      <c r="L40" s="39" t="str">
        <f>IFERROR(__xludf.DUMMYFUNCTION("""COMPUTED_VALUE"""),"awaitingsml")</f>
        <v>awaitingsml</v>
      </c>
      <c r="M40" s="39">
        <f>IFERROR(__xludf.DUMMYFUNCTION("""COMPUTED_VALUE"""),1.0)</f>
        <v>1</v>
      </c>
      <c r="N40" s="39">
        <f>IFERROR(__xludf.DUMMYFUNCTION("""COMPUTED_VALUE"""),1.0)</f>
        <v>1</v>
      </c>
      <c r="O40" s="39">
        <f>IFERROR(__xludf.DUMMYFUNCTION("""COMPUTED_VALUE"""),8.0)</f>
        <v>8</v>
      </c>
      <c r="P40" s="39">
        <f>IFERROR(__xludf.DUMMYFUNCTION("COUNT(FILTER(G:G,A:A=K40,C:C=M40,D:D=N40,E:E=O40))"),5.0)</f>
        <v>5</v>
      </c>
      <c r="Q40" s="82">
        <f>IFERROR(__xludf.DUMMYFUNCTION("AVERAGE(FILTER(G:G,A:A=K40,C:C=M40,D:D=N40,E:E=O40))"),4.476714392752378)</f>
        <v>4.476714393</v>
      </c>
      <c r="R40" s="83">
        <f>IFERROR(__xludf.DUMMYFUNCTION("STDEV(FILTER(G:G,A:A=K40,C:C=M40,D:D=N40,E:E=O40))"),1.3634313358218235)</f>
        <v>1.363431336</v>
      </c>
      <c r="S40" s="83">
        <f>IFERROR(__xludf.DUMMYFUNCTION("MIN(FILTER(G:G,A:A=K40,C:C=M40,D:D=N40,E:E=O40))"),2.86473495976491)</f>
        <v>2.86473496</v>
      </c>
      <c r="T40" s="82">
        <f>IFERROR(__xludf.DUMMYFUNCTION("MAX(FILTER(G:G,A:A=K40,C:C=M40,D:D=N40,E:E=O40))"),6.24492112196895)</f>
        <v>6.244921122</v>
      </c>
      <c r="U40" s="82">
        <f>IFERROR(__xludf.DUMMYFUNCTION("QUARTILE(FILTER(G:G,A:A=K40,C:C=M40,D:D=N40,E:E=O40),1)"),3.36350191150805)</f>
        <v>3.363501912</v>
      </c>
      <c r="V40" s="82">
        <f>IFERROR(__xludf.DUMMYFUNCTION("QUARTILE(FILTER(G:G,A:A=K40,C:C=M40,D:D=N40,E:E=O40),3)"),5.03765378572762)</f>
        <v>5.037653786</v>
      </c>
      <c r="W40" s="84">
        <f>IFERROR(__xludf.DUMMYFUNCTION("AVERAGE(FILTER(H:H,A:A=K40,C:C=M40,D:D=N40,E:E=O40))"),154.03967735918982)</f>
        <v>154.0396774</v>
      </c>
      <c r="X40" s="84">
        <f>IFERROR(__xludf.DUMMYFUNCTION("STDEV(FILTER(H:H,A:A=K40,C:C=M40,D:D=N40,E:E=O40))"),44.01350897144074)</f>
        <v>44.01350897</v>
      </c>
      <c r="Y40" s="84">
        <f>IFERROR(__xludf.DUMMYFUNCTION("MIN(FILTER(H:H,A:A=K40,C:C=M40,D:D=N40,E:E=O40))"),86.6930875334741)</f>
        <v>86.69308753</v>
      </c>
      <c r="Z40" s="84">
        <f>IFERROR(__xludf.DUMMYFUNCTION("MAX(FILTER(H:H,A:A=K40,C:C=M40,D:D=N40,E:E=O40))"),199.537299769726)</f>
        <v>199.5372998</v>
      </c>
      <c r="AA40" s="84">
        <f>IFERROR(__xludf.DUMMYFUNCTION("QUARTILE(FILTER(H:H,A:A=K40,C:C=M40,D:D=N40,E:E=O40),1)"),135.873279313876)</f>
        <v>135.8732793</v>
      </c>
      <c r="AB40" s="84">
        <f>IFERROR(__xludf.DUMMYFUNCTION("QUARTILE(FILTER(H:H,A:A=K40,C:C=M40,D:D=N40,E:E=O40),3)"),176.549991438862)</f>
        <v>176.5499914</v>
      </c>
      <c r="AD40" s="82">
        <f t="shared" si="5"/>
        <v>8</v>
      </c>
      <c r="AE40" s="82">
        <f t="shared" si="6"/>
        <v>4.476714393</v>
      </c>
      <c r="AF40" s="82" t="str">
        <f t="shared" ref="AF40:AJ40" si="80">IF($K40=AF$2,$R40,NA())</f>
        <v>#N/A</v>
      </c>
      <c r="AG40" s="82" t="str">
        <f t="shared" si="80"/>
        <v>#N/A</v>
      </c>
      <c r="AH40" s="82" t="str">
        <f t="shared" si="80"/>
        <v>#N/A</v>
      </c>
      <c r="AI40" s="82" t="str">
        <f t="shared" si="80"/>
        <v>#N/A</v>
      </c>
      <c r="AJ40" s="82">
        <f t="shared" si="80"/>
        <v>1.363431336</v>
      </c>
      <c r="AR40" s="85"/>
      <c r="AS40" s="84">
        <f t="shared" si="8"/>
        <v>154.0396774</v>
      </c>
      <c r="AT40" s="84" t="str">
        <f t="shared" ref="AT40:AX40" si="81">IF($K40=AF$2,$X40,NA())</f>
        <v>#N/A</v>
      </c>
      <c r="AU40" s="84" t="str">
        <f t="shared" si="81"/>
        <v>#N/A</v>
      </c>
      <c r="AV40" s="84" t="str">
        <f t="shared" si="81"/>
        <v>#N/A</v>
      </c>
      <c r="AW40" s="84" t="str">
        <f t="shared" si="81"/>
        <v>#N/A</v>
      </c>
      <c r="AX40" s="84">
        <f t="shared" si="81"/>
        <v>44.01350897</v>
      </c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</row>
    <row r="41">
      <c r="A41" s="43" t="str">
        <f t="shared" si="1"/>
        <v>ITC-state</v>
      </c>
      <c r="J41" s="81" t="str">
        <f t="shared" si="4"/>
        <v>ITC-state-1</v>
      </c>
      <c r="K41" s="39" t="str">
        <f>IFERROR(__xludf.DUMMYFUNCTION("""COMPUTED_VALUE"""),"ITC-state")</f>
        <v>ITC-state</v>
      </c>
      <c r="L41" s="39" t="str">
        <f>IFERROR(__xludf.DUMMYFUNCTION("""COMPUTED_VALUE"""),"awaitingsml")</f>
        <v>awaitingsml</v>
      </c>
      <c r="M41" s="39">
        <f>IFERROR(__xludf.DUMMYFUNCTION("""COMPUTED_VALUE"""),1.0)</f>
        <v>1</v>
      </c>
      <c r="N41" s="39">
        <f>IFERROR(__xludf.DUMMYFUNCTION("""COMPUTED_VALUE"""),1.0)</f>
        <v>1</v>
      </c>
      <c r="O41" s="39">
        <f>IFERROR(__xludf.DUMMYFUNCTION("""COMPUTED_VALUE"""),9.0)</f>
        <v>9</v>
      </c>
      <c r="P41" s="39">
        <f>IFERROR(__xludf.DUMMYFUNCTION("COUNT(FILTER(G:G,A:A=K41,C:C=M41,D:D=N41,E:E=O41))"),5.0)</f>
        <v>5</v>
      </c>
      <c r="Q41" s="82">
        <f>IFERROR(__xludf.DUMMYFUNCTION("AVERAGE(FILTER(G:G,A:A=K41,C:C=M41,D:D=N41,E:E=O41))"),3.45695117928339)</f>
        <v>3.456951179</v>
      </c>
      <c r="R41" s="83">
        <f>IFERROR(__xludf.DUMMYFUNCTION("STDEV(FILTER(G:G,A:A=K41,C:C=M41,D:D=N41,E:E=O41))"),3.176677200981092)</f>
        <v>3.176677201</v>
      </c>
      <c r="S41" s="83">
        <f>IFERROR(__xludf.DUMMYFUNCTION("MIN(FILTER(G:G,A:A=K41,C:C=M41,D:D=N41,E:E=O41))"),0.480374934662571)</f>
        <v>0.4803749347</v>
      </c>
      <c r="T41" s="82">
        <f>IFERROR(__xludf.DUMMYFUNCTION("MAX(FILTER(G:G,A:A=K41,C:C=M41,D:D=N41,E:E=O41))"),8.38080396657282)</f>
        <v>8.380803967</v>
      </c>
      <c r="U41" s="82">
        <f>IFERROR(__xludf.DUMMYFUNCTION("QUARTILE(FILTER(G:G,A:A=K41,C:C=M41,D:D=N41,E:E=O41),1)"),1.12310510498098)</f>
        <v>1.123105105</v>
      </c>
      <c r="V41" s="82">
        <f>IFERROR(__xludf.DUMMYFUNCTION("QUARTILE(FILTER(G:G,A:A=K41,C:C=M41,D:D=N41,E:E=O41),3)"),4.58276590334904)</f>
        <v>4.582765903</v>
      </c>
      <c r="W41" s="84">
        <f>IFERROR(__xludf.DUMMYFUNCTION("AVERAGE(FILTER(H:H,A:A=K41,C:C=M41,D:D=N41,E:E=O41))"),116.9567040453474)</f>
        <v>116.956704</v>
      </c>
      <c r="X41" s="84">
        <f>IFERROR(__xludf.DUMMYFUNCTION("STDEV(FILTER(H:H,A:A=K41,C:C=M41,D:D=N41,E:E=O41))"),116.6822079529844)</f>
        <v>116.682208</v>
      </c>
      <c r="Y41" s="84">
        <f>IFERROR(__xludf.DUMMYFUNCTION("MIN(FILTER(H:H,A:A=K41,C:C=M41,D:D=N41,E:E=O41))"),0.553973048948584)</f>
        <v>0.5539730489</v>
      </c>
      <c r="Z41" s="84">
        <f>IFERROR(__xludf.DUMMYFUNCTION("MAX(FILTER(H:H,A:A=K41,C:C=M41,D:D=N41,E:E=O41))"),267.527737535745)</f>
        <v>267.5277375</v>
      </c>
      <c r="AA41" s="84">
        <f>IFERROR(__xludf.DUMMYFUNCTION("QUARTILE(FILTER(H:H,A:A=K41,C:C=M41,D:D=N41,E:E=O41),1)"),1.92800314989935)</f>
        <v>1.92800315</v>
      </c>
      <c r="AB41" s="84">
        <f>IFERROR(__xludf.DUMMYFUNCTION("QUARTILE(FILTER(H:H,A:A=K41,C:C=M41,D:D=N41,E:E=O41),3)"),186.856503318287)</f>
        <v>186.8565033</v>
      </c>
      <c r="AD41" s="82">
        <f t="shared" si="5"/>
        <v>9</v>
      </c>
      <c r="AE41" s="82">
        <f t="shared" si="6"/>
        <v>3.456951179</v>
      </c>
      <c r="AF41" s="82" t="str">
        <f t="shared" ref="AF41:AJ41" si="82">IF($K41=AF$2,$R41,NA())</f>
        <v>#N/A</v>
      </c>
      <c r="AG41" s="82" t="str">
        <f t="shared" si="82"/>
        <v>#N/A</v>
      </c>
      <c r="AH41" s="82" t="str">
        <f t="shared" si="82"/>
        <v>#N/A</v>
      </c>
      <c r="AI41" s="82" t="str">
        <f t="shared" si="82"/>
        <v>#N/A</v>
      </c>
      <c r="AJ41" s="82">
        <f t="shared" si="82"/>
        <v>3.176677201</v>
      </c>
      <c r="AR41" s="85"/>
      <c r="AS41" s="84">
        <f t="shared" si="8"/>
        <v>116.956704</v>
      </c>
      <c r="AT41" s="84" t="str">
        <f t="shared" ref="AT41:AX41" si="83">IF($K41=AF$2,$X41,NA())</f>
        <v>#N/A</v>
      </c>
      <c r="AU41" s="84" t="str">
        <f t="shared" si="83"/>
        <v>#N/A</v>
      </c>
      <c r="AV41" s="84" t="str">
        <f t="shared" si="83"/>
        <v>#N/A</v>
      </c>
      <c r="AW41" s="84" t="str">
        <f t="shared" si="83"/>
        <v>#N/A</v>
      </c>
      <c r="AX41" s="84">
        <f t="shared" si="83"/>
        <v>116.682208</v>
      </c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</row>
    <row r="42">
      <c r="A42" s="43" t="str">
        <f t="shared" si="1"/>
        <v>ITC-state</v>
      </c>
      <c r="J42" s="81" t="str">
        <f t="shared" si="4"/>
        <v>ITC-state-1</v>
      </c>
      <c r="K42" s="39" t="str">
        <f>IFERROR(__xludf.DUMMYFUNCTION("""COMPUTED_VALUE"""),"ITC-state")</f>
        <v>ITC-state</v>
      </c>
      <c r="L42" s="39" t="str">
        <f>IFERROR(__xludf.DUMMYFUNCTION("""COMPUTED_VALUE"""),"awaitingsml")</f>
        <v>awaitingsml</v>
      </c>
      <c r="M42" s="39">
        <f>IFERROR(__xludf.DUMMYFUNCTION("""COMPUTED_VALUE"""),1.0)</f>
        <v>1</v>
      </c>
      <c r="N42" s="39">
        <f>IFERROR(__xludf.DUMMYFUNCTION("""COMPUTED_VALUE"""),1.0)</f>
        <v>1</v>
      </c>
      <c r="O42" s="39">
        <f>IFERROR(__xludf.DUMMYFUNCTION("""COMPUTED_VALUE"""),10.0)</f>
        <v>10</v>
      </c>
      <c r="P42" s="39">
        <f>IFERROR(__xludf.DUMMYFUNCTION("COUNT(FILTER(G:G,A:A=K42,C:C=M42,D:D=N42,E:E=O42))"),5.0)</f>
        <v>5</v>
      </c>
      <c r="Q42" s="82">
        <f>IFERROR(__xludf.DUMMYFUNCTION("AVERAGE(FILTER(G:G,A:A=K42,C:C=M42,D:D=N42,E:E=O42))"),3.693868149442556)</f>
        <v>3.693868149</v>
      </c>
      <c r="R42" s="83">
        <f>IFERROR(__xludf.DUMMYFUNCTION("STDEV(FILTER(G:G,A:A=K42,C:C=M42,D:D=N42,E:E=O42))"),2.9380943741571524)</f>
        <v>2.938094374</v>
      </c>
      <c r="S42" s="83">
        <f>IFERROR(__xludf.DUMMYFUNCTION("MIN(FILTER(G:G,A:A=K42,C:C=M42,D:D=N42,E:E=O42))"),0.67898824785688)</f>
        <v>0.6789882479</v>
      </c>
      <c r="T42" s="82">
        <f>IFERROR(__xludf.DUMMYFUNCTION("MAX(FILTER(G:G,A:A=K42,C:C=M42,D:D=N42,E:E=O42))"),7.44611296012217)</f>
        <v>7.44611296</v>
      </c>
      <c r="U42" s="82">
        <f>IFERROR(__xludf.DUMMYFUNCTION("QUARTILE(FILTER(G:G,A:A=K42,C:C=M42,D:D=N42,E:E=O42),1)"),1.42907383020426)</f>
        <v>1.42907383</v>
      </c>
      <c r="V42" s="82">
        <f>IFERROR(__xludf.DUMMYFUNCTION("QUARTILE(FILTER(G:G,A:A=K42,C:C=M42,D:D=N42,E:E=O42),3)"),6.04895626380893)</f>
        <v>6.048956264</v>
      </c>
      <c r="W42" s="84">
        <f>IFERROR(__xludf.DUMMYFUNCTION("AVERAGE(FILTER(H:H,A:A=K42,C:C=M42,D:D=N42,E:E=O42))"),127.64216695167173)</f>
        <v>127.642167</v>
      </c>
      <c r="X42" s="84">
        <f>IFERROR(__xludf.DUMMYFUNCTION("STDEV(FILTER(H:H,A:A=K42,C:C=M42,D:D=N42,E:E=O42))"),96.24830577934667)</f>
        <v>96.24830578</v>
      </c>
      <c r="Y42" s="84">
        <f>IFERROR(__xludf.DUMMYFUNCTION("MIN(FILTER(H:H,A:A=K42,C:C=M42,D:D=N42,E:E=O42))"),1.73333425721455)</f>
        <v>1.733334257</v>
      </c>
      <c r="Z42" s="84">
        <f>IFERROR(__xludf.DUMMYFUNCTION("MAX(FILTER(H:H,A:A=K42,C:C=M42,D:D=N42,E:E=O42))"),229.43866946183)</f>
        <v>229.4386695</v>
      </c>
      <c r="AA42" s="84">
        <f>IFERROR(__xludf.DUMMYFUNCTION("QUARTILE(FILTER(H:H,A:A=K42,C:C=M42,D:D=N42,E:E=O42),1)"),64.6332790798851)</f>
        <v>64.63327908</v>
      </c>
      <c r="AB42" s="84">
        <f>IFERROR(__xludf.DUMMYFUNCTION("QUARTILE(FILTER(H:H,A:A=K42,C:C=M42,D:D=N42,E:E=O42),3)"),210.408707413425)</f>
        <v>210.4087074</v>
      </c>
      <c r="AD42" s="82">
        <f t="shared" si="5"/>
        <v>10</v>
      </c>
      <c r="AE42" s="82">
        <f t="shared" si="6"/>
        <v>3.693868149</v>
      </c>
      <c r="AF42" s="82" t="str">
        <f t="shared" ref="AF42:AJ42" si="84">IF($K42=AF$2,$R42,NA())</f>
        <v>#N/A</v>
      </c>
      <c r="AG42" s="82" t="str">
        <f t="shared" si="84"/>
        <v>#N/A</v>
      </c>
      <c r="AH42" s="82" t="str">
        <f t="shared" si="84"/>
        <v>#N/A</v>
      </c>
      <c r="AI42" s="82" t="str">
        <f t="shared" si="84"/>
        <v>#N/A</v>
      </c>
      <c r="AJ42" s="82">
        <f t="shared" si="84"/>
        <v>2.938094374</v>
      </c>
      <c r="AR42" s="85"/>
      <c r="AS42" s="84">
        <f t="shared" si="8"/>
        <v>127.642167</v>
      </c>
      <c r="AT42" s="84" t="str">
        <f t="shared" ref="AT42:AX42" si="85">IF($K42=AF$2,$X42,NA())</f>
        <v>#N/A</v>
      </c>
      <c r="AU42" s="84" t="str">
        <f t="shared" si="85"/>
        <v>#N/A</v>
      </c>
      <c r="AV42" s="84" t="str">
        <f t="shared" si="85"/>
        <v>#N/A</v>
      </c>
      <c r="AW42" s="84" t="str">
        <f t="shared" si="85"/>
        <v>#N/A</v>
      </c>
      <c r="AX42" s="84">
        <f t="shared" si="85"/>
        <v>96.24830578</v>
      </c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</row>
    <row r="43">
      <c r="A43" s="43" t="str">
        <f t="shared" si="1"/>
        <v>ITC-state</v>
      </c>
      <c r="J43" s="81"/>
      <c r="K43" s="39" t="str">
        <f>IFERROR(__xludf.DUMMYFUNCTION("""COMPUTED_VALUE"""),"#N/A")</f>
        <v>#N/A</v>
      </c>
      <c r="L43" s="39"/>
      <c r="M43" s="39"/>
      <c r="N43" s="39"/>
      <c r="O43" s="39"/>
      <c r="P43" s="39">
        <f>IFERROR(__xludf.DUMMYFUNCTION("COUNT(FILTER(G:G,A:A=K43,C:C=M43,D:D=N43,E:E=O43))"),0.0)</f>
        <v>0</v>
      </c>
      <c r="Q43" s="82" t="str">
        <f>IFERROR(__xludf.DUMMYFUNCTION("AVERAGE(FILTER(G:G,A:A=K43,C:C=M43,D:D=N43,E:E=O43))"),"#N/A")</f>
        <v>#N/A</v>
      </c>
      <c r="R43" s="83" t="str">
        <f>IFERROR(__xludf.DUMMYFUNCTION("STDEV(FILTER(G:G,A:A=K43,C:C=M43,D:D=N43,E:E=O43))"),"#N/A")</f>
        <v>#N/A</v>
      </c>
      <c r="S43" s="83" t="str">
        <f>IFERROR(__xludf.DUMMYFUNCTION("MIN(FILTER(G:G,A:A=K43,C:C=M43,D:D=N43,E:E=O43))"),"#N/A")</f>
        <v>#N/A</v>
      </c>
      <c r="T43" s="82" t="str">
        <f>IFERROR(__xludf.DUMMYFUNCTION("MAX(FILTER(G:G,A:A=K43,C:C=M43,D:D=N43,E:E=O43))"),"#N/A")</f>
        <v>#N/A</v>
      </c>
      <c r="U43" s="82" t="str">
        <f>IFERROR(__xludf.DUMMYFUNCTION("QUARTILE(FILTER(G:G,A:A=K43,C:C=M43,D:D=N43,E:E=O43),1)"),"#N/A")</f>
        <v>#N/A</v>
      </c>
      <c r="V43" s="82" t="str">
        <f>IFERROR(__xludf.DUMMYFUNCTION("QUARTILE(FILTER(G:G,A:A=K43,C:C=M43,D:D=N43,E:E=O43),3)"),"#N/A")</f>
        <v>#N/A</v>
      </c>
      <c r="W43" s="84" t="str">
        <f>IFERROR(__xludf.DUMMYFUNCTION("AVERAGE(FILTER(H:H,A:A=K43,C:C=M43,D:D=N43,E:E=O43))"),"#N/A")</f>
        <v>#N/A</v>
      </c>
      <c r="X43" s="84" t="str">
        <f>IFERROR(__xludf.DUMMYFUNCTION("STDEV(FILTER(H:H,A:A=K43,C:C=M43,D:D=N43,E:E=O43))"),"#N/A")</f>
        <v>#N/A</v>
      </c>
      <c r="Y43" s="84" t="str">
        <f>IFERROR(__xludf.DUMMYFUNCTION("MIN(FILTER(H:H,A:A=K43,C:C=M43,D:D=N43,E:E=O43))"),"#N/A")</f>
        <v>#N/A</v>
      </c>
      <c r="Z43" s="84" t="str">
        <f>IFERROR(__xludf.DUMMYFUNCTION("MAX(FILTER(H:H,A:A=K43,C:C=M43,D:D=N43,E:E=O43))"),"#N/A")</f>
        <v>#N/A</v>
      </c>
      <c r="AA43" s="84" t="str">
        <f>IFERROR(__xludf.DUMMYFUNCTION("QUARTILE(FILTER(H:H,A:A=K43,C:C=M43,D:D=N43,E:E=O43),1)"),"#N/A")</f>
        <v>#N/A</v>
      </c>
      <c r="AE43">
        <f>AVERAGE(AE13:AE22)</f>
        <v>2.883709586</v>
      </c>
      <c r="AN43">
        <f>IFERROR(__xludf.DUMMYFUNCTION("AVERAGE(FILTER(AH:AH,ISNUMBER(AH:AH)))"),1.8668747972515838)</f>
        <v>1.866874797</v>
      </c>
    </row>
    <row r="44">
      <c r="A44" s="43" t="str">
        <f t="shared" si="1"/>
        <v>ITC-state</v>
      </c>
      <c r="J44" s="81" t="str">
        <f t="shared" ref="J44:J62" si="86">CONCAT(K44,CONCAT("-",M44))</f>
        <v>-</v>
      </c>
      <c r="K44" s="39"/>
      <c r="L44" s="39"/>
      <c r="M44" s="39"/>
      <c r="N44" s="39"/>
      <c r="O44" s="39"/>
      <c r="P44" s="39">
        <f>IFERROR(__xludf.DUMMYFUNCTION("COUNT(FILTER(G:G,A:A=K44,C:C=M44,D:D=N44,E:E=O44))"),0.0)</f>
        <v>0</v>
      </c>
      <c r="Q44" s="82" t="str">
        <f>IFERROR(__xludf.DUMMYFUNCTION("AVERAGE(FILTER(G:G,A:A=K44,C:C=M44,D:D=N44,E:E=O44))"),"#DIV/0!")</f>
        <v>#DIV/0!</v>
      </c>
      <c r="R44" s="83" t="str">
        <f>IFERROR(__xludf.DUMMYFUNCTION("STDEV(FILTER(G:G,A:A=K44,C:C=M44,D:D=N44,E:E=O44))"),"#DIV/0!")</f>
        <v>#DIV/0!</v>
      </c>
      <c r="S44" s="83">
        <f>IFERROR(__xludf.DUMMYFUNCTION("MIN(FILTER(G:G,A:A=K44,C:C=M44,D:D=N44,E:E=O44))"),0.0)</f>
        <v>0</v>
      </c>
      <c r="T44" s="82">
        <f>IFERROR(__xludf.DUMMYFUNCTION("MAX(FILTER(G:G,A:A=K44,C:C=M44,D:D=N44,E:E=O44))"),0.0)</f>
        <v>0</v>
      </c>
      <c r="U44" s="82" t="str">
        <f>IFERROR(__xludf.DUMMYFUNCTION("QUARTILE(FILTER(G:G,A:A=K44,C:C=M44,D:D=N44,E:E=O44),1)"),"#NUM!")</f>
        <v>#NUM!</v>
      </c>
      <c r="V44" s="82" t="str">
        <f>IFERROR(__xludf.DUMMYFUNCTION("QUARTILE(FILTER(G:G,A:A=K44,C:C=M44,D:D=N44,E:E=O44),3)"),"#NUM!")</f>
        <v>#NUM!</v>
      </c>
      <c r="W44" s="84" t="str">
        <f>IFERROR(__xludf.DUMMYFUNCTION("AVERAGE(FILTER(H:H,A:A=K44,C:C=M44,D:D=N44,E:E=O44))"),"#DIV/0!")</f>
        <v>#DIV/0!</v>
      </c>
      <c r="X44" s="84" t="str">
        <f>IFERROR(__xludf.DUMMYFUNCTION("STDEV(FILTER(H:H,A:A=K44,C:C=M44,D:D=N44,E:E=O44))"),"#DIV/0!")</f>
        <v>#DIV/0!</v>
      </c>
      <c r="Y44" s="84">
        <f>IFERROR(__xludf.DUMMYFUNCTION("MIN(FILTER(H:H,A:A=K44,C:C=M44,D:D=N44,E:E=O44))"),0.0)</f>
        <v>0</v>
      </c>
      <c r="Z44" s="84">
        <f>IFERROR(__xludf.DUMMYFUNCTION("MAX(FILTER(H:H,A:A=K44,C:C=M44,D:D=N44,E:E=O44))"),0.0)</f>
        <v>0</v>
      </c>
      <c r="AA44" s="84" t="str">
        <f>IFERROR(__xludf.DUMMYFUNCTION("QUARTILE(FILTER(H:H,A:A=K44,C:C=M44,D:D=N44,E:E=O44),1)"),"#NUM!")</f>
        <v>#NUM!</v>
      </c>
      <c r="AE44">
        <f>AVERAGE(AE23:AE32)</f>
        <v>4.948910796</v>
      </c>
      <c r="AO44">
        <f>IFERROR(__xludf.DUMMYFUNCTION("AVERAGE(FILTER(AI:AI,ISNUMBER(AI:AI)))"),4.540449917563687)</f>
        <v>4.540449918</v>
      </c>
    </row>
    <row r="45">
      <c r="A45" s="43" t="str">
        <f t="shared" si="1"/>
        <v>ITC-state</v>
      </c>
      <c r="J45" s="81" t="str">
        <f t="shared" si="86"/>
        <v>-</v>
      </c>
      <c r="K45" s="39"/>
      <c r="L45" s="39"/>
      <c r="M45" s="39"/>
      <c r="N45" s="39"/>
      <c r="O45" s="39"/>
      <c r="P45" s="39">
        <f>IFERROR(__xludf.DUMMYFUNCTION("COUNT(FILTER(G:G,A:A=K45,C:C=M45,D:D=N45,E:E=O45))"),0.0)</f>
        <v>0</v>
      </c>
      <c r="Q45" s="82" t="str">
        <f>IFERROR(__xludf.DUMMYFUNCTION("AVERAGE(FILTER(G:G,A:A=K45,C:C=M45,D:D=N45,E:E=O45))"),"#DIV/0!")</f>
        <v>#DIV/0!</v>
      </c>
      <c r="R45" s="83" t="str">
        <f>IFERROR(__xludf.DUMMYFUNCTION("STDEV(FILTER(G:G,A:A=K45,C:C=M45,D:D=N45,E:E=O45))"),"#DIV/0!")</f>
        <v>#DIV/0!</v>
      </c>
      <c r="S45" s="83">
        <f>IFERROR(__xludf.DUMMYFUNCTION("MIN(FILTER(G:G,A:A=K45,C:C=M45,D:D=N45,E:E=O45))"),0.0)</f>
        <v>0</v>
      </c>
      <c r="T45" s="82">
        <f>IFERROR(__xludf.DUMMYFUNCTION("MAX(FILTER(G:G,A:A=K45,C:C=M45,D:D=N45,E:E=O45))"),0.0)</f>
        <v>0</v>
      </c>
      <c r="U45" s="82" t="str">
        <f>IFERROR(__xludf.DUMMYFUNCTION("QUARTILE(FILTER(G:G,A:A=K45,C:C=M45,D:D=N45,E:E=O45),1)"),"#NUM!")</f>
        <v>#NUM!</v>
      </c>
      <c r="V45" s="82" t="str">
        <f>IFERROR(__xludf.DUMMYFUNCTION("QUARTILE(FILTER(G:G,A:A=K45,C:C=M45,D:D=N45,E:E=O45),3)"),"#NUM!")</f>
        <v>#NUM!</v>
      </c>
      <c r="W45" s="84" t="str">
        <f>IFERROR(__xludf.DUMMYFUNCTION("AVERAGE(FILTER(H:H,A:A=K45,C:C=M45,D:D=N45,E:E=O45))"),"#DIV/0!")</f>
        <v>#DIV/0!</v>
      </c>
      <c r="X45" s="84" t="str">
        <f>IFERROR(__xludf.DUMMYFUNCTION("STDEV(FILTER(H:H,A:A=K45,C:C=M45,D:D=N45,E:E=O45))"),"#DIV/0!")</f>
        <v>#DIV/0!</v>
      </c>
      <c r="Y45" s="84">
        <f>IFERROR(__xludf.DUMMYFUNCTION("MIN(FILTER(H:H,A:A=K45,C:C=M45,D:D=N45,E:E=O45))"),0.0)</f>
        <v>0</v>
      </c>
      <c r="Z45" s="84">
        <f>IFERROR(__xludf.DUMMYFUNCTION("MAX(FILTER(H:H,A:A=K45,C:C=M45,D:D=N45,E:E=O45))"),0.0)</f>
        <v>0</v>
      </c>
      <c r="AA45" s="84" t="str">
        <f>IFERROR(__xludf.DUMMYFUNCTION("QUARTILE(FILTER(H:H,A:A=K45,C:C=M45,D:D=N45,E:E=O45),1)"),"#NUM!")</f>
        <v>#NUM!</v>
      </c>
      <c r="AE45">
        <f>AVERAGE(AE33:AE42)</f>
        <v>3.731371286</v>
      </c>
      <c r="AO45" s="46"/>
      <c r="AP45">
        <f>IFERROR(__xludf.DUMMYFUNCTION("AVERAGE(FILTER(AJ:AJ,ISNUMBER(AJ:AJ)))"),2.6067456491949286)</f>
        <v>2.606745649</v>
      </c>
    </row>
    <row r="46">
      <c r="A46" s="43" t="str">
        <f t="shared" si="1"/>
        <v>ITC-state</v>
      </c>
      <c r="J46" s="81" t="str">
        <f t="shared" si="86"/>
        <v>-</v>
      </c>
      <c r="K46" s="39"/>
      <c r="L46" s="39"/>
      <c r="M46" s="39"/>
      <c r="N46" s="39"/>
      <c r="O46" s="39"/>
      <c r="P46" s="39">
        <f>IFERROR(__xludf.DUMMYFUNCTION("COUNT(FILTER(G:G,A:A=K46,C:C=M46,D:D=N46,E:E=O46))"),0.0)</f>
        <v>0</v>
      </c>
      <c r="Q46" s="82" t="str">
        <f>IFERROR(__xludf.DUMMYFUNCTION("AVERAGE(FILTER(G:G,A:A=K46,C:C=M46,D:D=N46,E:E=O46))"),"#DIV/0!")</f>
        <v>#DIV/0!</v>
      </c>
      <c r="R46" s="83" t="str">
        <f>IFERROR(__xludf.DUMMYFUNCTION("STDEV(FILTER(G:G,A:A=K46,C:C=M46,D:D=N46,E:E=O46))"),"#DIV/0!")</f>
        <v>#DIV/0!</v>
      </c>
      <c r="S46" s="83">
        <f>IFERROR(__xludf.DUMMYFUNCTION("MIN(FILTER(G:G,A:A=K46,C:C=M46,D:D=N46,E:E=O46))"),0.0)</f>
        <v>0</v>
      </c>
      <c r="T46" s="82">
        <f>IFERROR(__xludf.DUMMYFUNCTION("MAX(FILTER(G:G,A:A=K46,C:C=M46,D:D=N46,E:E=O46))"),0.0)</f>
        <v>0</v>
      </c>
      <c r="U46" s="82" t="str">
        <f>IFERROR(__xludf.DUMMYFUNCTION("QUARTILE(FILTER(G:G,A:A=K46,C:C=M46,D:D=N46,E:E=O46),1)"),"#NUM!")</f>
        <v>#NUM!</v>
      </c>
      <c r="V46" s="82" t="str">
        <f>IFERROR(__xludf.DUMMYFUNCTION("QUARTILE(FILTER(G:G,A:A=K46,C:C=M46,D:D=N46,E:E=O46),3)"),"#NUM!")</f>
        <v>#NUM!</v>
      </c>
      <c r="W46" s="84" t="str">
        <f>IFERROR(__xludf.DUMMYFUNCTION("AVERAGE(FILTER(H:H,A:A=K46,C:C=M46,D:D=N46,E:E=O46))"),"#DIV/0!")</f>
        <v>#DIV/0!</v>
      </c>
      <c r="X46" s="84" t="str">
        <f>IFERROR(__xludf.DUMMYFUNCTION("STDEV(FILTER(H:H,A:A=K46,C:C=M46,D:D=N46,E:E=O46))"),"#DIV/0!")</f>
        <v>#DIV/0!</v>
      </c>
      <c r="Y46" s="84">
        <f>IFERROR(__xludf.DUMMYFUNCTION("MIN(FILTER(H:H,A:A=K46,C:C=M46,D:D=N46,E:E=O46))"),0.0)</f>
        <v>0</v>
      </c>
      <c r="Z46" s="84">
        <f>IFERROR(__xludf.DUMMYFUNCTION("MAX(FILTER(H:H,A:A=K46,C:C=M46,D:D=N46,E:E=O46))"),0.0)</f>
        <v>0</v>
      </c>
      <c r="AA46" s="84" t="str">
        <f>IFERROR(__xludf.DUMMYFUNCTION("QUARTILE(FILTER(H:H,A:A=K46,C:C=M46,D:D=N46,E:E=O46),1)"),"#NUM!")</f>
        <v>#NUM!</v>
      </c>
      <c r="AE46">
        <f>AVERAGE(AE3:AE11)</f>
        <v>3.381304706</v>
      </c>
      <c r="AQ46">
        <f>IFERROR(__xludf.DUMMYFUNCTION("AVERAGE(FILTER(AF:AF,ISNUMBER(AF:AF)))"),3.1534500096957085)</f>
        <v>3.15345001</v>
      </c>
    </row>
    <row r="47">
      <c r="A47" s="43" t="str">
        <f t="shared" si="1"/>
        <v>ITC-state</v>
      </c>
      <c r="J47" s="81" t="str">
        <f t="shared" si="86"/>
        <v>-</v>
      </c>
      <c r="K47" s="39"/>
      <c r="L47" s="39"/>
      <c r="M47" s="39"/>
      <c r="N47" s="39"/>
      <c r="O47" s="39"/>
      <c r="P47" s="39">
        <f>IFERROR(__xludf.DUMMYFUNCTION("COUNT(FILTER(G:G,A:A=K47,C:C=M47,D:D=N47,E:E=O47))"),0.0)</f>
        <v>0</v>
      </c>
      <c r="Q47" s="82" t="str">
        <f>IFERROR(__xludf.DUMMYFUNCTION("AVERAGE(FILTER(G:G,A:A=K47,C:C=M47,D:D=N47,E:E=O47))"),"#DIV/0!")</f>
        <v>#DIV/0!</v>
      </c>
      <c r="R47" s="83" t="str">
        <f>IFERROR(__xludf.DUMMYFUNCTION("STDEV(FILTER(G:G,A:A=K47,C:C=M47,D:D=N47,E:E=O47))"),"#DIV/0!")</f>
        <v>#DIV/0!</v>
      </c>
      <c r="S47" s="83">
        <f>IFERROR(__xludf.DUMMYFUNCTION("MIN(FILTER(G:G,A:A=K47,C:C=M47,D:D=N47,E:E=O47))"),0.0)</f>
        <v>0</v>
      </c>
      <c r="T47" s="82">
        <f>IFERROR(__xludf.DUMMYFUNCTION("MAX(FILTER(G:G,A:A=K47,C:C=M47,D:D=N47,E:E=O47))"),0.0)</f>
        <v>0</v>
      </c>
      <c r="U47" s="82" t="str">
        <f>IFERROR(__xludf.DUMMYFUNCTION("QUARTILE(FILTER(G:G,A:A=K47,C:C=M47,D:D=N47,E:E=O47),1)"),"#NUM!")</f>
        <v>#NUM!</v>
      </c>
      <c r="V47" s="82" t="str">
        <f>IFERROR(__xludf.DUMMYFUNCTION("QUARTILE(FILTER(G:G,A:A=K47,C:C=M47,D:D=N47,E:E=O47),3)"),"#NUM!")</f>
        <v>#NUM!</v>
      </c>
      <c r="W47" s="84" t="str">
        <f>IFERROR(__xludf.DUMMYFUNCTION("AVERAGE(FILTER(H:H,A:A=K47,C:C=M47,D:D=N47,E:E=O47))"),"#DIV/0!")</f>
        <v>#DIV/0!</v>
      </c>
      <c r="X47" s="84" t="str">
        <f>IFERROR(__xludf.DUMMYFUNCTION("STDEV(FILTER(H:H,A:A=K47,C:C=M47,D:D=N47,E:E=O47))"),"#DIV/0!")</f>
        <v>#DIV/0!</v>
      </c>
      <c r="Y47" s="84">
        <f>IFERROR(__xludf.DUMMYFUNCTION("MIN(FILTER(H:H,A:A=K47,C:C=M47,D:D=N47,E:E=O47))"),0.0)</f>
        <v>0</v>
      </c>
      <c r="Z47" s="84">
        <f>IFERROR(__xludf.DUMMYFUNCTION("MAX(FILTER(H:H,A:A=K47,C:C=M47,D:D=N47,E:E=O47))"),0.0)</f>
        <v>0</v>
      </c>
      <c r="AA47" s="84" t="str">
        <f>IFERROR(__xludf.DUMMYFUNCTION("QUARTILE(FILTER(H:H,A:A=K47,C:C=M47,D:D=N47,E:E=O47),1)"),"#NUM!")</f>
        <v>#NUM!</v>
      </c>
      <c r="AE47">
        <v>3.41162585628815</v>
      </c>
      <c r="AM47" s="7">
        <v>0.1</v>
      </c>
    </row>
    <row r="48">
      <c r="A48" s="43" t="str">
        <f t="shared" si="1"/>
        <v>ITC-state</v>
      </c>
      <c r="J48" s="81" t="str">
        <f t="shared" si="86"/>
        <v>-</v>
      </c>
      <c r="K48" s="39"/>
      <c r="L48" s="39"/>
      <c r="M48" s="39"/>
      <c r="N48" s="39"/>
      <c r="O48" s="39"/>
      <c r="P48" s="39">
        <f>IFERROR(__xludf.DUMMYFUNCTION("COUNT(FILTER(G:G,A:A=K48,C:C=M48,D:D=N48,E:E=O48))"),0.0)</f>
        <v>0</v>
      </c>
      <c r="Q48" s="82" t="str">
        <f>IFERROR(__xludf.DUMMYFUNCTION("AVERAGE(FILTER(G:G,A:A=K48,C:C=M48,D:D=N48,E:E=O48))"),"#DIV/0!")</f>
        <v>#DIV/0!</v>
      </c>
      <c r="R48" s="83" t="str">
        <f>IFERROR(__xludf.DUMMYFUNCTION("STDEV(FILTER(G:G,A:A=K48,C:C=M48,D:D=N48,E:E=O48))"),"#DIV/0!")</f>
        <v>#DIV/0!</v>
      </c>
      <c r="S48" s="83">
        <f>IFERROR(__xludf.DUMMYFUNCTION("MIN(FILTER(G:G,A:A=K48,C:C=M48,D:D=N48,E:E=O48))"),0.0)</f>
        <v>0</v>
      </c>
      <c r="T48" s="82">
        <f>IFERROR(__xludf.DUMMYFUNCTION("MAX(FILTER(G:G,A:A=K48,C:C=M48,D:D=N48,E:E=O48))"),0.0)</f>
        <v>0</v>
      </c>
      <c r="U48" s="82" t="str">
        <f>IFERROR(__xludf.DUMMYFUNCTION("QUARTILE(FILTER(G:G,A:A=K48,C:C=M48,D:D=N48,E:E=O48),1)"),"#NUM!")</f>
        <v>#NUM!</v>
      </c>
      <c r="V48" s="82" t="str">
        <f>IFERROR(__xludf.DUMMYFUNCTION("QUARTILE(FILTER(G:G,A:A=K48,C:C=M48,D:D=N48,E:E=O48),3)"),"#NUM!")</f>
        <v>#NUM!</v>
      </c>
      <c r="W48" s="84" t="str">
        <f>IFERROR(__xludf.DUMMYFUNCTION("AVERAGE(FILTER(H:H,A:A=K48,C:C=M48,D:D=N48,E:E=O48))"),"#DIV/0!")</f>
        <v>#DIV/0!</v>
      </c>
      <c r="X48" s="84" t="str">
        <f>IFERROR(__xludf.DUMMYFUNCTION("STDEV(FILTER(H:H,A:A=K48,C:C=M48,D:D=N48,E:E=O48))"),"#DIV/0!")</f>
        <v>#DIV/0!</v>
      </c>
      <c r="Y48" s="84">
        <f>IFERROR(__xludf.DUMMYFUNCTION("MIN(FILTER(H:H,A:A=K48,C:C=M48,D:D=N48,E:E=O48))"),0.0)</f>
        <v>0</v>
      </c>
      <c r="Z48" s="84">
        <f>IFERROR(__xludf.DUMMYFUNCTION("MAX(FILTER(H:H,A:A=K48,C:C=M48,D:D=N48,E:E=O48))"),0.0)</f>
        <v>0</v>
      </c>
      <c r="AA48" s="84" t="str">
        <f>IFERROR(__xludf.DUMMYFUNCTION("QUARTILE(FILTER(H:H,A:A=K48,C:C=M48,D:D=N48,E:E=O48),1)"),"#NUM!")</f>
        <v>#NUM!</v>
      </c>
    </row>
    <row r="49">
      <c r="A49" s="43" t="str">
        <f t="shared" si="1"/>
        <v>ITC-state</v>
      </c>
      <c r="J49" s="81" t="str">
        <f t="shared" si="86"/>
        <v>-</v>
      </c>
      <c r="K49" s="39"/>
      <c r="L49" s="39"/>
      <c r="M49" s="39"/>
      <c r="N49" s="39"/>
      <c r="O49" s="39"/>
      <c r="P49" s="39">
        <f>IFERROR(__xludf.DUMMYFUNCTION("COUNT(FILTER(G:G,A:A=K49,C:C=M49,D:D=N49,E:E=O49))"),0.0)</f>
        <v>0</v>
      </c>
      <c r="Q49" s="82" t="str">
        <f>IFERROR(__xludf.DUMMYFUNCTION("AVERAGE(FILTER(G:G,A:A=K49,C:C=M49,D:D=N49,E:E=O49))"),"#DIV/0!")</f>
        <v>#DIV/0!</v>
      </c>
      <c r="R49" s="83" t="str">
        <f>IFERROR(__xludf.DUMMYFUNCTION("STDEV(FILTER(G:G,A:A=K49,C:C=M49,D:D=N49,E:E=O49))"),"#DIV/0!")</f>
        <v>#DIV/0!</v>
      </c>
      <c r="S49" s="83">
        <f>IFERROR(__xludf.DUMMYFUNCTION("MIN(FILTER(G:G,A:A=K49,C:C=M49,D:D=N49,E:E=O49))"),0.0)</f>
        <v>0</v>
      </c>
      <c r="T49" s="82">
        <f>IFERROR(__xludf.DUMMYFUNCTION("MAX(FILTER(G:G,A:A=K49,C:C=M49,D:D=N49,E:E=O49))"),0.0)</f>
        <v>0</v>
      </c>
      <c r="U49" s="82" t="str">
        <f>IFERROR(__xludf.DUMMYFUNCTION("QUARTILE(FILTER(G:G,A:A=K49,C:C=M49,D:D=N49,E:E=O49),1)"),"#NUM!")</f>
        <v>#NUM!</v>
      </c>
      <c r="V49" s="82" t="str">
        <f>IFERROR(__xludf.DUMMYFUNCTION("QUARTILE(FILTER(G:G,A:A=K49,C:C=M49,D:D=N49,E:E=O49),3)"),"#NUM!")</f>
        <v>#NUM!</v>
      </c>
      <c r="W49" s="84" t="str">
        <f>IFERROR(__xludf.DUMMYFUNCTION("AVERAGE(FILTER(H:H,A:A=K49,C:C=M49,D:D=N49,E:E=O49))"),"#DIV/0!")</f>
        <v>#DIV/0!</v>
      </c>
      <c r="X49" s="84" t="str">
        <f>IFERROR(__xludf.DUMMYFUNCTION("STDEV(FILTER(H:H,A:A=K49,C:C=M49,D:D=N49,E:E=O49))"),"#DIV/0!")</f>
        <v>#DIV/0!</v>
      </c>
      <c r="Y49" s="84">
        <f>IFERROR(__xludf.DUMMYFUNCTION("MIN(FILTER(H:H,A:A=K49,C:C=M49,D:D=N49,E:E=O49))"),0.0)</f>
        <v>0</v>
      </c>
      <c r="Z49" s="84">
        <f>IFERROR(__xludf.DUMMYFUNCTION("MAX(FILTER(H:H,A:A=K49,C:C=M49,D:D=N49,E:E=O49))"),0.0)</f>
        <v>0</v>
      </c>
      <c r="AA49" s="84" t="str">
        <f>IFERROR(__xludf.DUMMYFUNCTION("QUARTILE(FILTER(H:H,A:A=K49,C:C=M49,D:D=N49,E:E=O49),1)"),"#NUM!")</f>
        <v>#NUM!</v>
      </c>
    </row>
    <row r="50">
      <c r="A50" s="43" t="str">
        <f t="shared" si="1"/>
        <v>ITC-state</v>
      </c>
      <c r="J50" s="81" t="str">
        <f t="shared" si="86"/>
        <v>-</v>
      </c>
      <c r="K50" s="39"/>
      <c r="L50" s="39"/>
      <c r="M50" s="39"/>
      <c r="N50" s="39"/>
      <c r="O50" s="39"/>
      <c r="P50" s="39">
        <f>IFERROR(__xludf.DUMMYFUNCTION("COUNT(FILTER(G:G,A:A=K50,C:C=M50,D:D=N50,E:E=O50))"),0.0)</f>
        <v>0</v>
      </c>
      <c r="Q50" s="82" t="str">
        <f>IFERROR(__xludf.DUMMYFUNCTION("AVERAGE(FILTER(G:G,A:A=K50,C:C=M50,D:D=N50,E:E=O50))"),"#DIV/0!")</f>
        <v>#DIV/0!</v>
      </c>
      <c r="R50" s="83" t="str">
        <f>IFERROR(__xludf.DUMMYFUNCTION("STDEV(FILTER(G:G,A:A=K50,C:C=M50,D:D=N50,E:E=O50))"),"#DIV/0!")</f>
        <v>#DIV/0!</v>
      </c>
      <c r="S50" s="83">
        <f>IFERROR(__xludf.DUMMYFUNCTION("MIN(FILTER(G:G,A:A=K50,C:C=M50,D:D=N50,E:E=O50))"),0.0)</f>
        <v>0</v>
      </c>
      <c r="T50" s="82">
        <f>IFERROR(__xludf.DUMMYFUNCTION("MAX(FILTER(G:G,A:A=K50,C:C=M50,D:D=N50,E:E=O50))"),0.0)</f>
        <v>0</v>
      </c>
      <c r="U50" s="82" t="str">
        <f>IFERROR(__xludf.DUMMYFUNCTION("QUARTILE(FILTER(G:G,A:A=K50,C:C=M50,D:D=N50,E:E=O50),1)"),"#NUM!")</f>
        <v>#NUM!</v>
      </c>
      <c r="V50" s="82" t="str">
        <f>IFERROR(__xludf.DUMMYFUNCTION("QUARTILE(FILTER(G:G,A:A=K50,C:C=M50,D:D=N50,E:E=O50),3)"),"#NUM!")</f>
        <v>#NUM!</v>
      </c>
      <c r="W50" s="84" t="str">
        <f>IFERROR(__xludf.DUMMYFUNCTION("AVERAGE(FILTER(H:H,A:A=K50,C:C=M50,D:D=N50,E:E=O50))"),"#DIV/0!")</f>
        <v>#DIV/0!</v>
      </c>
      <c r="X50" s="84" t="str">
        <f>IFERROR(__xludf.DUMMYFUNCTION("STDEV(FILTER(H:H,A:A=K50,C:C=M50,D:D=N50,E:E=O50))"),"#DIV/0!")</f>
        <v>#DIV/0!</v>
      </c>
      <c r="Y50" s="84">
        <f>IFERROR(__xludf.DUMMYFUNCTION("MIN(FILTER(H:H,A:A=K50,C:C=M50,D:D=N50,E:E=O50))"),0.0)</f>
        <v>0</v>
      </c>
      <c r="Z50" s="84">
        <f>IFERROR(__xludf.DUMMYFUNCTION("MAX(FILTER(H:H,A:A=K50,C:C=M50,D:D=N50,E:E=O50))"),0.0)</f>
        <v>0</v>
      </c>
      <c r="AA50" s="84" t="str">
        <f>IFERROR(__xludf.DUMMYFUNCTION("QUARTILE(FILTER(H:H,A:A=K50,C:C=M50,D:D=N50,E:E=O50),1)"),"#NUM!")</f>
        <v>#NUM!</v>
      </c>
    </row>
    <row r="51">
      <c r="A51" s="43" t="str">
        <f t="shared" si="1"/>
        <v>ITC-state</v>
      </c>
      <c r="J51" s="81" t="str">
        <f t="shared" si="86"/>
        <v>-</v>
      </c>
      <c r="K51" s="39"/>
      <c r="L51" s="39"/>
      <c r="M51" s="39"/>
      <c r="N51" s="39"/>
      <c r="O51" s="39"/>
      <c r="P51" s="39">
        <f>IFERROR(__xludf.DUMMYFUNCTION("COUNT(FILTER(G:G,A:A=K51,C:C=M51,D:D=N51,E:E=O51))"),0.0)</f>
        <v>0</v>
      </c>
      <c r="Q51" s="82" t="str">
        <f>IFERROR(__xludf.DUMMYFUNCTION("AVERAGE(FILTER(G:G,A:A=K51,C:C=M51,D:D=N51,E:E=O51))"),"#DIV/0!")</f>
        <v>#DIV/0!</v>
      </c>
      <c r="R51" s="83" t="str">
        <f>IFERROR(__xludf.DUMMYFUNCTION("STDEV(FILTER(G:G,A:A=K51,C:C=M51,D:D=N51,E:E=O51))"),"#DIV/0!")</f>
        <v>#DIV/0!</v>
      </c>
      <c r="S51" s="83">
        <f>IFERROR(__xludf.DUMMYFUNCTION("MIN(FILTER(G:G,A:A=K51,C:C=M51,D:D=N51,E:E=O51))"),0.0)</f>
        <v>0</v>
      </c>
      <c r="T51" s="82">
        <f>IFERROR(__xludf.DUMMYFUNCTION("MAX(FILTER(G:G,A:A=K51,C:C=M51,D:D=N51,E:E=O51))"),0.0)</f>
        <v>0</v>
      </c>
      <c r="U51" s="82" t="str">
        <f>IFERROR(__xludf.DUMMYFUNCTION("QUARTILE(FILTER(G:G,A:A=K51,C:C=M51,D:D=N51,E:E=O51),1)"),"#NUM!")</f>
        <v>#NUM!</v>
      </c>
      <c r="V51" s="82" t="str">
        <f>IFERROR(__xludf.DUMMYFUNCTION("QUARTILE(FILTER(G:G,A:A=K51,C:C=M51,D:D=N51,E:E=O51),3)"),"#NUM!")</f>
        <v>#NUM!</v>
      </c>
      <c r="W51" s="84" t="str">
        <f>IFERROR(__xludf.DUMMYFUNCTION("AVERAGE(FILTER(H:H,A:A=K51,C:C=M51,D:D=N51,E:E=O51))"),"#DIV/0!")</f>
        <v>#DIV/0!</v>
      </c>
      <c r="X51" s="84" t="str">
        <f>IFERROR(__xludf.DUMMYFUNCTION("STDEV(FILTER(H:H,A:A=K51,C:C=M51,D:D=N51,E:E=O51))"),"#DIV/0!")</f>
        <v>#DIV/0!</v>
      </c>
      <c r="Y51" s="84">
        <f>IFERROR(__xludf.DUMMYFUNCTION("MIN(FILTER(H:H,A:A=K51,C:C=M51,D:D=N51,E:E=O51))"),0.0)</f>
        <v>0</v>
      </c>
      <c r="Z51" s="84">
        <f>IFERROR(__xludf.DUMMYFUNCTION("MAX(FILTER(H:H,A:A=K51,C:C=M51,D:D=N51,E:E=O51))"),0.0)</f>
        <v>0</v>
      </c>
      <c r="AA51" s="84" t="str">
        <f>IFERROR(__xludf.DUMMYFUNCTION("QUARTILE(FILTER(H:H,A:A=K51,C:C=M51,D:D=N51,E:E=O51),1)"),"#NUM!")</f>
        <v>#NUM!</v>
      </c>
    </row>
    <row r="52">
      <c r="A52" s="43" t="str">
        <f t="shared" si="1"/>
        <v>ITC-category</v>
      </c>
      <c r="J52" s="81" t="str">
        <f t="shared" si="86"/>
        <v>-</v>
      </c>
      <c r="K52" s="39"/>
      <c r="L52" s="39"/>
      <c r="M52" s="39"/>
      <c r="N52" s="39"/>
      <c r="O52" s="39"/>
      <c r="P52" s="39">
        <f>IFERROR(__xludf.DUMMYFUNCTION("COUNT(FILTER(G:G,A:A=K52,C:C=M52,D:D=N52,E:E=O52))"),0.0)</f>
        <v>0</v>
      </c>
      <c r="Q52" s="82" t="str">
        <f>IFERROR(__xludf.DUMMYFUNCTION("AVERAGE(FILTER(G:G,A:A=K52,C:C=M52,D:D=N52,E:E=O52))"),"#DIV/0!")</f>
        <v>#DIV/0!</v>
      </c>
      <c r="R52" s="83" t="str">
        <f>IFERROR(__xludf.DUMMYFUNCTION("STDEV(FILTER(G:G,A:A=K52,C:C=M52,D:D=N52,E:E=O52))"),"#DIV/0!")</f>
        <v>#DIV/0!</v>
      </c>
      <c r="S52" s="83">
        <f>IFERROR(__xludf.DUMMYFUNCTION("MIN(FILTER(G:G,A:A=K52,C:C=M52,D:D=N52,E:E=O52))"),0.0)</f>
        <v>0</v>
      </c>
      <c r="T52" s="82">
        <f>IFERROR(__xludf.DUMMYFUNCTION("MAX(FILTER(G:G,A:A=K52,C:C=M52,D:D=N52,E:E=O52))"),0.0)</f>
        <v>0</v>
      </c>
      <c r="U52" s="82" t="str">
        <f>IFERROR(__xludf.DUMMYFUNCTION("QUARTILE(FILTER(G:G,A:A=K52,C:C=M52,D:D=N52,E:E=O52),1)"),"#NUM!")</f>
        <v>#NUM!</v>
      </c>
      <c r="V52" s="82" t="str">
        <f>IFERROR(__xludf.DUMMYFUNCTION("QUARTILE(FILTER(G:G,A:A=K52,C:C=M52,D:D=N52,E:E=O52),3)"),"#NUM!")</f>
        <v>#NUM!</v>
      </c>
      <c r="W52" s="84" t="str">
        <f>IFERROR(__xludf.DUMMYFUNCTION("AVERAGE(FILTER(H:H,A:A=K52,C:C=M52,D:D=N52,E:E=O52))"),"#DIV/0!")</f>
        <v>#DIV/0!</v>
      </c>
      <c r="X52" s="84" t="str">
        <f>IFERROR(__xludf.DUMMYFUNCTION("STDEV(FILTER(H:H,A:A=K52,C:C=M52,D:D=N52,E:E=O52))"),"#DIV/0!")</f>
        <v>#DIV/0!</v>
      </c>
      <c r="Y52" s="84">
        <f>IFERROR(__xludf.DUMMYFUNCTION("MIN(FILTER(H:H,A:A=K52,C:C=M52,D:D=N52,E:E=O52))"),0.0)</f>
        <v>0</v>
      </c>
      <c r="Z52" s="84">
        <f>IFERROR(__xludf.DUMMYFUNCTION("MAX(FILTER(H:H,A:A=K52,C:C=M52,D:D=N52,E:E=O52))"),0.0)</f>
        <v>0</v>
      </c>
      <c r="AA52" s="84" t="str">
        <f>IFERROR(__xludf.DUMMYFUNCTION("QUARTILE(FILTER(H:H,A:A=K52,C:C=M52,D:D=N52,E:E=O52),1)"),"#NUM!")</f>
        <v>#NUM!</v>
      </c>
    </row>
    <row r="53">
      <c r="A53" s="43" t="str">
        <f t="shared" si="1"/>
        <v>ITC-category</v>
      </c>
      <c r="J53" s="81" t="str">
        <f t="shared" si="86"/>
        <v>-</v>
      </c>
      <c r="K53" s="39"/>
      <c r="L53" s="39"/>
      <c r="M53" s="39"/>
      <c r="N53" s="39"/>
      <c r="O53" s="39"/>
      <c r="P53" s="39">
        <f>IFERROR(__xludf.DUMMYFUNCTION("COUNT(FILTER(G:G,A:A=K53,C:C=M53,D:D=N53,E:E=O53))"),0.0)</f>
        <v>0</v>
      </c>
      <c r="Q53" s="82" t="str">
        <f>IFERROR(__xludf.DUMMYFUNCTION("AVERAGE(FILTER(G:G,A:A=K53,C:C=M53,D:D=N53,E:E=O53))"),"#DIV/0!")</f>
        <v>#DIV/0!</v>
      </c>
      <c r="R53" s="83" t="str">
        <f>IFERROR(__xludf.DUMMYFUNCTION("STDEV(FILTER(G:G,A:A=K53,C:C=M53,D:D=N53,E:E=O53))"),"#DIV/0!")</f>
        <v>#DIV/0!</v>
      </c>
      <c r="S53" s="83">
        <f>IFERROR(__xludf.DUMMYFUNCTION("MIN(FILTER(G:G,A:A=K53,C:C=M53,D:D=N53,E:E=O53))"),0.0)</f>
        <v>0</v>
      </c>
      <c r="T53" s="82">
        <f>IFERROR(__xludf.DUMMYFUNCTION("MAX(FILTER(G:G,A:A=K53,C:C=M53,D:D=N53,E:E=O53))"),0.0)</f>
        <v>0</v>
      </c>
      <c r="U53" s="82" t="str">
        <f>IFERROR(__xludf.DUMMYFUNCTION("QUARTILE(FILTER(G:G,A:A=K53,C:C=M53,D:D=N53,E:E=O53),1)"),"#NUM!")</f>
        <v>#NUM!</v>
      </c>
      <c r="V53" s="82" t="str">
        <f>IFERROR(__xludf.DUMMYFUNCTION("QUARTILE(FILTER(G:G,A:A=K53,C:C=M53,D:D=N53,E:E=O53),3)"),"#NUM!")</f>
        <v>#NUM!</v>
      </c>
      <c r="W53" s="84" t="str">
        <f>IFERROR(__xludf.DUMMYFUNCTION("AVERAGE(FILTER(H:H,A:A=K53,C:C=M53,D:D=N53,E:E=O53))"),"#DIV/0!")</f>
        <v>#DIV/0!</v>
      </c>
      <c r="X53" s="84" t="str">
        <f>IFERROR(__xludf.DUMMYFUNCTION("STDEV(FILTER(H:H,A:A=K53,C:C=M53,D:D=N53,E:E=O53))"),"#DIV/0!")</f>
        <v>#DIV/0!</v>
      </c>
      <c r="Y53" s="84">
        <f>IFERROR(__xludf.DUMMYFUNCTION("MIN(FILTER(H:H,A:A=K53,C:C=M53,D:D=N53,E:E=O53))"),0.0)</f>
        <v>0</v>
      </c>
      <c r="Z53" s="84">
        <f>IFERROR(__xludf.DUMMYFUNCTION("MAX(FILTER(H:H,A:A=K53,C:C=M53,D:D=N53,E:E=O53))"),0.0)</f>
        <v>0</v>
      </c>
      <c r="AA53" s="84" t="str">
        <f>IFERROR(__xludf.DUMMYFUNCTION("QUARTILE(FILTER(H:H,A:A=K53,C:C=M53,D:D=N53,E:E=O53),1)"),"#NUM!")</f>
        <v>#NUM!</v>
      </c>
    </row>
    <row r="54">
      <c r="A54" s="43" t="str">
        <f t="shared" si="1"/>
        <v>ITC-category</v>
      </c>
      <c r="J54" s="81" t="str">
        <f t="shared" si="86"/>
        <v>-</v>
      </c>
      <c r="K54" s="39"/>
      <c r="L54" s="39"/>
      <c r="M54" s="39"/>
      <c r="N54" s="39"/>
      <c r="O54" s="39"/>
      <c r="P54" s="39">
        <f>IFERROR(__xludf.DUMMYFUNCTION("COUNT(FILTER(G:G,A:A=K54,C:C=M54,D:D=N54,E:E=O54))"),0.0)</f>
        <v>0</v>
      </c>
      <c r="Q54" s="82" t="str">
        <f>IFERROR(__xludf.DUMMYFUNCTION("AVERAGE(FILTER(G:G,A:A=K54,C:C=M54,D:D=N54,E:E=O54))"),"#DIV/0!")</f>
        <v>#DIV/0!</v>
      </c>
      <c r="R54" s="83" t="str">
        <f>IFERROR(__xludf.DUMMYFUNCTION("STDEV(FILTER(G:G,A:A=K54,C:C=M54,D:D=N54,E:E=O54))"),"#DIV/0!")</f>
        <v>#DIV/0!</v>
      </c>
      <c r="S54" s="83">
        <f>IFERROR(__xludf.DUMMYFUNCTION("MIN(FILTER(G:G,A:A=K54,C:C=M54,D:D=N54,E:E=O54))"),0.0)</f>
        <v>0</v>
      </c>
      <c r="T54" s="82">
        <f>IFERROR(__xludf.DUMMYFUNCTION("MAX(FILTER(G:G,A:A=K54,C:C=M54,D:D=N54,E:E=O54))"),0.0)</f>
        <v>0</v>
      </c>
      <c r="U54" s="82" t="str">
        <f>IFERROR(__xludf.DUMMYFUNCTION("QUARTILE(FILTER(G:G,A:A=K54,C:C=M54,D:D=N54,E:E=O54),1)"),"#NUM!")</f>
        <v>#NUM!</v>
      </c>
      <c r="V54" s="82" t="str">
        <f>IFERROR(__xludf.DUMMYFUNCTION("QUARTILE(FILTER(G:G,A:A=K54,C:C=M54,D:D=N54,E:E=O54),3)"),"#NUM!")</f>
        <v>#NUM!</v>
      </c>
      <c r="W54" s="84" t="str">
        <f>IFERROR(__xludf.DUMMYFUNCTION("AVERAGE(FILTER(H:H,A:A=K54,C:C=M54,D:D=N54,E:E=O54))"),"#DIV/0!")</f>
        <v>#DIV/0!</v>
      </c>
      <c r="X54" s="84" t="str">
        <f>IFERROR(__xludf.DUMMYFUNCTION("STDEV(FILTER(H:H,A:A=K54,C:C=M54,D:D=N54,E:E=O54))"),"#DIV/0!")</f>
        <v>#DIV/0!</v>
      </c>
      <c r="Y54" s="84">
        <f>IFERROR(__xludf.DUMMYFUNCTION("MIN(FILTER(H:H,A:A=K54,C:C=M54,D:D=N54,E:E=O54))"),0.0)</f>
        <v>0</v>
      </c>
      <c r="Z54" s="84">
        <f>IFERROR(__xludf.DUMMYFUNCTION("MAX(FILTER(H:H,A:A=K54,C:C=M54,D:D=N54,E:E=O54))"),0.0)</f>
        <v>0</v>
      </c>
      <c r="AA54" s="84" t="str">
        <f>IFERROR(__xludf.DUMMYFUNCTION("QUARTILE(FILTER(H:H,A:A=K54,C:C=M54,D:D=N54,E:E=O54),1)"),"#NUM!")</f>
        <v>#NUM!</v>
      </c>
    </row>
    <row r="55">
      <c r="A55" s="43" t="str">
        <f t="shared" si="1"/>
        <v>ITC-category</v>
      </c>
      <c r="J55" s="81" t="str">
        <f t="shared" si="86"/>
        <v>-</v>
      </c>
      <c r="K55" s="39"/>
      <c r="L55" s="39"/>
      <c r="M55" s="39"/>
      <c r="N55" s="39"/>
      <c r="O55" s="39"/>
      <c r="P55" s="39">
        <f>IFERROR(__xludf.DUMMYFUNCTION("COUNT(FILTER(G:G,A:A=K55,C:C=M55,D:D=N55,E:E=O55))"),0.0)</f>
        <v>0</v>
      </c>
      <c r="Q55" s="82" t="str">
        <f>IFERROR(__xludf.DUMMYFUNCTION("AVERAGE(FILTER(G:G,A:A=K55,C:C=M55,D:D=N55,E:E=O55))"),"#DIV/0!")</f>
        <v>#DIV/0!</v>
      </c>
      <c r="R55" s="83" t="str">
        <f>IFERROR(__xludf.DUMMYFUNCTION("STDEV(FILTER(G:G,A:A=K55,C:C=M55,D:D=N55,E:E=O55))"),"#DIV/0!")</f>
        <v>#DIV/0!</v>
      </c>
      <c r="S55" s="83">
        <f>IFERROR(__xludf.DUMMYFUNCTION("MIN(FILTER(G:G,A:A=K55,C:C=M55,D:D=N55,E:E=O55))"),0.0)</f>
        <v>0</v>
      </c>
      <c r="T55" s="82">
        <f>IFERROR(__xludf.DUMMYFUNCTION("MAX(FILTER(G:G,A:A=K55,C:C=M55,D:D=N55,E:E=O55))"),0.0)</f>
        <v>0</v>
      </c>
      <c r="U55" s="82" t="str">
        <f>IFERROR(__xludf.DUMMYFUNCTION("QUARTILE(FILTER(G:G,A:A=K55,C:C=M55,D:D=N55,E:E=O55),1)"),"#NUM!")</f>
        <v>#NUM!</v>
      </c>
      <c r="V55" s="82" t="str">
        <f>IFERROR(__xludf.DUMMYFUNCTION("QUARTILE(FILTER(G:G,A:A=K55,C:C=M55,D:D=N55,E:E=O55),3)"),"#NUM!")</f>
        <v>#NUM!</v>
      </c>
      <c r="W55" s="84" t="str">
        <f>IFERROR(__xludf.DUMMYFUNCTION("AVERAGE(FILTER(H:H,A:A=K55,C:C=M55,D:D=N55,E:E=O55))"),"#DIV/0!")</f>
        <v>#DIV/0!</v>
      </c>
      <c r="X55" s="84" t="str">
        <f>IFERROR(__xludf.DUMMYFUNCTION("STDEV(FILTER(H:H,A:A=K55,C:C=M55,D:D=N55,E:E=O55))"),"#DIV/0!")</f>
        <v>#DIV/0!</v>
      </c>
      <c r="Y55" s="84">
        <f>IFERROR(__xludf.DUMMYFUNCTION("MIN(FILTER(H:H,A:A=K55,C:C=M55,D:D=N55,E:E=O55))"),0.0)</f>
        <v>0</v>
      </c>
      <c r="Z55" s="84">
        <f>IFERROR(__xludf.DUMMYFUNCTION("MAX(FILTER(H:H,A:A=K55,C:C=M55,D:D=N55,E:E=O55))"),0.0)</f>
        <v>0</v>
      </c>
      <c r="AA55" s="84" t="str">
        <f>IFERROR(__xludf.DUMMYFUNCTION("QUARTILE(FILTER(H:H,A:A=K55,C:C=M55,D:D=N55,E:E=O55),1)"),"#NUM!")</f>
        <v>#NUM!</v>
      </c>
    </row>
    <row r="56">
      <c r="A56" s="43" t="str">
        <f t="shared" si="1"/>
        <v>ITC-category</v>
      </c>
      <c r="J56" s="81" t="str">
        <f t="shared" si="86"/>
        <v>-</v>
      </c>
      <c r="K56" s="39"/>
      <c r="L56" s="39"/>
      <c r="M56" s="39"/>
      <c r="N56" s="39"/>
      <c r="O56" s="39"/>
      <c r="P56" s="39">
        <f>IFERROR(__xludf.DUMMYFUNCTION("COUNT(FILTER(G:G,A:A=K56,C:C=M56,D:D=N56,E:E=O56))"),0.0)</f>
        <v>0</v>
      </c>
      <c r="Q56" s="82" t="str">
        <f>IFERROR(__xludf.DUMMYFUNCTION("AVERAGE(FILTER(G:G,A:A=K56,C:C=M56,D:D=N56,E:E=O56))"),"#DIV/0!")</f>
        <v>#DIV/0!</v>
      </c>
      <c r="R56" s="83" t="str">
        <f>IFERROR(__xludf.DUMMYFUNCTION("STDEV(FILTER(G:G,A:A=K56,C:C=M56,D:D=N56,E:E=O56))"),"#DIV/0!")</f>
        <v>#DIV/0!</v>
      </c>
      <c r="S56" s="83">
        <f>IFERROR(__xludf.DUMMYFUNCTION("MIN(FILTER(G:G,A:A=K56,C:C=M56,D:D=N56,E:E=O56))"),0.0)</f>
        <v>0</v>
      </c>
      <c r="T56" s="82">
        <f>IFERROR(__xludf.DUMMYFUNCTION("MAX(FILTER(G:G,A:A=K56,C:C=M56,D:D=N56,E:E=O56))"),0.0)</f>
        <v>0</v>
      </c>
      <c r="U56" s="82" t="str">
        <f>IFERROR(__xludf.DUMMYFUNCTION("QUARTILE(FILTER(G:G,A:A=K56,C:C=M56,D:D=N56,E:E=O56),1)"),"#NUM!")</f>
        <v>#NUM!</v>
      </c>
      <c r="V56" s="82" t="str">
        <f>IFERROR(__xludf.DUMMYFUNCTION("QUARTILE(FILTER(G:G,A:A=K56,C:C=M56,D:D=N56,E:E=O56),3)"),"#NUM!")</f>
        <v>#NUM!</v>
      </c>
      <c r="W56" s="84" t="str">
        <f>IFERROR(__xludf.DUMMYFUNCTION("AVERAGE(FILTER(H:H,A:A=K56,C:C=M56,D:D=N56,E:E=O56))"),"#DIV/0!")</f>
        <v>#DIV/0!</v>
      </c>
      <c r="X56" s="84" t="str">
        <f>IFERROR(__xludf.DUMMYFUNCTION("STDEV(FILTER(H:H,A:A=K56,C:C=M56,D:D=N56,E:E=O56))"),"#DIV/0!")</f>
        <v>#DIV/0!</v>
      </c>
      <c r="Y56" s="84">
        <f>IFERROR(__xludf.DUMMYFUNCTION("MIN(FILTER(H:H,A:A=K56,C:C=M56,D:D=N56,E:E=O56))"),0.0)</f>
        <v>0</v>
      </c>
      <c r="Z56" s="84">
        <f>IFERROR(__xludf.DUMMYFUNCTION("MAX(FILTER(H:H,A:A=K56,C:C=M56,D:D=N56,E:E=O56))"),0.0)</f>
        <v>0</v>
      </c>
      <c r="AA56" s="84" t="str">
        <f>IFERROR(__xludf.DUMMYFUNCTION("QUARTILE(FILTER(H:H,A:A=K56,C:C=M56,D:D=N56,E:E=O56),1)"),"#NUM!")</f>
        <v>#NUM!</v>
      </c>
    </row>
    <row r="57">
      <c r="A57" s="43" t="str">
        <f t="shared" si="1"/>
        <v>ITC-category</v>
      </c>
      <c r="J57" s="81" t="str">
        <f t="shared" si="86"/>
        <v>-</v>
      </c>
      <c r="K57" s="39"/>
      <c r="L57" s="39"/>
      <c r="M57" s="39"/>
      <c r="N57" s="39"/>
      <c r="O57" s="39"/>
      <c r="P57" s="39">
        <f>IFERROR(__xludf.DUMMYFUNCTION("COUNT(FILTER(G:G,A:A=K57,C:C=M57,D:D=N57,E:E=O57))"),0.0)</f>
        <v>0</v>
      </c>
      <c r="Q57" s="82" t="str">
        <f>IFERROR(__xludf.DUMMYFUNCTION("AVERAGE(FILTER(G:G,A:A=K57,C:C=M57,D:D=N57,E:E=O57))"),"#DIV/0!")</f>
        <v>#DIV/0!</v>
      </c>
      <c r="R57" s="83" t="str">
        <f>IFERROR(__xludf.DUMMYFUNCTION("STDEV(FILTER(G:G,A:A=K57,C:C=M57,D:D=N57,E:E=O57))"),"#DIV/0!")</f>
        <v>#DIV/0!</v>
      </c>
      <c r="S57" s="83">
        <f>IFERROR(__xludf.DUMMYFUNCTION("MIN(FILTER(G:G,A:A=K57,C:C=M57,D:D=N57,E:E=O57))"),0.0)</f>
        <v>0</v>
      </c>
      <c r="T57" s="82">
        <f>IFERROR(__xludf.DUMMYFUNCTION("MAX(FILTER(G:G,A:A=K57,C:C=M57,D:D=N57,E:E=O57))"),0.0)</f>
        <v>0</v>
      </c>
      <c r="U57" s="82" t="str">
        <f>IFERROR(__xludf.DUMMYFUNCTION("QUARTILE(FILTER(G:G,A:A=K57,C:C=M57,D:D=N57,E:E=O57),1)"),"#NUM!")</f>
        <v>#NUM!</v>
      </c>
      <c r="V57" s="82" t="str">
        <f>IFERROR(__xludf.DUMMYFUNCTION("QUARTILE(FILTER(G:G,A:A=K57,C:C=M57,D:D=N57,E:E=O57),3)"),"#NUM!")</f>
        <v>#NUM!</v>
      </c>
      <c r="W57" s="84" t="str">
        <f>IFERROR(__xludf.DUMMYFUNCTION("AVERAGE(FILTER(H:H,A:A=K57,C:C=M57,D:D=N57,E:E=O57))"),"#DIV/0!")</f>
        <v>#DIV/0!</v>
      </c>
      <c r="X57" s="84" t="str">
        <f>IFERROR(__xludf.DUMMYFUNCTION("STDEV(FILTER(H:H,A:A=K57,C:C=M57,D:D=N57,E:E=O57))"),"#DIV/0!")</f>
        <v>#DIV/0!</v>
      </c>
      <c r="Y57" s="84">
        <f>IFERROR(__xludf.DUMMYFUNCTION("MIN(FILTER(H:H,A:A=K57,C:C=M57,D:D=N57,E:E=O57))"),0.0)</f>
        <v>0</v>
      </c>
      <c r="Z57" s="84">
        <f>IFERROR(__xludf.DUMMYFUNCTION("MAX(FILTER(H:H,A:A=K57,C:C=M57,D:D=N57,E:E=O57))"),0.0)</f>
        <v>0</v>
      </c>
      <c r="AA57" s="84" t="str">
        <f>IFERROR(__xludf.DUMMYFUNCTION("QUARTILE(FILTER(H:H,A:A=K57,C:C=M57,D:D=N57,E:E=O57),1)"),"#NUM!")</f>
        <v>#NUM!</v>
      </c>
    </row>
    <row r="58">
      <c r="A58" s="43" t="str">
        <f t="shared" si="1"/>
        <v>ITC-category</v>
      </c>
      <c r="J58" s="81" t="str">
        <f t="shared" si="86"/>
        <v>-</v>
      </c>
      <c r="K58" s="39"/>
      <c r="L58" s="39"/>
      <c r="M58" s="39"/>
      <c r="N58" s="39"/>
      <c r="O58" s="39"/>
      <c r="P58" s="39">
        <f>IFERROR(__xludf.DUMMYFUNCTION("COUNT(FILTER(G:G,A:A=K58,C:C=M58,D:D=N58,E:E=O58))"),0.0)</f>
        <v>0</v>
      </c>
      <c r="Q58" s="82" t="str">
        <f>IFERROR(__xludf.DUMMYFUNCTION("AVERAGE(FILTER(G:G,A:A=K58,C:C=M58,D:D=N58,E:E=O58))"),"#DIV/0!")</f>
        <v>#DIV/0!</v>
      </c>
      <c r="R58" s="83" t="str">
        <f>IFERROR(__xludf.DUMMYFUNCTION("STDEV(FILTER(G:G,A:A=K58,C:C=M58,D:D=N58,E:E=O58))"),"#DIV/0!")</f>
        <v>#DIV/0!</v>
      </c>
      <c r="S58" s="83">
        <f>IFERROR(__xludf.DUMMYFUNCTION("MIN(FILTER(G:G,A:A=K58,C:C=M58,D:D=N58,E:E=O58))"),0.0)</f>
        <v>0</v>
      </c>
      <c r="T58" s="82">
        <f>IFERROR(__xludf.DUMMYFUNCTION("MAX(FILTER(G:G,A:A=K58,C:C=M58,D:D=N58,E:E=O58))"),0.0)</f>
        <v>0</v>
      </c>
      <c r="U58" s="82" t="str">
        <f>IFERROR(__xludf.DUMMYFUNCTION("QUARTILE(FILTER(G:G,A:A=K58,C:C=M58,D:D=N58,E:E=O58),1)"),"#NUM!")</f>
        <v>#NUM!</v>
      </c>
      <c r="V58" s="82" t="str">
        <f>IFERROR(__xludf.DUMMYFUNCTION("QUARTILE(FILTER(G:G,A:A=K58,C:C=M58,D:D=N58,E:E=O58),3)"),"#NUM!")</f>
        <v>#NUM!</v>
      </c>
      <c r="W58" s="84" t="str">
        <f>IFERROR(__xludf.DUMMYFUNCTION("AVERAGE(FILTER(H:H,A:A=K58,C:C=M58,D:D=N58,E:E=O58))"),"#DIV/0!")</f>
        <v>#DIV/0!</v>
      </c>
      <c r="X58" s="84" t="str">
        <f>IFERROR(__xludf.DUMMYFUNCTION("STDEV(FILTER(H:H,A:A=K58,C:C=M58,D:D=N58,E:E=O58))"),"#DIV/0!")</f>
        <v>#DIV/0!</v>
      </c>
      <c r="Y58" s="84">
        <f>IFERROR(__xludf.DUMMYFUNCTION("MIN(FILTER(H:H,A:A=K58,C:C=M58,D:D=N58,E:E=O58))"),0.0)</f>
        <v>0</v>
      </c>
      <c r="Z58" s="84">
        <f>IFERROR(__xludf.DUMMYFUNCTION("MAX(FILTER(H:H,A:A=K58,C:C=M58,D:D=N58,E:E=O58))"),0.0)</f>
        <v>0</v>
      </c>
      <c r="AA58" s="84" t="str">
        <f>IFERROR(__xludf.DUMMYFUNCTION("QUARTILE(FILTER(H:H,A:A=K58,C:C=M58,D:D=N58,E:E=O58),1)"),"#NUM!")</f>
        <v>#NUM!</v>
      </c>
    </row>
    <row r="59">
      <c r="A59" s="43" t="str">
        <f t="shared" si="1"/>
        <v>ITC-category</v>
      </c>
      <c r="J59" s="81" t="str">
        <f t="shared" si="86"/>
        <v>-</v>
      </c>
      <c r="K59" s="39"/>
      <c r="L59" s="39"/>
      <c r="M59" s="39"/>
      <c r="N59" s="39"/>
      <c r="O59" s="39"/>
      <c r="P59" s="39">
        <f>IFERROR(__xludf.DUMMYFUNCTION("COUNT(FILTER(G:G,A:A=K59,C:C=M59,D:D=N59,E:E=O59))"),0.0)</f>
        <v>0</v>
      </c>
      <c r="Q59" s="82" t="str">
        <f>IFERROR(__xludf.DUMMYFUNCTION("AVERAGE(FILTER(G:G,A:A=K59,C:C=M59,D:D=N59,E:E=O59))"),"#DIV/0!")</f>
        <v>#DIV/0!</v>
      </c>
      <c r="R59" s="83" t="str">
        <f>IFERROR(__xludf.DUMMYFUNCTION("STDEV(FILTER(G:G,A:A=K59,C:C=M59,D:D=N59,E:E=O59))"),"#DIV/0!")</f>
        <v>#DIV/0!</v>
      </c>
      <c r="S59" s="83">
        <f>IFERROR(__xludf.DUMMYFUNCTION("MIN(FILTER(G:G,A:A=K59,C:C=M59,D:D=N59,E:E=O59))"),0.0)</f>
        <v>0</v>
      </c>
      <c r="T59" s="82">
        <f>IFERROR(__xludf.DUMMYFUNCTION("MAX(FILTER(G:G,A:A=K59,C:C=M59,D:D=N59,E:E=O59))"),0.0)</f>
        <v>0</v>
      </c>
      <c r="U59" s="82" t="str">
        <f>IFERROR(__xludf.DUMMYFUNCTION("QUARTILE(FILTER(G:G,A:A=K59,C:C=M59,D:D=N59,E:E=O59),1)"),"#NUM!")</f>
        <v>#NUM!</v>
      </c>
      <c r="V59" s="82" t="str">
        <f>IFERROR(__xludf.DUMMYFUNCTION("QUARTILE(FILTER(G:G,A:A=K59,C:C=M59,D:D=N59,E:E=O59),3)"),"#NUM!")</f>
        <v>#NUM!</v>
      </c>
      <c r="W59" s="84" t="str">
        <f>IFERROR(__xludf.DUMMYFUNCTION("AVERAGE(FILTER(H:H,A:A=K59,C:C=M59,D:D=N59,E:E=O59))"),"#DIV/0!")</f>
        <v>#DIV/0!</v>
      </c>
      <c r="X59" s="84" t="str">
        <f>IFERROR(__xludf.DUMMYFUNCTION("STDEV(FILTER(H:H,A:A=K59,C:C=M59,D:D=N59,E:E=O59))"),"#DIV/0!")</f>
        <v>#DIV/0!</v>
      </c>
      <c r="Y59" s="84">
        <f>IFERROR(__xludf.DUMMYFUNCTION("MIN(FILTER(H:H,A:A=K59,C:C=M59,D:D=N59,E:E=O59))"),0.0)</f>
        <v>0</v>
      </c>
      <c r="Z59" s="84">
        <f>IFERROR(__xludf.DUMMYFUNCTION("MAX(FILTER(H:H,A:A=K59,C:C=M59,D:D=N59,E:E=O59))"),0.0)</f>
        <v>0</v>
      </c>
      <c r="AA59" s="84" t="str">
        <f>IFERROR(__xludf.DUMMYFUNCTION("QUARTILE(FILTER(H:H,A:A=K59,C:C=M59,D:D=N59,E:E=O59),1)"),"#NUM!")</f>
        <v>#NUM!</v>
      </c>
    </row>
    <row r="60">
      <c r="A60" s="43" t="str">
        <f t="shared" si="1"/>
        <v>ITC-category</v>
      </c>
      <c r="J60" s="81" t="str">
        <f t="shared" si="86"/>
        <v>-</v>
      </c>
      <c r="K60" s="39"/>
      <c r="L60" s="39"/>
      <c r="M60" s="39"/>
      <c r="N60" s="39"/>
      <c r="O60" s="39"/>
      <c r="P60" s="39">
        <f>IFERROR(__xludf.DUMMYFUNCTION("COUNT(FILTER(G:G,A:A=K60,C:C=M60,D:D=N60,E:E=O60))"),0.0)</f>
        <v>0</v>
      </c>
      <c r="Q60" s="82" t="str">
        <f>IFERROR(__xludf.DUMMYFUNCTION("AVERAGE(FILTER(G:G,A:A=K60,C:C=M60,D:D=N60,E:E=O60))"),"#DIV/0!")</f>
        <v>#DIV/0!</v>
      </c>
      <c r="R60" s="83" t="str">
        <f>IFERROR(__xludf.DUMMYFUNCTION("STDEV(FILTER(G:G,A:A=K60,C:C=M60,D:D=N60,E:E=O60))"),"#DIV/0!")</f>
        <v>#DIV/0!</v>
      </c>
      <c r="S60" s="83">
        <f>IFERROR(__xludf.DUMMYFUNCTION("MIN(FILTER(G:G,A:A=K60,C:C=M60,D:D=N60,E:E=O60))"),0.0)</f>
        <v>0</v>
      </c>
      <c r="T60" s="82">
        <f>IFERROR(__xludf.DUMMYFUNCTION("MAX(FILTER(G:G,A:A=K60,C:C=M60,D:D=N60,E:E=O60))"),0.0)</f>
        <v>0</v>
      </c>
      <c r="U60" s="82" t="str">
        <f>IFERROR(__xludf.DUMMYFUNCTION("QUARTILE(FILTER(G:G,A:A=K60,C:C=M60,D:D=N60,E:E=O60),1)"),"#NUM!")</f>
        <v>#NUM!</v>
      </c>
      <c r="V60" s="82" t="str">
        <f>IFERROR(__xludf.DUMMYFUNCTION("QUARTILE(FILTER(G:G,A:A=K60,C:C=M60,D:D=N60,E:E=O60),3)"),"#NUM!")</f>
        <v>#NUM!</v>
      </c>
      <c r="W60" s="84" t="str">
        <f>IFERROR(__xludf.DUMMYFUNCTION("AVERAGE(FILTER(H:H,A:A=K60,C:C=M60,D:D=N60,E:E=O60))"),"#DIV/0!")</f>
        <v>#DIV/0!</v>
      </c>
      <c r="X60" s="84" t="str">
        <f>IFERROR(__xludf.DUMMYFUNCTION("STDEV(FILTER(H:H,A:A=K60,C:C=M60,D:D=N60,E:E=O60))"),"#DIV/0!")</f>
        <v>#DIV/0!</v>
      </c>
      <c r="Y60" s="84">
        <f>IFERROR(__xludf.DUMMYFUNCTION("MIN(FILTER(H:H,A:A=K60,C:C=M60,D:D=N60,E:E=O60))"),0.0)</f>
        <v>0</v>
      </c>
      <c r="Z60" s="84">
        <f>IFERROR(__xludf.DUMMYFUNCTION("MAX(FILTER(H:H,A:A=K60,C:C=M60,D:D=N60,E:E=O60))"),0.0)</f>
        <v>0</v>
      </c>
      <c r="AA60" s="84" t="str">
        <f>IFERROR(__xludf.DUMMYFUNCTION("QUARTILE(FILTER(H:H,A:A=K60,C:C=M60,D:D=N60,E:E=O60),1)"),"#NUM!")</f>
        <v>#NUM!</v>
      </c>
    </row>
    <row r="61">
      <c r="A61" s="43" t="str">
        <f t="shared" si="1"/>
        <v>ITC-category</v>
      </c>
      <c r="J61" s="81" t="str">
        <f t="shared" si="86"/>
        <v>-</v>
      </c>
      <c r="K61" s="39"/>
      <c r="L61" s="39"/>
      <c r="M61" s="39"/>
      <c r="N61" s="39"/>
      <c r="O61" s="39"/>
      <c r="P61" s="39">
        <f>IFERROR(__xludf.DUMMYFUNCTION("COUNT(FILTER(G:G,A:A=K61,C:C=M61,D:D=N61,E:E=O61))"),0.0)</f>
        <v>0</v>
      </c>
      <c r="Q61" s="82" t="str">
        <f>IFERROR(__xludf.DUMMYFUNCTION("AVERAGE(FILTER(G:G,A:A=K61,C:C=M61,D:D=N61,E:E=O61))"),"#DIV/0!")</f>
        <v>#DIV/0!</v>
      </c>
      <c r="R61" s="83" t="str">
        <f>IFERROR(__xludf.DUMMYFUNCTION("STDEV(FILTER(G:G,A:A=K61,C:C=M61,D:D=N61,E:E=O61))"),"#DIV/0!")</f>
        <v>#DIV/0!</v>
      </c>
      <c r="S61" s="83">
        <f>IFERROR(__xludf.DUMMYFUNCTION("MIN(FILTER(G:G,A:A=K61,C:C=M61,D:D=N61,E:E=O61))"),0.0)</f>
        <v>0</v>
      </c>
      <c r="T61" s="82">
        <f>IFERROR(__xludf.DUMMYFUNCTION("MAX(FILTER(G:G,A:A=K61,C:C=M61,D:D=N61,E:E=O61))"),0.0)</f>
        <v>0</v>
      </c>
      <c r="U61" s="82" t="str">
        <f>IFERROR(__xludf.DUMMYFUNCTION("QUARTILE(FILTER(G:G,A:A=K61,C:C=M61,D:D=N61,E:E=O61),1)"),"#NUM!")</f>
        <v>#NUM!</v>
      </c>
      <c r="V61" s="82" t="str">
        <f>IFERROR(__xludf.DUMMYFUNCTION("QUARTILE(FILTER(G:G,A:A=K61,C:C=M61,D:D=N61,E:E=O61),3)"),"#NUM!")</f>
        <v>#NUM!</v>
      </c>
      <c r="W61" s="84" t="str">
        <f>IFERROR(__xludf.DUMMYFUNCTION("AVERAGE(FILTER(H:H,A:A=K61,C:C=M61,D:D=N61,E:E=O61))"),"#DIV/0!")</f>
        <v>#DIV/0!</v>
      </c>
      <c r="X61" s="84" t="str">
        <f>IFERROR(__xludf.DUMMYFUNCTION("STDEV(FILTER(H:H,A:A=K61,C:C=M61,D:D=N61,E:E=O61))"),"#DIV/0!")</f>
        <v>#DIV/0!</v>
      </c>
      <c r="Y61" s="84">
        <f>IFERROR(__xludf.DUMMYFUNCTION("MIN(FILTER(H:H,A:A=K61,C:C=M61,D:D=N61,E:E=O61))"),0.0)</f>
        <v>0</v>
      </c>
      <c r="Z61" s="84">
        <f>IFERROR(__xludf.DUMMYFUNCTION("MAX(FILTER(H:H,A:A=K61,C:C=M61,D:D=N61,E:E=O61))"),0.0)</f>
        <v>0</v>
      </c>
      <c r="AA61" s="84" t="str">
        <f>IFERROR(__xludf.DUMMYFUNCTION("QUARTILE(FILTER(H:H,A:A=K61,C:C=M61,D:D=N61,E:E=O61),1)"),"#NUM!")</f>
        <v>#NUM!</v>
      </c>
    </row>
    <row r="62">
      <c r="A62" s="43" t="str">
        <f t="shared" si="1"/>
        <v>ITC-category</v>
      </c>
      <c r="J62" s="81" t="str">
        <f t="shared" si="86"/>
        <v>-</v>
      </c>
      <c r="K62" s="39"/>
      <c r="L62" s="39"/>
      <c r="M62" s="39"/>
      <c r="N62" s="39"/>
      <c r="O62" s="39"/>
      <c r="P62" s="39">
        <f>IFERROR(__xludf.DUMMYFUNCTION("COUNT(FILTER(G:G,A:A=K62,C:C=M62,D:D=N62,E:E=O62))"),0.0)</f>
        <v>0</v>
      </c>
      <c r="Q62" s="82" t="str">
        <f>IFERROR(__xludf.DUMMYFUNCTION("AVERAGE(FILTER(G:G,A:A=K62,C:C=M62,D:D=N62,E:E=O62))"),"#DIV/0!")</f>
        <v>#DIV/0!</v>
      </c>
      <c r="R62" s="83" t="str">
        <f>IFERROR(__xludf.DUMMYFUNCTION("STDEV(FILTER(G:G,A:A=K62,C:C=M62,D:D=N62,E:E=O62))"),"#DIV/0!")</f>
        <v>#DIV/0!</v>
      </c>
      <c r="S62" s="83">
        <f>IFERROR(__xludf.DUMMYFUNCTION("MIN(FILTER(G:G,A:A=K62,C:C=M62,D:D=N62,E:E=O62))"),0.0)</f>
        <v>0</v>
      </c>
      <c r="T62" s="82">
        <f>IFERROR(__xludf.DUMMYFUNCTION("MAX(FILTER(G:G,A:A=K62,C:C=M62,D:D=N62,E:E=O62))"),0.0)</f>
        <v>0</v>
      </c>
      <c r="U62" s="82" t="str">
        <f>IFERROR(__xludf.DUMMYFUNCTION("QUARTILE(FILTER(G:G,A:A=K62,C:C=M62,D:D=N62,E:E=O62),1)"),"#NUM!")</f>
        <v>#NUM!</v>
      </c>
      <c r="V62" s="82" t="str">
        <f>IFERROR(__xludf.DUMMYFUNCTION("QUARTILE(FILTER(G:G,A:A=K62,C:C=M62,D:D=N62,E:E=O62),3)"),"#NUM!")</f>
        <v>#NUM!</v>
      </c>
      <c r="W62" s="84" t="str">
        <f>IFERROR(__xludf.DUMMYFUNCTION("AVERAGE(FILTER(H:H,A:A=K62,C:C=M62,D:D=N62,E:E=O62))"),"#DIV/0!")</f>
        <v>#DIV/0!</v>
      </c>
      <c r="X62" s="84" t="str">
        <f>IFERROR(__xludf.DUMMYFUNCTION("STDEV(FILTER(H:H,A:A=K62,C:C=M62,D:D=N62,E:E=O62))"),"#DIV/0!")</f>
        <v>#DIV/0!</v>
      </c>
      <c r="Y62" s="84">
        <f>IFERROR(__xludf.DUMMYFUNCTION("MIN(FILTER(H:H,A:A=K62,C:C=M62,D:D=N62,E:E=O62))"),0.0)</f>
        <v>0</v>
      </c>
      <c r="Z62" s="84">
        <f>IFERROR(__xludf.DUMMYFUNCTION("MAX(FILTER(H:H,A:A=K62,C:C=M62,D:D=N62,E:E=O62))"),0.0)</f>
        <v>0</v>
      </c>
      <c r="AA62" s="84" t="str">
        <f>IFERROR(__xludf.DUMMYFUNCTION("QUARTILE(FILTER(H:H,A:A=K62,C:C=M62,D:D=N62,E:E=O62),1)"),"#NUM!")</f>
        <v>#NUM!</v>
      </c>
    </row>
    <row r="63">
      <c r="A63" s="43" t="str">
        <f t="shared" si="1"/>
        <v>ITC-category</v>
      </c>
    </row>
    <row r="64">
      <c r="A64" s="43" t="str">
        <f t="shared" si="1"/>
        <v>ITC-category</v>
      </c>
    </row>
    <row r="65">
      <c r="A65" s="43" t="str">
        <f t="shared" si="1"/>
        <v>ITC-category</v>
      </c>
    </row>
    <row r="66">
      <c r="A66" s="43" t="str">
        <f t="shared" si="1"/>
        <v>ITC-category</v>
      </c>
    </row>
    <row r="67">
      <c r="A67" s="43" t="str">
        <f t="shared" si="1"/>
        <v>ITC-category</v>
      </c>
    </row>
    <row r="68">
      <c r="A68" s="43" t="str">
        <f t="shared" si="1"/>
        <v>ITC-category</v>
      </c>
    </row>
    <row r="69">
      <c r="A69" s="43" t="str">
        <f t="shared" si="1"/>
        <v>ITC-category</v>
      </c>
    </row>
    <row r="70">
      <c r="A70" s="43" t="str">
        <f t="shared" si="1"/>
        <v>ITC-category</v>
      </c>
    </row>
    <row r="71">
      <c r="A71" s="43" t="str">
        <f t="shared" si="1"/>
        <v>ITC-category</v>
      </c>
    </row>
    <row r="72">
      <c r="A72" s="43" t="str">
        <f t="shared" si="1"/>
        <v>ITC-category</v>
      </c>
    </row>
    <row r="73">
      <c r="A73" s="43" t="str">
        <f t="shared" si="1"/>
        <v>ITC-category</v>
      </c>
    </row>
    <row r="74">
      <c r="A74" s="43" t="str">
        <f t="shared" si="1"/>
        <v>ITC-category</v>
      </c>
    </row>
    <row r="75">
      <c r="A75" s="43" t="str">
        <f t="shared" si="1"/>
        <v>ITC-category</v>
      </c>
    </row>
    <row r="76">
      <c r="A76" s="43" t="str">
        <f t="shared" si="1"/>
        <v>ITC-category</v>
      </c>
    </row>
    <row r="77">
      <c r="A77" s="43" t="str">
        <f t="shared" si="1"/>
        <v>ITC-category</v>
      </c>
    </row>
    <row r="78">
      <c r="A78" s="43" t="str">
        <f t="shared" si="1"/>
        <v>ITC-category</v>
      </c>
    </row>
    <row r="79">
      <c r="A79" s="43" t="str">
        <f t="shared" si="1"/>
        <v>ITC-category</v>
      </c>
    </row>
    <row r="80">
      <c r="A80" s="43" t="str">
        <f t="shared" si="1"/>
        <v>ITC-category</v>
      </c>
    </row>
    <row r="81">
      <c r="A81" s="43" t="str">
        <f t="shared" si="1"/>
        <v>ITC-category</v>
      </c>
    </row>
    <row r="82">
      <c r="A82" s="43" t="str">
        <f t="shared" si="1"/>
        <v>ITC-category</v>
      </c>
    </row>
    <row r="83">
      <c r="A83" s="43" t="str">
        <f t="shared" si="1"/>
        <v>ITC-category</v>
      </c>
    </row>
    <row r="84">
      <c r="A84" s="43" t="str">
        <f t="shared" si="1"/>
        <v>ITC-category</v>
      </c>
    </row>
    <row r="85">
      <c r="A85" s="43" t="str">
        <f t="shared" si="1"/>
        <v>ITC-category</v>
      </c>
    </row>
    <row r="86">
      <c r="A86" s="43" t="str">
        <f t="shared" si="1"/>
        <v>ITC-category</v>
      </c>
    </row>
    <row r="87">
      <c r="A87" s="43" t="str">
        <f t="shared" si="1"/>
        <v>ITC-category</v>
      </c>
    </row>
    <row r="88">
      <c r="A88" s="43" t="str">
        <f t="shared" si="1"/>
        <v>ITC-category</v>
      </c>
    </row>
    <row r="89">
      <c r="A89" s="43" t="str">
        <f t="shared" si="1"/>
        <v>ITC-category</v>
      </c>
    </row>
    <row r="90">
      <c r="A90" s="43" t="str">
        <f t="shared" si="1"/>
        <v>ITC-category</v>
      </c>
    </row>
    <row r="91">
      <c r="A91" s="43" t="str">
        <f t="shared" si="1"/>
        <v>ITC-category</v>
      </c>
    </row>
    <row r="92">
      <c r="A92" s="43" t="str">
        <f t="shared" si="1"/>
        <v>ITC-category</v>
      </c>
    </row>
    <row r="93">
      <c r="A93" s="43" t="str">
        <f t="shared" si="1"/>
        <v>ITC-category</v>
      </c>
    </row>
    <row r="94">
      <c r="A94" s="43" t="str">
        <f t="shared" si="1"/>
        <v>ITC-category</v>
      </c>
    </row>
    <row r="95">
      <c r="A95" s="43" t="str">
        <f t="shared" si="1"/>
        <v>ITC-category</v>
      </c>
    </row>
    <row r="96">
      <c r="A96" s="43" t="str">
        <f t="shared" si="1"/>
        <v>ITC-category</v>
      </c>
    </row>
    <row r="97">
      <c r="A97" s="43" t="str">
        <f t="shared" si="1"/>
        <v>ITC-category</v>
      </c>
    </row>
    <row r="98">
      <c r="A98" s="43" t="str">
        <f t="shared" si="1"/>
        <v>ITC-category</v>
      </c>
    </row>
    <row r="99">
      <c r="A99" s="43" t="str">
        <f t="shared" si="1"/>
        <v>ITC-category</v>
      </c>
    </row>
    <row r="100">
      <c r="A100" s="43" t="str">
        <f t="shared" si="1"/>
        <v>ITC-category</v>
      </c>
    </row>
    <row r="101">
      <c r="A101" s="43" t="str">
        <f t="shared" si="1"/>
        <v>ITC-category</v>
      </c>
    </row>
    <row r="102">
      <c r="A102" s="43" t="str">
        <f t="shared" si="1"/>
        <v>CTC</v>
      </c>
    </row>
    <row r="103">
      <c r="A103" s="43" t="str">
        <f t="shared" si="1"/>
        <v>CTC</v>
      </c>
    </row>
    <row r="104">
      <c r="A104" s="43" t="str">
        <f t="shared" si="1"/>
        <v>CTC</v>
      </c>
    </row>
    <row r="105">
      <c r="A105" s="43" t="str">
        <f t="shared" si="1"/>
        <v>CTC</v>
      </c>
    </row>
    <row r="106">
      <c r="A106" s="43" t="str">
        <f t="shared" si="1"/>
        <v>CTC</v>
      </c>
    </row>
    <row r="107">
      <c r="A107" s="43" t="str">
        <f t="shared" si="1"/>
        <v>CTC</v>
      </c>
    </row>
    <row r="108">
      <c r="A108" s="43" t="str">
        <f t="shared" si="1"/>
        <v>CTC</v>
      </c>
    </row>
    <row r="109">
      <c r="A109" s="43" t="str">
        <f t="shared" si="1"/>
        <v>CTC</v>
      </c>
    </row>
    <row r="110">
      <c r="A110" s="43" t="str">
        <f t="shared" si="1"/>
        <v>CTC</v>
      </c>
    </row>
    <row r="111">
      <c r="A111" s="43" t="str">
        <f t="shared" si="1"/>
        <v>CTC</v>
      </c>
    </row>
    <row r="112">
      <c r="A112" s="43" t="str">
        <f t="shared" si="1"/>
        <v>CTC</v>
      </c>
    </row>
    <row r="113">
      <c r="A113" s="43" t="str">
        <f t="shared" si="1"/>
        <v>CTC</v>
      </c>
    </row>
    <row r="114">
      <c r="A114" s="43" t="str">
        <f t="shared" si="1"/>
        <v>CTC</v>
      </c>
    </row>
    <row r="115">
      <c r="A115" s="43" t="str">
        <f t="shared" si="1"/>
        <v>CTC</v>
      </c>
    </row>
    <row r="116">
      <c r="A116" s="43" t="str">
        <f t="shared" si="1"/>
        <v>CTC</v>
      </c>
    </row>
    <row r="117">
      <c r="A117" s="43" t="str">
        <f t="shared" si="1"/>
        <v>CTC</v>
      </c>
    </row>
    <row r="118">
      <c r="A118" s="43" t="str">
        <f t="shared" si="1"/>
        <v>CTC</v>
      </c>
    </row>
    <row r="119">
      <c r="A119" s="43" t="str">
        <f t="shared" si="1"/>
        <v>CTC</v>
      </c>
    </row>
    <row r="120">
      <c r="A120" s="43" t="str">
        <f t="shared" si="1"/>
        <v>CTC</v>
      </c>
    </row>
    <row r="121">
      <c r="A121" s="43" t="str">
        <f t="shared" si="1"/>
        <v>CTC</v>
      </c>
    </row>
    <row r="122">
      <c r="A122" s="43" t="str">
        <f t="shared" si="1"/>
        <v>CTC</v>
      </c>
    </row>
    <row r="123">
      <c r="A123" s="43" t="str">
        <f t="shared" si="1"/>
        <v>CTC</v>
      </c>
    </row>
    <row r="124">
      <c r="A124" s="43" t="str">
        <f t="shared" si="1"/>
        <v>CTC</v>
      </c>
    </row>
    <row r="125">
      <c r="A125" s="43" t="str">
        <f t="shared" si="1"/>
        <v>CTC</v>
      </c>
    </row>
    <row r="126">
      <c r="A126" s="43" t="str">
        <f t="shared" si="1"/>
        <v>CTC</v>
      </c>
    </row>
    <row r="127">
      <c r="A127" s="43" t="str">
        <f t="shared" si="1"/>
        <v>CTC</v>
      </c>
    </row>
    <row r="128">
      <c r="A128" s="43" t="str">
        <f t="shared" si="1"/>
        <v>CTC</v>
      </c>
    </row>
    <row r="129">
      <c r="A129" s="43" t="str">
        <f t="shared" si="1"/>
        <v>CTC</v>
      </c>
    </row>
    <row r="130">
      <c r="A130" s="43" t="str">
        <f t="shared" si="1"/>
        <v>CTC</v>
      </c>
    </row>
    <row r="131">
      <c r="A131" s="43" t="str">
        <f t="shared" si="1"/>
        <v>CTC</v>
      </c>
    </row>
    <row r="132">
      <c r="A132" s="43" t="str">
        <f t="shared" si="1"/>
        <v>CTC</v>
      </c>
    </row>
    <row r="133">
      <c r="A133" s="43" t="str">
        <f t="shared" si="1"/>
        <v>CTC</v>
      </c>
    </row>
    <row r="134">
      <c r="A134" s="43" t="str">
        <f t="shared" si="1"/>
        <v>CTC</v>
      </c>
    </row>
    <row r="135">
      <c r="A135" s="43" t="str">
        <f t="shared" si="1"/>
        <v>CTC</v>
      </c>
    </row>
    <row r="136">
      <c r="A136" s="43" t="str">
        <f t="shared" si="1"/>
        <v>CTC</v>
      </c>
    </row>
    <row r="137">
      <c r="A137" s="43" t="str">
        <f t="shared" si="1"/>
        <v>CTC</v>
      </c>
    </row>
    <row r="138">
      <c r="A138" s="43" t="str">
        <f t="shared" si="1"/>
        <v>CTC</v>
      </c>
    </row>
    <row r="139">
      <c r="A139" s="43" t="str">
        <f t="shared" si="1"/>
        <v>CTC</v>
      </c>
    </row>
    <row r="140">
      <c r="A140" s="43" t="str">
        <f t="shared" si="1"/>
        <v>CTC</v>
      </c>
    </row>
    <row r="141">
      <c r="A141" s="43" t="str">
        <f t="shared" si="1"/>
        <v>CTC</v>
      </c>
    </row>
    <row r="142">
      <c r="A142" s="43" t="str">
        <f t="shared" si="1"/>
        <v>CTC</v>
      </c>
    </row>
    <row r="143">
      <c r="A143" s="43" t="str">
        <f t="shared" si="1"/>
        <v>CTC</v>
      </c>
    </row>
    <row r="144">
      <c r="A144" s="43" t="str">
        <f t="shared" si="1"/>
        <v>CTC</v>
      </c>
    </row>
    <row r="145">
      <c r="A145" s="43" t="str">
        <f t="shared" si="1"/>
        <v>CTC</v>
      </c>
    </row>
    <row r="146">
      <c r="A146" s="43" t="str">
        <f t="shared" si="1"/>
        <v>CTC</v>
      </c>
    </row>
    <row r="147">
      <c r="A147" s="43" t="str">
        <f t="shared" si="1"/>
        <v>CTC-ITER</v>
      </c>
    </row>
    <row r="148">
      <c r="A148" s="43" t="str">
        <f t="shared" si="1"/>
        <v>CTC-ITER</v>
      </c>
    </row>
    <row r="149">
      <c r="A149" s="43" t="str">
        <f t="shared" si="1"/>
        <v>CTC-ITER</v>
      </c>
    </row>
    <row r="150">
      <c r="A150" s="43" t="str">
        <f t="shared" si="1"/>
        <v>CTC-ITER</v>
      </c>
    </row>
    <row r="151">
      <c r="A151" s="43" t="str">
        <f t="shared" si="1"/>
        <v>CTC-ITER</v>
      </c>
    </row>
    <row r="152">
      <c r="A152" s="43" t="str">
        <f t="shared" si="1"/>
        <v>ITC-priority</v>
      </c>
    </row>
    <row r="153">
      <c r="A153" s="43" t="str">
        <f t="shared" si="1"/>
        <v>ITC-priority</v>
      </c>
    </row>
    <row r="154">
      <c r="A154" s="43" t="str">
        <f t="shared" si="1"/>
        <v>ITC-priority</v>
      </c>
    </row>
    <row r="155">
      <c r="A155" s="43" t="str">
        <f t="shared" si="1"/>
        <v>ITC-priority</v>
      </c>
    </row>
    <row r="156">
      <c r="A156" s="43" t="str">
        <f t="shared" si="1"/>
        <v>ITC-priority</v>
      </c>
    </row>
    <row r="157">
      <c r="A157" s="43" t="str">
        <f t="shared" si="1"/>
        <v>ITC-priority</v>
      </c>
    </row>
    <row r="158">
      <c r="A158" s="43" t="str">
        <f t="shared" si="1"/>
        <v>ITC-priority</v>
      </c>
    </row>
    <row r="159">
      <c r="A159" s="43" t="str">
        <f t="shared" si="1"/>
        <v>ITC-priority</v>
      </c>
    </row>
    <row r="160">
      <c r="A160" s="43" t="str">
        <f t="shared" si="1"/>
        <v>ITC-priority</v>
      </c>
    </row>
    <row r="161">
      <c r="A161" s="43" t="str">
        <f t="shared" si="1"/>
        <v>ITC-priority</v>
      </c>
    </row>
    <row r="162">
      <c r="A162" s="43" t="str">
        <f t="shared" si="1"/>
        <v>ITC-priority</v>
      </c>
    </row>
    <row r="163">
      <c r="A163" s="43" t="str">
        <f t="shared" si="1"/>
        <v>ITC-priority</v>
      </c>
    </row>
    <row r="164">
      <c r="A164" s="43" t="str">
        <f t="shared" si="1"/>
        <v>ITC-priority</v>
      </c>
    </row>
    <row r="165">
      <c r="A165" s="43" t="str">
        <f t="shared" si="1"/>
        <v>ITC-priority</v>
      </c>
    </row>
    <row r="166">
      <c r="A166" s="43" t="str">
        <f t="shared" si="1"/>
        <v>ITC-priority</v>
      </c>
    </row>
    <row r="167">
      <c r="A167" s="43" t="str">
        <f t="shared" si="1"/>
        <v>ITC-priority</v>
      </c>
    </row>
    <row r="168">
      <c r="A168" s="43" t="str">
        <f t="shared" si="1"/>
        <v>ITC-priority</v>
      </c>
    </row>
    <row r="169">
      <c r="A169" s="43" t="str">
        <f t="shared" si="1"/>
        <v>ITC-priority</v>
      </c>
    </row>
    <row r="170">
      <c r="A170" s="43" t="str">
        <f t="shared" si="1"/>
        <v>ITC-priority</v>
      </c>
    </row>
    <row r="171">
      <c r="A171" s="43" t="str">
        <f t="shared" si="1"/>
        <v>ITC-priority</v>
      </c>
    </row>
    <row r="172">
      <c r="A172" s="43" t="str">
        <f t="shared" si="1"/>
        <v>ITC-priority</v>
      </c>
    </row>
    <row r="173">
      <c r="A173" s="43" t="str">
        <f t="shared" si="1"/>
        <v>ITC-priority</v>
      </c>
    </row>
    <row r="174">
      <c r="A174" s="43" t="str">
        <f t="shared" si="1"/>
        <v>ITC-priority</v>
      </c>
    </row>
    <row r="175">
      <c r="A175" s="43" t="str">
        <f t="shared" si="1"/>
        <v>ITC-priority</v>
      </c>
    </row>
    <row r="176">
      <c r="A176" s="43" t="str">
        <f t="shared" si="1"/>
        <v>ITC-priority</v>
      </c>
    </row>
    <row r="177">
      <c r="A177" s="43" t="str">
        <f t="shared" si="1"/>
        <v>ITC-priority</v>
      </c>
    </row>
    <row r="178">
      <c r="A178" s="43" t="str">
        <f t="shared" si="1"/>
        <v>ITC-priority</v>
      </c>
    </row>
    <row r="179">
      <c r="A179" s="43" t="str">
        <f t="shared" si="1"/>
        <v>ITC-priority</v>
      </c>
    </row>
    <row r="180">
      <c r="A180" s="43" t="str">
        <f t="shared" si="1"/>
        <v>ITC-priority</v>
      </c>
    </row>
    <row r="181">
      <c r="A181" s="43" t="str">
        <f t="shared" si="1"/>
        <v>ITC-priority</v>
      </c>
    </row>
    <row r="182">
      <c r="A182" s="43" t="str">
        <f t="shared" si="1"/>
        <v>ITC-priority</v>
      </c>
    </row>
    <row r="183">
      <c r="A183" s="43" t="str">
        <f t="shared" si="1"/>
        <v>ITC-priority</v>
      </c>
    </row>
    <row r="184">
      <c r="A184" s="43" t="str">
        <f t="shared" si="1"/>
        <v>ITC-priority</v>
      </c>
    </row>
    <row r="185">
      <c r="A185" s="43" t="str">
        <f t="shared" si="1"/>
        <v>ITC-priority</v>
      </c>
    </row>
    <row r="186">
      <c r="A186" s="43" t="str">
        <f t="shared" si="1"/>
        <v>ITC-priority</v>
      </c>
    </row>
    <row r="187">
      <c r="A187" s="43" t="str">
        <f t="shared" si="1"/>
        <v>ITC-priority</v>
      </c>
    </row>
    <row r="188">
      <c r="A188" s="43" t="str">
        <f t="shared" si="1"/>
        <v>ITC-priority</v>
      </c>
    </row>
    <row r="189">
      <c r="A189" s="43" t="str">
        <f t="shared" si="1"/>
        <v>ITC-priority</v>
      </c>
    </row>
    <row r="190">
      <c r="A190" s="43" t="str">
        <f t="shared" si="1"/>
        <v>ITC-priority</v>
      </c>
    </row>
    <row r="191">
      <c r="A191" s="43" t="str">
        <f t="shared" si="1"/>
        <v>ITC-priority</v>
      </c>
    </row>
    <row r="192">
      <c r="A192" s="43" t="str">
        <f t="shared" si="1"/>
        <v>ITC-priority</v>
      </c>
    </row>
    <row r="193">
      <c r="A193" s="43" t="str">
        <f t="shared" si="1"/>
        <v>ITC-priority</v>
      </c>
    </row>
    <row r="194">
      <c r="A194" s="43" t="str">
        <f t="shared" si="1"/>
        <v>ITC-priority</v>
      </c>
    </row>
    <row r="195">
      <c r="A195" s="43" t="str">
        <f t="shared" si="1"/>
        <v>ITC-priority</v>
      </c>
    </row>
    <row r="196">
      <c r="A196" s="43" t="str">
        <f t="shared" si="1"/>
        <v>ITC-priority</v>
      </c>
    </row>
    <row r="197">
      <c r="A197" s="43" t="str">
        <f t="shared" si="1"/>
        <v>ITC-priority</v>
      </c>
    </row>
    <row r="198">
      <c r="A198" s="43" t="str">
        <f t="shared" si="1"/>
        <v>ITC-priority</v>
      </c>
    </row>
    <row r="199">
      <c r="A199" s="43" t="str">
        <f t="shared" si="1"/>
        <v>ITC-priority</v>
      </c>
    </row>
    <row r="200">
      <c r="A200" s="43" t="str">
        <f t="shared" si="1"/>
        <v>ITC-priority</v>
      </c>
    </row>
    <row r="201">
      <c r="A201" s="43" t="str">
        <f t="shared" si="1"/>
        <v>ITC-priority</v>
      </c>
    </row>
    <row r="202">
      <c r="A202" s="43" t="str">
        <f t="shared" si="1"/>
        <v>#N/A</v>
      </c>
      <c r="B202" s="39"/>
      <c r="C202" s="39"/>
      <c r="D202" s="39"/>
      <c r="E202" s="39"/>
      <c r="F202" s="39"/>
      <c r="G202" s="39"/>
      <c r="H202" s="39"/>
    </row>
    <row r="203">
      <c r="A203" s="43" t="str">
        <f t="shared" si="1"/>
        <v>#N/A</v>
      </c>
      <c r="B203" s="39"/>
      <c r="C203" s="39"/>
      <c r="D203" s="39"/>
      <c r="E203" s="39"/>
      <c r="F203" s="39"/>
      <c r="G203" s="39"/>
      <c r="H203" s="39"/>
    </row>
    <row r="204">
      <c r="A204" s="43" t="str">
        <f t="shared" si="1"/>
        <v>#N/A</v>
      </c>
      <c r="B204" s="39"/>
      <c r="C204" s="39"/>
      <c r="D204" s="39"/>
      <c r="E204" s="39"/>
      <c r="F204" s="39"/>
      <c r="G204" s="39"/>
      <c r="H204" s="39"/>
    </row>
    <row r="205">
      <c r="A205" s="43" t="str">
        <f t="shared" si="1"/>
        <v>#N/A</v>
      </c>
      <c r="B205" s="39"/>
      <c r="C205" s="39"/>
      <c r="D205" s="39"/>
      <c r="E205" s="39"/>
      <c r="F205" s="39"/>
      <c r="G205" s="39"/>
      <c r="H205" s="39"/>
    </row>
    <row r="206">
      <c r="A206" s="43" t="str">
        <f t="shared" si="1"/>
        <v>#N/A</v>
      </c>
      <c r="B206" s="39"/>
      <c r="C206" s="39"/>
      <c r="D206" s="39"/>
      <c r="E206" s="39"/>
      <c r="F206" s="39"/>
      <c r="G206" s="39"/>
      <c r="H206" s="39"/>
    </row>
    <row r="207">
      <c r="A207" s="43" t="str">
        <f t="shared" si="1"/>
        <v>#N/A</v>
      </c>
      <c r="B207" s="39"/>
      <c r="C207" s="39"/>
      <c r="D207" s="39"/>
      <c r="E207" s="39"/>
      <c r="F207" s="39"/>
      <c r="G207" s="39"/>
      <c r="H207" s="39"/>
    </row>
    <row r="208">
      <c r="A208" s="43" t="str">
        <f t="shared" si="1"/>
        <v>#N/A</v>
      </c>
      <c r="B208" s="39"/>
      <c r="C208" s="39"/>
      <c r="D208" s="39"/>
      <c r="E208" s="39"/>
      <c r="F208" s="39"/>
      <c r="G208" s="39"/>
      <c r="H208" s="39"/>
    </row>
    <row r="209">
      <c r="A209" s="43" t="str">
        <f t="shared" si="1"/>
        <v>#N/A</v>
      </c>
      <c r="B209" s="39"/>
      <c r="C209" s="39"/>
      <c r="D209" s="39"/>
      <c r="E209" s="39"/>
      <c r="F209" s="39"/>
      <c r="G209" s="39"/>
      <c r="H209" s="39"/>
    </row>
    <row r="210">
      <c r="A210" s="43" t="str">
        <f t="shared" si="1"/>
        <v>#N/A</v>
      </c>
      <c r="B210" s="39"/>
      <c r="C210" s="39"/>
      <c r="D210" s="39"/>
      <c r="E210" s="39"/>
      <c r="F210" s="39"/>
      <c r="G210" s="39"/>
      <c r="H210" s="39"/>
    </row>
    <row r="211">
      <c r="A211" s="43" t="str">
        <f t="shared" si="1"/>
        <v>#N/A</v>
      </c>
      <c r="B211" s="39"/>
      <c r="C211" s="39"/>
      <c r="D211" s="39"/>
      <c r="E211" s="39"/>
      <c r="F211" s="39"/>
      <c r="G211" s="39"/>
      <c r="H211" s="39"/>
    </row>
    <row r="212">
      <c r="A212" s="43" t="str">
        <f t="shared" si="1"/>
        <v>#N/A</v>
      </c>
      <c r="B212" s="39"/>
      <c r="C212" s="39"/>
      <c r="D212" s="39"/>
      <c r="E212" s="39"/>
      <c r="F212" s="39"/>
      <c r="G212" s="39"/>
      <c r="H212" s="39"/>
    </row>
    <row r="213">
      <c r="A213" s="43" t="str">
        <f t="shared" si="1"/>
        <v>#N/A</v>
      </c>
      <c r="B213" s="39"/>
      <c r="C213" s="39"/>
      <c r="D213" s="39"/>
      <c r="E213" s="39"/>
      <c r="F213" s="39"/>
      <c r="G213" s="39"/>
      <c r="H213" s="39"/>
    </row>
    <row r="214">
      <c r="A214" s="43" t="str">
        <f t="shared" si="1"/>
        <v>#N/A</v>
      </c>
      <c r="B214" s="39"/>
      <c r="C214" s="39"/>
      <c r="D214" s="39"/>
      <c r="E214" s="39"/>
      <c r="F214" s="39"/>
      <c r="G214" s="39"/>
      <c r="H214" s="39"/>
    </row>
    <row r="215">
      <c r="A215" s="43" t="str">
        <f t="shared" si="1"/>
        <v>#N/A</v>
      </c>
      <c r="B215" s="39"/>
      <c r="C215" s="39"/>
      <c r="D215" s="39"/>
      <c r="E215" s="39"/>
      <c r="F215" s="39"/>
      <c r="G215" s="39"/>
      <c r="H215" s="39"/>
    </row>
    <row r="216">
      <c r="A216" s="43" t="str">
        <f t="shared" si="1"/>
        <v>#N/A</v>
      </c>
      <c r="B216" s="39"/>
      <c r="C216" s="39"/>
      <c r="D216" s="39"/>
      <c r="E216" s="39"/>
      <c r="F216" s="39"/>
      <c r="G216" s="39"/>
      <c r="H216" s="39"/>
    </row>
    <row r="217">
      <c r="A217" s="43" t="str">
        <f t="shared" si="1"/>
        <v>#N/A</v>
      </c>
      <c r="B217" s="39"/>
      <c r="C217" s="39"/>
      <c r="D217" s="39"/>
      <c r="E217" s="39"/>
      <c r="F217" s="39"/>
      <c r="G217" s="39"/>
      <c r="H217" s="39"/>
    </row>
    <row r="218">
      <c r="A218" s="43" t="str">
        <f t="shared" si="1"/>
        <v>#N/A</v>
      </c>
      <c r="B218" s="39"/>
      <c r="C218" s="39"/>
      <c r="D218" s="39"/>
      <c r="E218" s="39"/>
      <c r="F218" s="39"/>
      <c r="G218" s="39"/>
      <c r="H218" s="39"/>
    </row>
    <row r="219">
      <c r="A219" s="43" t="str">
        <f t="shared" si="1"/>
        <v>#N/A</v>
      </c>
      <c r="B219" s="39"/>
      <c r="C219" s="39"/>
      <c r="D219" s="39"/>
      <c r="E219" s="39"/>
      <c r="F219" s="39"/>
      <c r="G219" s="39"/>
      <c r="H219" s="39"/>
    </row>
    <row r="220">
      <c r="A220" s="43" t="str">
        <f t="shared" si="1"/>
        <v>#N/A</v>
      </c>
      <c r="B220" s="39"/>
      <c r="C220" s="39"/>
      <c r="D220" s="39"/>
      <c r="E220" s="39"/>
      <c r="F220" s="39"/>
      <c r="G220" s="39"/>
      <c r="H220" s="39"/>
    </row>
    <row r="221">
      <c r="A221" s="43" t="str">
        <f t="shared" si="1"/>
        <v>#N/A</v>
      </c>
      <c r="B221" s="39"/>
      <c r="C221" s="39"/>
      <c r="D221" s="39"/>
      <c r="E221" s="39"/>
      <c r="F221" s="39"/>
      <c r="G221" s="39"/>
      <c r="H221" s="39"/>
    </row>
    <row r="222">
      <c r="A222" s="43" t="str">
        <f t="shared" si="1"/>
        <v>#N/A</v>
      </c>
      <c r="B222" s="39"/>
      <c r="C222" s="39"/>
      <c r="D222" s="39"/>
      <c r="E222" s="39"/>
      <c r="F222" s="39"/>
      <c r="G222" s="39"/>
      <c r="H222" s="39"/>
    </row>
    <row r="223">
      <c r="A223" s="43" t="str">
        <f t="shared" si="1"/>
        <v>#N/A</v>
      </c>
      <c r="B223" s="39"/>
      <c r="C223" s="39"/>
      <c r="D223" s="39"/>
      <c r="E223" s="39"/>
      <c r="F223" s="39"/>
      <c r="G223" s="39"/>
      <c r="H223" s="39"/>
    </row>
    <row r="224">
      <c r="A224" s="43" t="str">
        <f t="shared" si="1"/>
        <v>#N/A</v>
      </c>
      <c r="B224" s="39"/>
      <c r="C224" s="39"/>
      <c r="D224" s="39"/>
      <c r="E224" s="39"/>
      <c r="F224" s="39"/>
      <c r="G224" s="39"/>
      <c r="H224" s="39"/>
    </row>
    <row r="225">
      <c r="A225" s="43" t="str">
        <f t="shared" si="1"/>
        <v>#N/A</v>
      </c>
      <c r="B225" s="39"/>
      <c r="C225" s="39"/>
      <c r="D225" s="39"/>
      <c r="E225" s="39"/>
      <c r="F225" s="39"/>
      <c r="G225" s="39"/>
      <c r="H225" s="39"/>
    </row>
    <row r="226">
      <c r="A226" s="43" t="str">
        <f t="shared" si="1"/>
        <v>#N/A</v>
      </c>
      <c r="B226" s="39"/>
      <c r="C226" s="39"/>
      <c r="D226" s="39"/>
      <c r="E226" s="39"/>
      <c r="F226" s="39"/>
      <c r="G226" s="39"/>
      <c r="H226" s="39"/>
    </row>
    <row r="227">
      <c r="A227" s="43" t="str">
        <f t="shared" si="1"/>
        <v>#N/A</v>
      </c>
      <c r="B227" s="39"/>
      <c r="C227" s="39"/>
      <c r="D227" s="39"/>
      <c r="E227" s="39"/>
      <c r="F227" s="39"/>
      <c r="G227" s="39"/>
      <c r="H227" s="39"/>
    </row>
    <row r="228">
      <c r="A228" s="43" t="str">
        <f t="shared" si="1"/>
        <v>#N/A</v>
      </c>
      <c r="B228" s="39"/>
      <c r="C228" s="39"/>
      <c r="D228" s="39"/>
      <c r="E228" s="39"/>
      <c r="F228" s="39"/>
      <c r="G228" s="39"/>
      <c r="H228" s="39"/>
    </row>
    <row r="229">
      <c r="A229" s="43" t="str">
        <f t="shared" si="1"/>
        <v>#N/A</v>
      </c>
      <c r="B229" s="39"/>
      <c r="C229" s="39"/>
      <c r="D229" s="39"/>
      <c r="E229" s="39"/>
      <c r="F229" s="39"/>
      <c r="G229" s="39"/>
      <c r="H229" s="39"/>
    </row>
    <row r="230">
      <c r="A230" s="43" t="str">
        <f t="shared" si="1"/>
        <v>#N/A</v>
      </c>
      <c r="B230" s="39"/>
      <c r="C230" s="39"/>
      <c r="D230" s="39"/>
      <c r="E230" s="39"/>
      <c r="F230" s="39"/>
      <c r="G230" s="39"/>
      <c r="H230" s="39"/>
    </row>
    <row r="231">
      <c r="A231" s="43" t="str">
        <f t="shared" si="1"/>
        <v>#N/A</v>
      </c>
      <c r="B231" s="39"/>
      <c r="C231" s="39"/>
      <c r="D231" s="39"/>
      <c r="E231" s="39"/>
      <c r="F231" s="39"/>
      <c r="G231" s="39"/>
      <c r="H231" s="39"/>
    </row>
    <row r="232">
      <c r="A232" s="43" t="str">
        <f t="shared" si="1"/>
        <v>#N/A</v>
      </c>
      <c r="B232" s="39"/>
      <c r="C232" s="39"/>
      <c r="D232" s="39"/>
      <c r="E232" s="39"/>
      <c r="F232" s="39"/>
      <c r="G232" s="39"/>
      <c r="H232" s="39"/>
    </row>
    <row r="233">
      <c r="A233" s="43" t="str">
        <f t="shared" si="1"/>
        <v>#N/A</v>
      </c>
      <c r="B233" s="39"/>
      <c r="C233" s="39"/>
      <c r="D233" s="39"/>
      <c r="E233" s="39"/>
      <c r="F233" s="39"/>
      <c r="G233" s="39"/>
      <c r="H233" s="39"/>
    </row>
    <row r="234">
      <c r="A234" s="43" t="str">
        <f t="shared" si="1"/>
        <v>#N/A</v>
      </c>
      <c r="B234" s="39"/>
      <c r="C234" s="39"/>
      <c r="D234" s="39"/>
      <c r="E234" s="39"/>
      <c r="F234" s="39"/>
      <c r="G234" s="39"/>
      <c r="H234" s="39"/>
    </row>
    <row r="235">
      <c r="A235" s="43" t="str">
        <f t="shared" si="1"/>
        <v>#N/A</v>
      </c>
      <c r="B235" s="39"/>
      <c r="C235" s="39"/>
      <c r="D235" s="39"/>
      <c r="E235" s="39"/>
      <c r="F235" s="39"/>
      <c r="G235" s="39"/>
      <c r="H235" s="39"/>
    </row>
    <row r="236">
      <c r="A236" s="43" t="str">
        <f t="shared" si="1"/>
        <v>#N/A</v>
      </c>
      <c r="B236" s="39"/>
      <c r="C236" s="39"/>
      <c r="D236" s="39"/>
      <c r="E236" s="39"/>
      <c r="F236" s="39"/>
      <c r="G236" s="39"/>
      <c r="H236" s="39"/>
    </row>
    <row r="237">
      <c r="A237" s="43" t="str">
        <f t="shared" si="1"/>
        <v>#N/A</v>
      </c>
      <c r="B237" s="39"/>
      <c r="C237" s="39"/>
      <c r="D237" s="39"/>
      <c r="E237" s="39"/>
      <c r="F237" s="39"/>
      <c r="G237" s="39"/>
      <c r="H237" s="39"/>
    </row>
    <row r="238">
      <c r="A238" s="43" t="str">
        <f t="shared" si="1"/>
        <v>#N/A</v>
      </c>
      <c r="B238" s="39"/>
      <c r="C238" s="39"/>
      <c r="D238" s="39"/>
      <c r="E238" s="39"/>
      <c r="F238" s="39"/>
      <c r="G238" s="39"/>
      <c r="H238" s="39"/>
    </row>
    <row r="239">
      <c r="A239" s="43" t="str">
        <f t="shared" si="1"/>
        <v>#N/A</v>
      </c>
      <c r="B239" s="39"/>
      <c r="C239" s="39"/>
      <c r="D239" s="39"/>
      <c r="E239" s="39"/>
      <c r="F239" s="39"/>
      <c r="G239" s="39"/>
      <c r="H239" s="39"/>
    </row>
    <row r="240">
      <c r="A240" s="43" t="str">
        <f t="shared" si="1"/>
        <v>#N/A</v>
      </c>
      <c r="B240" s="39"/>
      <c r="C240" s="39"/>
      <c r="D240" s="39"/>
      <c r="E240" s="39"/>
      <c r="F240" s="39"/>
      <c r="G240" s="39"/>
      <c r="H240" s="39"/>
    </row>
    <row r="241">
      <c r="A241" s="43" t="str">
        <f t="shared" si="1"/>
        <v>#N/A</v>
      </c>
      <c r="B241" s="39"/>
      <c r="C241" s="39"/>
      <c r="D241" s="39"/>
      <c r="E241" s="39"/>
      <c r="F241" s="39"/>
      <c r="G241" s="39"/>
      <c r="H241" s="39"/>
    </row>
    <row r="242">
      <c r="A242" s="43" t="str">
        <f t="shared" si="1"/>
        <v>#N/A</v>
      </c>
      <c r="B242" s="39"/>
      <c r="C242" s="39"/>
      <c r="D242" s="39"/>
      <c r="E242" s="39"/>
      <c r="F242" s="39"/>
      <c r="G242" s="39"/>
      <c r="H242" s="39"/>
    </row>
    <row r="243">
      <c r="A243" s="43" t="str">
        <f t="shared" si="1"/>
        <v>#N/A</v>
      </c>
      <c r="B243" s="39"/>
      <c r="C243" s="39"/>
      <c r="D243" s="39"/>
      <c r="E243" s="39"/>
      <c r="F243" s="39"/>
      <c r="G243" s="39"/>
      <c r="H243" s="39"/>
    </row>
    <row r="244">
      <c r="A244" s="43" t="str">
        <f t="shared" si="1"/>
        <v>#N/A</v>
      </c>
      <c r="B244" s="39"/>
      <c r="C244" s="39"/>
      <c r="D244" s="39"/>
      <c r="E244" s="39"/>
      <c r="F244" s="39"/>
      <c r="G244" s="39"/>
      <c r="H244" s="39"/>
    </row>
    <row r="245">
      <c r="A245" s="43" t="str">
        <f t="shared" si="1"/>
        <v>#N/A</v>
      </c>
      <c r="B245" s="39"/>
      <c r="C245" s="39"/>
      <c r="D245" s="39"/>
      <c r="E245" s="39"/>
      <c r="F245" s="39"/>
      <c r="G245" s="39"/>
      <c r="H245" s="39"/>
    </row>
    <row r="246">
      <c r="A246" s="43" t="str">
        <f t="shared" si="1"/>
        <v>#N/A</v>
      </c>
      <c r="B246" s="39"/>
      <c r="C246" s="39"/>
      <c r="D246" s="39"/>
      <c r="E246" s="39"/>
      <c r="F246" s="39"/>
      <c r="G246" s="39"/>
      <c r="H246" s="39"/>
    </row>
    <row r="247">
      <c r="A247" s="43" t="str">
        <f t="shared" si="1"/>
        <v>#N/A</v>
      </c>
      <c r="B247" s="39"/>
      <c r="C247" s="39"/>
      <c r="D247" s="39"/>
      <c r="E247" s="39"/>
      <c r="F247" s="39"/>
      <c r="G247" s="39"/>
      <c r="H247" s="39"/>
    </row>
    <row r="248">
      <c r="A248" s="43" t="str">
        <f t="shared" si="1"/>
        <v>#N/A</v>
      </c>
      <c r="B248" s="39"/>
      <c r="C248" s="39"/>
      <c r="D248" s="39"/>
      <c r="E248" s="39"/>
      <c r="F248" s="39"/>
      <c r="G248" s="39"/>
      <c r="H248" s="39"/>
    </row>
    <row r="249">
      <c r="A249" s="43" t="str">
        <f t="shared" si="1"/>
        <v>#N/A</v>
      </c>
      <c r="B249" s="39"/>
      <c r="C249" s="39"/>
      <c r="D249" s="39"/>
      <c r="E249" s="39"/>
      <c r="F249" s="39"/>
      <c r="G249" s="39"/>
      <c r="H249" s="39"/>
    </row>
    <row r="250">
      <c r="A250" s="43" t="str">
        <f t="shared" si="1"/>
        <v>#N/A</v>
      </c>
      <c r="B250" s="39"/>
      <c r="C250" s="39"/>
      <c r="D250" s="39"/>
      <c r="E250" s="39"/>
      <c r="F250" s="39"/>
      <c r="G250" s="39"/>
      <c r="H250" s="39"/>
    </row>
    <row r="251">
      <c r="A251" s="43" t="str">
        <f t="shared" si="1"/>
        <v>#N/A</v>
      </c>
      <c r="B251" s="39"/>
      <c r="C251" s="39"/>
      <c r="D251" s="39"/>
      <c r="E251" s="39"/>
      <c r="F251" s="39"/>
      <c r="G251" s="39"/>
      <c r="H251" s="39"/>
    </row>
    <row r="252">
      <c r="A252" s="43" t="str">
        <f t="shared" si="1"/>
        <v>#N/A</v>
      </c>
      <c r="B252" s="39"/>
      <c r="C252" s="39"/>
      <c r="D252" s="39"/>
      <c r="E252" s="39"/>
      <c r="F252" s="39"/>
      <c r="G252" s="39"/>
      <c r="H252" s="39"/>
    </row>
    <row r="253">
      <c r="A253" s="43" t="str">
        <f t="shared" si="1"/>
        <v>#N/A</v>
      </c>
      <c r="B253" s="39"/>
      <c r="C253" s="39"/>
      <c r="D253" s="39"/>
      <c r="E253" s="39"/>
      <c r="F253" s="39"/>
      <c r="G253" s="39"/>
      <c r="H253" s="39"/>
    </row>
    <row r="254">
      <c r="A254" s="43" t="str">
        <f t="shared" si="1"/>
        <v>#N/A</v>
      </c>
      <c r="B254" s="39"/>
      <c r="C254" s="39"/>
      <c r="D254" s="39"/>
      <c r="E254" s="39"/>
      <c r="F254" s="39"/>
      <c r="G254" s="39"/>
      <c r="H254" s="39"/>
    </row>
    <row r="255">
      <c r="A255" s="43" t="str">
        <f t="shared" si="1"/>
        <v>#N/A</v>
      </c>
      <c r="B255" s="39"/>
      <c r="C255" s="39"/>
      <c r="D255" s="39"/>
      <c r="E255" s="39"/>
      <c r="F255" s="39"/>
      <c r="G255" s="39"/>
      <c r="H255" s="39"/>
    </row>
    <row r="256">
      <c r="A256" s="43" t="str">
        <f t="shared" si="1"/>
        <v>#N/A</v>
      </c>
      <c r="B256" s="39"/>
      <c r="C256" s="39"/>
      <c r="D256" s="39"/>
      <c r="E256" s="39"/>
      <c r="F256" s="39"/>
      <c r="G256" s="39"/>
      <c r="H256" s="39"/>
    </row>
    <row r="257">
      <c r="A257" s="43" t="str">
        <f t="shared" si="1"/>
        <v>#N/A</v>
      </c>
      <c r="B257" s="39"/>
      <c r="C257" s="39"/>
      <c r="D257" s="39"/>
      <c r="E257" s="39"/>
      <c r="F257" s="39"/>
      <c r="G257" s="39"/>
      <c r="H257" s="39"/>
    </row>
    <row r="258">
      <c r="A258" s="43" t="str">
        <f t="shared" si="1"/>
        <v>#N/A</v>
      </c>
      <c r="B258" s="39"/>
      <c r="C258" s="39"/>
      <c r="D258" s="39"/>
      <c r="E258" s="39"/>
      <c r="F258" s="39"/>
      <c r="G258" s="39"/>
      <c r="H258" s="39"/>
    </row>
    <row r="259">
      <c r="A259" s="43" t="str">
        <f t="shared" si="1"/>
        <v>#N/A</v>
      </c>
      <c r="B259" s="39"/>
      <c r="C259" s="39"/>
      <c r="D259" s="39"/>
      <c r="E259" s="39"/>
      <c r="F259" s="39"/>
      <c r="G259" s="39"/>
      <c r="H259" s="39"/>
    </row>
    <row r="260">
      <c r="A260" s="43" t="str">
        <f t="shared" si="1"/>
        <v>#N/A</v>
      </c>
      <c r="B260" s="39"/>
      <c r="C260" s="39"/>
      <c r="D260" s="39"/>
      <c r="E260" s="39"/>
      <c r="F260" s="39"/>
      <c r="G260" s="39"/>
      <c r="H260" s="39"/>
    </row>
    <row r="261">
      <c r="A261" s="43" t="str">
        <f t="shared" si="1"/>
        <v>#N/A</v>
      </c>
      <c r="B261" s="39"/>
      <c r="C261" s="39"/>
      <c r="D261" s="39"/>
      <c r="E261" s="39"/>
      <c r="F261" s="39"/>
      <c r="G261" s="39"/>
      <c r="H261" s="39"/>
    </row>
    <row r="262">
      <c r="A262" s="43" t="str">
        <f t="shared" si="1"/>
        <v>#N/A</v>
      </c>
      <c r="B262" s="39"/>
      <c r="C262" s="39"/>
      <c r="D262" s="39"/>
      <c r="E262" s="39"/>
      <c r="F262" s="39"/>
      <c r="G262" s="39"/>
      <c r="H262" s="39"/>
    </row>
    <row r="263">
      <c r="A263" s="43" t="str">
        <f t="shared" si="1"/>
        <v>#N/A</v>
      </c>
      <c r="B263" s="39"/>
      <c r="C263" s="39"/>
      <c r="D263" s="39"/>
      <c r="E263" s="39"/>
      <c r="F263" s="39"/>
      <c r="G263" s="39"/>
      <c r="H263" s="39"/>
    </row>
    <row r="264">
      <c r="A264" s="43" t="str">
        <f t="shared" si="1"/>
        <v>#N/A</v>
      </c>
      <c r="B264" s="39"/>
      <c r="C264" s="39"/>
      <c r="D264" s="39"/>
      <c r="E264" s="39"/>
      <c r="F264" s="39"/>
      <c r="G264" s="39"/>
      <c r="H264" s="39"/>
    </row>
    <row r="265">
      <c r="A265" s="43" t="str">
        <f t="shared" si="1"/>
        <v>#N/A</v>
      </c>
      <c r="B265" s="39"/>
      <c r="C265" s="39"/>
      <c r="D265" s="39"/>
      <c r="E265" s="39"/>
      <c r="F265" s="39"/>
      <c r="G265" s="39"/>
      <c r="H265" s="39"/>
    </row>
    <row r="266">
      <c r="A266" s="43" t="str">
        <f t="shared" si="1"/>
        <v>#N/A</v>
      </c>
      <c r="B266" s="39"/>
      <c r="C266" s="39"/>
      <c r="D266" s="39"/>
      <c r="E266" s="39"/>
      <c r="F266" s="39"/>
      <c r="G266" s="39"/>
      <c r="H266" s="39"/>
    </row>
    <row r="267">
      <c r="A267" s="43" t="str">
        <f t="shared" si="1"/>
        <v>#N/A</v>
      </c>
      <c r="B267" s="39"/>
      <c r="C267" s="39"/>
      <c r="D267" s="39"/>
      <c r="E267" s="39"/>
      <c r="F267" s="39"/>
      <c r="G267" s="39"/>
      <c r="H267" s="39"/>
    </row>
    <row r="268">
      <c r="A268" s="43" t="str">
        <f t="shared" si="1"/>
        <v>#N/A</v>
      </c>
      <c r="B268" s="39"/>
      <c r="C268" s="39"/>
      <c r="D268" s="39"/>
      <c r="E268" s="39"/>
      <c r="F268" s="39"/>
      <c r="G268" s="39"/>
      <c r="H268" s="39"/>
    </row>
    <row r="269">
      <c r="A269" s="43" t="str">
        <f t="shared" si="1"/>
        <v>#N/A</v>
      </c>
      <c r="B269" s="39"/>
      <c r="C269" s="39"/>
      <c r="D269" s="39"/>
      <c r="E269" s="39"/>
      <c r="F269" s="39"/>
      <c r="G269" s="39"/>
      <c r="H269" s="39"/>
    </row>
    <row r="270">
      <c r="A270" s="43" t="str">
        <f t="shared" si="1"/>
        <v>#N/A</v>
      </c>
      <c r="B270" s="39"/>
      <c r="C270" s="39"/>
      <c r="D270" s="39"/>
      <c r="E270" s="39"/>
      <c r="F270" s="39"/>
      <c r="G270" s="39"/>
      <c r="H270" s="39"/>
    </row>
    <row r="271">
      <c r="A271" s="43" t="str">
        <f t="shared" si="1"/>
        <v>#N/A</v>
      </c>
      <c r="B271" s="39"/>
      <c r="C271" s="39"/>
      <c r="D271" s="39"/>
      <c r="E271" s="39"/>
      <c r="F271" s="39"/>
      <c r="G271" s="39"/>
      <c r="H271" s="39"/>
    </row>
    <row r="272">
      <c r="A272" s="43" t="str">
        <f t="shared" si="1"/>
        <v>#N/A</v>
      </c>
      <c r="B272" s="39"/>
      <c r="C272" s="39"/>
      <c r="D272" s="39"/>
      <c r="E272" s="39"/>
      <c r="F272" s="39"/>
      <c r="G272" s="39"/>
      <c r="H272" s="39"/>
    </row>
    <row r="273">
      <c r="A273" s="43" t="str">
        <f t="shared" si="1"/>
        <v>#N/A</v>
      </c>
      <c r="B273" s="39"/>
      <c r="C273" s="39"/>
      <c r="D273" s="39"/>
      <c r="E273" s="39"/>
      <c r="F273" s="39"/>
      <c r="G273" s="39"/>
      <c r="H273" s="39"/>
    </row>
    <row r="274">
      <c r="A274" s="43" t="str">
        <f t="shared" si="1"/>
        <v>#N/A</v>
      </c>
      <c r="B274" s="39"/>
      <c r="C274" s="39"/>
      <c r="D274" s="39"/>
      <c r="E274" s="39"/>
      <c r="F274" s="39"/>
      <c r="G274" s="39"/>
      <c r="H274" s="39"/>
    </row>
    <row r="275">
      <c r="A275" s="43" t="str">
        <f t="shared" si="1"/>
        <v>#N/A</v>
      </c>
      <c r="B275" s="39"/>
      <c r="C275" s="39"/>
      <c r="D275" s="39"/>
      <c r="E275" s="39"/>
      <c r="F275" s="39"/>
      <c r="G275" s="39"/>
      <c r="H275" s="39"/>
    </row>
    <row r="276">
      <c r="A276" s="43" t="str">
        <f t="shared" si="1"/>
        <v>#N/A</v>
      </c>
      <c r="B276" s="39"/>
      <c r="C276" s="39"/>
      <c r="D276" s="39"/>
      <c r="E276" s="39"/>
      <c r="F276" s="39"/>
      <c r="G276" s="39"/>
      <c r="H276" s="39"/>
    </row>
    <row r="277">
      <c r="A277" s="43" t="str">
        <f t="shared" si="1"/>
        <v>#N/A</v>
      </c>
      <c r="B277" s="39"/>
      <c r="C277" s="39"/>
      <c r="D277" s="39"/>
      <c r="E277" s="39"/>
      <c r="F277" s="39"/>
      <c r="G277" s="39"/>
      <c r="H277" s="39"/>
    </row>
    <row r="278">
      <c r="A278" s="43" t="str">
        <f t="shared" si="1"/>
        <v>#N/A</v>
      </c>
      <c r="B278" s="39"/>
      <c r="C278" s="39"/>
      <c r="D278" s="39"/>
      <c r="E278" s="39"/>
      <c r="F278" s="39"/>
      <c r="G278" s="39"/>
      <c r="H278" s="39"/>
    </row>
    <row r="279">
      <c r="A279" s="43" t="str">
        <f t="shared" si="1"/>
        <v>#N/A</v>
      </c>
      <c r="B279" s="39"/>
      <c r="C279" s="39"/>
      <c r="D279" s="39"/>
      <c r="E279" s="39"/>
      <c r="F279" s="39"/>
      <c r="G279" s="39"/>
      <c r="H279" s="39"/>
    </row>
    <row r="280">
      <c r="A280" s="43" t="str">
        <f t="shared" si="1"/>
        <v>#N/A</v>
      </c>
      <c r="B280" s="39"/>
      <c r="C280" s="39"/>
      <c r="D280" s="39"/>
      <c r="E280" s="39"/>
      <c r="F280" s="39"/>
      <c r="G280" s="39"/>
      <c r="H280" s="39"/>
    </row>
    <row r="281">
      <c r="A281" s="43" t="str">
        <f t="shared" si="1"/>
        <v>#N/A</v>
      </c>
      <c r="B281" s="39"/>
      <c r="C281" s="39"/>
      <c r="D281" s="39"/>
      <c r="E281" s="39"/>
      <c r="F281" s="39"/>
      <c r="G281" s="39"/>
      <c r="H281" s="39"/>
    </row>
    <row r="282">
      <c r="A282" s="43" t="str">
        <f t="shared" si="1"/>
        <v>#N/A</v>
      </c>
      <c r="B282" s="39"/>
      <c r="C282" s="39"/>
      <c r="D282" s="39"/>
      <c r="E282" s="39"/>
      <c r="F282" s="39"/>
      <c r="G282" s="39"/>
      <c r="H282" s="39"/>
    </row>
    <row r="283">
      <c r="A283" s="43" t="str">
        <f t="shared" si="1"/>
        <v>#N/A</v>
      </c>
      <c r="B283" s="39"/>
      <c r="C283" s="39"/>
      <c r="D283" s="39"/>
      <c r="E283" s="39"/>
      <c r="F283" s="39"/>
      <c r="G283" s="39"/>
      <c r="H283" s="39"/>
    </row>
    <row r="284">
      <c r="A284" s="43" t="str">
        <f t="shared" si="1"/>
        <v>#N/A</v>
      </c>
      <c r="B284" s="39"/>
      <c r="C284" s="39"/>
      <c r="D284" s="39"/>
      <c r="E284" s="39"/>
      <c r="F284" s="39"/>
      <c r="G284" s="39"/>
      <c r="H284" s="39"/>
    </row>
    <row r="285">
      <c r="A285" s="43" t="str">
        <f t="shared" si="1"/>
        <v>#N/A</v>
      </c>
      <c r="B285" s="39"/>
      <c r="C285" s="39"/>
      <c r="D285" s="39"/>
      <c r="E285" s="39"/>
      <c r="F285" s="39"/>
      <c r="G285" s="39"/>
      <c r="H285" s="39"/>
    </row>
    <row r="286">
      <c r="A286" s="43" t="str">
        <f t="shared" si="1"/>
        <v>#N/A</v>
      </c>
      <c r="B286" s="39"/>
      <c r="C286" s="39"/>
      <c r="D286" s="39"/>
      <c r="E286" s="39"/>
      <c r="F286" s="39"/>
      <c r="G286" s="39"/>
      <c r="H286" s="39"/>
    </row>
    <row r="287">
      <c r="A287" s="43" t="str">
        <f t="shared" si="1"/>
        <v>#N/A</v>
      </c>
      <c r="B287" s="39"/>
      <c r="C287" s="39"/>
      <c r="D287" s="39"/>
      <c r="E287" s="39"/>
      <c r="F287" s="39"/>
      <c r="G287" s="39"/>
      <c r="H287" s="39"/>
    </row>
    <row r="288">
      <c r="A288" s="43" t="str">
        <f t="shared" si="1"/>
        <v>#N/A</v>
      </c>
      <c r="B288" s="39"/>
      <c r="C288" s="39"/>
      <c r="D288" s="39"/>
      <c r="E288" s="39"/>
      <c r="F288" s="39"/>
      <c r="G288" s="39"/>
      <c r="H288" s="39"/>
    </row>
    <row r="289">
      <c r="A289" s="43" t="str">
        <f t="shared" si="1"/>
        <v>#N/A</v>
      </c>
      <c r="B289" s="39"/>
      <c r="C289" s="39"/>
      <c r="D289" s="39"/>
      <c r="E289" s="39"/>
      <c r="F289" s="39"/>
      <c r="G289" s="39"/>
      <c r="H289" s="39"/>
    </row>
    <row r="290">
      <c r="A290" s="43" t="str">
        <f t="shared" si="1"/>
        <v>#N/A</v>
      </c>
      <c r="B290" s="39"/>
      <c r="C290" s="39"/>
      <c r="D290" s="39"/>
      <c r="E290" s="39"/>
      <c r="F290" s="39"/>
      <c r="G290" s="39"/>
      <c r="H290" s="39"/>
    </row>
    <row r="291">
      <c r="A291" s="43" t="str">
        <f t="shared" si="1"/>
        <v>#N/A</v>
      </c>
      <c r="B291" s="39"/>
      <c r="C291" s="39"/>
      <c r="D291" s="39"/>
      <c r="E291" s="39"/>
      <c r="F291" s="39"/>
      <c r="G291" s="39"/>
      <c r="H291" s="39"/>
    </row>
    <row r="292">
      <c r="A292" s="43" t="str">
        <f t="shared" si="1"/>
        <v>#N/A</v>
      </c>
      <c r="B292" s="39"/>
      <c r="C292" s="39"/>
      <c r="D292" s="39"/>
      <c r="E292" s="39"/>
      <c r="F292" s="39"/>
      <c r="G292" s="39"/>
      <c r="H292" s="39"/>
    </row>
    <row r="293">
      <c r="A293" s="43" t="str">
        <f t="shared" si="1"/>
        <v>#N/A</v>
      </c>
      <c r="B293" s="39"/>
      <c r="C293" s="39"/>
      <c r="D293" s="39"/>
      <c r="E293" s="39"/>
      <c r="F293" s="39"/>
      <c r="G293" s="39"/>
      <c r="H293" s="39"/>
    </row>
    <row r="294">
      <c r="A294" s="43" t="str">
        <f t="shared" si="1"/>
        <v>#N/A</v>
      </c>
      <c r="B294" s="39"/>
      <c r="C294" s="39"/>
      <c r="D294" s="39"/>
      <c r="E294" s="39"/>
      <c r="F294" s="39"/>
      <c r="G294" s="39"/>
      <c r="H294" s="39"/>
    </row>
    <row r="295">
      <c r="A295" s="43" t="str">
        <f t="shared" si="1"/>
        <v>#N/A</v>
      </c>
      <c r="B295" s="39"/>
      <c r="C295" s="39"/>
      <c r="D295" s="39"/>
      <c r="E295" s="39"/>
      <c r="F295" s="39"/>
      <c r="G295" s="39"/>
      <c r="H295" s="39"/>
    </row>
    <row r="296">
      <c r="A296" s="43" t="str">
        <f t="shared" si="1"/>
        <v>#N/A</v>
      </c>
      <c r="B296" s="39"/>
      <c r="C296" s="39"/>
      <c r="D296" s="39"/>
      <c r="E296" s="39"/>
      <c r="F296" s="39"/>
      <c r="G296" s="39"/>
      <c r="H296" s="39"/>
    </row>
    <row r="297">
      <c r="A297" s="43" t="str">
        <f t="shared" si="1"/>
        <v>#N/A</v>
      </c>
      <c r="B297" s="39"/>
      <c r="C297" s="39"/>
      <c r="D297" s="39"/>
      <c r="E297" s="39"/>
      <c r="F297" s="39"/>
      <c r="G297" s="39"/>
      <c r="H297" s="39"/>
    </row>
    <row r="298">
      <c r="A298" s="43" t="str">
        <f t="shared" si="1"/>
        <v>#N/A</v>
      </c>
      <c r="B298" s="39"/>
      <c r="C298" s="39"/>
      <c r="D298" s="39"/>
      <c r="E298" s="39"/>
      <c r="F298" s="39"/>
      <c r="G298" s="39"/>
      <c r="H298" s="39"/>
    </row>
    <row r="299">
      <c r="A299" s="43" t="str">
        <f t="shared" si="1"/>
        <v>#N/A</v>
      </c>
      <c r="B299" s="39"/>
      <c r="C299" s="39"/>
      <c r="D299" s="39"/>
      <c r="E299" s="39"/>
      <c r="F299" s="39"/>
      <c r="G299" s="39"/>
      <c r="H299" s="39"/>
    </row>
    <row r="300">
      <c r="A300" s="43" t="str">
        <f t="shared" si="1"/>
        <v>#N/A</v>
      </c>
      <c r="B300" s="39"/>
      <c r="C300" s="39"/>
      <c r="D300" s="39"/>
      <c r="E300" s="39"/>
      <c r="F300" s="39"/>
      <c r="G300" s="39"/>
      <c r="H300" s="39"/>
    </row>
    <row r="301">
      <c r="A301" s="43" t="str">
        <f t="shared" si="1"/>
        <v>#N/A</v>
      </c>
      <c r="B301" s="39"/>
      <c r="C301" s="39"/>
      <c r="D301" s="39"/>
      <c r="E301" s="39"/>
      <c r="F301" s="39"/>
      <c r="G301" s="39"/>
      <c r="H301" s="39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</sheetData>
  <mergeCells count="3">
    <mergeCell ref="K1:AB1"/>
    <mergeCell ref="AE1:AI1"/>
    <mergeCell ref="AS1:AW1"/>
  </mergeCells>
  <drawing r:id="rId2"/>
</worksheet>
</file>